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L:\internal_projects\active\Meltome\Meltome_analyzed_data\OmicScouts\lung-fibroblasts_lysate_NP40_R2\"/>
    </mc:Choice>
  </mc:AlternateContent>
  <bookViews>
    <workbookView xWindow="0" yWindow="0" windowWidth="25200" windowHeight="11970"/>
  </bookViews>
  <sheets>
    <sheet name="Sheet1" sheetId="1" r:id="rId1"/>
  </sheets>
  <calcPr calcId="152511"/>
</workbook>
</file>

<file path=xl/calcChain.xml><?xml version="1.0" encoding="utf-8"?>
<calcChain xmlns="http://schemas.openxmlformats.org/spreadsheetml/2006/main">
  <c r="AB5858" i="1" l="1"/>
  <c r="AB5857" i="1"/>
  <c r="AB5856" i="1"/>
  <c r="AB5855" i="1"/>
  <c r="AB5854" i="1"/>
  <c r="AB5853" i="1"/>
  <c r="AB5852" i="1"/>
  <c r="AB5851" i="1"/>
  <c r="AB5850" i="1"/>
  <c r="AB5849" i="1"/>
  <c r="AB5848" i="1"/>
  <c r="AB5847" i="1"/>
  <c r="AB5846" i="1"/>
  <c r="AB5845" i="1"/>
  <c r="AB5844" i="1"/>
  <c r="AB5843" i="1"/>
  <c r="AB5842" i="1"/>
  <c r="AB5841" i="1"/>
  <c r="AB5840" i="1"/>
  <c r="AB5839" i="1"/>
  <c r="AB5838" i="1"/>
  <c r="AB5837" i="1"/>
  <c r="AB5836" i="1"/>
  <c r="AB5835" i="1"/>
  <c r="AB5834" i="1"/>
  <c r="AB5833" i="1"/>
  <c r="AB5832" i="1"/>
  <c r="AB5831" i="1"/>
  <c r="AB5830" i="1"/>
  <c r="AB5829" i="1"/>
  <c r="AB5828" i="1"/>
  <c r="AB5827" i="1"/>
  <c r="AB5826" i="1"/>
  <c r="AB5825" i="1"/>
  <c r="AB5824" i="1"/>
  <c r="AB5823" i="1"/>
  <c r="AB5822" i="1"/>
  <c r="AB5821" i="1"/>
  <c r="AB5820" i="1"/>
  <c r="AB5819" i="1"/>
  <c r="AB5818" i="1"/>
  <c r="AB5817" i="1"/>
  <c r="AB5816" i="1"/>
  <c r="AB5815" i="1"/>
  <c r="AB5814" i="1"/>
  <c r="AB5813" i="1"/>
  <c r="AB5812" i="1"/>
  <c r="AB5811" i="1"/>
  <c r="AB5810" i="1"/>
  <c r="AB5809" i="1"/>
  <c r="AB5808" i="1"/>
  <c r="AB5807" i="1"/>
  <c r="AB5806" i="1"/>
  <c r="AB5805" i="1"/>
  <c r="AB5804" i="1"/>
  <c r="AB5803" i="1"/>
  <c r="AB5802" i="1"/>
  <c r="AB5801" i="1"/>
  <c r="AB5800" i="1"/>
  <c r="AB5799" i="1"/>
  <c r="AB5798" i="1"/>
  <c r="AB5797" i="1"/>
  <c r="AB5796" i="1"/>
  <c r="AB5795" i="1"/>
  <c r="AB5794" i="1"/>
  <c r="AB5793" i="1"/>
  <c r="AB5792" i="1"/>
  <c r="AB5791" i="1"/>
  <c r="AB5790" i="1"/>
  <c r="AB5789" i="1"/>
  <c r="AB5788" i="1"/>
  <c r="AB5787" i="1"/>
  <c r="AB5786" i="1"/>
  <c r="AB5785" i="1"/>
  <c r="AB5784" i="1"/>
  <c r="AB5783" i="1"/>
  <c r="AB5782" i="1"/>
  <c r="AB5781" i="1"/>
  <c r="AB5780" i="1"/>
  <c r="AB5779" i="1"/>
  <c r="AB5778" i="1"/>
  <c r="AB5777" i="1"/>
  <c r="AB5776" i="1"/>
  <c r="AB5775" i="1"/>
  <c r="AB5774" i="1"/>
  <c r="AB5773" i="1"/>
  <c r="AB5772" i="1"/>
  <c r="AB5771" i="1"/>
  <c r="AB5770" i="1"/>
  <c r="AB5769" i="1"/>
  <c r="AB5768" i="1"/>
  <c r="AB5767" i="1"/>
  <c r="AB5766" i="1"/>
  <c r="AB5765" i="1"/>
  <c r="AB5764" i="1"/>
  <c r="AB5763" i="1"/>
  <c r="AB5762" i="1"/>
  <c r="AB5761" i="1"/>
  <c r="AB5760" i="1"/>
  <c r="AB5759" i="1"/>
  <c r="AB5758" i="1"/>
  <c r="AB5757" i="1"/>
  <c r="AB5756" i="1"/>
  <c r="AB5755" i="1"/>
  <c r="AB5754" i="1"/>
  <c r="AB5753" i="1"/>
  <c r="AB5752" i="1"/>
  <c r="AB5751" i="1"/>
  <c r="AB5750" i="1"/>
  <c r="AB5749" i="1"/>
  <c r="AB5748" i="1"/>
  <c r="AB5747" i="1"/>
  <c r="AB5746" i="1"/>
  <c r="AB5745" i="1"/>
  <c r="AB5744" i="1"/>
  <c r="AB5743" i="1"/>
  <c r="AB5742" i="1"/>
  <c r="AB5741" i="1"/>
  <c r="AB5740" i="1"/>
  <c r="AB5739" i="1"/>
  <c r="AB5738" i="1"/>
  <c r="AB5737" i="1"/>
  <c r="AB5736" i="1"/>
  <c r="AB5735" i="1"/>
  <c r="AB5734" i="1"/>
  <c r="AB5733" i="1"/>
  <c r="AB5732" i="1"/>
  <c r="AB5731" i="1"/>
  <c r="AB5730" i="1"/>
  <c r="AB5729" i="1"/>
  <c r="AB5728" i="1"/>
  <c r="AB5727" i="1"/>
  <c r="AB5726" i="1"/>
  <c r="AB5725" i="1"/>
  <c r="AB5724" i="1"/>
  <c r="AB5723" i="1"/>
  <c r="AB5722" i="1"/>
  <c r="AB5721" i="1"/>
  <c r="AB5720" i="1"/>
  <c r="AB5719" i="1"/>
  <c r="AB5718" i="1"/>
  <c r="AB5717" i="1"/>
  <c r="AB5716" i="1"/>
  <c r="AB5715" i="1"/>
  <c r="AB5714" i="1"/>
  <c r="AB5713" i="1"/>
  <c r="AB5712" i="1"/>
  <c r="AB5711" i="1"/>
  <c r="AB5710" i="1"/>
  <c r="AB5709" i="1"/>
  <c r="AB5708" i="1"/>
  <c r="AB5707" i="1"/>
  <c r="AB5706" i="1"/>
  <c r="AB5705" i="1"/>
  <c r="AB5704" i="1"/>
  <c r="AB5703" i="1"/>
  <c r="AB5702" i="1"/>
  <c r="AB5701" i="1"/>
  <c r="AB5700" i="1"/>
  <c r="AB5699" i="1"/>
  <c r="AB5698" i="1"/>
  <c r="AB5697" i="1"/>
  <c r="AB5696" i="1"/>
  <c r="AB5695" i="1"/>
  <c r="AB5694" i="1"/>
  <c r="AB5693" i="1"/>
  <c r="AB5692" i="1"/>
  <c r="AB5691" i="1"/>
  <c r="AB5690" i="1"/>
  <c r="AB5689" i="1"/>
  <c r="AB5688" i="1"/>
  <c r="AB5687" i="1"/>
  <c r="AB5686" i="1"/>
  <c r="AB5685" i="1"/>
  <c r="AB5684" i="1"/>
  <c r="AB5683" i="1"/>
  <c r="AB5682" i="1"/>
  <c r="AB5681" i="1"/>
  <c r="AB5680" i="1"/>
  <c r="AB5679" i="1"/>
  <c r="AB5678" i="1"/>
  <c r="AB5677" i="1"/>
  <c r="AB5676" i="1"/>
  <c r="AB5675" i="1"/>
  <c r="AB5674" i="1"/>
  <c r="AB5673" i="1"/>
  <c r="AB5672" i="1"/>
  <c r="AB5671" i="1"/>
  <c r="AB5670" i="1"/>
  <c r="AB5669" i="1"/>
  <c r="AB5668" i="1"/>
  <c r="AB5667" i="1"/>
  <c r="AB5666" i="1"/>
  <c r="AB5665" i="1"/>
  <c r="AB5664" i="1"/>
  <c r="AB5663" i="1"/>
  <c r="AB5662" i="1"/>
  <c r="AB5661" i="1"/>
  <c r="AB5660" i="1"/>
  <c r="AB5659" i="1"/>
  <c r="AB5658" i="1"/>
  <c r="AB5657" i="1"/>
  <c r="AB5656" i="1"/>
  <c r="AB5655" i="1"/>
  <c r="AB5654" i="1"/>
  <c r="AB5653" i="1"/>
  <c r="AB5652" i="1"/>
  <c r="AB5651" i="1"/>
  <c r="AB5650" i="1"/>
  <c r="AB5649" i="1"/>
  <c r="AB5648" i="1"/>
  <c r="AB5647" i="1"/>
  <c r="AB5646" i="1"/>
  <c r="AB5645" i="1"/>
  <c r="AB5644" i="1"/>
  <c r="AB5643" i="1"/>
  <c r="AB5642" i="1"/>
  <c r="AB5641" i="1"/>
  <c r="AB5640" i="1"/>
  <c r="AB5639" i="1"/>
  <c r="AB5638" i="1"/>
  <c r="AB5637" i="1"/>
  <c r="AB5636" i="1"/>
  <c r="AB5635" i="1"/>
  <c r="AB5634" i="1"/>
  <c r="AB5633" i="1"/>
  <c r="AB5632" i="1"/>
  <c r="AB5631" i="1"/>
  <c r="AB5630" i="1"/>
  <c r="AB5629" i="1"/>
  <c r="AB5628" i="1"/>
  <c r="AB5627" i="1"/>
  <c r="AB5626" i="1"/>
  <c r="AB5625" i="1"/>
  <c r="AB5624" i="1"/>
  <c r="AB5623" i="1"/>
  <c r="AB5622" i="1"/>
  <c r="AB5621" i="1"/>
  <c r="AB5620" i="1"/>
  <c r="AB5619" i="1"/>
  <c r="AB5618" i="1"/>
  <c r="AB5617" i="1"/>
  <c r="AB5616" i="1"/>
  <c r="AB5615" i="1"/>
  <c r="AB5614" i="1"/>
  <c r="AB5613" i="1"/>
  <c r="AB5612" i="1"/>
  <c r="AB5611" i="1"/>
  <c r="AB5610" i="1"/>
  <c r="AB5609" i="1"/>
  <c r="AB5608" i="1"/>
  <c r="AB5607" i="1"/>
  <c r="AB5606" i="1"/>
  <c r="AB5605" i="1"/>
  <c r="AB5604" i="1"/>
  <c r="AB5603" i="1"/>
  <c r="AB5602" i="1"/>
  <c r="AB5601" i="1"/>
  <c r="AB5600" i="1"/>
  <c r="AB5599" i="1"/>
  <c r="AB5598" i="1"/>
  <c r="AB5597" i="1"/>
  <c r="AB5596" i="1"/>
  <c r="AB5595" i="1"/>
  <c r="AB5594" i="1"/>
  <c r="AB5593" i="1"/>
  <c r="AB5592" i="1"/>
  <c r="AB5591" i="1"/>
  <c r="AB5590" i="1"/>
  <c r="AB5589" i="1"/>
  <c r="AB5588" i="1"/>
  <c r="AB5587" i="1"/>
  <c r="AB5586" i="1"/>
  <c r="AB5585" i="1"/>
  <c r="AB5584" i="1"/>
  <c r="AB5583" i="1"/>
  <c r="AB5582" i="1"/>
  <c r="AB5581" i="1"/>
  <c r="AB5580" i="1"/>
  <c r="AB5579" i="1"/>
  <c r="AB5578" i="1"/>
  <c r="AB5577" i="1"/>
  <c r="AB5576" i="1"/>
  <c r="AB5575" i="1"/>
  <c r="AB5574" i="1"/>
  <c r="AB5573" i="1"/>
  <c r="AB5572" i="1"/>
  <c r="AB5571" i="1"/>
  <c r="AB5570" i="1"/>
  <c r="AB5569" i="1"/>
  <c r="AB5568" i="1"/>
  <c r="AB5567" i="1"/>
  <c r="AB5566" i="1"/>
  <c r="AB5565" i="1"/>
  <c r="AB5564" i="1"/>
  <c r="AB5563" i="1"/>
  <c r="AB5562" i="1"/>
  <c r="AB5561" i="1"/>
  <c r="AB5560" i="1"/>
  <c r="AB5559" i="1"/>
  <c r="AB5558" i="1"/>
  <c r="AB5557" i="1"/>
  <c r="AB5556" i="1"/>
  <c r="AB5555" i="1"/>
  <c r="AB5554" i="1"/>
  <c r="AB5553" i="1"/>
  <c r="AB5552" i="1"/>
  <c r="AB5551" i="1"/>
  <c r="AB5550" i="1"/>
  <c r="AB5549" i="1"/>
  <c r="AB5548" i="1"/>
  <c r="AB5547" i="1"/>
  <c r="AB5546" i="1"/>
  <c r="AB5545" i="1"/>
  <c r="AB5544" i="1"/>
  <c r="AB5543" i="1"/>
  <c r="AB5542" i="1"/>
  <c r="AB5541" i="1"/>
  <c r="AB5540" i="1"/>
  <c r="AB5539" i="1"/>
  <c r="AB5538" i="1"/>
  <c r="AB5537" i="1"/>
  <c r="AB5536" i="1"/>
  <c r="AB5535" i="1"/>
  <c r="AB5534" i="1"/>
  <c r="AB5533" i="1"/>
  <c r="AB5532" i="1"/>
  <c r="AB5531" i="1"/>
  <c r="AB5530" i="1"/>
  <c r="AB5529" i="1"/>
  <c r="AB5528" i="1"/>
  <c r="AB5527" i="1"/>
  <c r="AB5526" i="1"/>
  <c r="AB5525" i="1"/>
  <c r="AB5524" i="1"/>
  <c r="AB5523" i="1"/>
  <c r="AB5522" i="1"/>
  <c r="AB5521" i="1"/>
  <c r="AB5520" i="1"/>
  <c r="AB5519" i="1"/>
  <c r="AB5518" i="1"/>
  <c r="AB5517" i="1"/>
  <c r="AB5516" i="1"/>
  <c r="AB5515" i="1"/>
  <c r="AB5514" i="1"/>
  <c r="AB5513" i="1"/>
  <c r="AB5512" i="1"/>
  <c r="AB5511" i="1"/>
  <c r="AB5510" i="1"/>
  <c r="AB5509" i="1"/>
  <c r="AB5508" i="1"/>
  <c r="AB5507" i="1"/>
  <c r="AB5506" i="1"/>
  <c r="AB5505" i="1"/>
  <c r="AB5504" i="1"/>
  <c r="AB5503" i="1"/>
  <c r="AB5502" i="1"/>
  <c r="AB5501" i="1"/>
  <c r="AB5500" i="1"/>
  <c r="AB5499" i="1"/>
  <c r="AB5498" i="1"/>
  <c r="AB5497" i="1"/>
  <c r="AB5496" i="1"/>
  <c r="AB5495" i="1"/>
  <c r="AB5494" i="1"/>
  <c r="AB5493" i="1"/>
  <c r="AB5492" i="1"/>
  <c r="AB5491" i="1"/>
  <c r="AB5490" i="1"/>
  <c r="AB5489" i="1"/>
  <c r="AB5488" i="1"/>
  <c r="AB5487" i="1"/>
  <c r="AB5486" i="1"/>
  <c r="AB5485" i="1"/>
  <c r="AB5484" i="1"/>
  <c r="AB5483" i="1"/>
  <c r="AB5482" i="1"/>
  <c r="AB5481" i="1"/>
  <c r="AB5480" i="1"/>
  <c r="AB5479" i="1"/>
  <c r="AB5478" i="1"/>
  <c r="AB5477" i="1"/>
  <c r="AB5476" i="1"/>
  <c r="AB5475" i="1"/>
  <c r="AB5474" i="1"/>
  <c r="AB5473" i="1"/>
  <c r="AB5472" i="1"/>
  <c r="AB5471" i="1"/>
  <c r="AB5470" i="1"/>
  <c r="AB5469" i="1"/>
  <c r="AB5468" i="1"/>
  <c r="AB5467" i="1"/>
  <c r="AB5466" i="1"/>
  <c r="AB5465" i="1"/>
  <c r="AB5464" i="1"/>
  <c r="AB5463" i="1"/>
  <c r="AB5462" i="1"/>
  <c r="AB5461" i="1"/>
  <c r="AB5460" i="1"/>
  <c r="AB5459" i="1"/>
  <c r="AB5458" i="1"/>
  <c r="AB5457" i="1"/>
  <c r="AB5456" i="1"/>
  <c r="AB5455" i="1"/>
  <c r="AB5454" i="1"/>
  <c r="AB5453" i="1"/>
  <c r="AB5452" i="1"/>
  <c r="AB5451" i="1"/>
  <c r="AB5450" i="1"/>
  <c r="AB5449" i="1"/>
  <c r="AB5448" i="1"/>
  <c r="AB5447" i="1"/>
  <c r="AB5446" i="1"/>
  <c r="AB5445" i="1"/>
  <c r="AB5444" i="1"/>
  <c r="AB5443" i="1"/>
  <c r="AB5442" i="1"/>
  <c r="AB5441" i="1"/>
  <c r="AB5440" i="1"/>
  <c r="AB5439" i="1"/>
  <c r="AB5438" i="1"/>
  <c r="AB5437" i="1"/>
  <c r="AB5436" i="1"/>
  <c r="AB5435" i="1"/>
  <c r="AB5434" i="1"/>
  <c r="AB5433" i="1"/>
  <c r="AB5432" i="1"/>
  <c r="AB5431" i="1"/>
  <c r="AB5430" i="1"/>
  <c r="AB5429" i="1"/>
  <c r="AB5428" i="1"/>
  <c r="AB5427" i="1"/>
  <c r="AB5426" i="1"/>
  <c r="AB5425" i="1"/>
  <c r="AB5424" i="1"/>
  <c r="AB5423" i="1"/>
  <c r="AB5422" i="1"/>
  <c r="AB5421" i="1"/>
  <c r="AB5420" i="1"/>
  <c r="AB5419" i="1"/>
  <c r="AB5418" i="1"/>
  <c r="AB5417" i="1"/>
  <c r="AB5416" i="1"/>
  <c r="AB5415" i="1"/>
  <c r="AB5414" i="1"/>
  <c r="AB5413" i="1"/>
  <c r="AB5412" i="1"/>
  <c r="AB5411" i="1"/>
  <c r="AB5410" i="1"/>
  <c r="AB5409" i="1"/>
  <c r="AB5408" i="1"/>
  <c r="AB5407" i="1"/>
  <c r="AB5406" i="1"/>
  <c r="AB5405" i="1"/>
  <c r="AB5404" i="1"/>
  <c r="AB5403" i="1"/>
  <c r="AB5402" i="1"/>
  <c r="AB5401" i="1"/>
  <c r="AB5400" i="1"/>
  <c r="AB5399" i="1"/>
  <c r="AB5398" i="1"/>
  <c r="AB5397" i="1"/>
  <c r="AB5396" i="1"/>
  <c r="AB5395" i="1"/>
  <c r="AB5394" i="1"/>
  <c r="AB5393" i="1"/>
  <c r="AB5392" i="1"/>
  <c r="AB5391" i="1"/>
  <c r="AB5390" i="1"/>
  <c r="AB5389" i="1"/>
  <c r="AB5388" i="1"/>
  <c r="AB5387" i="1"/>
  <c r="AB5386" i="1"/>
  <c r="AB5385" i="1"/>
  <c r="AB5384" i="1"/>
  <c r="AB5383" i="1"/>
  <c r="AB5382" i="1"/>
  <c r="AB5381" i="1"/>
  <c r="AB5380" i="1"/>
  <c r="AB5379" i="1"/>
  <c r="AB5378" i="1"/>
  <c r="AB5377" i="1"/>
  <c r="AB5376" i="1"/>
  <c r="AB5375" i="1"/>
  <c r="AB5374" i="1"/>
  <c r="AB5373" i="1"/>
  <c r="AB5372" i="1"/>
  <c r="AB5371" i="1"/>
  <c r="AB5370" i="1"/>
  <c r="AB5369" i="1"/>
  <c r="AB5368" i="1"/>
  <c r="AB5367" i="1"/>
  <c r="AB5366" i="1"/>
  <c r="AB5365" i="1"/>
  <c r="AB5364" i="1"/>
  <c r="AB5363" i="1"/>
  <c r="AB5362" i="1"/>
  <c r="AB5361" i="1"/>
  <c r="AB5360" i="1"/>
  <c r="AB5359" i="1"/>
  <c r="AB5358" i="1"/>
  <c r="AB5357" i="1"/>
  <c r="AB5356" i="1"/>
  <c r="AB5355" i="1"/>
  <c r="AB5354" i="1"/>
  <c r="AB5353" i="1"/>
  <c r="AB5352" i="1"/>
  <c r="AB5351" i="1"/>
  <c r="AB5350" i="1"/>
  <c r="AB5349" i="1"/>
  <c r="AB5348" i="1"/>
  <c r="AB5347" i="1"/>
  <c r="AB5346" i="1"/>
  <c r="AB5345" i="1"/>
  <c r="AB5344" i="1"/>
  <c r="AB5343" i="1"/>
  <c r="AB5342" i="1"/>
  <c r="AB5341" i="1"/>
  <c r="AB5340" i="1"/>
  <c r="AB5339" i="1"/>
  <c r="AB5338" i="1"/>
  <c r="AB5337" i="1"/>
  <c r="AB5336" i="1"/>
  <c r="AB5335" i="1"/>
  <c r="AB5334" i="1"/>
  <c r="AB5333" i="1"/>
  <c r="AB5332" i="1"/>
  <c r="AB5331" i="1"/>
  <c r="AB5330" i="1"/>
  <c r="AB5329" i="1"/>
  <c r="AB5328" i="1"/>
  <c r="AB5327" i="1"/>
  <c r="AB5326" i="1"/>
  <c r="AB5325" i="1"/>
  <c r="AB5324" i="1"/>
  <c r="AB5323" i="1"/>
  <c r="AB5322" i="1"/>
  <c r="AB5321" i="1"/>
  <c r="AB5320" i="1"/>
  <c r="AB5319" i="1"/>
  <c r="AB5318" i="1"/>
  <c r="AB5317" i="1"/>
  <c r="AB5316" i="1"/>
  <c r="AB5315" i="1"/>
  <c r="AB5314" i="1"/>
  <c r="AB5313" i="1"/>
  <c r="AB5312" i="1"/>
  <c r="AB5311" i="1"/>
  <c r="AB5310" i="1"/>
  <c r="AB5309" i="1"/>
  <c r="AB5308" i="1"/>
  <c r="AB5307" i="1"/>
  <c r="AB5306" i="1"/>
  <c r="AB5305" i="1"/>
  <c r="AB5304" i="1"/>
  <c r="AB5303" i="1"/>
  <c r="AB5302" i="1"/>
  <c r="AB5301" i="1"/>
  <c r="AB5300" i="1"/>
  <c r="AB5299" i="1"/>
  <c r="AB5298" i="1"/>
  <c r="AB5297" i="1"/>
  <c r="AB5296" i="1"/>
  <c r="AB5295" i="1"/>
  <c r="AB5294" i="1"/>
  <c r="AB5293" i="1"/>
  <c r="AB5292" i="1"/>
  <c r="AB5291" i="1"/>
  <c r="AB5290" i="1"/>
  <c r="AB5289" i="1"/>
  <c r="AB5288" i="1"/>
  <c r="AB5287" i="1"/>
  <c r="AB5286" i="1"/>
  <c r="AB5285" i="1"/>
  <c r="AB5284" i="1"/>
  <c r="AB5283" i="1"/>
  <c r="AB5282" i="1"/>
  <c r="AB5281" i="1"/>
  <c r="AB5280" i="1"/>
  <c r="AB5279" i="1"/>
  <c r="AB5278" i="1"/>
  <c r="AB5277" i="1"/>
  <c r="AB5276" i="1"/>
  <c r="AB5275" i="1"/>
  <c r="AB5274" i="1"/>
  <c r="AB5273" i="1"/>
  <c r="AB5272" i="1"/>
  <c r="AB5271" i="1"/>
  <c r="AB5270" i="1"/>
  <c r="AB5269" i="1"/>
  <c r="AB5268" i="1"/>
  <c r="AB5267" i="1"/>
  <c r="AB5266" i="1"/>
  <c r="AB5265" i="1"/>
  <c r="AB5264" i="1"/>
  <c r="AB5263" i="1"/>
  <c r="AB5262" i="1"/>
  <c r="AB5261" i="1"/>
  <c r="AB5260" i="1"/>
  <c r="AB5259" i="1"/>
  <c r="AB5258" i="1"/>
  <c r="AB5257" i="1"/>
  <c r="AB5256" i="1"/>
  <c r="AB5255" i="1"/>
  <c r="AB5254" i="1"/>
  <c r="AB5253" i="1"/>
  <c r="AB5252" i="1"/>
  <c r="AB5251" i="1"/>
  <c r="AB5250" i="1"/>
  <c r="AB5249" i="1"/>
  <c r="AB5248" i="1"/>
  <c r="AB5247" i="1"/>
  <c r="AB5246" i="1"/>
  <c r="AB5245" i="1"/>
  <c r="AB5244" i="1"/>
  <c r="AB5243" i="1"/>
  <c r="AB5242" i="1"/>
  <c r="AB5241" i="1"/>
  <c r="AB5240" i="1"/>
  <c r="AB5239" i="1"/>
  <c r="AB5238" i="1"/>
  <c r="AB5237" i="1"/>
  <c r="AB5236" i="1"/>
  <c r="AB5235" i="1"/>
  <c r="AB5234" i="1"/>
  <c r="AB5233" i="1"/>
  <c r="AB5232" i="1"/>
  <c r="AB5231" i="1"/>
  <c r="AB5230" i="1"/>
  <c r="AB5229" i="1"/>
  <c r="AB5228" i="1"/>
  <c r="AB5227" i="1"/>
  <c r="AB5226" i="1"/>
  <c r="AB5225" i="1"/>
  <c r="AB5224" i="1"/>
  <c r="AB5223" i="1"/>
  <c r="AB5222" i="1"/>
  <c r="AB5221" i="1"/>
  <c r="AB5220" i="1"/>
  <c r="AB5219" i="1"/>
  <c r="AB5218" i="1"/>
  <c r="AB5217" i="1"/>
  <c r="AB5216" i="1"/>
  <c r="AB5215" i="1"/>
  <c r="AB5214" i="1"/>
  <c r="AB5213" i="1"/>
  <c r="AB5212" i="1"/>
  <c r="AB5211" i="1"/>
  <c r="AB5210" i="1"/>
  <c r="AB5209" i="1"/>
  <c r="AB5208" i="1"/>
  <c r="AB5207" i="1"/>
  <c r="AB5206" i="1"/>
  <c r="AB5205" i="1"/>
  <c r="AB5204" i="1"/>
  <c r="AB5203" i="1"/>
  <c r="AB5202" i="1"/>
  <c r="AB5201" i="1"/>
  <c r="AB5200" i="1"/>
  <c r="AB5199" i="1"/>
  <c r="AB5198" i="1"/>
  <c r="AB5197" i="1"/>
  <c r="AB5196" i="1"/>
  <c r="AB5195" i="1"/>
  <c r="AB5194" i="1"/>
  <c r="AB5193" i="1"/>
  <c r="AB5192" i="1"/>
  <c r="AB5191" i="1"/>
  <c r="AB5190" i="1"/>
  <c r="AB5189" i="1"/>
  <c r="AB5188" i="1"/>
  <c r="AB5187" i="1"/>
  <c r="AB5186" i="1"/>
  <c r="AB5185" i="1"/>
  <c r="AB5184" i="1"/>
  <c r="AB5183" i="1"/>
  <c r="AB5182" i="1"/>
  <c r="AB5181" i="1"/>
  <c r="AB5180" i="1"/>
  <c r="AB5179" i="1"/>
  <c r="AB5178" i="1"/>
  <c r="AB5177" i="1"/>
  <c r="AB5176" i="1"/>
  <c r="AB5175" i="1"/>
  <c r="AB5174" i="1"/>
  <c r="AB5173" i="1"/>
  <c r="AB5172" i="1"/>
  <c r="AB5171" i="1"/>
  <c r="AB5170" i="1"/>
  <c r="AB5169" i="1"/>
  <c r="AB5168" i="1"/>
  <c r="AB5167" i="1"/>
  <c r="AB5166" i="1"/>
  <c r="AB5165" i="1"/>
  <c r="AB5164" i="1"/>
  <c r="AB5163" i="1"/>
  <c r="AB5162" i="1"/>
  <c r="AB5161" i="1"/>
  <c r="AB5160" i="1"/>
  <c r="AB5159" i="1"/>
  <c r="AB5158" i="1"/>
  <c r="AB5157" i="1"/>
  <c r="AB5156" i="1"/>
  <c r="AB5155" i="1"/>
  <c r="AB5154" i="1"/>
  <c r="AB5153" i="1"/>
  <c r="AB5152" i="1"/>
  <c r="AB5151" i="1"/>
  <c r="AB5150" i="1"/>
  <c r="AB5149" i="1"/>
  <c r="AB5148" i="1"/>
  <c r="AB5147" i="1"/>
  <c r="AB5146" i="1"/>
  <c r="AB5145" i="1"/>
  <c r="AB5144" i="1"/>
  <c r="AB5143" i="1"/>
  <c r="AB5142" i="1"/>
  <c r="AB5141" i="1"/>
  <c r="AB5140" i="1"/>
  <c r="AB5139" i="1"/>
  <c r="AB5138" i="1"/>
  <c r="AB5137" i="1"/>
  <c r="AB5136" i="1"/>
  <c r="AB5135" i="1"/>
  <c r="AB5134" i="1"/>
  <c r="AB5133" i="1"/>
  <c r="AB5132" i="1"/>
  <c r="AB5131" i="1"/>
  <c r="AB5130" i="1"/>
  <c r="AB5129" i="1"/>
  <c r="AB5128" i="1"/>
  <c r="AB5127" i="1"/>
  <c r="AB5126" i="1"/>
  <c r="AB5125" i="1"/>
  <c r="AB5124" i="1"/>
  <c r="AB5123" i="1"/>
  <c r="AB5122" i="1"/>
  <c r="AB5121" i="1"/>
  <c r="AB5120" i="1"/>
  <c r="AB5119" i="1"/>
  <c r="AB5118" i="1"/>
  <c r="AB5117" i="1"/>
  <c r="AB5116" i="1"/>
  <c r="AB5115" i="1"/>
  <c r="AB5114" i="1"/>
  <c r="AB5113" i="1"/>
  <c r="AB5112" i="1"/>
  <c r="AB5111" i="1"/>
  <c r="AB5110" i="1"/>
  <c r="AB5109" i="1"/>
  <c r="AB5108" i="1"/>
  <c r="AB5107" i="1"/>
  <c r="AB5106" i="1"/>
  <c r="AB5105" i="1"/>
  <c r="AB5104" i="1"/>
  <c r="AB5103" i="1"/>
  <c r="AB5102" i="1"/>
  <c r="AB5101" i="1"/>
  <c r="AB5100" i="1"/>
  <c r="AB5099" i="1"/>
  <c r="AB5098" i="1"/>
  <c r="AB5097" i="1"/>
  <c r="AB5096" i="1"/>
  <c r="AB5095" i="1"/>
  <c r="AB5094" i="1"/>
  <c r="AB5093" i="1"/>
  <c r="AB5092" i="1"/>
  <c r="AB5091" i="1"/>
  <c r="AB5090" i="1"/>
  <c r="AB5089" i="1"/>
  <c r="AB5088" i="1"/>
  <c r="AB5087" i="1"/>
  <c r="AB5086" i="1"/>
  <c r="AB5085" i="1"/>
  <c r="AB5084" i="1"/>
  <c r="AB5083" i="1"/>
  <c r="AB5082" i="1"/>
  <c r="AB5081" i="1"/>
  <c r="AB5080" i="1"/>
  <c r="AB5079" i="1"/>
  <c r="AB5078" i="1"/>
  <c r="AB5077" i="1"/>
  <c r="AB5076" i="1"/>
  <c r="AB5075" i="1"/>
  <c r="AB5074" i="1"/>
  <c r="AB5073" i="1"/>
  <c r="AB5072" i="1"/>
  <c r="AB5071" i="1"/>
  <c r="AB5070" i="1"/>
  <c r="AB5069" i="1"/>
  <c r="AB5068" i="1"/>
  <c r="AB5067" i="1"/>
  <c r="AB5066" i="1"/>
  <c r="AB5065" i="1"/>
  <c r="AB5064" i="1"/>
  <c r="AB5063" i="1"/>
  <c r="AB5062" i="1"/>
  <c r="AB5061" i="1"/>
  <c r="AB5060" i="1"/>
  <c r="AB5059" i="1"/>
  <c r="AB5058" i="1"/>
  <c r="AB5057" i="1"/>
  <c r="AB5056" i="1"/>
  <c r="AB5055" i="1"/>
  <c r="AB5054" i="1"/>
  <c r="AB5053" i="1"/>
  <c r="AB5052" i="1"/>
  <c r="AB5051" i="1"/>
  <c r="AB5050" i="1"/>
  <c r="AB5049" i="1"/>
  <c r="AB5048" i="1"/>
  <c r="AB5047" i="1"/>
  <c r="AB5046" i="1"/>
  <c r="AB5045" i="1"/>
  <c r="AB5044" i="1"/>
  <c r="AB5043" i="1"/>
  <c r="AB5042" i="1"/>
  <c r="AB5041" i="1"/>
  <c r="AB5040" i="1"/>
  <c r="AB5039" i="1"/>
  <c r="AB5038" i="1"/>
  <c r="AB5037" i="1"/>
  <c r="AB5036" i="1"/>
  <c r="AB5035" i="1"/>
  <c r="AB5034" i="1"/>
  <c r="AB5033" i="1"/>
  <c r="AB5032" i="1"/>
  <c r="AB5031" i="1"/>
  <c r="AB5030" i="1"/>
  <c r="AB5029" i="1"/>
  <c r="AB5028" i="1"/>
  <c r="AB5027" i="1"/>
  <c r="AB5026" i="1"/>
  <c r="AB5025" i="1"/>
  <c r="AB5024" i="1"/>
  <c r="AB5023" i="1"/>
  <c r="AB5022" i="1"/>
  <c r="AB5021" i="1"/>
  <c r="AB5020" i="1"/>
  <c r="AB5019" i="1"/>
  <c r="AB5018" i="1"/>
  <c r="AB5017" i="1"/>
  <c r="AB5016" i="1"/>
  <c r="AB5015" i="1"/>
  <c r="AB5014" i="1"/>
  <c r="AB5013" i="1"/>
  <c r="AB5012" i="1"/>
  <c r="AB5011" i="1"/>
  <c r="AB5010" i="1"/>
  <c r="AB5009" i="1"/>
  <c r="AB5008" i="1"/>
  <c r="AB5007" i="1"/>
  <c r="AB5006" i="1"/>
  <c r="AB5005" i="1"/>
  <c r="AB5004" i="1"/>
  <c r="AB5003" i="1"/>
  <c r="AB5002" i="1"/>
  <c r="AB5001" i="1"/>
  <c r="AB5000" i="1"/>
  <c r="AB4999" i="1"/>
  <c r="AB4998" i="1"/>
  <c r="AB4997" i="1"/>
  <c r="AB4996" i="1"/>
  <c r="AB4995" i="1"/>
  <c r="AB4994" i="1"/>
  <c r="AB4993" i="1"/>
  <c r="AB4992" i="1"/>
  <c r="AB4991" i="1"/>
  <c r="AB4990" i="1"/>
  <c r="AB4989" i="1"/>
  <c r="AB4988" i="1"/>
  <c r="AB4987" i="1"/>
  <c r="AB4986" i="1"/>
  <c r="AB4985" i="1"/>
  <c r="AB4984" i="1"/>
  <c r="AB4983" i="1"/>
  <c r="AB4982" i="1"/>
  <c r="AB4981" i="1"/>
  <c r="AB4980" i="1"/>
  <c r="AB4979" i="1"/>
  <c r="AB4978" i="1"/>
  <c r="AB4977" i="1"/>
  <c r="AB4976" i="1"/>
  <c r="AB4975" i="1"/>
  <c r="AB4974" i="1"/>
  <c r="AB4973" i="1"/>
  <c r="AB4972" i="1"/>
  <c r="AB4971" i="1"/>
  <c r="AB4970" i="1"/>
  <c r="AB4969" i="1"/>
  <c r="AB4968" i="1"/>
  <c r="AB4967" i="1"/>
  <c r="AB4966" i="1"/>
  <c r="AB4965" i="1"/>
  <c r="AB4964" i="1"/>
  <c r="AB4963" i="1"/>
  <c r="AB4962" i="1"/>
  <c r="AB4961" i="1"/>
  <c r="AB4960" i="1"/>
  <c r="AB4959" i="1"/>
  <c r="AB4958" i="1"/>
  <c r="AB4957" i="1"/>
  <c r="AB4956" i="1"/>
  <c r="AB4955" i="1"/>
  <c r="AB4954" i="1"/>
  <c r="AB4953" i="1"/>
  <c r="AB4952" i="1"/>
  <c r="AB4951" i="1"/>
  <c r="AB4950" i="1"/>
  <c r="AB4949" i="1"/>
  <c r="AB4948" i="1"/>
  <c r="AB4947" i="1"/>
  <c r="AB4946" i="1"/>
  <c r="AB4945" i="1"/>
  <c r="AB4944" i="1"/>
  <c r="AB4943" i="1"/>
  <c r="AB4942" i="1"/>
  <c r="AB4941" i="1"/>
  <c r="AB4940" i="1"/>
  <c r="AB4939" i="1"/>
  <c r="AB4938" i="1"/>
  <c r="AB4937" i="1"/>
  <c r="AB4936" i="1"/>
  <c r="AB4935" i="1"/>
  <c r="AB4934" i="1"/>
  <c r="AB4933" i="1"/>
  <c r="AB4932" i="1"/>
  <c r="AB4931" i="1"/>
  <c r="AB4930" i="1"/>
  <c r="AB4929" i="1"/>
  <c r="AB4928" i="1"/>
  <c r="AB4927" i="1"/>
  <c r="AB4926" i="1"/>
  <c r="AB4925" i="1"/>
  <c r="AB4924" i="1"/>
  <c r="AB4923" i="1"/>
  <c r="AB4922" i="1"/>
  <c r="AB4921" i="1"/>
  <c r="AB4920" i="1"/>
  <c r="AB4919" i="1"/>
  <c r="AB4918" i="1"/>
  <c r="AB4917" i="1"/>
  <c r="AB4916" i="1"/>
  <c r="AB4915" i="1"/>
  <c r="AB4914" i="1"/>
  <c r="AB4913" i="1"/>
  <c r="AB4912" i="1"/>
  <c r="AB4911" i="1"/>
  <c r="AB4910" i="1"/>
  <c r="AB4909" i="1"/>
  <c r="AB4908" i="1"/>
  <c r="AB4907" i="1"/>
  <c r="AB4906" i="1"/>
  <c r="AB4905" i="1"/>
  <c r="AB4904" i="1"/>
  <c r="AB4903" i="1"/>
  <c r="AB4902" i="1"/>
  <c r="AB4901" i="1"/>
  <c r="AB4900" i="1"/>
  <c r="AB4899" i="1"/>
  <c r="AB4898" i="1"/>
  <c r="AB4897" i="1"/>
  <c r="AB4896" i="1"/>
  <c r="AB4895" i="1"/>
  <c r="AB4894" i="1"/>
  <c r="AB4893" i="1"/>
  <c r="AB4892" i="1"/>
  <c r="AB4891" i="1"/>
  <c r="AB4890" i="1"/>
  <c r="AB4889" i="1"/>
  <c r="AB4888" i="1"/>
  <c r="AB4887" i="1"/>
  <c r="AB4886" i="1"/>
  <c r="AB4885" i="1"/>
  <c r="AB4884" i="1"/>
  <c r="AB4883" i="1"/>
  <c r="AB4882" i="1"/>
  <c r="AB4881" i="1"/>
  <c r="AB4880" i="1"/>
  <c r="AB4879" i="1"/>
  <c r="AB4878" i="1"/>
  <c r="AB4877" i="1"/>
  <c r="AB4876" i="1"/>
  <c r="AB4875" i="1"/>
  <c r="AB4874" i="1"/>
  <c r="AB4873" i="1"/>
  <c r="AB4872" i="1"/>
  <c r="AB4871" i="1"/>
  <c r="AB4870" i="1"/>
  <c r="AB4869" i="1"/>
  <c r="AB4868" i="1"/>
  <c r="AB4867" i="1"/>
  <c r="AB4866" i="1"/>
  <c r="AB4865" i="1"/>
  <c r="AB4864" i="1"/>
  <c r="AB4863" i="1"/>
  <c r="AB4862" i="1"/>
  <c r="AB4861" i="1"/>
  <c r="AB4860" i="1"/>
  <c r="AB4859" i="1"/>
  <c r="AB4858" i="1"/>
  <c r="AB4857" i="1"/>
  <c r="AB4856" i="1"/>
  <c r="AB4855" i="1"/>
  <c r="AB4854" i="1"/>
  <c r="AB4853" i="1"/>
  <c r="AB4852" i="1"/>
  <c r="AB4851" i="1"/>
  <c r="AB4850" i="1"/>
  <c r="AB4849" i="1"/>
  <c r="AB4848" i="1"/>
  <c r="AB4847" i="1"/>
  <c r="AB4846" i="1"/>
  <c r="AB4845" i="1"/>
  <c r="AB4844" i="1"/>
  <c r="AB4843" i="1"/>
  <c r="AB4842" i="1"/>
  <c r="AB4841" i="1"/>
  <c r="AB4840" i="1"/>
  <c r="AB4839" i="1"/>
  <c r="AB4838" i="1"/>
  <c r="AB4837" i="1"/>
  <c r="AB4836" i="1"/>
  <c r="AB4835" i="1"/>
  <c r="AB4834" i="1"/>
  <c r="AB4833" i="1"/>
  <c r="AB4832" i="1"/>
  <c r="AB4831" i="1"/>
  <c r="AB4830" i="1"/>
  <c r="AB4829" i="1"/>
  <c r="AB4828" i="1"/>
  <c r="AB4827" i="1"/>
  <c r="AB4826" i="1"/>
  <c r="AB4825" i="1"/>
  <c r="AB4824" i="1"/>
  <c r="AB4823" i="1"/>
  <c r="AB4822" i="1"/>
  <c r="AB4821" i="1"/>
  <c r="AB4820" i="1"/>
  <c r="AB4819" i="1"/>
  <c r="AB4818" i="1"/>
  <c r="AB4817" i="1"/>
  <c r="AB4816" i="1"/>
  <c r="AB4815" i="1"/>
  <c r="AB4814" i="1"/>
  <c r="AB4813" i="1"/>
  <c r="AB4812" i="1"/>
  <c r="AB4811" i="1"/>
  <c r="AB4810" i="1"/>
  <c r="AB4809" i="1"/>
  <c r="AB4808" i="1"/>
  <c r="AB4807" i="1"/>
  <c r="AB4806" i="1"/>
  <c r="AB4805" i="1"/>
  <c r="AB4804" i="1"/>
  <c r="AB4803" i="1"/>
  <c r="AB4802" i="1"/>
  <c r="AB4801" i="1"/>
  <c r="AB4800" i="1"/>
  <c r="AB4799" i="1"/>
  <c r="AB4798" i="1"/>
  <c r="AB4797" i="1"/>
  <c r="AB4796" i="1"/>
  <c r="AB4795" i="1"/>
  <c r="AB4794" i="1"/>
  <c r="AB4793" i="1"/>
  <c r="AB4792" i="1"/>
  <c r="AB4791" i="1"/>
  <c r="AB4790" i="1"/>
  <c r="AB4789" i="1"/>
  <c r="AB4788" i="1"/>
  <c r="AB4787" i="1"/>
  <c r="AB4786" i="1"/>
  <c r="AB4785" i="1"/>
  <c r="AB4784" i="1"/>
  <c r="AB4783" i="1"/>
  <c r="AB4782" i="1"/>
  <c r="AB4781" i="1"/>
  <c r="AB4780" i="1"/>
  <c r="AB4779" i="1"/>
  <c r="AB4778" i="1"/>
  <c r="AB4777" i="1"/>
  <c r="AB4776" i="1"/>
  <c r="AB4775" i="1"/>
  <c r="AB4774" i="1"/>
  <c r="AB4773" i="1"/>
  <c r="AB4772" i="1"/>
  <c r="AB4771" i="1"/>
  <c r="AB4770" i="1"/>
  <c r="AB4769" i="1"/>
  <c r="AB4768" i="1"/>
  <c r="AB4767" i="1"/>
  <c r="AB4766" i="1"/>
  <c r="AB4765" i="1"/>
  <c r="AB4764" i="1"/>
  <c r="AB4763" i="1"/>
  <c r="AB4762" i="1"/>
  <c r="AB4761" i="1"/>
  <c r="AB4760" i="1"/>
  <c r="AB4759" i="1"/>
  <c r="AB4758" i="1"/>
  <c r="AB4757" i="1"/>
  <c r="AB4756" i="1"/>
  <c r="AB4755" i="1"/>
  <c r="AB4754" i="1"/>
  <c r="AB4753" i="1"/>
  <c r="AB4752" i="1"/>
  <c r="AB4751" i="1"/>
  <c r="AB4750" i="1"/>
  <c r="AB4749" i="1"/>
  <c r="AB4748" i="1"/>
  <c r="AB4747" i="1"/>
  <c r="AB4746" i="1"/>
  <c r="AB4745" i="1"/>
  <c r="AB4744" i="1"/>
  <c r="AB4743" i="1"/>
  <c r="AB4742" i="1"/>
  <c r="AB4741" i="1"/>
  <c r="AB4740" i="1"/>
  <c r="AB4739" i="1"/>
  <c r="AB4738" i="1"/>
  <c r="AB4737" i="1"/>
  <c r="AB4736" i="1"/>
  <c r="AB4735" i="1"/>
  <c r="AB4734" i="1"/>
  <c r="AB4733" i="1"/>
  <c r="AB4732" i="1"/>
  <c r="AB4731" i="1"/>
  <c r="AB4730" i="1"/>
  <c r="AB4729" i="1"/>
  <c r="AB4728" i="1"/>
  <c r="AB4727" i="1"/>
  <c r="AB4726" i="1"/>
  <c r="AB4725" i="1"/>
  <c r="AB4724" i="1"/>
  <c r="AB4723" i="1"/>
  <c r="AB4722" i="1"/>
  <c r="AB4721" i="1"/>
  <c r="AB4720" i="1"/>
  <c r="AB4719" i="1"/>
  <c r="AB4718" i="1"/>
  <c r="AB4717" i="1"/>
  <c r="AB4716" i="1"/>
  <c r="AB4715" i="1"/>
  <c r="AB4714" i="1"/>
  <c r="AB4713" i="1"/>
  <c r="AB4712" i="1"/>
  <c r="AB4711" i="1"/>
  <c r="AB4710" i="1"/>
  <c r="AB4709" i="1"/>
  <c r="AB4708" i="1"/>
  <c r="AB4707" i="1"/>
  <c r="AB4706" i="1"/>
  <c r="AB4705" i="1"/>
  <c r="AB4704" i="1"/>
  <c r="AB4703" i="1"/>
  <c r="AB4702" i="1"/>
  <c r="AB4701" i="1"/>
  <c r="AB4700" i="1"/>
  <c r="AB4699" i="1"/>
  <c r="AB4698" i="1"/>
  <c r="AB4697" i="1"/>
  <c r="AB4696" i="1"/>
  <c r="AB4695" i="1"/>
  <c r="AB4694" i="1"/>
  <c r="AB4693" i="1"/>
  <c r="AB4692" i="1"/>
  <c r="AB4691" i="1"/>
  <c r="AB4690" i="1"/>
  <c r="AB4689" i="1"/>
  <c r="AB4688" i="1"/>
  <c r="AB4687" i="1"/>
  <c r="AB4686" i="1"/>
  <c r="AB4685" i="1"/>
  <c r="AB4684" i="1"/>
  <c r="AB4683" i="1"/>
  <c r="AB4682" i="1"/>
  <c r="AB4681" i="1"/>
  <c r="AB4680" i="1"/>
  <c r="AB4679" i="1"/>
  <c r="AB4678" i="1"/>
  <c r="AB4677" i="1"/>
  <c r="AB4676" i="1"/>
  <c r="AB4675" i="1"/>
  <c r="AB4674" i="1"/>
  <c r="AB4673" i="1"/>
  <c r="AB4672" i="1"/>
  <c r="AB4671" i="1"/>
  <c r="AB4670" i="1"/>
  <c r="AB4669" i="1"/>
  <c r="AB4668" i="1"/>
  <c r="AB4667" i="1"/>
  <c r="AB4666" i="1"/>
  <c r="AB4665" i="1"/>
  <c r="AB4664" i="1"/>
  <c r="AB4663" i="1"/>
  <c r="AB4662" i="1"/>
  <c r="AB4661" i="1"/>
  <c r="AB4660" i="1"/>
  <c r="AB4659" i="1"/>
  <c r="AB4658" i="1"/>
  <c r="AB4657" i="1"/>
  <c r="AB4656" i="1"/>
  <c r="AB4655" i="1"/>
  <c r="AB4654" i="1"/>
  <c r="AB4653" i="1"/>
  <c r="AB4652" i="1"/>
  <c r="AB4651" i="1"/>
  <c r="AB4650" i="1"/>
  <c r="AB4649" i="1"/>
  <c r="AB4648" i="1"/>
  <c r="AB4647" i="1"/>
  <c r="AB4646" i="1"/>
  <c r="AB4645" i="1"/>
  <c r="AB4644" i="1"/>
  <c r="AB4643" i="1"/>
  <c r="AB4642" i="1"/>
  <c r="AB4641" i="1"/>
  <c r="AB4640" i="1"/>
  <c r="AB4639" i="1"/>
  <c r="AB4638" i="1"/>
  <c r="AB4637" i="1"/>
  <c r="AB4636" i="1"/>
  <c r="AB4635" i="1"/>
  <c r="AB4634" i="1"/>
  <c r="AB4633" i="1"/>
  <c r="AB4632" i="1"/>
  <c r="AB4631" i="1"/>
  <c r="AB4630" i="1"/>
  <c r="AB4629" i="1"/>
  <c r="AB4628" i="1"/>
  <c r="AB4627" i="1"/>
  <c r="AB4626" i="1"/>
  <c r="AB4625" i="1"/>
  <c r="AB4624" i="1"/>
  <c r="AB4623" i="1"/>
  <c r="AB4622" i="1"/>
  <c r="AB4621" i="1"/>
  <c r="AB4620" i="1"/>
  <c r="AB4619" i="1"/>
  <c r="AB4618" i="1"/>
  <c r="AB4617" i="1"/>
  <c r="AB4616" i="1"/>
  <c r="AB4615" i="1"/>
  <c r="AB4614" i="1"/>
  <c r="AB4613" i="1"/>
  <c r="AB4612" i="1"/>
  <c r="AB4611" i="1"/>
  <c r="AB4610" i="1"/>
  <c r="AB4609" i="1"/>
  <c r="AB4608" i="1"/>
  <c r="AB4607" i="1"/>
  <c r="AB4606" i="1"/>
  <c r="AB4605" i="1"/>
  <c r="AB4604" i="1"/>
  <c r="AB4603" i="1"/>
  <c r="AB4602" i="1"/>
  <c r="AB4601" i="1"/>
  <c r="AB4600" i="1"/>
  <c r="AB4599" i="1"/>
  <c r="AB4598" i="1"/>
  <c r="AB4597" i="1"/>
  <c r="AB4596" i="1"/>
  <c r="AB4595" i="1"/>
  <c r="AB4594" i="1"/>
  <c r="AB4593" i="1"/>
  <c r="AB4592" i="1"/>
  <c r="AB4591" i="1"/>
  <c r="AB4590" i="1"/>
  <c r="AB4589" i="1"/>
  <c r="AB4588" i="1"/>
  <c r="AB4587" i="1"/>
  <c r="AB4586" i="1"/>
  <c r="AB4585" i="1"/>
  <c r="AB4584" i="1"/>
  <c r="AB4583" i="1"/>
  <c r="AB4582" i="1"/>
  <c r="AB4581" i="1"/>
  <c r="AB4580" i="1"/>
  <c r="AB4579" i="1"/>
  <c r="AB4578" i="1"/>
  <c r="AB4577" i="1"/>
  <c r="AB4576" i="1"/>
  <c r="AB4575" i="1"/>
  <c r="AB4574" i="1"/>
  <c r="AB4573" i="1"/>
  <c r="AB4572" i="1"/>
  <c r="AB4571" i="1"/>
  <c r="AB4570" i="1"/>
  <c r="AB4569" i="1"/>
  <c r="AB4568" i="1"/>
  <c r="AB4567" i="1"/>
  <c r="AB4566" i="1"/>
  <c r="AB4565" i="1"/>
  <c r="AB4564" i="1"/>
  <c r="AB4563" i="1"/>
  <c r="AB4562" i="1"/>
  <c r="AB4561" i="1"/>
  <c r="AB4560" i="1"/>
  <c r="AB4559" i="1"/>
  <c r="AB4558" i="1"/>
  <c r="AB4557" i="1"/>
  <c r="AB4556" i="1"/>
  <c r="AB4555" i="1"/>
  <c r="AB4554" i="1"/>
  <c r="AB4553" i="1"/>
  <c r="AB4552" i="1"/>
  <c r="AB4551" i="1"/>
  <c r="AB4550" i="1"/>
  <c r="AB4549" i="1"/>
  <c r="AB4548" i="1"/>
  <c r="AB4547" i="1"/>
  <c r="AB4546" i="1"/>
  <c r="AB4545" i="1"/>
  <c r="AB4544" i="1"/>
  <c r="AB4543" i="1"/>
  <c r="AB4542" i="1"/>
  <c r="AB4541" i="1"/>
  <c r="AB4540" i="1"/>
  <c r="AB4539" i="1"/>
  <c r="AB4538" i="1"/>
  <c r="AB4537" i="1"/>
  <c r="AB4536" i="1"/>
  <c r="AB4535" i="1"/>
  <c r="AB4534" i="1"/>
  <c r="AB4533" i="1"/>
  <c r="AB4532" i="1"/>
  <c r="AB4531" i="1"/>
  <c r="AB4530" i="1"/>
  <c r="AB4529" i="1"/>
  <c r="AB4528" i="1"/>
  <c r="AB4527" i="1"/>
  <c r="AB4526" i="1"/>
  <c r="AB4525" i="1"/>
  <c r="AB4524" i="1"/>
  <c r="AB4523" i="1"/>
  <c r="AB4522" i="1"/>
  <c r="AB4521" i="1"/>
  <c r="AB4520" i="1"/>
  <c r="AB4519" i="1"/>
  <c r="AB4518" i="1"/>
  <c r="AB4517" i="1"/>
  <c r="AB4516" i="1"/>
  <c r="AB4515" i="1"/>
  <c r="AB4514" i="1"/>
  <c r="AB4513" i="1"/>
  <c r="AB4512" i="1"/>
  <c r="AB4511" i="1"/>
  <c r="AB4510" i="1"/>
  <c r="AB4509" i="1"/>
  <c r="AB4508" i="1"/>
  <c r="AB4507" i="1"/>
  <c r="AB4506" i="1"/>
  <c r="AB4505" i="1"/>
  <c r="AB4504" i="1"/>
  <c r="AB4503" i="1"/>
  <c r="AB4502" i="1"/>
  <c r="AB4501" i="1"/>
  <c r="AB4500" i="1"/>
  <c r="AB4499" i="1"/>
  <c r="AB4498" i="1"/>
  <c r="AB4497" i="1"/>
  <c r="AB4496" i="1"/>
  <c r="AB4495" i="1"/>
  <c r="AB4494" i="1"/>
  <c r="AB4493" i="1"/>
  <c r="AB4492" i="1"/>
  <c r="AB4491" i="1"/>
  <c r="AB4490" i="1"/>
  <c r="AB4489" i="1"/>
  <c r="AB4488" i="1"/>
  <c r="AB4487" i="1"/>
  <c r="AB4486" i="1"/>
  <c r="AB4485" i="1"/>
  <c r="AB4484" i="1"/>
  <c r="AB4483" i="1"/>
  <c r="AB4482" i="1"/>
  <c r="AB4481" i="1"/>
  <c r="AB4480" i="1"/>
  <c r="AB4479" i="1"/>
  <c r="AB4478" i="1"/>
  <c r="AB4477" i="1"/>
  <c r="AB4476" i="1"/>
  <c r="AB4475" i="1"/>
  <c r="AB4474" i="1"/>
  <c r="AB4473" i="1"/>
  <c r="AB4472" i="1"/>
  <c r="AB4471" i="1"/>
  <c r="AB4470" i="1"/>
  <c r="AB4469" i="1"/>
  <c r="AB4468" i="1"/>
  <c r="AB4467" i="1"/>
  <c r="AB4466" i="1"/>
  <c r="AB4465" i="1"/>
  <c r="AB4464" i="1"/>
  <c r="AB4463" i="1"/>
  <c r="AB4462" i="1"/>
  <c r="AB4461" i="1"/>
  <c r="AB4460" i="1"/>
  <c r="AB4459" i="1"/>
  <c r="AB4458" i="1"/>
  <c r="AB4457" i="1"/>
  <c r="AB4456" i="1"/>
  <c r="AB4455" i="1"/>
  <c r="AB4454" i="1"/>
  <c r="AB4453" i="1"/>
  <c r="AB4452" i="1"/>
  <c r="AB4451" i="1"/>
  <c r="AB4450" i="1"/>
  <c r="AB4449" i="1"/>
  <c r="AB4448" i="1"/>
  <c r="AB4447" i="1"/>
  <c r="AB4446" i="1"/>
  <c r="AB4445" i="1"/>
  <c r="AB4444" i="1"/>
  <c r="AB4443" i="1"/>
  <c r="AB4442" i="1"/>
  <c r="AB4441" i="1"/>
  <c r="AB4440" i="1"/>
  <c r="AB4439" i="1"/>
  <c r="AB4438" i="1"/>
  <c r="AB4437" i="1"/>
  <c r="AB4436" i="1"/>
  <c r="AB4435" i="1"/>
  <c r="AB4434" i="1"/>
  <c r="AB4433" i="1"/>
  <c r="AB4432" i="1"/>
  <c r="AB4431" i="1"/>
  <c r="AB4430" i="1"/>
  <c r="AB4429" i="1"/>
  <c r="AB4428" i="1"/>
  <c r="AB4427" i="1"/>
  <c r="AB4426" i="1"/>
  <c r="AB4425" i="1"/>
  <c r="AB4424" i="1"/>
  <c r="AB4423" i="1"/>
  <c r="AB4422" i="1"/>
  <c r="AB4421" i="1"/>
  <c r="AB4420" i="1"/>
  <c r="AB4419" i="1"/>
  <c r="AB4418" i="1"/>
  <c r="AB4417" i="1"/>
  <c r="AB4416" i="1"/>
  <c r="AB4415" i="1"/>
  <c r="AB4414" i="1"/>
  <c r="AB4413" i="1"/>
  <c r="AB4412" i="1"/>
  <c r="AB4411" i="1"/>
  <c r="AB4410" i="1"/>
  <c r="AB4409" i="1"/>
  <c r="AB4408" i="1"/>
  <c r="AB4407" i="1"/>
  <c r="AB4406" i="1"/>
  <c r="AB4405" i="1"/>
  <c r="AB4404" i="1"/>
  <c r="AB4403" i="1"/>
  <c r="AB4402" i="1"/>
  <c r="AB4401" i="1"/>
  <c r="AB4400" i="1"/>
  <c r="AB4399" i="1"/>
  <c r="AB4398" i="1"/>
  <c r="AB4397" i="1"/>
  <c r="AB4396" i="1"/>
  <c r="AB4395" i="1"/>
  <c r="AB4394" i="1"/>
  <c r="AB4393" i="1"/>
  <c r="AB4392" i="1"/>
  <c r="AB4391" i="1"/>
  <c r="AB4390" i="1"/>
  <c r="AB4389" i="1"/>
  <c r="AB4388" i="1"/>
  <c r="AB4387" i="1"/>
  <c r="AB4386" i="1"/>
  <c r="AB4385" i="1"/>
  <c r="AB4384" i="1"/>
  <c r="AB4383" i="1"/>
  <c r="AB4382" i="1"/>
  <c r="AB4381" i="1"/>
  <c r="AB4380" i="1"/>
  <c r="AB4379" i="1"/>
  <c r="AB4378" i="1"/>
  <c r="AB4377" i="1"/>
  <c r="AB4376" i="1"/>
  <c r="AB4375" i="1"/>
  <c r="AB4374" i="1"/>
  <c r="AB4373" i="1"/>
  <c r="AB4372" i="1"/>
  <c r="AB4371" i="1"/>
  <c r="AB4370" i="1"/>
  <c r="AB4369" i="1"/>
  <c r="AB4368" i="1"/>
  <c r="AB4367" i="1"/>
  <c r="AB4366" i="1"/>
  <c r="AB4365" i="1"/>
  <c r="AB4364" i="1"/>
  <c r="AB4363" i="1"/>
  <c r="AB4362" i="1"/>
  <c r="AB4361" i="1"/>
  <c r="AB4360" i="1"/>
  <c r="AB4359" i="1"/>
  <c r="AB4358" i="1"/>
  <c r="AB4357" i="1"/>
  <c r="AB4356" i="1"/>
  <c r="AB4355" i="1"/>
  <c r="AB4354" i="1"/>
  <c r="AB4353" i="1"/>
  <c r="AB4352" i="1"/>
  <c r="AB4351" i="1"/>
  <c r="AB4350" i="1"/>
  <c r="AB4349" i="1"/>
  <c r="AB4348" i="1"/>
  <c r="AB4347" i="1"/>
  <c r="AB4346" i="1"/>
  <c r="AB4345" i="1"/>
  <c r="AB4344" i="1"/>
  <c r="AB4343" i="1"/>
  <c r="AB4342" i="1"/>
  <c r="AB4341" i="1"/>
  <c r="AB4340" i="1"/>
  <c r="AB4339" i="1"/>
  <c r="AB4338" i="1"/>
  <c r="AB4337" i="1"/>
  <c r="AB4336" i="1"/>
  <c r="AB4335" i="1"/>
  <c r="AB4334" i="1"/>
  <c r="AB4333" i="1"/>
  <c r="AB4332" i="1"/>
  <c r="AB4331" i="1"/>
  <c r="AB4330" i="1"/>
  <c r="AB4329" i="1"/>
  <c r="AB4328" i="1"/>
  <c r="AB4327" i="1"/>
  <c r="AB4326" i="1"/>
  <c r="AB4325" i="1"/>
  <c r="AB4324" i="1"/>
  <c r="AB4323" i="1"/>
  <c r="AB4322" i="1"/>
  <c r="AB4321" i="1"/>
  <c r="AB4320" i="1"/>
  <c r="AB4319" i="1"/>
  <c r="AB4318" i="1"/>
  <c r="AB4317" i="1"/>
  <c r="AB4316" i="1"/>
  <c r="AB4315" i="1"/>
  <c r="AB4314" i="1"/>
  <c r="AB4313" i="1"/>
  <c r="AB4312" i="1"/>
  <c r="AB4311" i="1"/>
  <c r="AB4310" i="1"/>
  <c r="AB4309" i="1"/>
  <c r="AB4308" i="1"/>
  <c r="AB4307" i="1"/>
  <c r="AB4306" i="1"/>
  <c r="AB4305" i="1"/>
  <c r="AB4304" i="1"/>
  <c r="AB4303" i="1"/>
  <c r="AB4302" i="1"/>
  <c r="AB4301" i="1"/>
  <c r="AB4300" i="1"/>
  <c r="AB4299" i="1"/>
  <c r="AB4298" i="1"/>
  <c r="AB4297" i="1"/>
  <c r="AB4296" i="1"/>
  <c r="AB4295" i="1"/>
  <c r="AB4294" i="1"/>
  <c r="AB4293" i="1"/>
  <c r="AB4292" i="1"/>
  <c r="AB4291" i="1"/>
  <c r="AB4290" i="1"/>
  <c r="AB4289" i="1"/>
  <c r="AB4288" i="1"/>
  <c r="AB4287" i="1"/>
  <c r="AB4286" i="1"/>
  <c r="AB4285" i="1"/>
  <c r="AB4284" i="1"/>
  <c r="AB4283" i="1"/>
  <c r="AB4282" i="1"/>
  <c r="AB4281" i="1"/>
  <c r="AB4280" i="1"/>
  <c r="AB4279" i="1"/>
  <c r="AB4278" i="1"/>
  <c r="AB4277" i="1"/>
  <c r="AB4276" i="1"/>
  <c r="AB4275" i="1"/>
  <c r="AB4274" i="1"/>
  <c r="AB4273" i="1"/>
  <c r="AB4272" i="1"/>
  <c r="AB4271" i="1"/>
  <c r="AB4270" i="1"/>
  <c r="AB4269" i="1"/>
  <c r="AB4268" i="1"/>
  <c r="AB4267" i="1"/>
  <c r="AB4266" i="1"/>
  <c r="AB4265" i="1"/>
  <c r="AB4264" i="1"/>
  <c r="AB4263" i="1"/>
  <c r="AB4262" i="1"/>
  <c r="AB4261" i="1"/>
  <c r="AB4260" i="1"/>
  <c r="AB4259" i="1"/>
  <c r="AB4258" i="1"/>
  <c r="AB4257" i="1"/>
  <c r="AB4256" i="1"/>
  <c r="AB4255" i="1"/>
  <c r="AB4254" i="1"/>
  <c r="AB4253" i="1"/>
  <c r="AB4252" i="1"/>
  <c r="AB4251" i="1"/>
  <c r="AB4250" i="1"/>
  <c r="AB4249" i="1"/>
  <c r="AB4248" i="1"/>
  <c r="AB4247" i="1"/>
  <c r="AB4246" i="1"/>
  <c r="AB4245" i="1"/>
  <c r="AB4244" i="1"/>
  <c r="AB4243" i="1"/>
  <c r="AB4242" i="1"/>
  <c r="AB4241" i="1"/>
  <c r="AB4240" i="1"/>
  <c r="AB4239" i="1"/>
  <c r="AB4238" i="1"/>
  <c r="AB4237" i="1"/>
  <c r="AB4236" i="1"/>
  <c r="AB4235" i="1"/>
  <c r="AB4234" i="1"/>
  <c r="AB4233" i="1"/>
  <c r="AB4232" i="1"/>
  <c r="AB4231" i="1"/>
  <c r="AB4230" i="1"/>
  <c r="AB4229" i="1"/>
  <c r="AB4228" i="1"/>
  <c r="AB4227" i="1"/>
  <c r="AB4226" i="1"/>
  <c r="AB4225" i="1"/>
  <c r="AB4224" i="1"/>
  <c r="AB4223" i="1"/>
  <c r="AB4222" i="1"/>
  <c r="AB4221" i="1"/>
  <c r="AB4220" i="1"/>
  <c r="AB4219" i="1"/>
  <c r="AB4218" i="1"/>
  <c r="AB4217" i="1"/>
  <c r="AB4216" i="1"/>
  <c r="AB4215" i="1"/>
  <c r="AB4214" i="1"/>
  <c r="AB4213" i="1"/>
  <c r="AB4212" i="1"/>
  <c r="AB4211" i="1"/>
  <c r="AB4210" i="1"/>
  <c r="AB4209" i="1"/>
  <c r="AB4208" i="1"/>
  <c r="AB4207" i="1"/>
  <c r="AB4206" i="1"/>
  <c r="AB4205" i="1"/>
  <c r="AB4204" i="1"/>
  <c r="AB4203" i="1"/>
  <c r="AB4202" i="1"/>
  <c r="AB4201" i="1"/>
  <c r="AB4200" i="1"/>
  <c r="AB4199" i="1"/>
  <c r="AB4198" i="1"/>
  <c r="AB4197" i="1"/>
  <c r="AB4196" i="1"/>
  <c r="AB4195" i="1"/>
  <c r="AB4194" i="1"/>
  <c r="AB4193" i="1"/>
  <c r="AB4192" i="1"/>
  <c r="AB4191" i="1"/>
  <c r="AB4190" i="1"/>
  <c r="AB4189" i="1"/>
  <c r="AB4188" i="1"/>
  <c r="AB4187" i="1"/>
  <c r="AB4186" i="1"/>
  <c r="AB4185" i="1"/>
  <c r="AB4184" i="1"/>
  <c r="AB4183" i="1"/>
  <c r="AB4182" i="1"/>
  <c r="AB4181" i="1"/>
  <c r="AB4180" i="1"/>
  <c r="AB4179" i="1"/>
  <c r="AB4178" i="1"/>
  <c r="AB4177" i="1"/>
  <c r="AB4176" i="1"/>
  <c r="AB4175" i="1"/>
  <c r="AB4174" i="1"/>
  <c r="AB4173" i="1"/>
  <c r="AB4172" i="1"/>
  <c r="AB4171" i="1"/>
  <c r="AB4170" i="1"/>
  <c r="AB4169" i="1"/>
  <c r="AB4168" i="1"/>
  <c r="AB4167" i="1"/>
  <c r="AB4166" i="1"/>
  <c r="AB4165" i="1"/>
  <c r="AB4164" i="1"/>
  <c r="AB4163" i="1"/>
  <c r="AB4162" i="1"/>
  <c r="AB4161" i="1"/>
  <c r="AB4160" i="1"/>
  <c r="AB4159" i="1"/>
  <c r="AB4158" i="1"/>
  <c r="AB4157" i="1"/>
  <c r="AB4156" i="1"/>
  <c r="AB4155" i="1"/>
  <c r="AB4154" i="1"/>
  <c r="AB4153" i="1"/>
  <c r="AB4152" i="1"/>
  <c r="AB4151" i="1"/>
  <c r="AB4150" i="1"/>
  <c r="AB4149" i="1"/>
  <c r="AB4148" i="1"/>
  <c r="AB4147" i="1"/>
  <c r="AB4146" i="1"/>
  <c r="AB4145" i="1"/>
  <c r="AB4144" i="1"/>
  <c r="AB4143" i="1"/>
  <c r="AB4142" i="1"/>
  <c r="AB4141" i="1"/>
  <c r="AB4140" i="1"/>
  <c r="AB4139" i="1"/>
  <c r="AB4138" i="1"/>
  <c r="AB4137" i="1"/>
  <c r="AB4136" i="1"/>
  <c r="AB4135" i="1"/>
  <c r="AB4134" i="1"/>
  <c r="AB4133" i="1"/>
  <c r="AB4132" i="1"/>
  <c r="AB4131" i="1"/>
  <c r="AB4130" i="1"/>
  <c r="AB4129" i="1"/>
  <c r="AB4128" i="1"/>
  <c r="AB4127" i="1"/>
  <c r="AB4126" i="1"/>
  <c r="AB4125" i="1"/>
  <c r="AB4124" i="1"/>
  <c r="AB4123" i="1"/>
  <c r="AB4122" i="1"/>
  <c r="AB4121" i="1"/>
  <c r="AB4120" i="1"/>
  <c r="AB4119" i="1"/>
  <c r="AB4118" i="1"/>
  <c r="AB4117" i="1"/>
  <c r="AB4116" i="1"/>
  <c r="AB4115" i="1"/>
  <c r="AB4114" i="1"/>
  <c r="AB4113" i="1"/>
  <c r="AB4112" i="1"/>
  <c r="AB4111" i="1"/>
  <c r="AB4110" i="1"/>
  <c r="AB4109" i="1"/>
  <c r="AB4108" i="1"/>
  <c r="AB4107" i="1"/>
  <c r="AB4106" i="1"/>
  <c r="AB4105" i="1"/>
  <c r="AB4104" i="1"/>
  <c r="AB4103" i="1"/>
  <c r="AB4102" i="1"/>
  <c r="AB4101" i="1"/>
  <c r="AB4100" i="1"/>
  <c r="AB4099" i="1"/>
  <c r="AB4098" i="1"/>
  <c r="AB4097" i="1"/>
  <c r="AB4096" i="1"/>
  <c r="AB4095" i="1"/>
  <c r="AB4094" i="1"/>
  <c r="AB4093" i="1"/>
  <c r="AB4092" i="1"/>
  <c r="AB4091" i="1"/>
  <c r="AB4090" i="1"/>
  <c r="AB4089" i="1"/>
  <c r="AB4088" i="1"/>
  <c r="AB4087" i="1"/>
  <c r="AB4086" i="1"/>
  <c r="AB4085" i="1"/>
  <c r="AB4084" i="1"/>
  <c r="AB4083" i="1"/>
  <c r="AB4082" i="1"/>
  <c r="AB4081" i="1"/>
  <c r="AB4080" i="1"/>
  <c r="AB4079" i="1"/>
  <c r="AB4078" i="1"/>
  <c r="AB4077" i="1"/>
  <c r="AB4076" i="1"/>
  <c r="AB4075" i="1"/>
  <c r="AB4074" i="1"/>
  <c r="AB4073" i="1"/>
  <c r="AB4072" i="1"/>
  <c r="AB4071" i="1"/>
  <c r="AB4070" i="1"/>
  <c r="AB4069" i="1"/>
  <c r="AB4068" i="1"/>
  <c r="AB4067" i="1"/>
  <c r="AB4066" i="1"/>
  <c r="AB4065" i="1"/>
  <c r="AB4064" i="1"/>
  <c r="AB4063" i="1"/>
  <c r="AB4062" i="1"/>
  <c r="AB4061" i="1"/>
  <c r="AB4060" i="1"/>
  <c r="AB4059" i="1"/>
  <c r="AB4058" i="1"/>
  <c r="AB4057" i="1"/>
  <c r="AB4056" i="1"/>
  <c r="AB4055" i="1"/>
  <c r="AB4054" i="1"/>
  <c r="AB4053" i="1"/>
  <c r="AB4052" i="1"/>
  <c r="AB4051" i="1"/>
  <c r="AB4050" i="1"/>
  <c r="AB4049" i="1"/>
  <c r="AB4048" i="1"/>
  <c r="AB4047" i="1"/>
  <c r="AB4046" i="1"/>
  <c r="AB4045" i="1"/>
  <c r="AB4044" i="1"/>
  <c r="AB4043" i="1"/>
  <c r="AB4042" i="1"/>
  <c r="AB4041" i="1"/>
  <c r="AB4040" i="1"/>
  <c r="AB4039" i="1"/>
  <c r="AB4038" i="1"/>
  <c r="AB4037" i="1"/>
  <c r="AB4036" i="1"/>
  <c r="AB4035" i="1"/>
  <c r="AB4034" i="1"/>
  <c r="AB4033" i="1"/>
  <c r="AB4032" i="1"/>
  <c r="AB4031" i="1"/>
  <c r="AB4030" i="1"/>
  <c r="AB4029" i="1"/>
  <c r="AB4028" i="1"/>
  <c r="AB4027" i="1"/>
  <c r="AB4026" i="1"/>
  <c r="AB4025" i="1"/>
  <c r="AB4024" i="1"/>
  <c r="AB4023" i="1"/>
  <c r="AB4022" i="1"/>
  <c r="AB4021" i="1"/>
  <c r="AB4020" i="1"/>
  <c r="AB4019" i="1"/>
  <c r="AB4018" i="1"/>
  <c r="AB4017" i="1"/>
  <c r="AB4016" i="1"/>
  <c r="AB4015" i="1"/>
  <c r="AB4014" i="1"/>
  <c r="AB4013" i="1"/>
  <c r="AB4012" i="1"/>
  <c r="AB4011" i="1"/>
  <c r="AB4010" i="1"/>
  <c r="AB4009" i="1"/>
  <c r="AB4008" i="1"/>
  <c r="AB4007" i="1"/>
  <c r="AB4006" i="1"/>
  <c r="AB4005" i="1"/>
  <c r="AB4004" i="1"/>
  <c r="AB4003" i="1"/>
  <c r="AB4002" i="1"/>
  <c r="AB4001" i="1"/>
  <c r="AB4000" i="1"/>
  <c r="AB3999" i="1"/>
  <c r="AB3998" i="1"/>
  <c r="AB3997" i="1"/>
  <c r="AB3996" i="1"/>
  <c r="AB3995" i="1"/>
  <c r="AB3994" i="1"/>
  <c r="AB3993" i="1"/>
  <c r="AB3992" i="1"/>
  <c r="AB3991" i="1"/>
  <c r="AB3990" i="1"/>
  <c r="AB3989" i="1"/>
  <c r="AB3988" i="1"/>
  <c r="AB3987" i="1"/>
  <c r="AB3986" i="1"/>
  <c r="AB3985" i="1"/>
  <c r="AB3984" i="1"/>
  <c r="AB3983" i="1"/>
  <c r="AB3982" i="1"/>
  <c r="AB3981" i="1"/>
  <c r="AB3980" i="1"/>
  <c r="AB3979" i="1"/>
  <c r="AB3978" i="1"/>
  <c r="AB3977" i="1"/>
  <c r="AB3976" i="1"/>
  <c r="AB3975" i="1"/>
  <c r="AB3974" i="1"/>
  <c r="AB3973" i="1"/>
  <c r="AB3972" i="1"/>
  <c r="AB3971" i="1"/>
  <c r="AB3970" i="1"/>
  <c r="AB3969" i="1"/>
  <c r="AB3968" i="1"/>
  <c r="AB3967" i="1"/>
  <c r="AB3966" i="1"/>
  <c r="AB3965" i="1"/>
  <c r="AB3964" i="1"/>
  <c r="AB3963" i="1"/>
  <c r="AB3962" i="1"/>
  <c r="AB3961" i="1"/>
  <c r="AB3960" i="1"/>
  <c r="AB3959" i="1"/>
  <c r="AB3958" i="1"/>
  <c r="AB3957" i="1"/>
  <c r="AB3956" i="1"/>
  <c r="AB3955" i="1"/>
  <c r="AB3954" i="1"/>
  <c r="AB3953" i="1"/>
  <c r="AB3952" i="1"/>
  <c r="AB3951" i="1"/>
  <c r="AB3950" i="1"/>
  <c r="AB3949" i="1"/>
  <c r="AB3948" i="1"/>
  <c r="AB3947" i="1"/>
  <c r="AB3946" i="1"/>
  <c r="AB3945" i="1"/>
  <c r="AB3944" i="1"/>
  <c r="AB3943" i="1"/>
  <c r="AB3942" i="1"/>
  <c r="AB3941" i="1"/>
  <c r="AB3940" i="1"/>
  <c r="AB3939" i="1"/>
  <c r="AB3938" i="1"/>
  <c r="AB3937" i="1"/>
  <c r="AB3936" i="1"/>
  <c r="AB3935" i="1"/>
  <c r="AB3934" i="1"/>
  <c r="AB3933" i="1"/>
  <c r="AB3932" i="1"/>
  <c r="AB3931" i="1"/>
  <c r="AB3930" i="1"/>
  <c r="AB3929" i="1"/>
  <c r="AB3928" i="1"/>
  <c r="AB3927" i="1"/>
  <c r="AB3926" i="1"/>
  <c r="AB3925" i="1"/>
  <c r="AB3924" i="1"/>
  <c r="AB3923" i="1"/>
  <c r="AB3922" i="1"/>
  <c r="AB3921" i="1"/>
  <c r="AB3920" i="1"/>
  <c r="AB3919" i="1"/>
  <c r="AB3918" i="1"/>
  <c r="AB3917" i="1"/>
  <c r="AB3916" i="1"/>
  <c r="AB3915" i="1"/>
  <c r="AB3914" i="1"/>
  <c r="AB3913" i="1"/>
  <c r="AB3912" i="1"/>
  <c r="AB3911" i="1"/>
  <c r="AB3910" i="1"/>
  <c r="AB3909" i="1"/>
  <c r="AB3908" i="1"/>
  <c r="AB3907" i="1"/>
  <c r="AB3906" i="1"/>
  <c r="AB3905" i="1"/>
  <c r="AB3904" i="1"/>
  <c r="AB3903" i="1"/>
  <c r="AB3902" i="1"/>
  <c r="AB3901" i="1"/>
  <c r="AB3900" i="1"/>
  <c r="AB3899" i="1"/>
  <c r="AB3898" i="1"/>
  <c r="AB3897" i="1"/>
  <c r="AB3896" i="1"/>
  <c r="AB3895" i="1"/>
  <c r="AB3894" i="1"/>
  <c r="AB3893" i="1"/>
  <c r="AB3892" i="1"/>
  <c r="AB3891" i="1"/>
  <c r="AB3890" i="1"/>
  <c r="AB3889" i="1"/>
  <c r="AB3888" i="1"/>
  <c r="AB3887" i="1"/>
  <c r="AB3886" i="1"/>
  <c r="AB3885" i="1"/>
  <c r="AB3884" i="1"/>
  <c r="AB3883" i="1"/>
  <c r="AB3882" i="1"/>
  <c r="AB3881" i="1"/>
  <c r="AB3880" i="1"/>
  <c r="AB3879" i="1"/>
  <c r="AB3878" i="1"/>
  <c r="AB3877" i="1"/>
  <c r="AB3876" i="1"/>
  <c r="AB3875" i="1"/>
  <c r="AB3874" i="1"/>
  <c r="AB3873" i="1"/>
  <c r="AB3872" i="1"/>
  <c r="AB3871" i="1"/>
  <c r="AB3870" i="1"/>
  <c r="AB3869" i="1"/>
  <c r="AB3868" i="1"/>
  <c r="AB3867" i="1"/>
  <c r="AB3866" i="1"/>
  <c r="AB3865" i="1"/>
  <c r="AB3864" i="1"/>
  <c r="AB3863" i="1"/>
  <c r="AB3862" i="1"/>
  <c r="AB3861" i="1"/>
  <c r="AB3860" i="1"/>
  <c r="AB3859" i="1"/>
  <c r="AB3858" i="1"/>
  <c r="AB3857" i="1"/>
  <c r="AB3856" i="1"/>
  <c r="AB3855" i="1"/>
  <c r="AB3854" i="1"/>
  <c r="AB3853" i="1"/>
  <c r="AB3852" i="1"/>
  <c r="AB3851" i="1"/>
  <c r="AB3850" i="1"/>
  <c r="AB3849" i="1"/>
  <c r="AB3848" i="1"/>
  <c r="AB3847" i="1"/>
  <c r="AB3846" i="1"/>
  <c r="AB3845" i="1"/>
  <c r="AB3844" i="1"/>
  <c r="AB3843" i="1"/>
  <c r="AB3842" i="1"/>
  <c r="AB3841" i="1"/>
  <c r="AB3840" i="1"/>
  <c r="AB3839" i="1"/>
  <c r="AB3838" i="1"/>
  <c r="AB3837" i="1"/>
  <c r="AB3836" i="1"/>
  <c r="AB3835" i="1"/>
  <c r="AB3834" i="1"/>
  <c r="AB3833" i="1"/>
  <c r="AB3832" i="1"/>
  <c r="AB3831" i="1"/>
  <c r="AB3830" i="1"/>
  <c r="AB3829" i="1"/>
  <c r="AB3828" i="1"/>
  <c r="AB3827" i="1"/>
  <c r="AB3826" i="1"/>
  <c r="AB3825" i="1"/>
  <c r="AB3824" i="1"/>
  <c r="AB3823" i="1"/>
  <c r="AB3822" i="1"/>
  <c r="AB3821" i="1"/>
  <c r="AB3820" i="1"/>
  <c r="AB3819" i="1"/>
  <c r="AB3818" i="1"/>
  <c r="AB3817" i="1"/>
  <c r="AB3816" i="1"/>
  <c r="AB3815" i="1"/>
  <c r="AB3814" i="1"/>
  <c r="AB3813" i="1"/>
  <c r="AB3812" i="1"/>
  <c r="AB3811" i="1"/>
  <c r="AB3810" i="1"/>
  <c r="AB3809" i="1"/>
  <c r="AB3808" i="1"/>
  <c r="AB3807" i="1"/>
  <c r="AB3806" i="1"/>
  <c r="AB3805" i="1"/>
  <c r="AB3804" i="1"/>
  <c r="AB3803" i="1"/>
  <c r="AB3802" i="1"/>
  <c r="AB3801" i="1"/>
  <c r="AB3800" i="1"/>
  <c r="AB3799" i="1"/>
  <c r="AB3798" i="1"/>
  <c r="AB3797" i="1"/>
  <c r="AB3796" i="1"/>
  <c r="AB3795" i="1"/>
  <c r="AB3794" i="1"/>
  <c r="AB3793" i="1"/>
  <c r="AB3792" i="1"/>
  <c r="AB3791" i="1"/>
  <c r="AB3790" i="1"/>
  <c r="AB3789" i="1"/>
  <c r="AB3788" i="1"/>
  <c r="AB3787" i="1"/>
  <c r="AB3786" i="1"/>
  <c r="AB3785" i="1"/>
  <c r="AB3784" i="1"/>
  <c r="AB3783" i="1"/>
  <c r="AB3782" i="1"/>
  <c r="AB3781" i="1"/>
  <c r="AB3780" i="1"/>
  <c r="AB3779" i="1"/>
  <c r="AB3778" i="1"/>
  <c r="AB3777" i="1"/>
  <c r="AB3776" i="1"/>
  <c r="AB3775" i="1"/>
  <c r="AB3774" i="1"/>
  <c r="AB3773" i="1"/>
  <c r="AB3772" i="1"/>
  <c r="AB3771" i="1"/>
  <c r="AB3770" i="1"/>
  <c r="AB3769" i="1"/>
  <c r="AB3768" i="1"/>
  <c r="AB3767" i="1"/>
  <c r="AB3766" i="1"/>
  <c r="AB3765" i="1"/>
  <c r="AB3764" i="1"/>
  <c r="AB3763" i="1"/>
  <c r="AB3762" i="1"/>
  <c r="AB3761" i="1"/>
  <c r="AB3760" i="1"/>
  <c r="AB3759" i="1"/>
  <c r="AB3758" i="1"/>
  <c r="AB3757" i="1"/>
  <c r="AB3756" i="1"/>
  <c r="AB3755" i="1"/>
  <c r="AB3754" i="1"/>
  <c r="AB3753" i="1"/>
  <c r="AB3752" i="1"/>
  <c r="AB3751" i="1"/>
  <c r="AB3750" i="1"/>
  <c r="AB3749" i="1"/>
  <c r="AB3748" i="1"/>
  <c r="AB3747" i="1"/>
  <c r="AB3746" i="1"/>
  <c r="AB3745" i="1"/>
  <c r="AB3744" i="1"/>
  <c r="AB3743" i="1"/>
  <c r="AB3742" i="1"/>
  <c r="AB3741" i="1"/>
  <c r="AB3740" i="1"/>
  <c r="AB3739" i="1"/>
  <c r="AB3738" i="1"/>
  <c r="AB3737" i="1"/>
  <c r="AB3736" i="1"/>
  <c r="AB3735" i="1"/>
  <c r="AB3734" i="1"/>
  <c r="AB3733" i="1"/>
  <c r="AB3732" i="1"/>
  <c r="AB3731" i="1"/>
  <c r="AB3730" i="1"/>
  <c r="AB3729" i="1"/>
  <c r="AB3728" i="1"/>
  <c r="AB3727" i="1"/>
  <c r="AB3726" i="1"/>
  <c r="AB3725" i="1"/>
  <c r="AB3724" i="1"/>
  <c r="AB3723" i="1"/>
  <c r="AB3722" i="1"/>
  <c r="AB3721" i="1"/>
  <c r="AB3720" i="1"/>
  <c r="AB3719" i="1"/>
  <c r="AB3718" i="1"/>
  <c r="AB3717" i="1"/>
  <c r="AB3716" i="1"/>
  <c r="AB3715" i="1"/>
  <c r="AB3714" i="1"/>
  <c r="AB3713" i="1"/>
  <c r="AB3712" i="1"/>
  <c r="AB3711" i="1"/>
  <c r="AB3710" i="1"/>
  <c r="AB3709" i="1"/>
  <c r="AB3708" i="1"/>
  <c r="AB3707" i="1"/>
  <c r="AB3706" i="1"/>
  <c r="AB3705" i="1"/>
  <c r="AB3704" i="1"/>
  <c r="AB3703" i="1"/>
  <c r="AB3702" i="1"/>
  <c r="AB3701" i="1"/>
  <c r="AB3700" i="1"/>
  <c r="AB3699" i="1"/>
  <c r="AB3698" i="1"/>
  <c r="AB3697" i="1"/>
  <c r="AB3696" i="1"/>
  <c r="AB3695" i="1"/>
  <c r="AB3694" i="1"/>
  <c r="AB3693" i="1"/>
  <c r="AB3692" i="1"/>
  <c r="AB3691" i="1"/>
  <c r="AB3690" i="1"/>
  <c r="AB3689" i="1"/>
  <c r="AB3688" i="1"/>
  <c r="AB3687" i="1"/>
  <c r="AB3686" i="1"/>
  <c r="AB3685" i="1"/>
  <c r="AB3684" i="1"/>
  <c r="AB3683" i="1"/>
  <c r="AB3682" i="1"/>
  <c r="AB3681" i="1"/>
  <c r="AB3680" i="1"/>
  <c r="AB3679" i="1"/>
  <c r="AB3678" i="1"/>
  <c r="AB3677" i="1"/>
  <c r="AB3676" i="1"/>
  <c r="AB3675" i="1"/>
  <c r="AB3674" i="1"/>
  <c r="AB3673" i="1"/>
  <c r="AB3672" i="1"/>
  <c r="AB3671" i="1"/>
  <c r="AB3670" i="1"/>
  <c r="AB3669" i="1"/>
  <c r="AB3668" i="1"/>
  <c r="AB3667" i="1"/>
  <c r="AB3666" i="1"/>
  <c r="AB3665" i="1"/>
  <c r="AB3664" i="1"/>
  <c r="AB3663" i="1"/>
  <c r="AB3662" i="1"/>
  <c r="AB3661" i="1"/>
  <c r="AB3660" i="1"/>
  <c r="AB3659" i="1"/>
  <c r="AB3658" i="1"/>
  <c r="AB3657" i="1"/>
  <c r="AB3656" i="1"/>
  <c r="AB3655" i="1"/>
  <c r="AB3654" i="1"/>
  <c r="AB3653" i="1"/>
  <c r="AB3652" i="1"/>
  <c r="AB3651" i="1"/>
  <c r="AB3650" i="1"/>
  <c r="AB3649" i="1"/>
  <c r="AB3648" i="1"/>
  <c r="AB3647" i="1"/>
  <c r="AB3646" i="1"/>
  <c r="AB3645" i="1"/>
  <c r="AB3644" i="1"/>
  <c r="AB3643" i="1"/>
  <c r="AB3642" i="1"/>
  <c r="AB3641" i="1"/>
  <c r="AB3640" i="1"/>
  <c r="AB3639" i="1"/>
  <c r="AB3638" i="1"/>
  <c r="AB3637" i="1"/>
  <c r="AB3636" i="1"/>
  <c r="AB3635" i="1"/>
  <c r="AB3634" i="1"/>
  <c r="AB3633" i="1"/>
  <c r="AB3632" i="1"/>
  <c r="AB3631" i="1"/>
  <c r="AB3630" i="1"/>
  <c r="AB3629" i="1"/>
  <c r="AB3628" i="1"/>
  <c r="AB3627" i="1"/>
  <c r="AB3626" i="1"/>
  <c r="AB3625" i="1"/>
  <c r="AB3624" i="1"/>
  <c r="AB3623" i="1"/>
  <c r="AB3622" i="1"/>
  <c r="AB3621" i="1"/>
  <c r="AB3620" i="1"/>
  <c r="AB3619" i="1"/>
  <c r="AB3618" i="1"/>
  <c r="AB3617" i="1"/>
  <c r="AB3616" i="1"/>
  <c r="AB3615" i="1"/>
  <c r="AB3614" i="1"/>
  <c r="AB3613" i="1"/>
  <c r="AB3612" i="1"/>
  <c r="AB3611" i="1"/>
  <c r="AB3610" i="1"/>
  <c r="AB3609" i="1"/>
  <c r="AB3608" i="1"/>
  <c r="AB3607" i="1"/>
  <c r="AB3606" i="1"/>
  <c r="AB3605" i="1"/>
  <c r="AB3604" i="1"/>
  <c r="AB3603" i="1"/>
  <c r="AB3602" i="1"/>
  <c r="AB3601" i="1"/>
  <c r="AB3600" i="1"/>
  <c r="AB3599" i="1"/>
  <c r="AB3598" i="1"/>
  <c r="AB3597" i="1"/>
  <c r="AB3596" i="1"/>
  <c r="AB3595" i="1"/>
  <c r="AB3594" i="1"/>
  <c r="AB3593" i="1"/>
  <c r="AB3592" i="1"/>
  <c r="AB3591" i="1"/>
  <c r="AB3590" i="1"/>
  <c r="AB3589" i="1"/>
  <c r="AB3588" i="1"/>
  <c r="AB3587" i="1"/>
  <c r="AB3586" i="1"/>
  <c r="AB3585" i="1"/>
  <c r="AB3584" i="1"/>
  <c r="AB3583" i="1"/>
  <c r="AB3582" i="1"/>
  <c r="AB3581" i="1"/>
  <c r="AB3580" i="1"/>
  <c r="AB3579" i="1"/>
  <c r="AB3578" i="1"/>
  <c r="AB3577" i="1"/>
  <c r="AB3576" i="1"/>
  <c r="AB3575" i="1"/>
  <c r="AB3574" i="1"/>
  <c r="AB3573" i="1"/>
  <c r="AB3572" i="1"/>
  <c r="AB3571" i="1"/>
  <c r="AB3570" i="1"/>
  <c r="AB3569" i="1"/>
  <c r="AB3568" i="1"/>
  <c r="AB3567" i="1"/>
  <c r="AB3566" i="1"/>
  <c r="AB3565" i="1"/>
  <c r="AB3564" i="1"/>
  <c r="AB3563" i="1"/>
  <c r="AB3562" i="1"/>
  <c r="AB3561" i="1"/>
  <c r="AB3560" i="1"/>
  <c r="AB3559" i="1"/>
  <c r="AB3558" i="1"/>
  <c r="AB3557" i="1"/>
  <c r="AB3556" i="1"/>
  <c r="AB3555" i="1"/>
  <c r="AB3554" i="1"/>
  <c r="AB3553" i="1"/>
  <c r="AB3552" i="1"/>
  <c r="AB3551" i="1"/>
  <c r="AB3550" i="1"/>
  <c r="AB3549" i="1"/>
  <c r="AB3548" i="1"/>
  <c r="AB3547" i="1"/>
  <c r="AB3546" i="1"/>
  <c r="AB3545" i="1"/>
  <c r="AB3544" i="1"/>
  <c r="AB3543" i="1"/>
  <c r="AB3542" i="1"/>
  <c r="AB3541" i="1"/>
  <c r="AB3540" i="1"/>
  <c r="AB3539" i="1"/>
  <c r="AB3538" i="1"/>
  <c r="AB3537" i="1"/>
  <c r="AB3536" i="1"/>
  <c r="AB3535" i="1"/>
  <c r="AB3534" i="1"/>
  <c r="AB3533" i="1"/>
  <c r="AB3532" i="1"/>
  <c r="AB3531" i="1"/>
  <c r="AB3530" i="1"/>
  <c r="AB3529" i="1"/>
  <c r="AB3528" i="1"/>
  <c r="AB3527" i="1"/>
  <c r="AB3526" i="1"/>
  <c r="AB3525" i="1"/>
  <c r="AB3524" i="1"/>
  <c r="AB3523" i="1"/>
  <c r="AB3522" i="1"/>
  <c r="AB3521" i="1"/>
  <c r="AB3520" i="1"/>
  <c r="AB3519" i="1"/>
  <c r="AB3518" i="1"/>
  <c r="AB3517" i="1"/>
  <c r="AB3516" i="1"/>
  <c r="AB3515" i="1"/>
  <c r="AB3514" i="1"/>
  <c r="AB3513" i="1"/>
  <c r="AB3512" i="1"/>
  <c r="AB3511" i="1"/>
  <c r="AB3510" i="1"/>
  <c r="AB3509" i="1"/>
  <c r="AB3508" i="1"/>
  <c r="AB3507" i="1"/>
  <c r="AB3506" i="1"/>
  <c r="AB3505" i="1"/>
  <c r="AB3504" i="1"/>
  <c r="AB3503" i="1"/>
  <c r="AB3502" i="1"/>
  <c r="AB3501" i="1"/>
  <c r="AB3500" i="1"/>
  <c r="AB3499" i="1"/>
  <c r="AB3498" i="1"/>
  <c r="AB3497" i="1"/>
  <c r="AB3496" i="1"/>
  <c r="AB3495" i="1"/>
  <c r="AB3494" i="1"/>
  <c r="AB3493" i="1"/>
  <c r="AB3492" i="1"/>
  <c r="AB3491" i="1"/>
  <c r="AB3490" i="1"/>
  <c r="AB3489" i="1"/>
  <c r="AB3488" i="1"/>
  <c r="AB3487" i="1"/>
  <c r="AB3486" i="1"/>
  <c r="AB3485" i="1"/>
  <c r="AB3484" i="1"/>
  <c r="AB3483" i="1"/>
  <c r="AB3482" i="1"/>
  <c r="AB3481" i="1"/>
  <c r="AB3480" i="1"/>
  <c r="AB3479" i="1"/>
  <c r="AB3478" i="1"/>
  <c r="AB3477" i="1"/>
  <c r="AB3476" i="1"/>
  <c r="AB3475" i="1"/>
  <c r="AB3474" i="1"/>
  <c r="AB3473" i="1"/>
  <c r="AB3472" i="1"/>
  <c r="AB3471" i="1"/>
  <c r="AB3470" i="1"/>
  <c r="AB3469" i="1"/>
  <c r="AB3468" i="1"/>
  <c r="AB3467" i="1"/>
  <c r="AB3466" i="1"/>
  <c r="AB3465" i="1"/>
  <c r="AB3464" i="1"/>
  <c r="AB3463" i="1"/>
  <c r="AB3462" i="1"/>
  <c r="AB3461" i="1"/>
  <c r="AB3460" i="1"/>
  <c r="AB3459" i="1"/>
  <c r="AB3458" i="1"/>
  <c r="AB3457" i="1"/>
  <c r="AB3456" i="1"/>
  <c r="AB3455" i="1"/>
  <c r="AB3454" i="1"/>
  <c r="AB3453" i="1"/>
  <c r="AB3452" i="1"/>
  <c r="AB3451" i="1"/>
  <c r="AB3450" i="1"/>
  <c r="AB3449" i="1"/>
  <c r="AB3448" i="1"/>
  <c r="AB3447" i="1"/>
  <c r="AB3446" i="1"/>
  <c r="AB3445" i="1"/>
  <c r="AB3444" i="1"/>
  <c r="AB3443" i="1"/>
  <c r="AB3442" i="1"/>
  <c r="AB3441" i="1"/>
  <c r="AB3440" i="1"/>
  <c r="AB3439" i="1"/>
  <c r="AB3438" i="1"/>
  <c r="AB3437" i="1"/>
  <c r="AB3436" i="1"/>
  <c r="AB3435" i="1"/>
  <c r="AB3434" i="1"/>
  <c r="AB3433" i="1"/>
  <c r="AB3432" i="1"/>
  <c r="AB3431" i="1"/>
  <c r="AB3430" i="1"/>
  <c r="AB3429" i="1"/>
  <c r="AB3428" i="1"/>
  <c r="AB3427" i="1"/>
  <c r="AB3426" i="1"/>
  <c r="AB3425" i="1"/>
  <c r="AB3424" i="1"/>
  <c r="AB3423" i="1"/>
  <c r="AB3422" i="1"/>
  <c r="AB3421" i="1"/>
  <c r="AB3420" i="1"/>
  <c r="AB3419" i="1"/>
  <c r="AB3418" i="1"/>
  <c r="AB3417" i="1"/>
  <c r="AB3416" i="1"/>
  <c r="AB3415" i="1"/>
  <c r="AB3414" i="1"/>
  <c r="AB3413" i="1"/>
  <c r="AB3412" i="1"/>
  <c r="AB3411" i="1"/>
  <c r="AB3410" i="1"/>
  <c r="AB3409" i="1"/>
  <c r="AB3408" i="1"/>
  <c r="AB3407" i="1"/>
  <c r="AB3406" i="1"/>
  <c r="AB3405" i="1"/>
  <c r="AB3404" i="1"/>
  <c r="AB3403" i="1"/>
  <c r="AB3402" i="1"/>
  <c r="AB3401" i="1"/>
  <c r="AB3400" i="1"/>
  <c r="AB3399" i="1"/>
  <c r="AB3398" i="1"/>
  <c r="AB3397" i="1"/>
  <c r="AB3396" i="1"/>
  <c r="AB3395" i="1"/>
  <c r="AB3394" i="1"/>
  <c r="AB3393" i="1"/>
  <c r="AB3392" i="1"/>
  <c r="AB3391" i="1"/>
  <c r="AB3390" i="1"/>
  <c r="AB3389" i="1"/>
  <c r="AB3388" i="1"/>
  <c r="AB3387" i="1"/>
  <c r="AB3386" i="1"/>
  <c r="AB3385" i="1"/>
  <c r="AB3384" i="1"/>
  <c r="AB3383" i="1"/>
  <c r="AB3382" i="1"/>
  <c r="AB3381" i="1"/>
  <c r="AB3380" i="1"/>
  <c r="AB3379" i="1"/>
  <c r="AB3378" i="1"/>
  <c r="AB3377" i="1"/>
  <c r="AB3376" i="1"/>
  <c r="AB3375" i="1"/>
  <c r="AB3374" i="1"/>
  <c r="AB3373" i="1"/>
  <c r="AB3372" i="1"/>
  <c r="AB3371" i="1"/>
  <c r="AB3370" i="1"/>
  <c r="AB3369" i="1"/>
  <c r="AB3368" i="1"/>
  <c r="AB3367" i="1"/>
  <c r="AB3366" i="1"/>
  <c r="AB3365" i="1"/>
  <c r="AB3364" i="1"/>
  <c r="AB3363" i="1"/>
  <c r="AB3362" i="1"/>
  <c r="AB3361" i="1"/>
  <c r="AB3360" i="1"/>
  <c r="AB3359" i="1"/>
  <c r="AB3358" i="1"/>
  <c r="AB3357" i="1"/>
  <c r="AB3356" i="1"/>
  <c r="AB3355" i="1"/>
  <c r="AB3354" i="1"/>
  <c r="AB3353" i="1"/>
  <c r="AB3352" i="1"/>
  <c r="AB3351" i="1"/>
  <c r="AB3350" i="1"/>
  <c r="AB3349" i="1"/>
  <c r="AB3348" i="1"/>
  <c r="AB3347" i="1"/>
  <c r="AB3346" i="1"/>
  <c r="AB3345" i="1"/>
  <c r="AB3344" i="1"/>
  <c r="AB3343" i="1"/>
  <c r="AB3342" i="1"/>
  <c r="AB3341" i="1"/>
  <c r="AB3340" i="1"/>
  <c r="AB3339" i="1"/>
  <c r="AB3338" i="1"/>
  <c r="AB3337" i="1"/>
  <c r="AB3336" i="1"/>
  <c r="AB3335" i="1"/>
  <c r="AB3334" i="1"/>
  <c r="AB3333" i="1"/>
  <c r="AB3332" i="1"/>
  <c r="AB3331" i="1"/>
  <c r="AB3330" i="1"/>
  <c r="AB3329" i="1"/>
  <c r="AB3328" i="1"/>
  <c r="AB3327" i="1"/>
  <c r="AB3326" i="1"/>
  <c r="AB3325" i="1"/>
  <c r="AB3324" i="1"/>
  <c r="AB3323" i="1"/>
  <c r="AB3322" i="1"/>
  <c r="AB3321" i="1"/>
  <c r="AB3320" i="1"/>
  <c r="AB3319" i="1"/>
  <c r="AB3318" i="1"/>
  <c r="AB3317" i="1"/>
  <c r="AB3316" i="1"/>
  <c r="AB3315" i="1"/>
  <c r="AB3314" i="1"/>
  <c r="AB3313" i="1"/>
  <c r="AB3312" i="1"/>
  <c r="AB3311" i="1"/>
  <c r="AB3310" i="1"/>
  <c r="AB3309" i="1"/>
  <c r="AB3308" i="1"/>
  <c r="AB3307" i="1"/>
  <c r="AB3306" i="1"/>
  <c r="AB3305" i="1"/>
  <c r="AB3304" i="1"/>
  <c r="AB3303" i="1"/>
  <c r="AB3302" i="1"/>
  <c r="AB3301" i="1"/>
  <c r="AB3300" i="1"/>
  <c r="AB3299" i="1"/>
  <c r="AB3298" i="1"/>
  <c r="AB3297" i="1"/>
  <c r="AB3296" i="1"/>
  <c r="AB3295" i="1"/>
  <c r="AB3294" i="1"/>
  <c r="AB3293" i="1"/>
  <c r="AB3292" i="1"/>
  <c r="AB3291" i="1"/>
  <c r="AB3290" i="1"/>
  <c r="AB3289" i="1"/>
  <c r="AB3288" i="1"/>
  <c r="AB3287" i="1"/>
  <c r="AB3286" i="1"/>
  <c r="AB3285" i="1"/>
  <c r="AB3284" i="1"/>
  <c r="AB3283" i="1"/>
  <c r="AB3282" i="1"/>
  <c r="AB3281" i="1"/>
  <c r="AB3280" i="1"/>
  <c r="AB3279" i="1"/>
  <c r="AB3278" i="1"/>
  <c r="AB3277" i="1"/>
  <c r="AB3276" i="1"/>
  <c r="AB3275" i="1"/>
  <c r="AB3274" i="1"/>
  <c r="AB3273" i="1"/>
  <c r="AB3272" i="1"/>
  <c r="AB3271" i="1"/>
  <c r="AB3270" i="1"/>
  <c r="AB3269" i="1"/>
  <c r="AB3268" i="1"/>
  <c r="AB3267" i="1"/>
  <c r="AB3266" i="1"/>
  <c r="AB3265" i="1"/>
  <c r="AB3264" i="1"/>
  <c r="AB3263" i="1"/>
  <c r="AB3262" i="1"/>
  <c r="AB3261" i="1"/>
  <c r="AB3260" i="1"/>
  <c r="AB3259" i="1"/>
  <c r="AB3258" i="1"/>
  <c r="AB3257" i="1"/>
  <c r="AB3256" i="1"/>
  <c r="AB3255" i="1"/>
  <c r="AB3254" i="1"/>
  <c r="AB3253" i="1"/>
  <c r="AB3252" i="1"/>
  <c r="AB3251" i="1"/>
  <c r="AB3250" i="1"/>
  <c r="AB3249" i="1"/>
  <c r="AB3248" i="1"/>
  <c r="AB3247" i="1"/>
  <c r="AB3246" i="1"/>
  <c r="AB3245" i="1"/>
  <c r="AB3244" i="1"/>
  <c r="AB3243" i="1"/>
  <c r="AB3242" i="1"/>
  <c r="AB3241" i="1"/>
  <c r="AB3240" i="1"/>
  <c r="AB3239" i="1"/>
  <c r="AB3238" i="1"/>
  <c r="AB3237" i="1"/>
  <c r="AB3236" i="1"/>
  <c r="AB3235" i="1"/>
  <c r="AB3234" i="1"/>
  <c r="AB3233" i="1"/>
  <c r="AB3232" i="1"/>
  <c r="AB3231" i="1"/>
  <c r="AB3230" i="1"/>
  <c r="AB3229" i="1"/>
  <c r="AB3228" i="1"/>
  <c r="AB3227" i="1"/>
  <c r="AB3226" i="1"/>
  <c r="AB3225" i="1"/>
  <c r="AB3224" i="1"/>
  <c r="AB3223" i="1"/>
  <c r="AB3222" i="1"/>
  <c r="AB3221" i="1"/>
  <c r="AB3220" i="1"/>
  <c r="AB3219" i="1"/>
  <c r="AB3218" i="1"/>
  <c r="AB3217" i="1"/>
  <c r="AB3216" i="1"/>
  <c r="AB3215" i="1"/>
  <c r="AB3214" i="1"/>
  <c r="AB3213" i="1"/>
  <c r="AB3212" i="1"/>
  <c r="AB3211" i="1"/>
  <c r="AB3210" i="1"/>
  <c r="AB3209" i="1"/>
  <c r="AB3208" i="1"/>
  <c r="AB3207" i="1"/>
  <c r="AB3206" i="1"/>
  <c r="AB3205" i="1"/>
  <c r="AB3204" i="1"/>
  <c r="AB3203" i="1"/>
  <c r="AB3202" i="1"/>
  <c r="AB3201" i="1"/>
  <c r="AB3200" i="1"/>
  <c r="AB3199" i="1"/>
  <c r="AB3198" i="1"/>
  <c r="AB3197" i="1"/>
  <c r="AB3196" i="1"/>
  <c r="AB3195" i="1"/>
  <c r="AB3194" i="1"/>
  <c r="AB3193" i="1"/>
  <c r="AB3192" i="1"/>
  <c r="AB3191" i="1"/>
  <c r="AB3190" i="1"/>
  <c r="AB3189" i="1"/>
  <c r="AB3188" i="1"/>
  <c r="AB3187" i="1"/>
  <c r="AB3186" i="1"/>
  <c r="AB3185" i="1"/>
  <c r="AB3184" i="1"/>
  <c r="AB3183" i="1"/>
  <c r="AB3182" i="1"/>
  <c r="AB3181" i="1"/>
  <c r="AB3180" i="1"/>
  <c r="AB3179" i="1"/>
  <c r="AB3178" i="1"/>
  <c r="AB3177" i="1"/>
  <c r="AB3176" i="1"/>
  <c r="AB3175" i="1"/>
  <c r="AB3174" i="1"/>
  <c r="AB3173" i="1"/>
  <c r="AB3172" i="1"/>
  <c r="AB3171" i="1"/>
  <c r="AB3170" i="1"/>
  <c r="AB3169" i="1"/>
  <c r="AB3168" i="1"/>
  <c r="AB3167" i="1"/>
  <c r="AB3166" i="1"/>
  <c r="AB3165" i="1"/>
  <c r="AB3164" i="1"/>
  <c r="AB3163" i="1"/>
  <c r="AB3162" i="1"/>
  <c r="AB3161" i="1"/>
  <c r="AB3160" i="1"/>
  <c r="AB3159" i="1"/>
  <c r="AB3158" i="1"/>
  <c r="AB3157" i="1"/>
  <c r="AB3156" i="1"/>
  <c r="AB3155" i="1"/>
  <c r="AB3154" i="1"/>
  <c r="AB3153" i="1"/>
  <c r="AB3152" i="1"/>
  <c r="AB3151" i="1"/>
  <c r="AB3150" i="1"/>
  <c r="AB3149" i="1"/>
  <c r="AB3148" i="1"/>
  <c r="AB3147" i="1"/>
  <c r="AB3146" i="1"/>
  <c r="AB3145" i="1"/>
  <c r="AB3144" i="1"/>
  <c r="AB3143" i="1"/>
  <c r="AB3142" i="1"/>
  <c r="AB3141" i="1"/>
  <c r="AB3140" i="1"/>
  <c r="AB3139" i="1"/>
  <c r="AB3138" i="1"/>
  <c r="AB3137" i="1"/>
  <c r="AB3136" i="1"/>
  <c r="AB3135" i="1"/>
  <c r="AB3134" i="1"/>
  <c r="AB3133" i="1"/>
  <c r="AB3132" i="1"/>
  <c r="AB3131" i="1"/>
  <c r="AB3130" i="1"/>
  <c r="AB3129" i="1"/>
  <c r="AB3128" i="1"/>
  <c r="AB3127" i="1"/>
  <c r="AB3126" i="1"/>
  <c r="AB3125" i="1"/>
  <c r="AB3124" i="1"/>
  <c r="AB3123" i="1"/>
  <c r="AB3122" i="1"/>
  <c r="AB3121" i="1"/>
  <c r="AB3120" i="1"/>
  <c r="AB3119" i="1"/>
  <c r="AB3118" i="1"/>
  <c r="AB3117" i="1"/>
  <c r="AB3116" i="1"/>
  <c r="AB3115" i="1"/>
  <c r="AB3114" i="1"/>
  <c r="AB3113" i="1"/>
  <c r="AB3112" i="1"/>
  <c r="AB3111" i="1"/>
  <c r="AB3110" i="1"/>
  <c r="AB3109" i="1"/>
  <c r="AB3108" i="1"/>
  <c r="AB3107" i="1"/>
  <c r="AB3106" i="1"/>
  <c r="AB3105" i="1"/>
  <c r="AB3104" i="1"/>
  <c r="AB3103" i="1"/>
  <c r="AB3102" i="1"/>
  <c r="AB3101" i="1"/>
  <c r="AB3100" i="1"/>
  <c r="AB3099" i="1"/>
  <c r="AB3098" i="1"/>
  <c r="AB3097" i="1"/>
  <c r="AB3096" i="1"/>
  <c r="AB3095" i="1"/>
  <c r="AB3094" i="1"/>
  <c r="AB3093" i="1"/>
  <c r="AB3092" i="1"/>
  <c r="AB3091" i="1"/>
  <c r="AB3090" i="1"/>
  <c r="AB3089" i="1"/>
  <c r="AB3088" i="1"/>
  <c r="AB3087" i="1"/>
  <c r="AB3086" i="1"/>
  <c r="AB3085" i="1"/>
  <c r="AB3084" i="1"/>
  <c r="AB3083" i="1"/>
  <c r="AB3082" i="1"/>
  <c r="AB3081" i="1"/>
  <c r="AB3080" i="1"/>
  <c r="AB3079" i="1"/>
  <c r="AB3078" i="1"/>
  <c r="AB3077" i="1"/>
  <c r="AB3076" i="1"/>
  <c r="AB3075" i="1"/>
  <c r="AB3074" i="1"/>
  <c r="AB3073" i="1"/>
  <c r="AB3072" i="1"/>
  <c r="AB3071" i="1"/>
  <c r="AB3070" i="1"/>
  <c r="AB3069" i="1"/>
  <c r="AB3068" i="1"/>
  <c r="AB3067" i="1"/>
  <c r="AB3066" i="1"/>
  <c r="AB3065" i="1"/>
  <c r="AB3064" i="1"/>
  <c r="AB3063" i="1"/>
  <c r="AB3062" i="1"/>
  <c r="AB3061" i="1"/>
  <c r="AB3060" i="1"/>
  <c r="AB3059" i="1"/>
  <c r="AB3058" i="1"/>
  <c r="AB3057" i="1"/>
  <c r="AB3056" i="1"/>
  <c r="AB3055" i="1"/>
  <c r="AB3054" i="1"/>
  <c r="AB3053" i="1"/>
  <c r="AB3052" i="1"/>
  <c r="AB3051" i="1"/>
  <c r="AB3050" i="1"/>
  <c r="AB3049" i="1"/>
  <c r="AB3048" i="1"/>
  <c r="AB3047" i="1"/>
  <c r="AB3046" i="1"/>
  <c r="AB3045" i="1"/>
  <c r="AB3044" i="1"/>
  <c r="AB3043" i="1"/>
  <c r="AB3042" i="1"/>
  <c r="AB3041" i="1"/>
  <c r="AB3040" i="1"/>
  <c r="AB3039" i="1"/>
  <c r="AB3038" i="1"/>
  <c r="AB3037" i="1"/>
  <c r="AB3036" i="1"/>
  <c r="AB3035" i="1"/>
  <c r="AB3034" i="1"/>
  <c r="AB3033" i="1"/>
  <c r="AB3032" i="1"/>
  <c r="AB3031" i="1"/>
  <c r="AB3030" i="1"/>
  <c r="AB3029" i="1"/>
  <c r="AB3028" i="1"/>
  <c r="AB3027" i="1"/>
  <c r="AB3026" i="1"/>
  <c r="AB3025" i="1"/>
  <c r="AB3024" i="1"/>
  <c r="AB3023" i="1"/>
  <c r="AB3022" i="1"/>
  <c r="AB3021" i="1"/>
  <c r="AB3020" i="1"/>
  <c r="AB3019" i="1"/>
  <c r="AB3018" i="1"/>
  <c r="AB3017" i="1"/>
  <c r="AB3016" i="1"/>
  <c r="AB3015" i="1"/>
  <c r="AB3014" i="1"/>
  <c r="AB3013" i="1"/>
  <c r="AB3012" i="1"/>
  <c r="AB3011" i="1"/>
  <c r="AB3010" i="1"/>
  <c r="AB3009" i="1"/>
  <c r="AB3008" i="1"/>
  <c r="AB3007" i="1"/>
  <c r="AB3006" i="1"/>
  <c r="AB3005" i="1"/>
  <c r="AB3004" i="1"/>
  <c r="AB3003" i="1"/>
  <c r="AB3002" i="1"/>
  <c r="AB3001" i="1"/>
  <c r="AB3000" i="1"/>
  <c r="AB2999" i="1"/>
  <c r="AB2998" i="1"/>
  <c r="AB2997" i="1"/>
  <c r="AB2996" i="1"/>
  <c r="AB2995" i="1"/>
  <c r="AB2994" i="1"/>
  <c r="AB2993" i="1"/>
  <c r="AB2992" i="1"/>
  <c r="AB2991" i="1"/>
  <c r="AB2990" i="1"/>
  <c r="AB2989" i="1"/>
  <c r="AB2988" i="1"/>
  <c r="AB2987" i="1"/>
  <c r="AB2986" i="1"/>
  <c r="AB2985" i="1"/>
  <c r="AB2984" i="1"/>
  <c r="AB2983" i="1"/>
  <c r="AB2982" i="1"/>
  <c r="AB2981" i="1"/>
  <c r="AB2980" i="1"/>
  <c r="AB2979" i="1"/>
  <c r="AB2978" i="1"/>
  <c r="AB2977" i="1"/>
  <c r="AB2976" i="1"/>
  <c r="AB2975" i="1"/>
  <c r="AB2974" i="1"/>
  <c r="AB2973" i="1"/>
  <c r="AB2972" i="1"/>
  <c r="AB2971" i="1"/>
  <c r="AB2970" i="1"/>
  <c r="AB2969" i="1"/>
  <c r="AB2968" i="1"/>
  <c r="AB2967" i="1"/>
  <c r="AB2966" i="1"/>
  <c r="AB2965" i="1"/>
  <c r="AB2964" i="1"/>
  <c r="AB2963" i="1"/>
  <c r="AB2962" i="1"/>
  <c r="AB2961" i="1"/>
  <c r="AB2960" i="1"/>
  <c r="AB2959" i="1"/>
  <c r="AB2958" i="1"/>
  <c r="AB2957" i="1"/>
  <c r="AB2956" i="1"/>
  <c r="AB2955" i="1"/>
  <c r="AB2954" i="1"/>
  <c r="AB2953" i="1"/>
  <c r="AB2952" i="1"/>
  <c r="AB2951" i="1"/>
  <c r="AB2950" i="1"/>
  <c r="AB2949" i="1"/>
  <c r="AB2948" i="1"/>
  <c r="AB2947" i="1"/>
  <c r="AB2946" i="1"/>
  <c r="AB2945" i="1"/>
  <c r="AB2944" i="1"/>
  <c r="AB2943" i="1"/>
  <c r="AB2942" i="1"/>
  <c r="AB2941" i="1"/>
  <c r="AB2940" i="1"/>
  <c r="AB2939" i="1"/>
  <c r="AB2938" i="1"/>
  <c r="AB2937" i="1"/>
  <c r="AB2936" i="1"/>
  <c r="AB2935" i="1"/>
  <c r="AB2934" i="1"/>
  <c r="AB2933" i="1"/>
  <c r="AB2932" i="1"/>
  <c r="AB2931" i="1"/>
  <c r="AB2930" i="1"/>
  <c r="AB2929" i="1"/>
  <c r="AB2928" i="1"/>
  <c r="AB2927" i="1"/>
  <c r="AB2926" i="1"/>
  <c r="AB2925" i="1"/>
  <c r="AB2924" i="1"/>
  <c r="AB2923" i="1"/>
  <c r="AB2922" i="1"/>
  <c r="AB2921" i="1"/>
  <c r="AB2920" i="1"/>
  <c r="AB2919" i="1"/>
  <c r="AB2918" i="1"/>
  <c r="AB2917" i="1"/>
  <c r="AB2916" i="1"/>
  <c r="AB2915" i="1"/>
  <c r="AB2914" i="1"/>
  <c r="AB2913" i="1"/>
  <c r="AB2912" i="1"/>
  <c r="AB2911" i="1"/>
  <c r="AB2910" i="1"/>
  <c r="AB2909" i="1"/>
  <c r="AB2908" i="1"/>
  <c r="AB2907" i="1"/>
  <c r="AB2906" i="1"/>
  <c r="AB2905" i="1"/>
  <c r="AB2904" i="1"/>
  <c r="AB2903" i="1"/>
  <c r="AB2902" i="1"/>
  <c r="AB2901" i="1"/>
  <c r="AB2900" i="1"/>
  <c r="AB2899" i="1"/>
  <c r="AB2898" i="1"/>
  <c r="AB2897" i="1"/>
  <c r="AB2896" i="1"/>
  <c r="AB2895" i="1"/>
  <c r="AB2894" i="1"/>
  <c r="AB2893" i="1"/>
  <c r="AB2892" i="1"/>
  <c r="AB2891" i="1"/>
  <c r="AB2890" i="1"/>
  <c r="AB2889" i="1"/>
  <c r="AB2888" i="1"/>
  <c r="AB2887" i="1"/>
  <c r="AB2886" i="1"/>
  <c r="AB2885" i="1"/>
  <c r="AB2884" i="1"/>
  <c r="AB2883" i="1"/>
  <c r="AB2882" i="1"/>
  <c r="AB2881" i="1"/>
  <c r="AB2880" i="1"/>
  <c r="AB2879" i="1"/>
  <c r="AB2878" i="1"/>
  <c r="AB2877" i="1"/>
  <c r="AB2876" i="1"/>
  <c r="AB2875" i="1"/>
  <c r="AB2874" i="1"/>
  <c r="AB2873" i="1"/>
  <c r="AB2872" i="1"/>
  <c r="AB2871" i="1"/>
  <c r="AB2870" i="1"/>
  <c r="AB2869" i="1"/>
  <c r="AB2868" i="1"/>
  <c r="AB2867" i="1"/>
  <c r="AB2866" i="1"/>
  <c r="AB2865" i="1"/>
  <c r="AB2864" i="1"/>
  <c r="AB2863" i="1"/>
  <c r="AB2862" i="1"/>
  <c r="AB2861" i="1"/>
  <c r="AB2860" i="1"/>
  <c r="AB2859" i="1"/>
  <c r="AB2858" i="1"/>
  <c r="AB2857" i="1"/>
  <c r="AB2856" i="1"/>
  <c r="AB2855" i="1"/>
  <c r="AB2854" i="1"/>
  <c r="AB2853" i="1"/>
  <c r="AB2852" i="1"/>
  <c r="AB2851" i="1"/>
  <c r="AB2850" i="1"/>
  <c r="AB2849" i="1"/>
  <c r="AB2848" i="1"/>
  <c r="AB2847" i="1"/>
  <c r="AB2846" i="1"/>
  <c r="AB2845" i="1"/>
  <c r="AB2844" i="1"/>
  <c r="AB2843" i="1"/>
  <c r="AB2842" i="1"/>
  <c r="AB2841" i="1"/>
  <c r="AB2840" i="1"/>
  <c r="AB2839" i="1"/>
  <c r="AB2838" i="1"/>
  <c r="AB2837" i="1"/>
  <c r="AB2836" i="1"/>
  <c r="AB2835" i="1"/>
  <c r="AB2834" i="1"/>
  <c r="AB2833" i="1"/>
  <c r="AB2832" i="1"/>
  <c r="AB2831" i="1"/>
  <c r="AB2830" i="1"/>
  <c r="AB2829" i="1"/>
  <c r="AB2828" i="1"/>
  <c r="AB2827" i="1"/>
  <c r="AB2826" i="1"/>
  <c r="AB2825" i="1"/>
  <c r="AB2824" i="1"/>
  <c r="AB2823" i="1"/>
  <c r="AB2822" i="1"/>
  <c r="AB2821" i="1"/>
  <c r="AB2820" i="1"/>
  <c r="AB2819" i="1"/>
  <c r="AB2818" i="1"/>
  <c r="AB2817" i="1"/>
  <c r="AB2816" i="1"/>
  <c r="AB2815" i="1"/>
  <c r="AB2814" i="1"/>
  <c r="AB2813" i="1"/>
  <c r="AB2812" i="1"/>
  <c r="AB2811" i="1"/>
  <c r="AB2810" i="1"/>
  <c r="AB2809" i="1"/>
  <c r="AB2808" i="1"/>
  <c r="AB2807" i="1"/>
  <c r="AB2806" i="1"/>
  <c r="AB2805" i="1"/>
  <c r="AB2804" i="1"/>
  <c r="AB2803" i="1"/>
  <c r="AB2802" i="1"/>
  <c r="AB2801" i="1"/>
  <c r="AB2800" i="1"/>
  <c r="AB2799" i="1"/>
  <c r="AB2798" i="1"/>
  <c r="AB2797" i="1"/>
  <c r="AB2796" i="1"/>
  <c r="AB2795" i="1"/>
  <c r="AB2794" i="1"/>
  <c r="AB2793" i="1"/>
  <c r="AB2792" i="1"/>
  <c r="AB2791" i="1"/>
  <c r="AB2790" i="1"/>
  <c r="AB2789" i="1"/>
  <c r="AB2788" i="1"/>
  <c r="AB2787" i="1"/>
  <c r="AB2786" i="1"/>
  <c r="AB2785" i="1"/>
  <c r="AB2784" i="1"/>
  <c r="AB2783" i="1"/>
  <c r="AB2782" i="1"/>
  <c r="AB2781" i="1"/>
  <c r="AB2780" i="1"/>
  <c r="AB2779" i="1"/>
  <c r="AB2778" i="1"/>
  <c r="AB2777" i="1"/>
  <c r="AB2776" i="1"/>
  <c r="AB2775" i="1"/>
  <c r="AB2774" i="1"/>
  <c r="AB2773" i="1"/>
  <c r="AB2772" i="1"/>
  <c r="AB2771" i="1"/>
  <c r="AB2770" i="1"/>
  <c r="AB2769" i="1"/>
  <c r="AB2768" i="1"/>
  <c r="AB2767" i="1"/>
  <c r="AB2766" i="1"/>
  <c r="AB2765" i="1"/>
  <c r="AB2764" i="1"/>
  <c r="AB2763" i="1"/>
  <c r="AB2762" i="1"/>
  <c r="AB2761" i="1"/>
  <c r="AB2760" i="1"/>
  <c r="AB2759" i="1"/>
  <c r="AB2758" i="1"/>
  <c r="AB2757" i="1"/>
  <c r="AB2756" i="1"/>
  <c r="AB2755" i="1"/>
  <c r="AB2754" i="1"/>
  <c r="AB2753" i="1"/>
  <c r="AB2752" i="1"/>
  <c r="AB2751" i="1"/>
  <c r="AB2750" i="1"/>
  <c r="AB2749" i="1"/>
  <c r="AB2748" i="1"/>
  <c r="AB2747" i="1"/>
  <c r="AB2746" i="1"/>
  <c r="AB2745" i="1"/>
  <c r="AB2744" i="1"/>
  <c r="AB2743" i="1"/>
  <c r="AB2742" i="1"/>
  <c r="AB2741" i="1"/>
  <c r="AB2740" i="1"/>
  <c r="AB2739" i="1"/>
  <c r="AB2738" i="1"/>
  <c r="AB2737" i="1"/>
  <c r="AB2736" i="1"/>
  <c r="AB2735" i="1"/>
  <c r="AB2734" i="1"/>
  <c r="AB2733" i="1"/>
  <c r="AB2732" i="1"/>
  <c r="AB2731" i="1"/>
  <c r="AB2730" i="1"/>
  <c r="AB2729" i="1"/>
  <c r="AB2728" i="1"/>
  <c r="AB2727" i="1"/>
  <c r="AB2726" i="1"/>
  <c r="AB2725" i="1"/>
  <c r="AB2724" i="1"/>
  <c r="AB2723" i="1"/>
  <c r="AB2722" i="1"/>
  <c r="AB2721" i="1"/>
  <c r="AB2720" i="1"/>
  <c r="AB2719" i="1"/>
  <c r="AB2718" i="1"/>
  <c r="AB2717" i="1"/>
  <c r="AB2716" i="1"/>
  <c r="AB2715" i="1"/>
  <c r="AB2714" i="1"/>
  <c r="AB2713" i="1"/>
  <c r="AB2712" i="1"/>
  <c r="AB2711" i="1"/>
  <c r="AB2710" i="1"/>
  <c r="AB2709" i="1"/>
  <c r="AB2708" i="1"/>
  <c r="AB2707" i="1"/>
  <c r="AB2706" i="1"/>
  <c r="AB2705" i="1"/>
  <c r="AB2704" i="1"/>
  <c r="AB2703" i="1"/>
  <c r="AB2702" i="1"/>
  <c r="AB2701" i="1"/>
  <c r="AB2700" i="1"/>
  <c r="AB2699" i="1"/>
  <c r="AB2698" i="1"/>
  <c r="AB2697" i="1"/>
  <c r="AB2696" i="1"/>
  <c r="AB2695" i="1"/>
  <c r="AB2694" i="1"/>
  <c r="AB2693" i="1"/>
  <c r="AB2692" i="1"/>
  <c r="AB2691" i="1"/>
  <c r="AB2690" i="1"/>
  <c r="AB2689" i="1"/>
  <c r="AB2688" i="1"/>
  <c r="AB2687" i="1"/>
  <c r="AB2686" i="1"/>
  <c r="AB2685" i="1"/>
  <c r="AB2684" i="1"/>
  <c r="AB2683" i="1"/>
  <c r="AB2682" i="1"/>
  <c r="AB2681" i="1"/>
  <c r="AB2680" i="1"/>
  <c r="AB2679" i="1"/>
  <c r="AB2678" i="1"/>
  <c r="AB2677" i="1"/>
  <c r="AB2676" i="1"/>
  <c r="AB2675" i="1"/>
  <c r="AB2674" i="1"/>
  <c r="AB2673" i="1"/>
  <c r="AB2672" i="1"/>
  <c r="AB2671" i="1"/>
  <c r="AB2670" i="1"/>
  <c r="AB2669" i="1"/>
  <c r="AB2668" i="1"/>
  <c r="AB2667" i="1"/>
  <c r="AB2666" i="1"/>
  <c r="AB2665" i="1"/>
  <c r="AB2664" i="1"/>
  <c r="AB2663" i="1"/>
  <c r="AB2662" i="1"/>
  <c r="AB2661" i="1"/>
  <c r="AB2660" i="1"/>
  <c r="AB2659" i="1"/>
  <c r="AB2658" i="1"/>
  <c r="AB2657" i="1"/>
  <c r="AB2656" i="1"/>
  <c r="AB2655" i="1"/>
  <c r="AB2654" i="1"/>
  <c r="AB2653" i="1"/>
  <c r="AB2652" i="1"/>
  <c r="AB2651" i="1"/>
  <c r="AB2650" i="1"/>
  <c r="AB2649" i="1"/>
  <c r="AB2648" i="1"/>
  <c r="AB2647" i="1"/>
  <c r="AB2646" i="1"/>
  <c r="AB2645" i="1"/>
  <c r="AB2644" i="1"/>
  <c r="AB2643" i="1"/>
  <c r="AB2642" i="1"/>
  <c r="AB2641" i="1"/>
  <c r="AB2640" i="1"/>
  <c r="AB2639" i="1"/>
  <c r="AB2638" i="1"/>
  <c r="AB2637" i="1"/>
  <c r="AB2636" i="1"/>
  <c r="AB2635" i="1"/>
  <c r="AB2634" i="1"/>
  <c r="AB2633" i="1"/>
  <c r="AB2632" i="1"/>
  <c r="AB2631" i="1"/>
  <c r="AB2630" i="1"/>
  <c r="AB2629" i="1"/>
  <c r="AB2628" i="1"/>
  <c r="AB2627" i="1"/>
  <c r="AB2626" i="1"/>
  <c r="AB2625" i="1"/>
  <c r="AB2624" i="1"/>
  <c r="AB2623" i="1"/>
  <c r="AB2622" i="1"/>
  <c r="AB2621" i="1"/>
  <c r="AB2620" i="1"/>
  <c r="AB2619" i="1"/>
  <c r="AB2618" i="1"/>
  <c r="AB2617" i="1"/>
  <c r="AB2616" i="1"/>
  <c r="AB2615" i="1"/>
  <c r="AB2614" i="1"/>
  <c r="AB2613" i="1"/>
  <c r="AB2612" i="1"/>
  <c r="AB2611" i="1"/>
  <c r="AB2610" i="1"/>
  <c r="AB2609" i="1"/>
  <c r="AB2608" i="1"/>
  <c r="AB2607" i="1"/>
  <c r="AB2606" i="1"/>
  <c r="AB2605" i="1"/>
  <c r="AB2604" i="1"/>
  <c r="AB2603" i="1"/>
  <c r="AB2602" i="1"/>
  <c r="AB2601" i="1"/>
  <c r="AB2600" i="1"/>
  <c r="AB2599" i="1"/>
  <c r="AB2598" i="1"/>
  <c r="AB2597" i="1"/>
  <c r="AB2596" i="1"/>
  <c r="AB2595" i="1"/>
  <c r="AB2594" i="1"/>
  <c r="AB2593" i="1"/>
  <c r="AB2592" i="1"/>
  <c r="AB2591" i="1"/>
  <c r="AB2590" i="1"/>
  <c r="AB2589" i="1"/>
  <c r="AB2588" i="1"/>
  <c r="AB2587" i="1"/>
  <c r="AB2586" i="1"/>
  <c r="AB2585" i="1"/>
  <c r="AB2584" i="1"/>
  <c r="AB2583" i="1"/>
  <c r="AB2582" i="1"/>
  <c r="AB2581" i="1"/>
  <c r="AB2580" i="1"/>
  <c r="AB2579" i="1"/>
  <c r="AB2578" i="1"/>
  <c r="AB2577" i="1"/>
  <c r="AB2576" i="1"/>
  <c r="AB2575" i="1"/>
  <c r="AB2574" i="1"/>
  <c r="AB2573" i="1"/>
  <c r="AB2572" i="1"/>
  <c r="AB2571" i="1"/>
  <c r="AB2570" i="1"/>
  <c r="AB2569" i="1"/>
  <c r="AB2568" i="1"/>
  <c r="AB2567" i="1"/>
  <c r="AB2566" i="1"/>
  <c r="AB2565" i="1"/>
  <c r="AB2564" i="1"/>
  <c r="AB2563" i="1"/>
  <c r="AB2562" i="1"/>
  <c r="AB2561" i="1"/>
  <c r="AB2560" i="1"/>
  <c r="AB2559" i="1"/>
  <c r="AB2558" i="1"/>
  <c r="AB2557" i="1"/>
  <c r="AB2556" i="1"/>
  <c r="AB2555" i="1"/>
  <c r="AB2554" i="1"/>
  <c r="AB2553" i="1"/>
  <c r="AB2552" i="1"/>
  <c r="AB2551" i="1"/>
  <c r="AB2550" i="1"/>
  <c r="AB2549" i="1"/>
  <c r="AB2548" i="1"/>
  <c r="AB2547" i="1"/>
  <c r="AB2546" i="1"/>
  <c r="AB2545" i="1"/>
  <c r="AB2544" i="1"/>
  <c r="AB2543" i="1"/>
  <c r="AB2542" i="1"/>
  <c r="AB2541" i="1"/>
  <c r="AB2540" i="1"/>
  <c r="AB2539" i="1"/>
  <c r="AB2538" i="1"/>
  <c r="AB2537" i="1"/>
  <c r="AB2536" i="1"/>
  <c r="AB2535" i="1"/>
  <c r="AB2534" i="1"/>
  <c r="AB2533" i="1"/>
  <c r="AB2532" i="1"/>
  <c r="AB2531" i="1"/>
  <c r="AB2530" i="1"/>
  <c r="AB2529" i="1"/>
  <c r="AB2528" i="1"/>
  <c r="AB2527" i="1"/>
  <c r="AB2526" i="1"/>
  <c r="AB2525" i="1"/>
  <c r="AB2524" i="1"/>
  <c r="AB2523" i="1"/>
  <c r="AB2522" i="1"/>
  <c r="AB2521" i="1"/>
  <c r="AB2520" i="1"/>
  <c r="AB2519" i="1"/>
  <c r="AB2518" i="1"/>
  <c r="AB2517" i="1"/>
  <c r="AB2516" i="1"/>
  <c r="AB2515" i="1"/>
  <c r="AB2514" i="1"/>
  <c r="AB2513" i="1"/>
  <c r="AB2512" i="1"/>
  <c r="AB2511" i="1"/>
  <c r="AB2510" i="1"/>
  <c r="AB2509" i="1"/>
  <c r="AB2508" i="1"/>
  <c r="AB2507" i="1"/>
  <c r="AB2506" i="1"/>
  <c r="AB2505" i="1"/>
  <c r="AB2504" i="1"/>
  <c r="AB2503" i="1"/>
  <c r="AB2502" i="1"/>
  <c r="AB2501" i="1"/>
  <c r="AB2500" i="1"/>
  <c r="AB2499" i="1"/>
  <c r="AB2498" i="1"/>
  <c r="AB2497" i="1"/>
  <c r="AB2496" i="1"/>
  <c r="AB2495" i="1"/>
  <c r="AB2494" i="1"/>
  <c r="AB2493" i="1"/>
  <c r="AB2492" i="1"/>
  <c r="AB2491" i="1"/>
  <c r="AB2490" i="1"/>
  <c r="AB2489" i="1"/>
  <c r="AB2488" i="1"/>
  <c r="AB2487" i="1"/>
  <c r="AB2486" i="1"/>
  <c r="AB2485" i="1"/>
  <c r="AB2484" i="1"/>
  <c r="AB2483" i="1"/>
  <c r="AB2482" i="1"/>
  <c r="AB2481" i="1"/>
  <c r="AB2480" i="1"/>
  <c r="AB2479" i="1"/>
  <c r="AB2478" i="1"/>
  <c r="AB2477" i="1"/>
  <c r="AB2476" i="1"/>
  <c r="AB2475" i="1"/>
  <c r="AB2474" i="1"/>
  <c r="AB2473" i="1"/>
  <c r="AB2472" i="1"/>
  <c r="AB2471" i="1"/>
  <c r="AB2470" i="1"/>
  <c r="AB2469" i="1"/>
  <c r="AB2468" i="1"/>
  <c r="AB2467" i="1"/>
  <c r="AB2466" i="1"/>
  <c r="AB2465" i="1"/>
  <c r="AB2464" i="1"/>
  <c r="AB2463" i="1"/>
  <c r="AB2462" i="1"/>
  <c r="AB2461" i="1"/>
  <c r="AB2460" i="1"/>
  <c r="AB2459" i="1"/>
  <c r="AB2458" i="1"/>
  <c r="AB2457" i="1"/>
  <c r="AB2456" i="1"/>
  <c r="AB2455" i="1"/>
  <c r="AB2454" i="1"/>
  <c r="AB2453" i="1"/>
  <c r="AB2452" i="1"/>
  <c r="AB2451" i="1"/>
  <c r="AB2450" i="1"/>
  <c r="AB2449" i="1"/>
  <c r="AB2448" i="1"/>
  <c r="AB2447" i="1"/>
  <c r="AB2446" i="1"/>
  <c r="AB2445" i="1"/>
  <c r="AB2444" i="1"/>
  <c r="AB2443" i="1"/>
  <c r="AB2442" i="1"/>
  <c r="AB2441" i="1"/>
  <c r="AB2440" i="1"/>
  <c r="AB2439" i="1"/>
  <c r="AB2438" i="1"/>
  <c r="AB2437" i="1"/>
  <c r="AB2436" i="1"/>
  <c r="AB2435" i="1"/>
  <c r="AB2434" i="1"/>
  <c r="AB2433" i="1"/>
  <c r="AB2432" i="1"/>
  <c r="AB2431" i="1"/>
  <c r="AB2430" i="1"/>
  <c r="AB2429" i="1"/>
  <c r="AB2428" i="1"/>
  <c r="AB2427" i="1"/>
  <c r="AB2426" i="1"/>
  <c r="AB2425" i="1"/>
  <c r="AB2424" i="1"/>
  <c r="AB2423" i="1"/>
  <c r="AB2422" i="1"/>
  <c r="AB2421" i="1"/>
  <c r="AB2420" i="1"/>
  <c r="AB2419" i="1"/>
  <c r="AB2418" i="1"/>
  <c r="AB2417" i="1"/>
  <c r="AB2416" i="1"/>
  <c r="AB2415" i="1"/>
  <c r="AB2414" i="1"/>
  <c r="AB2413" i="1"/>
  <c r="AB2412" i="1"/>
  <c r="AB2411" i="1"/>
  <c r="AB2410" i="1"/>
  <c r="AB2409" i="1"/>
  <c r="AB2408" i="1"/>
  <c r="AB2407" i="1"/>
  <c r="AB2406" i="1"/>
  <c r="AB2405" i="1"/>
  <c r="AB2404" i="1"/>
  <c r="AB2403" i="1"/>
  <c r="AB2402" i="1"/>
  <c r="AB2401" i="1"/>
  <c r="AB2400" i="1"/>
  <c r="AB2399" i="1"/>
  <c r="AB2398" i="1"/>
  <c r="AB2397" i="1"/>
  <c r="AB2396" i="1"/>
  <c r="AB2395" i="1"/>
  <c r="AB2394" i="1"/>
  <c r="AB2393" i="1"/>
  <c r="AB2392" i="1"/>
  <c r="AB2391" i="1"/>
  <c r="AB2390" i="1"/>
  <c r="AB2389" i="1"/>
  <c r="AB2388" i="1"/>
  <c r="AB2387" i="1"/>
  <c r="AB2386" i="1"/>
  <c r="AB2385" i="1"/>
  <c r="AB2384" i="1"/>
  <c r="AB2383" i="1"/>
  <c r="AB2382" i="1"/>
  <c r="AB2381" i="1"/>
  <c r="AB2380" i="1"/>
  <c r="AB2379" i="1"/>
  <c r="AB2378" i="1"/>
  <c r="AB2377" i="1"/>
  <c r="AB2376" i="1"/>
  <c r="AB2375" i="1"/>
  <c r="AB2374" i="1"/>
  <c r="AB2373" i="1"/>
  <c r="AB2372" i="1"/>
  <c r="AB2371" i="1"/>
  <c r="AB2370" i="1"/>
  <c r="AB2369" i="1"/>
  <c r="AB2368" i="1"/>
  <c r="AB2367" i="1"/>
  <c r="AB2366" i="1"/>
  <c r="AB2365" i="1"/>
  <c r="AB2364" i="1"/>
  <c r="AB2363" i="1"/>
  <c r="AB2362" i="1"/>
  <c r="AB2361" i="1"/>
  <c r="AB2360" i="1"/>
  <c r="AB2359" i="1"/>
  <c r="AB2358" i="1"/>
  <c r="AB2357" i="1"/>
  <c r="AB2356" i="1"/>
  <c r="AB2355" i="1"/>
  <c r="AB2354" i="1"/>
  <c r="AB2353" i="1"/>
  <c r="AB2352" i="1"/>
  <c r="AB2351" i="1"/>
  <c r="AB2350" i="1"/>
  <c r="AB2349" i="1"/>
  <c r="AB2348" i="1"/>
  <c r="AB2347" i="1"/>
  <c r="AB2346" i="1"/>
  <c r="AB2345" i="1"/>
  <c r="AB2344" i="1"/>
  <c r="AB2343" i="1"/>
  <c r="AB2342" i="1"/>
  <c r="AB2341" i="1"/>
  <c r="AB2340" i="1"/>
  <c r="AB2339" i="1"/>
  <c r="AB2338" i="1"/>
  <c r="AB2337" i="1"/>
  <c r="AB2336" i="1"/>
  <c r="AB2335" i="1"/>
  <c r="AB2334" i="1"/>
  <c r="AB2333" i="1"/>
  <c r="AB2332" i="1"/>
  <c r="AB2331" i="1"/>
  <c r="AB2330" i="1"/>
  <c r="AB2329" i="1"/>
  <c r="AB2328" i="1"/>
  <c r="AB2327" i="1"/>
  <c r="AB2326" i="1"/>
  <c r="AB2325" i="1"/>
  <c r="AB2324" i="1"/>
  <c r="AB2323" i="1"/>
  <c r="AB2322" i="1"/>
  <c r="AB2321" i="1"/>
  <c r="AB2320" i="1"/>
  <c r="AB2319" i="1"/>
  <c r="AB2318" i="1"/>
  <c r="AB2317" i="1"/>
  <c r="AB2316" i="1"/>
  <c r="AB2315" i="1"/>
  <c r="AB2314" i="1"/>
  <c r="AB2313" i="1"/>
  <c r="AB2312" i="1"/>
  <c r="AB2311" i="1"/>
  <c r="AB2310" i="1"/>
  <c r="AB2309" i="1"/>
  <c r="AB2308" i="1"/>
  <c r="AB2307" i="1"/>
  <c r="AB2306" i="1"/>
  <c r="AB2305" i="1"/>
  <c r="AB2304" i="1"/>
  <c r="AB2303" i="1"/>
  <c r="AB2302" i="1"/>
  <c r="AB2301" i="1"/>
  <c r="AB2300" i="1"/>
  <c r="AB2299" i="1"/>
  <c r="AB2298" i="1"/>
  <c r="AB2297" i="1"/>
  <c r="AB2296" i="1"/>
  <c r="AB2295" i="1"/>
  <c r="AB2294" i="1"/>
  <c r="AB2293" i="1"/>
  <c r="AB2292" i="1"/>
  <c r="AB2291" i="1"/>
  <c r="AB2290" i="1"/>
  <c r="AB2289" i="1"/>
  <c r="AB2288" i="1"/>
  <c r="AB2287" i="1"/>
  <c r="AB2286" i="1"/>
  <c r="AB2285" i="1"/>
  <c r="AB2284" i="1"/>
  <c r="AB2283" i="1"/>
  <c r="AB2282" i="1"/>
  <c r="AB2281" i="1"/>
  <c r="AB2280" i="1"/>
  <c r="AB2279" i="1"/>
  <c r="AB2278" i="1"/>
  <c r="AB2277" i="1"/>
  <c r="AB2276" i="1"/>
  <c r="AB2275" i="1"/>
  <c r="AB2274" i="1"/>
  <c r="AB2273" i="1"/>
  <c r="AB2272" i="1"/>
  <c r="AB2271" i="1"/>
  <c r="AB2270" i="1"/>
  <c r="AB2269" i="1"/>
  <c r="AB2268" i="1"/>
  <c r="AB2267" i="1"/>
  <c r="AB2266" i="1"/>
  <c r="AB2265" i="1"/>
  <c r="AB2264" i="1"/>
  <c r="AB2263" i="1"/>
  <c r="AB2262" i="1"/>
  <c r="AB2261" i="1"/>
  <c r="AB2260" i="1"/>
  <c r="AB2259" i="1"/>
  <c r="AB2258" i="1"/>
  <c r="AB2257" i="1"/>
  <c r="AB2256" i="1"/>
  <c r="AB2255" i="1"/>
  <c r="AB2254" i="1"/>
  <c r="AB2253" i="1"/>
  <c r="AB2252" i="1"/>
  <c r="AB2251" i="1"/>
  <c r="AB2250" i="1"/>
  <c r="AB2249" i="1"/>
  <c r="AB2248" i="1"/>
  <c r="AB2247" i="1"/>
  <c r="AB2246" i="1"/>
  <c r="AB2245" i="1"/>
  <c r="AB2244" i="1"/>
  <c r="AB2243" i="1"/>
  <c r="AB2242" i="1"/>
  <c r="AB2241" i="1"/>
  <c r="AB2240" i="1"/>
  <c r="AB2239" i="1"/>
  <c r="AB2238" i="1"/>
  <c r="AB2237" i="1"/>
  <c r="AB2236" i="1"/>
  <c r="AB2235" i="1"/>
  <c r="AB2234" i="1"/>
  <c r="AB2233" i="1"/>
  <c r="AB2232" i="1"/>
  <c r="AB2231" i="1"/>
  <c r="AB2230" i="1"/>
  <c r="AB2229" i="1"/>
  <c r="AB2228" i="1"/>
  <c r="AB2227" i="1"/>
  <c r="AB2226" i="1"/>
  <c r="AB2225" i="1"/>
  <c r="AB2224" i="1"/>
  <c r="AB2223" i="1"/>
  <c r="AB2222" i="1"/>
  <c r="AB2221" i="1"/>
  <c r="AB2220" i="1"/>
  <c r="AB2219" i="1"/>
  <c r="AB2218" i="1"/>
  <c r="AB2217" i="1"/>
  <c r="AB2216" i="1"/>
  <c r="AB2215" i="1"/>
  <c r="AB2214" i="1"/>
  <c r="AB2213" i="1"/>
  <c r="AB2212" i="1"/>
  <c r="AB2211" i="1"/>
  <c r="AB2210" i="1"/>
  <c r="AB2209" i="1"/>
  <c r="AB2208" i="1"/>
  <c r="AB2207" i="1"/>
  <c r="AB2206" i="1"/>
  <c r="AB2205" i="1"/>
  <c r="AB2204" i="1"/>
  <c r="AB2203" i="1"/>
  <c r="AB2202" i="1"/>
  <c r="AB2201" i="1"/>
  <c r="AB2200" i="1"/>
  <c r="AB2199" i="1"/>
  <c r="AB2198" i="1"/>
  <c r="AB2197" i="1"/>
  <c r="AB2196" i="1"/>
  <c r="AB2195" i="1"/>
  <c r="AB2194" i="1"/>
  <c r="AB2193" i="1"/>
  <c r="AB2192" i="1"/>
  <c r="AB2191" i="1"/>
  <c r="AB2190" i="1"/>
  <c r="AB2189" i="1"/>
  <c r="AB2188" i="1"/>
  <c r="AB2187" i="1"/>
  <c r="AB2186" i="1"/>
  <c r="AB2185" i="1"/>
  <c r="AB2184" i="1"/>
  <c r="AB2183" i="1"/>
  <c r="AB2182" i="1"/>
  <c r="AB2181" i="1"/>
  <c r="AB2180" i="1"/>
  <c r="AB2179" i="1"/>
  <c r="AB2178" i="1"/>
  <c r="AB2177" i="1"/>
  <c r="AB2176" i="1"/>
  <c r="AB2175" i="1"/>
  <c r="AB2174" i="1"/>
  <c r="AB2173" i="1"/>
  <c r="AB2172" i="1"/>
  <c r="AB2171" i="1"/>
  <c r="AB2170" i="1"/>
  <c r="AB2169" i="1"/>
  <c r="AB2168" i="1"/>
  <c r="AB2167" i="1"/>
  <c r="AB2166" i="1"/>
  <c r="AB2165" i="1"/>
  <c r="AB2164" i="1"/>
  <c r="AB2163" i="1"/>
  <c r="AB2162" i="1"/>
  <c r="AB2161" i="1"/>
  <c r="AB2160" i="1"/>
  <c r="AB2159" i="1"/>
  <c r="AB2158" i="1"/>
  <c r="AB2157" i="1"/>
  <c r="AB2156" i="1"/>
  <c r="AB2155" i="1"/>
  <c r="AB2154" i="1"/>
  <c r="AB2153" i="1"/>
  <c r="AB2152" i="1"/>
  <c r="AB2151" i="1"/>
  <c r="AB2150" i="1"/>
  <c r="AB2149" i="1"/>
  <c r="AB2148" i="1"/>
  <c r="AB2147" i="1"/>
  <c r="AB2146" i="1"/>
  <c r="AB2145" i="1"/>
  <c r="AB2144" i="1"/>
  <c r="AB2143" i="1"/>
  <c r="AB2142" i="1"/>
  <c r="AB2141" i="1"/>
  <c r="AB2140" i="1"/>
  <c r="AB2139" i="1"/>
  <c r="AB2138" i="1"/>
  <c r="AB2137" i="1"/>
  <c r="AB2136" i="1"/>
  <c r="AB2135" i="1"/>
  <c r="AB2134" i="1"/>
  <c r="AB2133" i="1"/>
  <c r="AB2132" i="1"/>
  <c r="AB2131" i="1"/>
  <c r="AB2130" i="1"/>
  <c r="AB2129" i="1"/>
  <c r="AB2128" i="1"/>
  <c r="AB2127" i="1"/>
  <c r="AB2126" i="1"/>
  <c r="AB2125" i="1"/>
  <c r="AB2124" i="1"/>
  <c r="AB2123" i="1"/>
  <c r="AB2122" i="1"/>
  <c r="AB2121" i="1"/>
  <c r="AB2120" i="1"/>
  <c r="AB2119" i="1"/>
  <c r="AB2118" i="1"/>
  <c r="AB2117" i="1"/>
  <c r="AB2116" i="1"/>
  <c r="AB2115" i="1"/>
  <c r="AB2114" i="1"/>
  <c r="AB2113" i="1"/>
  <c r="AB2112" i="1"/>
  <c r="AB2111" i="1"/>
  <c r="AB2110" i="1"/>
  <c r="AB2109" i="1"/>
  <c r="AB2108" i="1"/>
  <c r="AB2107" i="1"/>
  <c r="AB2106" i="1"/>
  <c r="AB2105" i="1"/>
  <c r="AB2104" i="1"/>
  <c r="AB2103" i="1"/>
  <c r="AB2102" i="1"/>
  <c r="AB2101" i="1"/>
  <c r="AB2100" i="1"/>
  <c r="AB2099" i="1"/>
  <c r="AB2098" i="1"/>
  <c r="AB2097" i="1"/>
  <c r="AB2096" i="1"/>
  <c r="AB2095" i="1"/>
  <c r="AB2094" i="1"/>
  <c r="AB2093" i="1"/>
  <c r="AB2092" i="1"/>
  <c r="AB2091" i="1"/>
  <c r="AB2090" i="1"/>
  <c r="AB2089" i="1"/>
  <c r="AB2088" i="1"/>
  <c r="AB2087" i="1"/>
  <c r="AB2086" i="1"/>
  <c r="AB2085" i="1"/>
  <c r="AB2084" i="1"/>
  <c r="AB2083" i="1"/>
  <c r="AB2082" i="1"/>
  <c r="AB2081" i="1"/>
  <c r="AB2080" i="1"/>
  <c r="AB2079" i="1"/>
  <c r="AB2078" i="1"/>
  <c r="AB2077" i="1"/>
  <c r="AB2076" i="1"/>
  <c r="AB2075" i="1"/>
  <c r="AB2074" i="1"/>
  <c r="AB2073" i="1"/>
  <c r="AB2072" i="1"/>
  <c r="AB2071" i="1"/>
  <c r="AB2070" i="1"/>
  <c r="AB2069" i="1"/>
  <c r="AB2068" i="1"/>
  <c r="AB2067" i="1"/>
  <c r="AB2066" i="1"/>
  <c r="AB2065" i="1"/>
  <c r="AB2064" i="1"/>
  <c r="AB2063" i="1"/>
  <c r="AB2062" i="1"/>
  <c r="AB2061" i="1"/>
  <c r="AB2060" i="1"/>
  <c r="AB2059" i="1"/>
  <c r="AB2058" i="1"/>
  <c r="AB2057" i="1"/>
  <c r="AB2056" i="1"/>
  <c r="AB2055" i="1"/>
  <c r="AB2054" i="1"/>
  <c r="AB2053" i="1"/>
  <c r="AB2052" i="1"/>
  <c r="AB2051" i="1"/>
  <c r="AB2050" i="1"/>
  <c r="AB2049" i="1"/>
  <c r="AB2048" i="1"/>
  <c r="AB2047" i="1"/>
  <c r="AB2046" i="1"/>
  <c r="AB2045" i="1"/>
  <c r="AB2044" i="1"/>
  <c r="AB2043" i="1"/>
  <c r="AB2042" i="1"/>
  <c r="AB2041" i="1"/>
  <c r="AB2040" i="1"/>
  <c r="AB2039" i="1"/>
  <c r="AB2038" i="1"/>
  <c r="AB2037" i="1"/>
  <c r="AB2036" i="1"/>
  <c r="AB2035" i="1"/>
  <c r="AB2034" i="1"/>
  <c r="AB2033" i="1"/>
  <c r="AB2032" i="1"/>
  <c r="AB2031" i="1"/>
  <c r="AB2030" i="1"/>
  <c r="AB2029" i="1"/>
  <c r="AB2028" i="1"/>
  <c r="AB2027" i="1"/>
  <c r="AB2026" i="1"/>
  <c r="AB2025" i="1"/>
  <c r="AB2024" i="1"/>
  <c r="AB2023" i="1"/>
  <c r="AB2022" i="1"/>
  <c r="AB2021" i="1"/>
  <c r="AB2020" i="1"/>
  <c r="AB2019" i="1"/>
  <c r="AB2018" i="1"/>
  <c r="AB2017" i="1"/>
  <c r="AB2016" i="1"/>
  <c r="AB2015" i="1"/>
  <c r="AB2014" i="1"/>
  <c r="AB2013" i="1"/>
  <c r="AB2012" i="1"/>
  <c r="AB2011" i="1"/>
  <c r="AB2010" i="1"/>
  <c r="AB2009" i="1"/>
  <c r="AB2008" i="1"/>
  <c r="AB2007" i="1"/>
  <c r="AB2006" i="1"/>
  <c r="AB2005" i="1"/>
  <c r="AB2004" i="1"/>
  <c r="AB2003" i="1"/>
  <c r="AB2002" i="1"/>
  <c r="AB2001" i="1"/>
  <c r="AB2000" i="1"/>
  <c r="AB1999" i="1"/>
  <c r="AB1998" i="1"/>
  <c r="AB1997" i="1"/>
  <c r="AB1996" i="1"/>
  <c r="AB1995" i="1"/>
  <c r="AB1994" i="1"/>
  <c r="AB1993" i="1"/>
  <c r="AB1992" i="1"/>
  <c r="AB1991" i="1"/>
  <c r="AB1990" i="1"/>
  <c r="AB1989" i="1"/>
  <c r="AB1988" i="1"/>
  <c r="AB1987" i="1"/>
  <c r="AB1986" i="1"/>
  <c r="AB1985" i="1"/>
  <c r="AB1984" i="1"/>
  <c r="AB1983" i="1"/>
  <c r="AB1982" i="1"/>
  <c r="AB1981" i="1"/>
  <c r="AB1980" i="1"/>
  <c r="AB1979" i="1"/>
  <c r="AB1978" i="1"/>
  <c r="AB1977" i="1"/>
  <c r="AB1976" i="1"/>
  <c r="AB1975" i="1"/>
  <c r="AB1974" i="1"/>
  <c r="AB1973" i="1"/>
  <c r="AB1972" i="1"/>
  <c r="AB1971" i="1"/>
  <c r="AB1970" i="1"/>
  <c r="AB1969" i="1"/>
  <c r="AB1968" i="1"/>
  <c r="AB1967" i="1"/>
  <c r="AB1966" i="1"/>
  <c r="AB1965" i="1"/>
  <c r="AB1964" i="1"/>
  <c r="AB1963" i="1"/>
  <c r="AB1962" i="1"/>
  <c r="AB1961" i="1"/>
  <c r="AB1960" i="1"/>
  <c r="AB1959" i="1"/>
  <c r="AB1958" i="1"/>
  <c r="AB1957" i="1"/>
  <c r="AB1956" i="1"/>
  <c r="AB1955" i="1"/>
  <c r="AB1954" i="1"/>
  <c r="AB1953" i="1"/>
  <c r="AB1952" i="1"/>
  <c r="AB1951" i="1"/>
  <c r="AB1950" i="1"/>
  <c r="AB1949" i="1"/>
  <c r="AB1948" i="1"/>
  <c r="AB1947" i="1"/>
  <c r="AB1946" i="1"/>
  <c r="AB1945" i="1"/>
  <c r="AB1944" i="1"/>
  <c r="AB1943" i="1"/>
  <c r="AB1942" i="1"/>
  <c r="AB1941" i="1"/>
  <c r="AB1940" i="1"/>
  <c r="AB1939" i="1"/>
  <c r="AB1938" i="1"/>
  <c r="AB1937" i="1"/>
  <c r="AB1936" i="1"/>
  <c r="AB1935" i="1"/>
  <c r="AB1934" i="1"/>
  <c r="AB1933" i="1"/>
  <c r="AB1932" i="1"/>
  <c r="AB1931" i="1"/>
  <c r="AB1930" i="1"/>
  <c r="AB1929" i="1"/>
  <c r="AB1928" i="1"/>
  <c r="AB1927" i="1"/>
  <c r="AB1926" i="1"/>
  <c r="AB1925" i="1"/>
  <c r="AB1924" i="1"/>
  <c r="AB1923" i="1"/>
  <c r="AB1922" i="1"/>
  <c r="AB1921" i="1"/>
  <c r="AB1920" i="1"/>
  <c r="AB1919" i="1"/>
  <c r="AB1918" i="1"/>
  <c r="AB1917" i="1"/>
  <c r="AB1916" i="1"/>
  <c r="AB1915" i="1"/>
  <c r="AB1914" i="1"/>
  <c r="AB1913" i="1"/>
  <c r="AB1912" i="1"/>
  <c r="AB1911" i="1"/>
  <c r="AB1910" i="1"/>
  <c r="AB1909" i="1"/>
  <c r="AB1908" i="1"/>
  <c r="AB1907" i="1"/>
  <c r="AB1906" i="1"/>
  <c r="AB1905" i="1"/>
  <c r="AB1904" i="1"/>
  <c r="AB1903" i="1"/>
  <c r="AB1902" i="1"/>
  <c r="AB1901" i="1"/>
  <c r="AB1900" i="1"/>
  <c r="AB1899" i="1"/>
  <c r="AB1898" i="1"/>
  <c r="AB1897" i="1"/>
  <c r="AB1896" i="1"/>
  <c r="AB1895" i="1"/>
  <c r="AB1894" i="1"/>
  <c r="AB1893" i="1"/>
  <c r="AB1892" i="1"/>
  <c r="AB1891" i="1"/>
  <c r="AB1890" i="1"/>
  <c r="AB1889" i="1"/>
  <c r="AB1888" i="1"/>
  <c r="AB1887" i="1"/>
  <c r="AB1886" i="1"/>
  <c r="AB1885" i="1"/>
  <c r="AB1884" i="1"/>
  <c r="AB1883" i="1"/>
  <c r="AB1882" i="1"/>
  <c r="AB1881" i="1"/>
  <c r="AB1880" i="1"/>
  <c r="AB1879" i="1"/>
  <c r="AB1878" i="1"/>
  <c r="AB1877" i="1"/>
  <c r="AB1876" i="1"/>
  <c r="AB1875" i="1"/>
  <c r="AB1874" i="1"/>
  <c r="AB1873" i="1"/>
  <c r="AB1872" i="1"/>
  <c r="AB1871" i="1"/>
  <c r="AB1870" i="1"/>
  <c r="AB1869" i="1"/>
  <c r="AB1868" i="1"/>
  <c r="AB1867" i="1"/>
  <c r="AB1866" i="1"/>
  <c r="AB1865" i="1"/>
  <c r="AB1864" i="1"/>
  <c r="AB1863" i="1"/>
  <c r="AB1862" i="1"/>
  <c r="AB1861" i="1"/>
  <c r="AB1860" i="1"/>
  <c r="AB1859" i="1"/>
  <c r="AB1858" i="1"/>
  <c r="AB1857" i="1"/>
  <c r="AB1856" i="1"/>
  <c r="AB1855" i="1"/>
  <c r="AB1854" i="1"/>
  <c r="AB1853" i="1"/>
  <c r="AB1852" i="1"/>
  <c r="AB1851" i="1"/>
  <c r="AB1850" i="1"/>
  <c r="AB1849" i="1"/>
  <c r="AB1848" i="1"/>
  <c r="AB1847" i="1"/>
  <c r="AB1846" i="1"/>
  <c r="AB1845" i="1"/>
  <c r="AB1844" i="1"/>
  <c r="AB1843" i="1"/>
  <c r="AB1842" i="1"/>
  <c r="AB1841" i="1"/>
  <c r="AB1840" i="1"/>
  <c r="AB1839" i="1"/>
  <c r="AB1838" i="1"/>
  <c r="AB1837" i="1"/>
  <c r="AB1836" i="1"/>
  <c r="AB1835" i="1"/>
  <c r="AB1834" i="1"/>
  <c r="AB1833" i="1"/>
  <c r="AB1832" i="1"/>
  <c r="AB1831" i="1"/>
  <c r="AB1830" i="1"/>
  <c r="AB1829" i="1"/>
  <c r="AB1828" i="1"/>
  <c r="AB1827" i="1"/>
  <c r="AB1826" i="1"/>
  <c r="AB1825" i="1"/>
  <c r="AB1824" i="1"/>
  <c r="AB1823" i="1"/>
  <c r="AB1822" i="1"/>
  <c r="AB1821" i="1"/>
  <c r="AB1820" i="1"/>
  <c r="AB1819" i="1"/>
  <c r="AB1818" i="1"/>
  <c r="AB1817" i="1"/>
  <c r="AB1816" i="1"/>
  <c r="AB1815" i="1"/>
  <c r="AB1814" i="1"/>
  <c r="AB1813" i="1"/>
  <c r="AB1812" i="1"/>
  <c r="AB1811" i="1"/>
  <c r="AB1810" i="1"/>
  <c r="AB1809" i="1"/>
  <c r="AB1808" i="1"/>
  <c r="AB1807" i="1"/>
  <c r="AB1806" i="1"/>
  <c r="AB1805" i="1"/>
  <c r="AB1804" i="1"/>
  <c r="AB1803" i="1"/>
  <c r="AB1802" i="1"/>
  <c r="AB1801" i="1"/>
  <c r="AB1800" i="1"/>
  <c r="AB1799" i="1"/>
  <c r="AB1798" i="1"/>
  <c r="AB1797" i="1"/>
  <c r="AB1796" i="1"/>
  <c r="AB1795" i="1"/>
  <c r="AB1794" i="1"/>
  <c r="AB1793" i="1"/>
  <c r="AB1792" i="1"/>
  <c r="AB1791" i="1"/>
  <c r="AB1790" i="1"/>
  <c r="AB1789" i="1"/>
  <c r="AB1788" i="1"/>
  <c r="AB1787" i="1"/>
  <c r="AB1786" i="1"/>
  <c r="AB1785" i="1"/>
  <c r="AB1784" i="1"/>
  <c r="AB1783" i="1"/>
  <c r="AB1782" i="1"/>
  <c r="AB1781" i="1"/>
  <c r="AB1780" i="1"/>
  <c r="AB1779" i="1"/>
  <c r="AB1778" i="1"/>
  <c r="AB1777" i="1"/>
  <c r="AB1776" i="1"/>
  <c r="AB1775" i="1"/>
  <c r="AB1774" i="1"/>
  <c r="AB1773" i="1"/>
  <c r="AB1772" i="1"/>
  <c r="AB1771" i="1"/>
  <c r="AB1770" i="1"/>
  <c r="AB1769" i="1"/>
  <c r="AB1768" i="1"/>
  <c r="AB1767" i="1"/>
  <c r="AB1766" i="1"/>
  <c r="AB1765" i="1"/>
  <c r="AB1764" i="1"/>
  <c r="AB1763" i="1"/>
  <c r="AB1762" i="1"/>
  <c r="AB1761" i="1"/>
  <c r="AB1760" i="1"/>
  <c r="AB1759" i="1"/>
  <c r="AB1758" i="1"/>
  <c r="AB1757" i="1"/>
  <c r="AB1756" i="1"/>
  <c r="AB1755" i="1"/>
  <c r="AB1754" i="1"/>
  <c r="AB1753" i="1"/>
  <c r="AB1752" i="1"/>
  <c r="AB1751" i="1"/>
  <c r="AB1750" i="1"/>
  <c r="AB1749" i="1"/>
  <c r="AB1748" i="1"/>
  <c r="AB1747" i="1"/>
  <c r="AB1746" i="1"/>
  <c r="AB1745" i="1"/>
  <c r="AB1744" i="1"/>
  <c r="AB1743" i="1"/>
  <c r="AB1742" i="1"/>
  <c r="AB1741" i="1"/>
  <c r="AB1740" i="1"/>
  <c r="AB1739" i="1"/>
  <c r="AB1738" i="1"/>
  <c r="AB1737" i="1"/>
  <c r="AB1736" i="1"/>
  <c r="AB1735" i="1"/>
  <c r="AB1734" i="1"/>
  <c r="AB1733" i="1"/>
  <c r="AB1732" i="1"/>
  <c r="AB1731" i="1"/>
  <c r="AB1730" i="1"/>
  <c r="AB1729" i="1"/>
  <c r="AB1728" i="1"/>
  <c r="AB1727" i="1"/>
  <c r="AB1726" i="1"/>
  <c r="AB1725" i="1"/>
  <c r="AB1724" i="1"/>
  <c r="AB1723" i="1"/>
  <c r="AB1722" i="1"/>
  <c r="AB1721" i="1"/>
  <c r="AB1720" i="1"/>
  <c r="AB1719" i="1"/>
  <c r="AB1718" i="1"/>
  <c r="AB1717" i="1"/>
  <c r="AB1716" i="1"/>
  <c r="AB1715" i="1"/>
  <c r="AB1714" i="1"/>
  <c r="AB1713" i="1"/>
  <c r="AB1712" i="1"/>
  <c r="AB1711" i="1"/>
  <c r="AB1710" i="1"/>
  <c r="AB1709" i="1"/>
  <c r="AB1708" i="1"/>
  <c r="AB1707" i="1"/>
  <c r="AB1706" i="1"/>
  <c r="AB1705" i="1"/>
  <c r="AB1704" i="1"/>
  <c r="AB1703" i="1"/>
  <c r="AB1702" i="1"/>
  <c r="AB1701" i="1"/>
  <c r="AB1700" i="1"/>
  <c r="AB1699" i="1"/>
  <c r="AB1698" i="1"/>
  <c r="AB1697" i="1"/>
  <c r="AB1696" i="1"/>
  <c r="AB1695" i="1"/>
  <c r="AB1694" i="1"/>
  <c r="AB1693" i="1"/>
  <c r="AB1692" i="1"/>
  <c r="AB1691" i="1"/>
  <c r="AB1690" i="1"/>
  <c r="AB1689" i="1"/>
  <c r="AB1688" i="1"/>
  <c r="AB1687" i="1"/>
  <c r="AB1686" i="1"/>
  <c r="AB1685" i="1"/>
  <c r="AB1684" i="1"/>
  <c r="AB1683" i="1"/>
  <c r="AB1682" i="1"/>
  <c r="AB1681" i="1"/>
  <c r="AB1680" i="1"/>
  <c r="AB1679" i="1"/>
  <c r="AB1678" i="1"/>
  <c r="AB1677" i="1"/>
  <c r="AB1676" i="1"/>
  <c r="AB1675" i="1"/>
  <c r="AB1674" i="1"/>
  <c r="AB1673" i="1"/>
  <c r="AB1672" i="1"/>
  <c r="AB1671" i="1"/>
  <c r="AB1670" i="1"/>
  <c r="AB1669" i="1"/>
  <c r="AB1668" i="1"/>
  <c r="AB1667" i="1"/>
  <c r="AB1666" i="1"/>
  <c r="AB1665" i="1"/>
  <c r="AB1664" i="1"/>
  <c r="AB1663" i="1"/>
  <c r="AB1662" i="1"/>
  <c r="AB1661" i="1"/>
  <c r="AB1660" i="1"/>
  <c r="AB1659" i="1"/>
  <c r="AB1658" i="1"/>
  <c r="AB1657" i="1"/>
  <c r="AB1656" i="1"/>
  <c r="AB1655" i="1"/>
  <c r="AB1654" i="1"/>
  <c r="AB1653" i="1"/>
  <c r="AB1652" i="1"/>
  <c r="AB1651" i="1"/>
  <c r="AB1650" i="1"/>
  <c r="AB1649" i="1"/>
  <c r="AB1648" i="1"/>
  <c r="AB1647" i="1"/>
  <c r="AB1646" i="1"/>
  <c r="AB1645" i="1"/>
  <c r="AB1644" i="1"/>
  <c r="AB1643" i="1"/>
  <c r="AB1642" i="1"/>
  <c r="AB1641" i="1"/>
  <c r="AB1640" i="1"/>
  <c r="AB1639" i="1"/>
  <c r="AB1638" i="1"/>
  <c r="AB1637" i="1"/>
  <c r="AB1636" i="1"/>
  <c r="AB1635" i="1"/>
  <c r="AB1634" i="1"/>
  <c r="AB1633" i="1"/>
  <c r="AB1632" i="1"/>
  <c r="AB1631" i="1"/>
  <c r="AB1630" i="1"/>
  <c r="AB1629" i="1"/>
  <c r="AB1628" i="1"/>
  <c r="AB1627" i="1"/>
  <c r="AB1626" i="1"/>
  <c r="AB1625" i="1"/>
  <c r="AB1624" i="1"/>
  <c r="AB1623" i="1"/>
  <c r="AB1622" i="1"/>
  <c r="AB1621" i="1"/>
  <c r="AB1620" i="1"/>
  <c r="AB1619" i="1"/>
  <c r="AB1618" i="1"/>
  <c r="AB1617" i="1"/>
  <c r="AB1616" i="1"/>
  <c r="AB1615" i="1"/>
  <c r="AB1614" i="1"/>
  <c r="AB1613" i="1"/>
  <c r="AB1612" i="1"/>
  <c r="AB1611" i="1"/>
  <c r="AB1610" i="1"/>
  <c r="AB1609" i="1"/>
  <c r="AB1608" i="1"/>
  <c r="AB1607" i="1"/>
  <c r="AB1606" i="1"/>
  <c r="AB1605" i="1"/>
  <c r="AB1604" i="1"/>
  <c r="AB1603" i="1"/>
  <c r="AB1602" i="1"/>
  <c r="AB1601" i="1"/>
  <c r="AB1600" i="1"/>
  <c r="AB1599" i="1"/>
  <c r="AB1598" i="1"/>
  <c r="AB1597" i="1"/>
  <c r="AB1596" i="1"/>
  <c r="AB1595" i="1"/>
  <c r="AB1594" i="1"/>
  <c r="AB1593" i="1"/>
  <c r="AB1592" i="1"/>
  <c r="AB1591" i="1"/>
  <c r="AB1590" i="1"/>
  <c r="AB1589" i="1"/>
  <c r="AB1588" i="1"/>
  <c r="AB1587" i="1"/>
  <c r="AB1586" i="1"/>
  <c r="AB1585" i="1"/>
  <c r="AB1584" i="1"/>
  <c r="AB1583" i="1"/>
  <c r="AB1582" i="1"/>
  <c r="AB1581" i="1"/>
  <c r="AB1580" i="1"/>
  <c r="AB1579" i="1"/>
  <c r="AB1578" i="1"/>
  <c r="AB1577" i="1"/>
  <c r="AB1576" i="1"/>
  <c r="AB1575" i="1"/>
  <c r="AB1574" i="1"/>
  <c r="AB1573" i="1"/>
  <c r="AB1572" i="1"/>
  <c r="AB1571" i="1"/>
  <c r="AB1570" i="1"/>
  <c r="AB1569" i="1"/>
  <c r="AB1568" i="1"/>
  <c r="AB1567" i="1"/>
  <c r="AB1566" i="1"/>
  <c r="AB1565" i="1"/>
  <c r="AB1564" i="1"/>
  <c r="AB1563" i="1"/>
  <c r="AB1562" i="1"/>
  <c r="AB1561" i="1"/>
  <c r="AB1560" i="1"/>
  <c r="AB1559" i="1"/>
  <c r="AB1558" i="1"/>
  <c r="AB1557" i="1"/>
  <c r="AB1556" i="1"/>
  <c r="AB1555" i="1"/>
  <c r="AB1554" i="1"/>
  <c r="AB1553" i="1"/>
  <c r="AB1552" i="1"/>
  <c r="AB1551" i="1"/>
  <c r="AB1550" i="1"/>
  <c r="AB1549" i="1"/>
  <c r="AB1548" i="1"/>
  <c r="AB1547" i="1"/>
  <c r="AB1546" i="1"/>
  <c r="AB1545" i="1"/>
  <c r="AB1544" i="1"/>
  <c r="AB1543" i="1"/>
  <c r="AB1542" i="1"/>
  <c r="AB1541" i="1"/>
  <c r="AB1540" i="1"/>
  <c r="AB1539" i="1"/>
  <c r="AB1538" i="1"/>
  <c r="AB1537" i="1"/>
  <c r="AB1536" i="1"/>
  <c r="AB1535" i="1"/>
  <c r="AB1534" i="1"/>
  <c r="AB1533" i="1"/>
  <c r="AB1532" i="1"/>
  <c r="AB1531" i="1"/>
  <c r="AB1530" i="1"/>
  <c r="AB1529" i="1"/>
  <c r="AB1528" i="1"/>
  <c r="AB1527" i="1"/>
  <c r="AB1526" i="1"/>
  <c r="AB1525" i="1"/>
  <c r="AB1524" i="1"/>
  <c r="AB1523" i="1"/>
  <c r="AB1522" i="1"/>
  <c r="AB1521" i="1"/>
  <c r="AB1520" i="1"/>
  <c r="AB1519" i="1"/>
  <c r="AB1518" i="1"/>
  <c r="AB1517" i="1"/>
  <c r="AB1516" i="1"/>
  <c r="AB1515" i="1"/>
  <c r="AB1514" i="1"/>
  <c r="AB1513" i="1"/>
  <c r="AB1512" i="1"/>
  <c r="AB1511" i="1"/>
  <c r="AB1510" i="1"/>
  <c r="AB1509" i="1"/>
  <c r="AB1508" i="1"/>
  <c r="AB1507" i="1"/>
  <c r="AB1506" i="1"/>
  <c r="AB1505" i="1"/>
  <c r="AB1504" i="1"/>
  <c r="AB1503" i="1"/>
  <c r="AB1502" i="1"/>
  <c r="AB1501" i="1"/>
  <c r="AB1500" i="1"/>
  <c r="AB1499" i="1"/>
  <c r="AB1498" i="1"/>
  <c r="AB1497" i="1"/>
  <c r="AB1496" i="1"/>
  <c r="AB1495" i="1"/>
  <c r="AB1494" i="1"/>
  <c r="AB1493" i="1"/>
  <c r="AB1492" i="1"/>
  <c r="AB1491" i="1"/>
  <c r="AB1490" i="1"/>
  <c r="AB1489" i="1"/>
  <c r="AB1488" i="1"/>
  <c r="AB1487" i="1"/>
  <c r="AB1486" i="1"/>
  <c r="AB1485" i="1"/>
  <c r="AB1484" i="1"/>
  <c r="AB1483" i="1"/>
  <c r="AB1482" i="1"/>
  <c r="AB1481" i="1"/>
  <c r="AB1480" i="1"/>
  <c r="AB1479" i="1"/>
  <c r="AB1478" i="1"/>
  <c r="AB1477" i="1"/>
  <c r="AB1476" i="1"/>
  <c r="AB1475" i="1"/>
  <c r="AB1474" i="1"/>
  <c r="AB1473" i="1"/>
  <c r="AB1472" i="1"/>
  <c r="AB1471" i="1"/>
  <c r="AB1470" i="1"/>
  <c r="AB1469" i="1"/>
  <c r="AB1468" i="1"/>
  <c r="AB1467" i="1"/>
  <c r="AB1466" i="1"/>
  <c r="AB1465" i="1"/>
  <c r="AB1464" i="1"/>
  <c r="AB1463" i="1"/>
  <c r="AB1462" i="1"/>
  <c r="AB1461" i="1"/>
  <c r="AB1460" i="1"/>
  <c r="AB1459" i="1"/>
  <c r="AB1458" i="1"/>
  <c r="AB1457" i="1"/>
  <c r="AB1456" i="1"/>
  <c r="AB1455" i="1"/>
  <c r="AB1454" i="1"/>
  <c r="AB1453" i="1"/>
  <c r="AB1452" i="1"/>
  <c r="AB1451" i="1"/>
  <c r="AB1450" i="1"/>
  <c r="AB1449" i="1"/>
  <c r="AB1448" i="1"/>
  <c r="AB1447" i="1"/>
  <c r="AB1446" i="1"/>
  <c r="AB1445" i="1"/>
  <c r="AB1444" i="1"/>
  <c r="AB1443" i="1"/>
  <c r="AB1442" i="1"/>
  <c r="AB1441" i="1"/>
  <c r="AB1440" i="1"/>
  <c r="AB1439" i="1"/>
  <c r="AB1438" i="1"/>
  <c r="AB1437" i="1"/>
  <c r="AB1436" i="1"/>
  <c r="AB1435" i="1"/>
  <c r="AB1434" i="1"/>
  <c r="AB1433" i="1"/>
  <c r="AB1432" i="1"/>
  <c r="AB1431" i="1"/>
  <c r="AB1430" i="1"/>
  <c r="AB1429" i="1"/>
  <c r="AB1428" i="1"/>
  <c r="AB1427" i="1"/>
  <c r="AB1426" i="1"/>
  <c r="AB1425" i="1"/>
  <c r="AB1424" i="1"/>
  <c r="AB1423" i="1"/>
  <c r="AB1422" i="1"/>
  <c r="AB1421" i="1"/>
  <c r="AB1420" i="1"/>
  <c r="AB1419" i="1"/>
  <c r="AB1418" i="1"/>
  <c r="AB1417" i="1"/>
  <c r="AB1416" i="1"/>
  <c r="AB1415" i="1"/>
  <c r="AB1414" i="1"/>
  <c r="AB1413" i="1"/>
  <c r="AB1412" i="1"/>
  <c r="AB1411" i="1"/>
  <c r="AB1410" i="1"/>
  <c r="AB1409" i="1"/>
  <c r="AB1408" i="1"/>
  <c r="AB1407" i="1"/>
  <c r="AB1406" i="1"/>
  <c r="AB1405" i="1"/>
  <c r="AB1404" i="1"/>
  <c r="AB1403" i="1"/>
  <c r="AB1402" i="1"/>
  <c r="AB1401" i="1"/>
  <c r="AB1400" i="1"/>
  <c r="AB1399" i="1"/>
  <c r="AB1398" i="1"/>
  <c r="AB1397" i="1"/>
  <c r="AB1396" i="1"/>
  <c r="AB1395" i="1"/>
  <c r="AB1394" i="1"/>
  <c r="AB1393" i="1"/>
  <c r="AB1392" i="1"/>
  <c r="AB1391" i="1"/>
  <c r="AB1390" i="1"/>
  <c r="AB1389" i="1"/>
  <c r="AB1388" i="1"/>
  <c r="AB1387" i="1"/>
  <c r="AB1386" i="1"/>
  <c r="AB1385" i="1"/>
  <c r="AB1384" i="1"/>
  <c r="AB1383" i="1"/>
  <c r="AB1382" i="1"/>
  <c r="AB1381" i="1"/>
  <c r="AB1380" i="1"/>
  <c r="AB1379" i="1"/>
  <c r="AB1378" i="1"/>
  <c r="AB1377" i="1"/>
  <c r="AB1376" i="1"/>
  <c r="AB1375" i="1"/>
  <c r="AB1374" i="1"/>
  <c r="AB1373" i="1"/>
  <c r="AB1372" i="1"/>
  <c r="AB1371" i="1"/>
  <c r="AB1370" i="1"/>
  <c r="AB1369" i="1"/>
  <c r="AB1368" i="1"/>
  <c r="AB1367" i="1"/>
  <c r="AB1366" i="1"/>
  <c r="AB1365" i="1"/>
  <c r="AB1364" i="1"/>
  <c r="AB1363" i="1"/>
  <c r="AB1362" i="1"/>
  <c r="AB1361" i="1"/>
  <c r="AB1360" i="1"/>
  <c r="AB1359" i="1"/>
  <c r="AB1358" i="1"/>
  <c r="AB1357" i="1"/>
  <c r="AB1356" i="1"/>
  <c r="AB1355" i="1"/>
  <c r="AB1354" i="1"/>
  <c r="AB1353" i="1"/>
  <c r="AB1352" i="1"/>
  <c r="AB1351" i="1"/>
  <c r="AB1350" i="1"/>
  <c r="AB1349" i="1"/>
  <c r="AB1348" i="1"/>
  <c r="AB1347" i="1"/>
  <c r="AB1346" i="1"/>
  <c r="AB1345" i="1"/>
  <c r="AB1344" i="1"/>
  <c r="AB1343" i="1"/>
  <c r="AB1342" i="1"/>
  <c r="AB1341" i="1"/>
  <c r="AB1340" i="1"/>
  <c r="AB1339" i="1"/>
  <c r="AB1338" i="1"/>
  <c r="AB1337" i="1"/>
  <c r="AB1336" i="1"/>
  <c r="AB1335" i="1"/>
  <c r="AB1334" i="1"/>
  <c r="AB1333" i="1"/>
  <c r="AB1332" i="1"/>
  <c r="AB1331" i="1"/>
  <c r="AB1330" i="1"/>
  <c r="AB1329" i="1"/>
  <c r="AB1328" i="1"/>
  <c r="AB1327" i="1"/>
  <c r="AB1326" i="1"/>
  <c r="AB1325" i="1"/>
  <c r="AB1324" i="1"/>
  <c r="AB1323" i="1"/>
  <c r="AB1322" i="1"/>
  <c r="AB1321" i="1"/>
  <c r="AB1320" i="1"/>
  <c r="AB1319" i="1"/>
  <c r="AB1318" i="1"/>
  <c r="AB1317" i="1"/>
  <c r="AB1316" i="1"/>
  <c r="AB1315" i="1"/>
  <c r="AB1314" i="1"/>
  <c r="AB1313" i="1"/>
  <c r="AB1312" i="1"/>
  <c r="AB1311" i="1"/>
  <c r="AB1310" i="1"/>
  <c r="AB1309" i="1"/>
  <c r="AB1308" i="1"/>
  <c r="AB1307" i="1"/>
  <c r="AB1306" i="1"/>
  <c r="AB1305" i="1"/>
  <c r="AB1304" i="1"/>
  <c r="AB1303" i="1"/>
  <c r="AB1302" i="1"/>
  <c r="AB1301" i="1"/>
  <c r="AB1300" i="1"/>
  <c r="AB1299" i="1"/>
  <c r="AB1298" i="1"/>
  <c r="AB1297" i="1"/>
  <c r="AB1296" i="1"/>
  <c r="AB1295" i="1"/>
  <c r="AB1294" i="1"/>
  <c r="AB1293" i="1"/>
  <c r="AB1292" i="1"/>
  <c r="AB1291" i="1"/>
  <c r="AB1290" i="1"/>
  <c r="AB1289" i="1"/>
  <c r="AB1288" i="1"/>
  <c r="AB1287" i="1"/>
  <c r="AB1286" i="1"/>
  <c r="AB1285" i="1"/>
  <c r="AB1284" i="1"/>
  <c r="AB1283" i="1"/>
  <c r="AB1282" i="1"/>
  <c r="AB1281" i="1"/>
  <c r="AB1280" i="1"/>
  <c r="AB1279" i="1"/>
  <c r="AB1278" i="1"/>
  <c r="AB1277" i="1"/>
  <c r="AB1276" i="1"/>
  <c r="AB1275" i="1"/>
  <c r="AB1274" i="1"/>
  <c r="AB1273" i="1"/>
  <c r="AB1272" i="1"/>
  <c r="AB1271" i="1"/>
  <c r="AB1270" i="1"/>
  <c r="AB1269" i="1"/>
  <c r="AB1268" i="1"/>
  <c r="AB1267" i="1"/>
  <c r="AB1266" i="1"/>
  <c r="AB1265" i="1"/>
  <c r="AB1264" i="1"/>
  <c r="AB1263" i="1"/>
  <c r="AB1262" i="1"/>
  <c r="AB1261" i="1"/>
  <c r="AB1260" i="1"/>
  <c r="AB1259" i="1"/>
  <c r="AB1258" i="1"/>
  <c r="AB1257" i="1"/>
  <c r="AB1256" i="1"/>
  <c r="AB1255" i="1"/>
  <c r="AB1254" i="1"/>
  <c r="AB1253" i="1"/>
  <c r="AB1252" i="1"/>
  <c r="AB1251" i="1"/>
  <c r="AB1250" i="1"/>
  <c r="AB1249" i="1"/>
  <c r="AB1248" i="1"/>
  <c r="AB1247" i="1"/>
  <c r="AB1246" i="1"/>
  <c r="AB1245" i="1"/>
  <c r="AB1244" i="1"/>
  <c r="AB1243" i="1"/>
  <c r="AB1242" i="1"/>
  <c r="AB1241" i="1"/>
  <c r="AB1240" i="1"/>
  <c r="AB1239" i="1"/>
  <c r="AB1238" i="1"/>
  <c r="AB1237" i="1"/>
  <c r="AB1236" i="1"/>
  <c r="AB1235" i="1"/>
  <c r="AB1234" i="1"/>
  <c r="AB1233" i="1"/>
  <c r="AB1232" i="1"/>
  <c r="AB1231" i="1"/>
  <c r="AB1230" i="1"/>
  <c r="AB1229" i="1"/>
  <c r="AB1228" i="1"/>
  <c r="AB1227" i="1"/>
  <c r="AB1226" i="1"/>
  <c r="AB1225" i="1"/>
  <c r="AB1224" i="1"/>
  <c r="AB1223" i="1"/>
  <c r="AB1222" i="1"/>
  <c r="AB1221" i="1"/>
  <c r="AB1220" i="1"/>
  <c r="AB1219" i="1"/>
  <c r="AB1218" i="1"/>
  <c r="AB1217" i="1"/>
  <c r="AB1216" i="1"/>
  <c r="AB1215" i="1"/>
  <c r="AB1214" i="1"/>
  <c r="AB1213" i="1"/>
  <c r="AB1212" i="1"/>
  <c r="AB1211" i="1"/>
  <c r="AB1210" i="1"/>
  <c r="AB1209" i="1"/>
  <c r="AB1208" i="1"/>
  <c r="AB1207" i="1"/>
  <c r="AB1206" i="1"/>
  <c r="AB1205" i="1"/>
  <c r="AB1204" i="1"/>
  <c r="AB1203" i="1"/>
  <c r="AB1202" i="1"/>
  <c r="AB1201" i="1"/>
  <c r="AB1200" i="1"/>
  <c r="AB1199" i="1"/>
  <c r="AB1198" i="1"/>
  <c r="AB1197" i="1"/>
  <c r="AB1196" i="1"/>
  <c r="AB1195" i="1"/>
  <c r="AB1194" i="1"/>
  <c r="AB1193" i="1"/>
  <c r="AB1192" i="1"/>
  <c r="AB1191" i="1"/>
  <c r="AB1190" i="1"/>
  <c r="AB1189" i="1"/>
  <c r="AB1188" i="1"/>
  <c r="AB1187" i="1"/>
  <c r="AB1186" i="1"/>
  <c r="AB1185" i="1"/>
  <c r="AB1184" i="1"/>
  <c r="AB1183" i="1"/>
  <c r="AB1182" i="1"/>
  <c r="AB1181" i="1"/>
  <c r="AB1180" i="1"/>
  <c r="AB1179" i="1"/>
  <c r="AB1178" i="1"/>
  <c r="AB1177" i="1"/>
  <c r="AB1176" i="1"/>
  <c r="AB1175" i="1"/>
  <c r="AB1174" i="1"/>
  <c r="AB1173" i="1"/>
  <c r="AB1172" i="1"/>
  <c r="AB1171" i="1"/>
  <c r="AB1170" i="1"/>
  <c r="AB1169" i="1"/>
  <c r="AB1168" i="1"/>
  <c r="AB1167" i="1"/>
  <c r="AB1166" i="1"/>
  <c r="AB1165" i="1"/>
  <c r="AB1164" i="1"/>
  <c r="AB1163" i="1"/>
  <c r="AB1162" i="1"/>
  <c r="AB1161" i="1"/>
  <c r="AB1160" i="1"/>
  <c r="AB1159" i="1"/>
  <c r="AB1158" i="1"/>
  <c r="AB1157" i="1"/>
  <c r="AB1156" i="1"/>
  <c r="AB1155" i="1"/>
  <c r="AB1154" i="1"/>
  <c r="AB1153" i="1"/>
  <c r="AB1152" i="1"/>
  <c r="AB1151" i="1"/>
  <c r="AB1150" i="1"/>
  <c r="AB1149" i="1"/>
  <c r="AB1148" i="1"/>
  <c r="AB1147" i="1"/>
  <c r="AB1146" i="1"/>
  <c r="AB1145" i="1"/>
  <c r="AB1144" i="1"/>
  <c r="AB1143" i="1"/>
  <c r="AB1142" i="1"/>
  <c r="AB1141" i="1"/>
  <c r="AB1140" i="1"/>
  <c r="AB1139" i="1"/>
  <c r="AB1138" i="1"/>
  <c r="AB1137" i="1"/>
  <c r="AB1136" i="1"/>
  <c r="AB1135" i="1"/>
  <c r="AB1134" i="1"/>
  <c r="AB1133" i="1"/>
  <c r="AB1132" i="1"/>
  <c r="AB1131" i="1"/>
  <c r="AB1130" i="1"/>
  <c r="AB1129" i="1"/>
  <c r="AB1128" i="1"/>
  <c r="AB1127" i="1"/>
  <c r="AB1126" i="1"/>
  <c r="AB1125" i="1"/>
  <c r="AB1124" i="1"/>
  <c r="AB1123" i="1"/>
  <c r="AB1122" i="1"/>
  <c r="AB1121" i="1"/>
  <c r="AB1120" i="1"/>
  <c r="AB1119" i="1"/>
  <c r="AB1118" i="1"/>
  <c r="AB1117" i="1"/>
  <c r="AB1116" i="1"/>
  <c r="AB1115" i="1"/>
  <c r="AB1114" i="1"/>
  <c r="AB1113" i="1"/>
  <c r="AB1112" i="1"/>
  <c r="AB1111" i="1"/>
  <c r="AB1110" i="1"/>
  <c r="AB1109" i="1"/>
  <c r="AB1108" i="1"/>
  <c r="AB1107" i="1"/>
  <c r="AB1106" i="1"/>
  <c r="AB1105" i="1"/>
  <c r="AB1104" i="1"/>
  <c r="AB1103" i="1"/>
  <c r="AB1102" i="1"/>
  <c r="AB1101" i="1"/>
  <c r="AB1100" i="1"/>
  <c r="AB1099" i="1"/>
  <c r="AB1098" i="1"/>
  <c r="AB1097" i="1"/>
  <c r="AB1096" i="1"/>
  <c r="AB1095" i="1"/>
  <c r="AB1094" i="1"/>
  <c r="AB1093" i="1"/>
  <c r="AB1092" i="1"/>
  <c r="AB1091" i="1"/>
  <c r="AB1090" i="1"/>
  <c r="AB1089" i="1"/>
  <c r="AB1088" i="1"/>
  <c r="AB1087" i="1"/>
  <c r="AB1086" i="1"/>
  <c r="AB1085" i="1"/>
  <c r="AB1084" i="1"/>
  <c r="AB1083" i="1"/>
  <c r="AB1082" i="1"/>
  <c r="AB1081" i="1"/>
  <c r="AB1080" i="1"/>
  <c r="AB1079" i="1"/>
  <c r="AB1078" i="1"/>
  <c r="AB1077" i="1"/>
  <c r="AB1076" i="1"/>
  <c r="AB1075" i="1"/>
  <c r="AB1074" i="1"/>
  <c r="AB1073" i="1"/>
  <c r="AB1072" i="1"/>
  <c r="AB1071" i="1"/>
  <c r="AB1070" i="1"/>
  <c r="AB1069" i="1"/>
  <c r="AB1068" i="1"/>
  <c r="AB1067" i="1"/>
  <c r="AB1066" i="1"/>
  <c r="AB1065" i="1"/>
  <c r="AB1064" i="1"/>
  <c r="AB1063" i="1"/>
  <c r="AB1062" i="1"/>
  <c r="AB1061" i="1"/>
  <c r="AB1060" i="1"/>
  <c r="AB1059" i="1"/>
  <c r="AB1058" i="1"/>
  <c r="AB1057" i="1"/>
  <c r="AB1056" i="1"/>
  <c r="AB1055" i="1"/>
  <c r="AB1054" i="1"/>
  <c r="AB1053" i="1"/>
  <c r="AB1052" i="1"/>
  <c r="AB1051" i="1"/>
  <c r="AB1050" i="1"/>
  <c r="AB1049" i="1"/>
  <c r="AB1048" i="1"/>
  <c r="AB1047" i="1"/>
  <c r="AB1046" i="1"/>
  <c r="AB1045" i="1"/>
  <c r="AB1044" i="1"/>
  <c r="AB1043" i="1"/>
  <c r="AB1042" i="1"/>
  <c r="AB1041" i="1"/>
  <c r="AB1040" i="1"/>
  <c r="AB1039" i="1"/>
  <c r="AB1038" i="1"/>
  <c r="AB1037" i="1"/>
  <c r="AB1036" i="1"/>
  <c r="AB1035" i="1"/>
  <c r="AB1034" i="1"/>
  <c r="AB1033" i="1"/>
  <c r="AB1032" i="1"/>
  <c r="AB1031" i="1"/>
  <c r="AB1030" i="1"/>
  <c r="AB1029" i="1"/>
  <c r="AB1028" i="1"/>
  <c r="AB1027" i="1"/>
  <c r="AB1026" i="1"/>
  <c r="AB1025" i="1"/>
  <c r="AB1024" i="1"/>
  <c r="AB1023" i="1"/>
  <c r="AB1022" i="1"/>
  <c r="AB1021" i="1"/>
  <c r="AB1020" i="1"/>
  <c r="AB1019" i="1"/>
  <c r="AB1018" i="1"/>
  <c r="AB1017" i="1"/>
  <c r="AB1016" i="1"/>
  <c r="AB1015" i="1"/>
  <c r="AB1014" i="1"/>
  <c r="AB1013" i="1"/>
  <c r="AB1012" i="1"/>
  <c r="AB1011" i="1"/>
  <c r="AB1010" i="1"/>
  <c r="AB1009" i="1"/>
  <c r="AB1008" i="1"/>
  <c r="AB1007" i="1"/>
  <c r="AB1006" i="1"/>
  <c r="AB1005" i="1"/>
  <c r="AB1004" i="1"/>
  <c r="AB1003" i="1"/>
  <c r="AB1002" i="1"/>
  <c r="AB1001" i="1"/>
  <c r="AB1000" i="1"/>
  <c r="AB999" i="1"/>
  <c r="AB998" i="1"/>
  <c r="AB997" i="1"/>
  <c r="AB996" i="1"/>
  <c r="AB995" i="1"/>
  <c r="AB994" i="1"/>
  <c r="AB993" i="1"/>
  <c r="AB992" i="1"/>
  <c r="AB991" i="1"/>
  <c r="AB990" i="1"/>
  <c r="AB989" i="1"/>
  <c r="AB988" i="1"/>
  <c r="AB987" i="1"/>
  <c r="AB986" i="1"/>
  <c r="AB985" i="1"/>
  <c r="AB984" i="1"/>
  <c r="AB983" i="1"/>
  <c r="AB982" i="1"/>
  <c r="AB981" i="1"/>
  <c r="AB980" i="1"/>
  <c r="AB979" i="1"/>
  <c r="AB978" i="1"/>
  <c r="AB977" i="1"/>
  <c r="AB976" i="1"/>
  <c r="AB975" i="1"/>
  <c r="AB974" i="1"/>
  <c r="AB973" i="1"/>
  <c r="AB972" i="1"/>
  <c r="AB971" i="1"/>
  <c r="AB970" i="1"/>
  <c r="AB969" i="1"/>
  <c r="AB968" i="1"/>
  <c r="AB967" i="1"/>
  <c r="AB966" i="1"/>
  <c r="AB965" i="1"/>
  <c r="AB964" i="1"/>
  <c r="AB963" i="1"/>
  <c r="AB962" i="1"/>
  <c r="AB961" i="1"/>
  <c r="AB960" i="1"/>
  <c r="AB959" i="1"/>
  <c r="AB958" i="1"/>
  <c r="AB957" i="1"/>
  <c r="AB956" i="1"/>
  <c r="AB955" i="1"/>
  <c r="AB954" i="1"/>
  <c r="AB953" i="1"/>
  <c r="AB952" i="1"/>
  <c r="AB951" i="1"/>
  <c r="AB950" i="1"/>
  <c r="AB949" i="1"/>
  <c r="AB948" i="1"/>
  <c r="AB947" i="1"/>
  <c r="AB946" i="1"/>
  <c r="AB945" i="1"/>
  <c r="AB944" i="1"/>
  <c r="AB943" i="1"/>
  <c r="AB942" i="1"/>
  <c r="AB941" i="1"/>
  <c r="AB940" i="1"/>
  <c r="AB939" i="1"/>
  <c r="AB938" i="1"/>
  <c r="AB937" i="1"/>
  <c r="AB936" i="1"/>
  <c r="AB935" i="1"/>
  <c r="AB934" i="1"/>
  <c r="AB933" i="1"/>
  <c r="AB932" i="1"/>
  <c r="AB931" i="1"/>
  <c r="AB930" i="1"/>
  <c r="AB929" i="1"/>
  <c r="AB928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B908" i="1"/>
  <c r="AB907" i="1"/>
  <c r="AB906" i="1"/>
  <c r="AB905" i="1"/>
  <c r="AB904" i="1"/>
  <c r="AB903" i="1"/>
  <c r="AB902" i="1"/>
  <c r="AB901" i="1"/>
  <c r="AB900" i="1"/>
  <c r="AB899" i="1"/>
  <c r="AB898" i="1"/>
  <c r="AB897" i="1"/>
  <c r="AB896" i="1"/>
  <c r="AB895" i="1"/>
  <c r="AB894" i="1"/>
  <c r="AB893" i="1"/>
  <c r="AB892" i="1"/>
  <c r="AB891" i="1"/>
  <c r="AB890" i="1"/>
  <c r="AB889" i="1"/>
  <c r="AB888" i="1"/>
  <c r="AB887" i="1"/>
  <c r="AB886" i="1"/>
  <c r="AB885" i="1"/>
  <c r="AB884" i="1"/>
  <c r="AB883" i="1"/>
  <c r="AB882" i="1"/>
  <c r="AB881" i="1"/>
  <c r="AB880" i="1"/>
  <c r="AB879" i="1"/>
  <c r="AB878" i="1"/>
  <c r="AB877" i="1"/>
  <c r="AB876" i="1"/>
  <c r="AB875" i="1"/>
  <c r="AB874" i="1"/>
  <c r="AB873" i="1"/>
  <c r="AB872" i="1"/>
  <c r="AB871" i="1"/>
  <c r="AB870" i="1"/>
  <c r="AB869" i="1"/>
  <c r="AB868" i="1"/>
  <c r="AB867" i="1"/>
  <c r="AB866" i="1"/>
  <c r="AB865" i="1"/>
  <c r="AB864" i="1"/>
  <c r="AB863" i="1"/>
  <c r="AB862" i="1"/>
  <c r="AB861" i="1"/>
  <c r="AB860" i="1"/>
  <c r="AB859" i="1"/>
  <c r="AB858" i="1"/>
  <c r="AB857" i="1"/>
  <c r="AB856" i="1"/>
  <c r="AB855" i="1"/>
  <c r="AB854" i="1"/>
  <c r="AB853" i="1"/>
  <c r="AB852" i="1"/>
  <c r="AB851" i="1"/>
  <c r="AB850" i="1"/>
  <c r="AB849" i="1"/>
  <c r="AB848" i="1"/>
  <c r="AB847" i="1"/>
  <c r="AB846" i="1"/>
  <c r="AB845" i="1"/>
  <c r="AB844" i="1"/>
  <c r="AB843" i="1"/>
  <c r="AB842" i="1"/>
  <c r="AB841" i="1"/>
  <c r="AB840" i="1"/>
  <c r="AB839" i="1"/>
  <c r="AB838" i="1"/>
  <c r="AB837" i="1"/>
  <c r="AB836" i="1"/>
  <c r="AB835" i="1"/>
  <c r="AB834" i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815" i="1"/>
  <c r="AB814" i="1"/>
  <c r="AB813" i="1"/>
  <c r="AB812" i="1"/>
  <c r="AB811" i="1"/>
  <c r="AB810" i="1"/>
  <c r="AB809" i="1"/>
  <c r="AB808" i="1"/>
  <c r="AB807" i="1"/>
  <c r="AB806" i="1"/>
  <c r="AB805" i="1"/>
  <c r="AB804" i="1"/>
  <c r="AB803" i="1"/>
  <c r="AB802" i="1"/>
  <c r="AB801" i="1"/>
  <c r="AB800" i="1"/>
  <c r="AB799" i="1"/>
  <c r="AB798" i="1"/>
  <c r="AB797" i="1"/>
  <c r="AB796" i="1"/>
  <c r="AB795" i="1"/>
  <c r="AB794" i="1"/>
  <c r="AB793" i="1"/>
  <c r="AB792" i="1"/>
  <c r="AB791" i="1"/>
  <c r="AB790" i="1"/>
  <c r="AB789" i="1"/>
  <c r="AB788" i="1"/>
  <c r="AB787" i="1"/>
  <c r="AB786" i="1"/>
  <c r="AB785" i="1"/>
  <c r="AB784" i="1"/>
  <c r="AB783" i="1"/>
  <c r="AB782" i="1"/>
  <c r="AB781" i="1"/>
  <c r="AB780" i="1"/>
  <c r="AB779" i="1"/>
  <c r="AB778" i="1"/>
  <c r="AB777" i="1"/>
  <c r="AB776" i="1"/>
  <c r="AB775" i="1"/>
  <c r="AB774" i="1"/>
  <c r="AB773" i="1"/>
  <c r="AB772" i="1"/>
  <c r="AB771" i="1"/>
  <c r="AB770" i="1"/>
  <c r="AB769" i="1"/>
  <c r="AB768" i="1"/>
  <c r="AB767" i="1"/>
  <c r="AB766" i="1"/>
  <c r="AB765" i="1"/>
  <c r="AB764" i="1"/>
  <c r="AB763" i="1"/>
  <c r="AB762" i="1"/>
  <c r="AB761" i="1"/>
  <c r="AB760" i="1"/>
  <c r="AB759" i="1"/>
  <c r="AB758" i="1"/>
  <c r="AB757" i="1"/>
  <c r="AB756" i="1"/>
  <c r="AB755" i="1"/>
  <c r="AB754" i="1"/>
  <c r="AB753" i="1"/>
  <c r="AB752" i="1"/>
  <c r="AB751" i="1"/>
  <c r="AB750" i="1"/>
  <c r="AB749" i="1"/>
  <c r="AB748" i="1"/>
  <c r="AB747" i="1"/>
  <c r="AB746" i="1"/>
  <c r="AB745" i="1"/>
  <c r="AB744" i="1"/>
  <c r="AB743" i="1"/>
  <c r="AB742" i="1"/>
  <c r="AB741" i="1"/>
  <c r="AB740" i="1"/>
  <c r="AB739" i="1"/>
  <c r="AB738" i="1"/>
  <c r="AB737" i="1"/>
  <c r="AB736" i="1"/>
  <c r="AB735" i="1"/>
  <c r="AB734" i="1"/>
  <c r="AB733" i="1"/>
  <c r="AB732" i="1"/>
  <c r="AB731" i="1"/>
  <c r="AB730" i="1"/>
  <c r="AB729" i="1"/>
  <c r="AB728" i="1"/>
  <c r="AB727" i="1"/>
  <c r="AB726" i="1"/>
  <c r="AB725" i="1"/>
  <c r="AB724" i="1"/>
  <c r="AB723" i="1"/>
  <c r="AB722" i="1"/>
  <c r="AB721" i="1"/>
  <c r="AB720" i="1"/>
  <c r="AB719" i="1"/>
  <c r="AB718" i="1"/>
  <c r="AB717" i="1"/>
  <c r="AB716" i="1"/>
  <c r="AB715" i="1"/>
  <c r="AB714" i="1"/>
  <c r="AB713" i="1"/>
  <c r="AB712" i="1"/>
  <c r="AB711" i="1"/>
  <c r="AB710" i="1"/>
  <c r="AB709" i="1"/>
  <c r="AB708" i="1"/>
  <c r="AB707" i="1"/>
  <c r="AB706" i="1"/>
  <c r="AB705" i="1"/>
  <c r="AB704" i="1"/>
  <c r="AB703" i="1"/>
  <c r="AB702" i="1"/>
  <c r="AB701" i="1"/>
  <c r="AB700" i="1"/>
  <c r="AB699" i="1"/>
  <c r="AB698" i="1"/>
  <c r="AB697" i="1"/>
  <c r="AB696" i="1"/>
  <c r="AB695" i="1"/>
  <c r="AB694" i="1"/>
  <c r="AB693" i="1"/>
  <c r="AB692" i="1"/>
  <c r="AB691" i="1"/>
  <c r="AB690" i="1"/>
  <c r="AB689" i="1"/>
  <c r="AB688" i="1"/>
  <c r="AB687" i="1"/>
  <c r="AB686" i="1"/>
  <c r="AB685" i="1"/>
  <c r="AB684" i="1"/>
  <c r="AB683" i="1"/>
  <c r="AB682" i="1"/>
  <c r="AB681" i="1"/>
  <c r="AB680" i="1"/>
  <c r="AB679" i="1"/>
  <c r="AB678" i="1"/>
  <c r="AB677" i="1"/>
  <c r="AB676" i="1"/>
  <c r="AB675" i="1"/>
  <c r="AB674" i="1"/>
  <c r="AB673" i="1"/>
  <c r="AB672" i="1"/>
  <c r="AB671" i="1"/>
  <c r="AB670" i="1"/>
  <c r="AB669" i="1"/>
  <c r="AB668" i="1"/>
  <c r="AB667" i="1"/>
  <c r="AB666" i="1"/>
  <c r="AB665" i="1"/>
  <c r="AB664" i="1"/>
  <c r="AB663" i="1"/>
  <c r="AB662" i="1"/>
  <c r="AB661" i="1"/>
  <c r="AB660" i="1"/>
  <c r="AB659" i="1"/>
  <c r="AB658" i="1"/>
  <c r="AB657" i="1"/>
  <c r="AB656" i="1"/>
  <c r="AB655" i="1"/>
  <c r="AB654" i="1"/>
  <c r="AB653" i="1"/>
  <c r="AB652" i="1"/>
  <c r="AB651" i="1"/>
  <c r="AB650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628" i="1"/>
  <c r="AB627" i="1"/>
  <c r="AB626" i="1"/>
  <c r="AB625" i="1"/>
  <c r="AB624" i="1"/>
  <c r="AB623" i="1"/>
  <c r="AB622" i="1"/>
  <c r="AB621" i="1"/>
  <c r="AB620" i="1"/>
  <c r="AB619" i="1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AB598" i="1"/>
  <c r="AB597" i="1"/>
  <c r="AB596" i="1"/>
  <c r="AB595" i="1"/>
  <c r="AB594" i="1"/>
  <c r="AB593" i="1"/>
  <c r="AB592" i="1"/>
  <c r="AB591" i="1"/>
  <c r="AB590" i="1"/>
  <c r="AB589" i="1"/>
  <c r="AB588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566" i="1"/>
  <c r="AB565" i="1"/>
  <c r="AB564" i="1"/>
  <c r="AB563" i="1"/>
  <c r="AB562" i="1"/>
  <c r="AB561" i="1"/>
  <c r="AB560" i="1"/>
  <c r="AB559" i="1"/>
  <c r="AB558" i="1"/>
  <c r="AB557" i="1"/>
  <c r="AB556" i="1"/>
  <c r="AB555" i="1"/>
  <c r="AB554" i="1"/>
  <c r="AB553" i="1"/>
  <c r="AB552" i="1"/>
  <c r="AB551" i="1"/>
  <c r="AB550" i="1"/>
  <c r="AB549" i="1"/>
  <c r="AB548" i="1"/>
  <c r="AB547" i="1"/>
  <c r="AB546" i="1"/>
  <c r="AB545" i="1"/>
  <c r="AB544" i="1"/>
  <c r="AB543" i="1"/>
  <c r="AB542" i="1"/>
  <c r="AB541" i="1"/>
  <c r="AB540" i="1"/>
  <c r="AB539" i="1"/>
  <c r="AB538" i="1"/>
  <c r="AB537" i="1"/>
  <c r="AB536" i="1"/>
  <c r="AB535" i="1"/>
  <c r="AB534" i="1"/>
  <c r="AB533" i="1"/>
  <c r="AB532" i="1"/>
  <c r="AB531" i="1"/>
  <c r="AB530" i="1"/>
  <c r="AB529" i="1"/>
  <c r="AB528" i="1"/>
  <c r="AB527" i="1"/>
  <c r="AB526" i="1"/>
  <c r="AB525" i="1"/>
  <c r="AB524" i="1"/>
  <c r="AB523" i="1"/>
  <c r="AB522" i="1"/>
  <c r="AB521" i="1"/>
  <c r="AB520" i="1"/>
  <c r="AB519" i="1"/>
  <c r="AB518" i="1"/>
  <c r="AB517" i="1"/>
  <c r="AB516" i="1"/>
  <c r="AB515" i="1"/>
  <c r="AB514" i="1"/>
  <c r="AB513" i="1"/>
  <c r="AB512" i="1"/>
  <c r="AB511" i="1"/>
  <c r="AB510" i="1"/>
  <c r="AB509" i="1"/>
  <c r="AB508" i="1"/>
  <c r="AB507" i="1"/>
  <c r="AB506" i="1"/>
  <c r="AB505" i="1"/>
  <c r="AB504" i="1"/>
  <c r="AB503" i="1"/>
  <c r="AB502" i="1"/>
  <c r="AB501" i="1"/>
  <c r="AB500" i="1"/>
  <c r="AB499" i="1"/>
  <c r="AB498" i="1"/>
  <c r="AB497" i="1"/>
  <c r="AB496" i="1"/>
  <c r="AB495" i="1"/>
  <c r="AB494" i="1"/>
  <c r="AB493" i="1"/>
  <c r="AB492" i="1"/>
  <c r="AB491" i="1"/>
  <c r="AB490" i="1"/>
  <c r="AB489" i="1"/>
  <c r="AB488" i="1"/>
  <c r="AB487" i="1"/>
  <c r="AB486" i="1"/>
  <c r="AB485" i="1"/>
  <c r="AB484" i="1"/>
  <c r="AB483" i="1"/>
  <c r="AB482" i="1"/>
  <c r="AB481" i="1"/>
  <c r="AB480" i="1"/>
  <c r="AB479" i="1"/>
  <c r="AB478" i="1"/>
  <c r="AB477" i="1"/>
  <c r="AB476" i="1"/>
  <c r="AB475" i="1"/>
  <c r="AB474" i="1"/>
  <c r="AB473" i="1"/>
  <c r="AB472" i="1"/>
  <c r="AB471" i="1"/>
  <c r="AB470" i="1"/>
  <c r="AB469" i="1"/>
  <c r="AB468" i="1"/>
  <c r="AB467" i="1"/>
  <c r="AB466" i="1"/>
  <c r="AB465" i="1"/>
  <c r="AB464" i="1"/>
  <c r="AB463" i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AB442" i="1"/>
  <c r="AB441" i="1"/>
  <c r="AB440" i="1"/>
  <c r="AB439" i="1"/>
  <c r="AB438" i="1"/>
  <c r="AB437" i="1"/>
  <c r="AB436" i="1"/>
  <c r="AB435" i="1"/>
  <c r="AB434" i="1"/>
  <c r="AB433" i="1"/>
  <c r="AB432" i="1"/>
  <c r="AB431" i="1"/>
  <c r="AB430" i="1"/>
  <c r="AB429" i="1"/>
  <c r="AB428" i="1"/>
  <c r="AB427" i="1"/>
  <c r="AB426" i="1"/>
  <c r="AB425" i="1"/>
  <c r="AB424" i="1"/>
  <c r="AB423" i="1"/>
  <c r="AB422" i="1"/>
  <c r="AB421" i="1"/>
  <c r="AB420" i="1"/>
  <c r="AB419" i="1"/>
  <c r="AB418" i="1"/>
  <c r="AB417" i="1"/>
  <c r="AB416" i="1"/>
  <c r="AB415" i="1"/>
  <c r="AB414" i="1"/>
  <c r="AB413" i="1"/>
  <c r="AB412" i="1"/>
  <c r="AB411" i="1"/>
  <c r="AB410" i="1"/>
  <c r="AB409" i="1"/>
  <c r="AB408" i="1"/>
  <c r="AB407" i="1"/>
  <c r="AB406" i="1"/>
  <c r="AB405" i="1"/>
  <c r="AB404" i="1"/>
  <c r="AB403" i="1"/>
  <c r="AB402" i="1"/>
  <c r="AB401" i="1"/>
  <c r="AB400" i="1"/>
  <c r="AB399" i="1"/>
  <c r="AB398" i="1"/>
  <c r="AB397" i="1"/>
  <c r="AB396" i="1"/>
  <c r="AB395" i="1"/>
  <c r="AB394" i="1"/>
  <c r="AB393" i="1"/>
  <c r="AB392" i="1"/>
  <c r="AB391" i="1"/>
  <c r="AB390" i="1"/>
  <c r="AB389" i="1"/>
  <c r="AB388" i="1"/>
  <c r="AB387" i="1"/>
  <c r="AB386" i="1"/>
  <c r="AB385" i="1"/>
  <c r="AB384" i="1"/>
  <c r="AB383" i="1"/>
  <c r="AB382" i="1"/>
  <c r="AB381" i="1"/>
  <c r="AB380" i="1"/>
  <c r="AB379" i="1"/>
  <c r="AB378" i="1"/>
  <c r="AB377" i="1"/>
  <c r="AB376" i="1"/>
  <c r="AB375" i="1"/>
  <c r="AB374" i="1"/>
  <c r="AB373" i="1"/>
  <c r="AB372" i="1"/>
  <c r="AB371" i="1"/>
  <c r="AB370" i="1"/>
  <c r="AB369" i="1"/>
  <c r="AB368" i="1"/>
  <c r="AB367" i="1"/>
  <c r="AB366" i="1"/>
  <c r="AB365" i="1"/>
  <c r="AB364" i="1"/>
  <c r="AB363" i="1"/>
  <c r="AB362" i="1"/>
  <c r="AB361" i="1"/>
  <c r="AB360" i="1"/>
  <c r="AB359" i="1"/>
  <c r="AB358" i="1"/>
  <c r="AB357" i="1"/>
  <c r="AB356" i="1"/>
  <c r="AB355" i="1"/>
  <c r="AB354" i="1"/>
  <c r="AB353" i="1"/>
  <c r="AB352" i="1"/>
  <c r="AB351" i="1"/>
  <c r="AB350" i="1"/>
  <c r="AB349" i="1"/>
  <c r="AB348" i="1"/>
  <c r="AB347" i="1"/>
  <c r="AB346" i="1"/>
  <c r="AB345" i="1"/>
  <c r="AB344" i="1"/>
  <c r="AB343" i="1"/>
  <c r="AB342" i="1"/>
  <c r="AB341" i="1"/>
  <c r="AB340" i="1"/>
  <c r="AB339" i="1"/>
  <c r="AB338" i="1"/>
  <c r="AB337" i="1"/>
  <c r="AB336" i="1"/>
  <c r="AB335" i="1"/>
  <c r="AB334" i="1"/>
  <c r="AB333" i="1"/>
  <c r="AB332" i="1"/>
  <c r="AB331" i="1"/>
  <c r="AB330" i="1"/>
  <c r="AB329" i="1"/>
  <c r="AB328" i="1"/>
  <c r="AB327" i="1"/>
  <c r="AB326" i="1"/>
  <c r="AB325" i="1"/>
  <c r="AB324" i="1"/>
  <c r="AB323" i="1"/>
  <c r="AB322" i="1"/>
  <c r="AB321" i="1"/>
  <c r="AB320" i="1"/>
  <c r="AB319" i="1"/>
  <c r="AB318" i="1"/>
  <c r="AB317" i="1"/>
  <c r="AB316" i="1"/>
  <c r="AB315" i="1"/>
  <c r="AB314" i="1"/>
  <c r="AB313" i="1"/>
  <c r="AB312" i="1"/>
  <c r="AB311" i="1"/>
  <c r="AB310" i="1"/>
  <c r="AB309" i="1"/>
  <c r="AB308" i="1"/>
  <c r="AB307" i="1"/>
  <c r="AB306" i="1"/>
  <c r="AB305" i="1"/>
  <c r="AB304" i="1"/>
  <c r="AB303" i="1"/>
  <c r="AB302" i="1"/>
  <c r="AB301" i="1"/>
  <c r="AB300" i="1"/>
  <c r="AB299" i="1"/>
  <c r="AB298" i="1"/>
  <c r="AB297" i="1"/>
  <c r="AB296" i="1"/>
  <c r="AB295" i="1"/>
  <c r="AB294" i="1"/>
  <c r="AB293" i="1"/>
  <c r="AB292" i="1"/>
  <c r="AB291" i="1"/>
  <c r="AB290" i="1"/>
  <c r="AB289" i="1"/>
  <c r="AB288" i="1"/>
  <c r="AB287" i="1"/>
  <c r="AB286" i="1"/>
  <c r="AB285" i="1"/>
  <c r="AB284" i="1"/>
  <c r="AB283" i="1"/>
  <c r="AB282" i="1"/>
  <c r="AB281" i="1"/>
  <c r="AB280" i="1"/>
  <c r="AB279" i="1"/>
  <c r="AB278" i="1"/>
  <c r="AB277" i="1"/>
  <c r="AB276" i="1"/>
  <c r="AB275" i="1"/>
  <c r="AB274" i="1"/>
  <c r="AB273" i="1"/>
  <c r="AB272" i="1"/>
  <c r="AB271" i="1"/>
  <c r="AB270" i="1"/>
  <c r="AB269" i="1"/>
  <c r="AB268" i="1"/>
  <c r="AB267" i="1"/>
  <c r="AB266" i="1"/>
  <c r="AB265" i="1"/>
  <c r="AB264" i="1"/>
  <c r="AB263" i="1"/>
  <c r="AB262" i="1"/>
  <c r="AB261" i="1"/>
  <c r="AB260" i="1"/>
  <c r="AB259" i="1"/>
  <c r="AB258" i="1"/>
  <c r="AB257" i="1"/>
  <c r="AB256" i="1"/>
  <c r="AB255" i="1"/>
  <c r="AB254" i="1"/>
  <c r="AB253" i="1"/>
  <c r="AB252" i="1"/>
  <c r="AB251" i="1"/>
  <c r="AB250" i="1"/>
  <c r="AB249" i="1"/>
  <c r="AB248" i="1"/>
  <c r="AB247" i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226" i="1"/>
  <c r="AB225" i="1"/>
  <c r="AB224" i="1"/>
  <c r="AB223" i="1"/>
  <c r="AB222" i="1"/>
  <c r="AB221" i="1"/>
  <c r="AB220" i="1"/>
  <c r="AB219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94" i="1"/>
  <c r="AB193" i="1"/>
  <c r="AB192" i="1"/>
  <c r="AB191" i="1"/>
  <c r="AB190" i="1"/>
  <c r="AB189" i="1"/>
  <c r="AB188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163" i="1"/>
  <c r="AB162" i="1"/>
  <c r="AB161" i="1"/>
  <c r="AB160" i="1"/>
  <c r="AB159" i="1"/>
  <c r="AB158" i="1"/>
  <c r="AB157" i="1"/>
  <c r="AB156" i="1"/>
  <c r="AB155" i="1"/>
  <c r="AB154" i="1"/>
  <c r="AB153" i="1"/>
  <c r="AB152" i="1"/>
  <c r="AB151" i="1"/>
  <c r="AB150" i="1"/>
  <c r="AB149" i="1"/>
  <c r="AB148" i="1"/>
  <c r="AB147" i="1"/>
  <c r="AB146" i="1"/>
  <c r="AB145" i="1"/>
  <c r="AB144" i="1"/>
  <c r="AB143" i="1"/>
  <c r="AB142" i="1"/>
  <c r="AB141" i="1"/>
  <c r="AB140" i="1"/>
  <c r="AB139" i="1"/>
  <c r="AB138" i="1"/>
  <c r="AB137" i="1"/>
  <c r="AB136" i="1"/>
  <c r="AB135" i="1"/>
  <c r="AB134" i="1"/>
  <c r="AB133" i="1"/>
  <c r="AB132" i="1"/>
  <c r="AB131" i="1"/>
  <c r="AB130" i="1"/>
  <c r="AB129" i="1"/>
  <c r="AB128" i="1"/>
  <c r="AB127" i="1"/>
  <c r="AB126" i="1"/>
  <c r="AB125" i="1"/>
  <c r="AB124" i="1"/>
  <c r="AB123" i="1"/>
  <c r="AB122" i="1"/>
  <c r="AB121" i="1"/>
  <c r="AB120" i="1"/>
  <c r="AB119" i="1"/>
  <c r="AB118" i="1"/>
  <c r="AB117" i="1"/>
  <c r="AB116" i="1"/>
  <c r="AB115" i="1"/>
  <c r="AB114" i="1"/>
  <c r="AB113" i="1"/>
  <c r="AB112" i="1"/>
  <c r="AB111" i="1"/>
  <c r="AB110" i="1"/>
  <c r="AB109" i="1"/>
  <c r="AB108" i="1"/>
  <c r="AB107" i="1"/>
  <c r="AB106" i="1"/>
  <c r="AB105" i="1"/>
  <c r="AB104" i="1"/>
  <c r="AB103" i="1"/>
  <c r="AB102" i="1"/>
  <c r="AB101" i="1"/>
  <c r="AB100" i="1"/>
  <c r="AB99" i="1"/>
  <c r="AB98" i="1"/>
  <c r="AB97" i="1"/>
  <c r="AB96" i="1"/>
  <c r="AB95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B70" i="1"/>
  <c r="AB69" i="1"/>
  <c r="AB68" i="1"/>
  <c r="AB67" i="1"/>
  <c r="AB66" i="1"/>
  <c r="AB65" i="1"/>
  <c r="AB64" i="1"/>
  <c r="AB63" i="1"/>
  <c r="AB62" i="1"/>
  <c r="AB61" i="1"/>
  <c r="AB60" i="1"/>
  <c r="AB59" i="1"/>
  <c r="AB58" i="1"/>
  <c r="AB57" i="1"/>
  <c r="AB56" i="1"/>
  <c r="AB55" i="1"/>
  <c r="AB54" i="1"/>
  <c r="AB53" i="1"/>
  <c r="AB52" i="1"/>
  <c r="AB51" i="1"/>
  <c r="AB50" i="1"/>
  <c r="AB49" i="1"/>
  <c r="AB48" i="1"/>
  <c r="AB47" i="1"/>
  <c r="AB46" i="1"/>
  <c r="AB45" i="1"/>
  <c r="AB44" i="1"/>
  <c r="AB43" i="1"/>
  <c r="AB42" i="1"/>
  <c r="AB41" i="1"/>
  <c r="AB40" i="1"/>
  <c r="AB39" i="1"/>
  <c r="AB38" i="1"/>
  <c r="AB37" i="1"/>
  <c r="AB36" i="1"/>
  <c r="AB35" i="1"/>
  <c r="AB34" i="1"/>
  <c r="AB33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6" i="1"/>
  <c r="AB5" i="1"/>
  <c r="AB4" i="1"/>
  <c r="AB3" i="1"/>
  <c r="AB2" i="1"/>
</calcChain>
</file>

<file path=xl/sharedStrings.xml><?xml version="1.0" encoding="utf-8"?>
<sst xmlns="http://schemas.openxmlformats.org/spreadsheetml/2006/main" count="46873" uniqueCount="29088">
  <si>
    <t>Protein_ID</t>
  </si>
  <si>
    <t>plot</t>
  </si>
  <si>
    <t>gene_name</t>
  </si>
  <si>
    <t>uniprot_ac</t>
  </si>
  <si>
    <t>auc</t>
  </si>
  <si>
    <t>plot_link</t>
  </si>
  <si>
    <t>A0AVI4_TMEM129</t>
  </si>
  <si>
    <t>A0AVT1_UBA6</t>
  </si>
  <si>
    <t>A0JNW5_UHRF1BP1L</t>
  </si>
  <si>
    <t>A1A4S6_ARHGAP10</t>
  </si>
  <si>
    <t>A1L0T0_ILVBL</t>
  </si>
  <si>
    <t>A1L188_C17orf89</t>
  </si>
  <si>
    <t>A1X283_SH3PXD2B</t>
  </si>
  <si>
    <t>A2A274_ACO2</t>
  </si>
  <si>
    <t>A2A2F4_PMEPA1</t>
  </si>
  <si>
    <t>A2A2Q9_AAR2</t>
  </si>
  <si>
    <t>A2A2V1_PRNP</t>
  </si>
  <si>
    <t>A2RRP1_NBAS</t>
  </si>
  <si>
    <t>A2RU67_KIAA1467</t>
  </si>
  <si>
    <t>A2VDF0_FUOM</t>
  </si>
  <si>
    <t>A3KN83-3_SBNO1</t>
  </si>
  <si>
    <t>A4D126_ISPD</t>
  </si>
  <si>
    <t>A4D1U4_LCHN</t>
  </si>
  <si>
    <t>A4D1W8_UCC1</t>
  </si>
  <si>
    <t>A4D2B0_MBLAC1</t>
  </si>
  <si>
    <t>A4UGR9-2_XIRP2</t>
  </si>
  <si>
    <t>A5YKK6-2_CNOT1</t>
  </si>
  <si>
    <t>A6H8Z3_RAB3GAP1</t>
  </si>
  <si>
    <t>A6NC48_BST1</t>
  </si>
  <si>
    <t>A6NDG6_PGP</t>
  </si>
  <si>
    <t>A6NDU8_C5orf51</t>
  </si>
  <si>
    <t>A6NED2_RCCD1</t>
  </si>
  <si>
    <t>A6NEM2_HCFC1</t>
  </si>
  <si>
    <t>A6NEP9_TSPAN14</t>
  </si>
  <si>
    <t>A6NF31_OFD1</t>
  </si>
  <si>
    <t>A6NG32_CHMP1A</t>
  </si>
  <si>
    <t>A6NG79_PRCC</t>
  </si>
  <si>
    <t>A6NGC4_TLCD2</t>
  </si>
  <si>
    <t>A6NGJ0_DYNLT3</t>
  </si>
  <si>
    <t>A6NGP5_HN1L</t>
  </si>
  <si>
    <t>A6NGW1_YIF1A</t>
  </si>
  <si>
    <t>A6NHL2-2_TUBAL3</t>
  </si>
  <si>
    <t>A6NHX0_GATSL2</t>
  </si>
  <si>
    <t>A6NIH7_UNC119B</t>
  </si>
  <si>
    <t>A6NIR2_HSPB11</t>
  </si>
  <si>
    <t>A6NJ78_METTL15</t>
  </si>
  <si>
    <t>A6NK28_MAP2K5</t>
  </si>
  <si>
    <t>A6NKF9_GPR89C</t>
  </si>
  <si>
    <t>A6NL54_ZMYM3</t>
  </si>
  <si>
    <t>A6NLG9_BGN</t>
  </si>
  <si>
    <t>A6NLH6_CNIH4</t>
  </si>
  <si>
    <t>A6NMH6_SEPT8</t>
  </si>
  <si>
    <t>A6NML8_DIAPH2</t>
  </si>
  <si>
    <t>A6NN40_SHROOM1</t>
  </si>
  <si>
    <t>A6NN80_ANXA6</t>
  </si>
  <si>
    <t>A6NNI4_CD9</t>
  </si>
  <si>
    <t>A6QRJ0_DNASE1L1</t>
  </si>
  <si>
    <t>A6ZKI3_FAM127A</t>
  </si>
  <si>
    <t>A8K0B5_ZBTB8OS</t>
  </si>
  <si>
    <t>A8K7Q2_HSPA8</t>
  </si>
  <si>
    <t>A8MQ02_MLLT4</t>
  </si>
  <si>
    <t>A8MQ45_JAM2</t>
  </si>
  <si>
    <t>A8MSH5_RTFDC1</t>
  </si>
  <si>
    <t>A8MSI8_LYRM9</t>
  </si>
  <si>
    <t>A8MT02_SNRPB</t>
  </si>
  <si>
    <t>A8MTG8_ARMC8</t>
  </si>
  <si>
    <t>A8MTT3_hCG_1988162</t>
  </si>
  <si>
    <t>A8MTY9_DSCR3</t>
  </si>
  <si>
    <t>A8MU21_TMEM147</t>
  </si>
  <si>
    <t>A8MUA9_SUMO3</t>
  </si>
  <si>
    <t>A8MUB1_TUBA4A</t>
  </si>
  <si>
    <t>A8MUM1_TSSC1</t>
  </si>
  <si>
    <t>A8MVW0_FAM171A2</t>
  </si>
  <si>
    <t>A8MVZ6_BICD1</t>
  </si>
  <si>
    <t>A8MWK3_CDH2</t>
  </si>
  <si>
    <t>A8MXE8_RAI1</t>
  </si>
  <si>
    <t>A8MXV4_NUDT19</t>
  </si>
  <si>
    <t>A8MYQ9_RAB34</t>
  </si>
  <si>
    <t>A8MYT4_PIK3C3</t>
  </si>
  <si>
    <t>A8MZ54_STX1A</t>
  </si>
  <si>
    <t>A9UHW6_MIF4GD</t>
  </si>
  <si>
    <t>A9Z1X7_SRRM1</t>
  </si>
  <si>
    <t>B0FLL2_PFKFB2</t>
  </si>
  <si>
    <t>B0QY89_EIF3L</t>
  </si>
  <si>
    <t>B0QY95_SMCR7L</t>
  </si>
  <si>
    <t>B0QYI3_TBC1D22A</t>
  </si>
  <si>
    <t>B0QYK0_EWSR1</t>
  </si>
  <si>
    <t>B0QZ18_CPNE1</t>
  </si>
  <si>
    <t>B0QZK9_HP1BP3</t>
  </si>
  <si>
    <t>B0UX83_BAG6</t>
  </si>
  <si>
    <t>B0UXB6_ABHD16A</t>
  </si>
  <si>
    <t>B0V043_VARS</t>
  </si>
  <si>
    <t>B0V0T3_PSMB9</t>
  </si>
  <si>
    <t>B0YIW2_APOC3</t>
  </si>
  <si>
    <t>B1AH87_TSPO</t>
  </si>
  <si>
    <t>B1AHD1_NHP2L1</t>
  </si>
  <si>
    <t>B1AK13_HMGCL</t>
  </si>
  <si>
    <t>B1AK81_PIGK</t>
  </si>
  <si>
    <t>B1AKC7_RASAL2</t>
  </si>
  <si>
    <t>B1AKJ5_NRD1</t>
  </si>
  <si>
    <t>B1AKJ6_OSBPL9</t>
  </si>
  <si>
    <t>B1AKL4_EIF4ENIF1</t>
  </si>
  <si>
    <t>B1AKN3_RERE</t>
  </si>
  <si>
    <t>B1AKP2_TSPAN2</t>
  </si>
  <si>
    <t>B1AKR6_DYNLRB1</t>
  </si>
  <si>
    <t>B1AKT3_TMED5</t>
  </si>
  <si>
    <t>B1AL69_CDC37L1</t>
  </si>
  <si>
    <t>B1AL88_FAM155A</t>
  </si>
  <si>
    <t>B1ALH6_PHYH</t>
  </si>
  <si>
    <t>B1ALK7_ARHGEF7</t>
  </si>
  <si>
    <t>B1ALY0_PALM2-AKAP2</t>
  </si>
  <si>
    <t>B1AM21_GNAQ</t>
  </si>
  <si>
    <t>B1AMF0_UBE2J2</t>
  </si>
  <si>
    <t>B1AMS2_SEPT6</t>
  </si>
  <si>
    <t>B1AMU7_EXOSC1</t>
  </si>
  <si>
    <t>B1AMW1_CD58</t>
  </si>
  <si>
    <t>B1AN89_EIF4G3</t>
  </si>
  <si>
    <t>B1AN99_PRSS3</t>
  </si>
  <si>
    <t>B1ANH0_GUK1</t>
  </si>
  <si>
    <t>B1APM4_SOAT1</t>
  </si>
  <si>
    <t>B1AVU8_PSAP</t>
  </si>
  <si>
    <t>B1AZV3_TAP1</t>
  </si>
  <si>
    <t>B2WTI3_JMJD6</t>
  </si>
  <si>
    <t>B3KNQ0_CCDC92</t>
  </si>
  <si>
    <t>B3KS98_EIF3S3</t>
  </si>
  <si>
    <t>B3KSH1_EIF3F</t>
  </si>
  <si>
    <t>B3KSI9_LZTFL1</t>
  </si>
  <si>
    <t>B3KTR6_MXRA8</t>
  </si>
  <si>
    <t>B3KUB4_CA12</t>
  </si>
  <si>
    <t>B3KUE5_PLTP</t>
  </si>
  <si>
    <t>B3KUK2_SOD2</t>
  </si>
  <si>
    <t>B3KV95_FBXO18</t>
  </si>
  <si>
    <t>B3KVH8_PHF23</t>
  </si>
  <si>
    <t>B3KXW5_AP1G1</t>
  </si>
  <si>
    <t>B3KY94_CDIPT</t>
  </si>
  <si>
    <t>B4DDD2_DHFR</t>
  </si>
  <si>
    <t>B4DDF4_CNN2</t>
  </si>
  <si>
    <t>B4DDF9_ANXA4</t>
  </si>
  <si>
    <t>B4DE11_SLC35A2</t>
  </si>
  <si>
    <t>B4DEX5_PRNPIP</t>
  </si>
  <si>
    <t>B4DEZ3_NDUFA13</t>
  </si>
  <si>
    <t>B4DFG0_DEK</t>
  </si>
  <si>
    <t>B4DFZ9_PIGX</t>
  </si>
  <si>
    <t>B4DGU4_CTNNB1</t>
  </si>
  <si>
    <t>B4DGV4_RYR2</t>
  </si>
  <si>
    <t>B4DGX2_PIP4K2A</t>
  </si>
  <si>
    <t>B4DH53_MAP1S</t>
  </si>
  <si>
    <t>B4DHE1_RPS6KC1</t>
  </si>
  <si>
    <t>B4DHJ7_BNIP3</t>
  </si>
  <si>
    <t>B4DHL3_LRRC28</t>
  </si>
  <si>
    <t>B4DHW1_TMEM165</t>
  </si>
  <si>
    <t>B4DJA5_RAB5A</t>
  </si>
  <si>
    <t>B4DJP7_SNRPD3</t>
  </si>
  <si>
    <t>B4DJV2_CS</t>
  </si>
  <si>
    <t>B4DJZ1_SLC23A2</t>
  </si>
  <si>
    <t>B4DK95_ZYG11B</t>
  </si>
  <si>
    <t>B4DL14_ATP5C1</t>
  </si>
  <si>
    <t>B4DLE8_CRYBG3</t>
  </si>
  <si>
    <t>B4DLR8_NQO1</t>
  </si>
  <si>
    <t>B4DLT4_RPS6KB1</t>
  </si>
  <si>
    <t>B4DLU3_PGS1</t>
  </si>
  <si>
    <t>B4DP21_PTGES3</t>
  </si>
  <si>
    <t>B4DPY5_SNX11</t>
  </si>
  <si>
    <t>B4DPY8_TOX4</t>
  </si>
  <si>
    <t>B4DQ14_EIF2A</t>
  </si>
  <si>
    <t>B4DQ18_LPAR1</t>
  </si>
  <si>
    <t>B4DQ84_ZDHHC18</t>
  </si>
  <si>
    <t>B4DQJ8_PGD</t>
  </si>
  <si>
    <t>B4DR03_NAA40</t>
  </si>
  <si>
    <t>B4DR52_HIST2H2BF</t>
  </si>
  <si>
    <t>B4DR61_SEC61A1</t>
  </si>
  <si>
    <t>B4DRC4_ASB6</t>
  </si>
  <si>
    <t>B4DRL9_CHM</t>
  </si>
  <si>
    <t>B4DRV7_VDR</t>
  </si>
  <si>
    <t>B4DSD4_C9orf41</t>
  </si>
  <si>
    <t>B4DSS5_KIAA0513</t>
  </si>
  <si>
    <t>B4DT77_ANXA7</t>
  </si>
  <si>
    <t>B4DTZ6_SLC9A1</t>
  </si>
  <si>
    <t>B4DUS9_BPNT1</t>
  </si>
  <si>
    <t>B4DUV4_POFUT1</t>
  </si>
  <si>
    <t>B4DV96_RBKS</t>
  </si>
  <si>
    <t>B4DVE7_ANXA11</t>
  </si>
  <si>
    <t>B4DVY1_EIF3D</t>
  </si>
  <si>
    <t>B4DWI1_HACL1</t>
  </si>
  <si>
    <t>B4DWJ2_QARS</t>
  </si>
  <si>
    <t>B4DXZ6_FXR1</t>
  </si>
  <si>
    <t>B4DYB4_NUP35</t>
  </si>
  <si>
    <t>B4DZ23_GPR176</t>
  </si>
  <si>
    <t>B4E0T2_PEX5</t>
  </si>
  <si>
    <t>B4E1M0_MSANTD2</t>
  </si>
  <si>
    <t>B4E1N1_ARMC6</t>
  </si>
  <si>
    <t>B4E1Q4_RIOK3</t>
  </si>
  <si>
    <t>B4E1Q6_SLC35B3</t>
  </si>
  <si>
    <t>B4E1S6_SDC4</t>
  </si>
  <si>
    <t>B4E241_SFRS3</t>
  </si>
  <si>
    <t>B4E2V5_STOM</t>
  </si>
  <si>
    <t>B4E2W0_HADHB</t>
  </si>
  <si>
    <t>B4E2X3_METTL13</t>
  </si>
  <si>
    <t>B4E2Z0_SPARCL1</t>
  </si>
  <si>
    <t>B4E358_CTTN</t>
  </si>
  <si>
    <t>B4E3E5_DVL3</t>
  </si>
  <si>
    <t>B5MC53_MPV17</t>
  </si>
  <si>
    <t>B5MCD7_SYNGR1</t>
  </si>
  <si>
    <t>B5MCN7_NCOA1</t>
  </si>
  <si>
    <t>B5MD23_TSPAN9</t>
  </si>
  <si>
    <t>B5MDE0_RFT1</t>
  </si>
  <si>
    <t>B5MDU6_C2orf43</t>
  </si>
  <si>
    <t>B5MEB3_CABIN1</t>
  </si>
  <si>
    <t>B7WPE2_EML3</t>
  </si>
  <si>
    <t>B7Z1I4_NTM</t>
  </si>
  <si>
    <t>B7Z1J9_PDDC1</t>
  </si>
  <si>
    <t>B7Z254_PDIA6</t>
  </si>
  <si>
    <t>B7Z2B2_MFSD8</t>
  </si>
  <si>
    <t>B7Z2C3_PPM1F</t>
  </si>
  <si>
    <t>B7Z2S5_TXNRD1</t>
  </si>
  <si>
    <t>B7Z2Y2_COG2</t>
  </si>
  <si>
    <t>B7Z317_TSPAN5</t>
  </si>
  <si>
    <t>B7Z3I9_ALAD</t>
  </si>
  <si>
    <t>B7Z463_NPEPPS</t>
  </si>
  <si>
    <t>B7Z493_FGD4</t>
  </si>
  <si>
    <t>B7Z4K6_DNASE2</t>
  </si>
  <si>
    <t>B7Z4M2_WBP4</t>
  </si>
  <si>
    <t>B7Z4R5_P2RX4</t>
  </si>
  <si>
    <t>B7Z4W5_CCBL1</t>
  </si>
  <si>
    <t>B7Z589_SLC6A9</t>
  </si>
  <si>
    <t>B7Z5G4_STMN3</t>
  </si>
  <si>
    <t>B7Z5W1_F11R</t>
  </si>
  <si>
    <t>B7Z662_SLC27A1</t>
  </si>
  <si>
    <t>B7Z6B8_DECR1</t>
  </si>
  <si>
    <t>B7Z729_SMPDL3A</t>
  </si>
  <si>
    <t>B7Z779_TMEM106A</t>
  </si>
  <si>
    <t>B7Z815_USP7</t>
  </si>
  <si>
    <t>B7Z817_DHCR24</t>
  </si>
  <si>
    <t>B7Z831_GPRC5B</t>
  </si>
  <si>
    <t>B7Z9I3_ATP6AP2</t>
  </si>
  <si>
    <t>B7Z9S8_ATP1B1</t>
  </si>
  <si>
    <t>B7ZC38_SH3GLB2</t>
  </si>
  <si>
    <t>B7ZKK9_PPP2R5E</t>
  </si>
  <si>
    <t>B7ZKM0_SART3</t>
  </si>
  <si>
    <t>B7ZKQ9_SCARB1</t>
  </si>
  <si>
    <t>B7ZL88_COX18</t>
  </si>
  <si>
    <t>B7ZLZ2_EDEM3</t>
  </si>
  <si>
    <t>B7ZMI4_MPDZ</t>
  </si>
  <si>
    <t>B8X2Z3_RLTPR</t>
  </si>
  <si>
    <t>B8ZZD4_TAX1BP1</t>
  </si>
  <si>
    <t>B8ZZK4_RPL31</t>
  </si>
  <si>
    <t>B8ZZN3_STK16</t>
  </si>
  <si>
    <t>B8ZZN6_SUMO1</t>
  </si>
  <si>
    <t>B8ZZQ6_PTMA</t>
  </si>
  <si>
    <t>B8ZZX2_COQ10B</t>
  </si>
  <si>
    <t>B8ZZY2_AGFG1</t>
  </si>
  <si>
    <t>B9A018_USP39</t>
  </si>
  <si>
    <t>B9A054_RHBDD1</t>
  </si>
  <si>
    <t>B9A057_COA5</t>
  </si>
  <si>
    <t>B9A067_IMMT</t>
  </si>
  <si>
    <t>B9A071_TBC1D14</t>
  </si>
  <si>
    <t>B9EGH5_PLCB2</t>
  </si>
  <si>
    <t>C0H5X6_PEX7</t>
  </si>
  <si>
    <t>C0H5Y7_BAK1</t>
  </si>
  <si>
    <t>C4AMC7_WASH3P</t>
  </si>
  <si>
    <t>C9IYC4_C3orf18</t>
  </si>
  <si>
    <t>C9IYZ1_ASNSD1</t>
  </si>
  <si>
    <t>C9J0I9_ZC3HC1</t>
  </si>
  <si>
    <t>C9J0J0_CCDC126</t>
  </si>
  <si>
    <t>C9J0J7_PFN2</t>
  </si>
  <si>
    <t>C9J0K6_SRI</t>
  </si>
  <si>
    <t>C9J1D9_IL1RAP</t>
  </si>
  <si>
    <t>C9J1K8_MEGF9</t>
  </si>
  <si>
    <t>C9J212_UBE2F</t>
  </si>
  <si>
    <t>C9J2F3_PPM1F</t>
  </si>
  <si>
    <t>C9J2P0_UBE2E1</t>
  </si>
  <si>
    <t>C9J2U4_TAMM41</t>
  </si>
  <si>
    <t>C9J366_IQCJ-SCHIP1</t>
  </si>
  <si>
    <t>C9J3D2_PHC2</t>
  </si>
  <si>
    <t>C9J5C3_PDCD10</t>
  </si>
  <si>
    <t>C9J6Q8_TMEM98</t>
  </si>
  <si>
    <t>C9J712_PFN2</t>
  </si>
  <si>
    <t>C9J7I2_C16orf62</t>
  </si>
  <si>
    <t>C9J7K9_PLSCR1</t>
  </si>
  <si>
    <t>C9J8B8_HDAC10</t>
  </si>
  <si>
    <t>C9J8R7_GTPBP10</t>
  </si>
  <si>
    <t>C9J9B2_RBMS3</t>
  </si>
  <si>
    <t>C9J9K3_RPSA</t>
  </si>
  <si>
    <t>C9JA08_NMD3</t>
  </si>
  <si>
    <t>C9JA28_SSR3</t>
  </si>
  <si>
    <t>C9JAB2_SRSF7</t>
  </si>
  <si>
    <t>C9JAF7_SNAP29</t>
  </si>
  <si>
    <t>C9JB13_BSDC1</t>
  </si>
  <si>
    <t>C9JBB3_TFPI</t>
  </si>
  <si>
    <t>C9JBG5_SIDT2</t>
  </si>
  <si>
    <t>C9JCC6_DRAP1</t>
  </si>
  <si>
    <t>C9JCN8_FOSL2</t>
  </si>
  <si>
    <t>C9JDS9_TUBA4A</t>
  </si>
  <si>
    <t>C9JE12_TMUB1</t>
  </si>
  <si>
    <t>C9JE98_NCOR2</t>
  </si>
  <si>
    <t>C9JEL3_EIF4E2</t>
  </si>
  <si>
    <t>C9JEX3_MTMR2</t>
  </si>
  <si>
    <t>C9JEZ4_CDC42EP3</t>
  </si>
  <si>
    <t>C9JF58_OSCP1</t>
  </si>
  <si>
    <t>C9JFB2_YIPF1</t>
  </si>
  <si>
    <t>C9JFE4_GPS1</t>
  </si>
  <si>
    <t>C9JFK9_BAG3</t>
  </si>
  <si>
    <t>C9JFR7_CYCS</t>
  </si>
  <si>
    <t>C9JG41_ITM2C</t>
  </si>
  <si>
    <t>C9JG97_AAMP</t>
  </si>
  <si>
    <t>C9JIF9_APEH</t>
  </si>
  <si>
    <t>C9JJN9_VPS8</t>
  </si>
  <si>
    <t>C9JJP8_ITGB1</t>
  </si>
  <si>
    <t>C9JJU1_SLC38A5</t>
  </si>
  <si>
    <t>C9JJV6_MYADM</t>
  </si>
  <si>
    <t>C9JJX6_ARVCF</t>
  </si>
  <si>
    <t>C9JK10_ITGA6</t>
  </si>
  <si>
    <t>C9JLU1_POLR2H</t>
  </si>
  <si>
    <t>C9JLV4_APAF1</t>
  </si>
  <si>
    <t>C9JM82_SEPT5</t>
  </si>
  <si>
    <t>C9JN15_PPIG</t>
  </si>
  <si>
    <t>C9JNA8_IP6K1</t>
  </si>
  <si>
    <t>C9JP85_NRF1</t>
  </si>
  <si>
    <t>C9JPX5_STARD3NL</t>
  </si>
  <si>
    <t>C9JQ41_CCDC58</t>
  </si>
  <si>
    <t>C9JQB1_NME6</t>
  </si>
  <si>
    <t>C9JQD4_PPIH</t>
  </si>
  <si>
    <t>C9JQP8_FOXP2</t>
  </si>
  <si>
    <t>C9JQV3_STK11IP</t>
  </si>
  <si>
    <t>C9JRY4_SEC22A</t>
  </si>
  <si>
    <t>C9JRZ6_CHCHD3</t>
  </si>
  <si>
    <t>C9JSZ2_SLC46A1</t>
  </si>
  <si>
    <t>C9JT52_ZNF513</t>
  </si>
  <si>
    <t>C9JTT8_BET1</t>
  </si>
  <si>
    <t>C9JTX5_ACTB</t>
  </si>
  <si>
    <t>C9JUF0_EIF4A2</t>
  </si>
  <si>
    <t>C9JVN9_L2HGDH</t>
  </si>
  <si>
    <t>C9JXB8_RPL24</t>
  </si>
  <si>
    <t>C9JXK9_LPP</t>
  </si>
  <si>
    <t>C9JYN0_SYPL1</t>
  </si>
  <si>
    <t>C9JYY6_NRCAM</t>
  </si>
  <si>
    <t>C9JZB0_INPP5K</t>
  </si>
  <si>
    <t>C9JZI1_RFC4</t>
  </si>
  <si>
    <t>C9JZR7_ACTB</t>
  </si>
  <si>
    <t>C9JZY3_PCBP4</t>
  </si>
  <si>
    <t>C9JZY6_UBE2H</t>
  </si>
  <si>
    <t>C9K0J5_RAPH1</t>
  </si>
  <si>
    <t>D0FY33_BTN3A3</t>
  </si>
  <si>
    <t>D3DPN2_SDC3</t>
  </si>
  <si>
    <t>D3DQV9_EIF4G2</t>
  </si>
  <si>
    <t>D3DR31_IFIT1</t>
  </si>
  <si>
    <t>D3DWC4_TMEM23</t>
  </si>
  <si>
    <t>D3YTB1_RPL32</t>
  </si>
  <si>
    <t>D3YTG6_NDOR1</t>
  </si>
  <si>
    <t>D3YTI9_TAPBP</t>
  </si>
  <si>
    <t>D6R938_CAMK2D</t>
  </si>
  <si>
    <t>D6R9U7_POLR3G</t>
  </si>
  <si>
    <t>D6R9X7_ERCC6</t>
  </si>
  <si>
    <t>D6R9Z7_COX7C</t>
  </si>
  <si>
    <t>D6RA26_PLRG1</t>
  </si>
  <si>
    <t>D6RAB5_MFAP3L</t>
  </si>
  <si>
    <t>D6RB81_AMACR</t>
  </si>
  <si>
    <t>D6RBW1_EIF4E</t>
  </si>
  <si>
    <t>D6RCD0_HSD17B11</t>
  </si>
  <si>
    <t>D6RCM8_TNFAIP8</t>
  </si>
  <si>
    <t>D6RCP5_ARHGAP24</t>
  </si>
  <si>
    <t>D6RD47_RPS23</t>
  </si>
  <si>
    <t>D6RDN0_CDV3</t>
  </si>
  <si>
    <t>D6RDX7_EMB</t>
  </si>
  <si>
    <t>D6RE84_ALG13</t>
  </si>
  <si>
    <t>D6REB5_IDUA</t>
  </si>
  <si>
    <t>D6REL0_CDC42SE2</t>
  </si>
  <si>
    <t>D6REL4_IK</t>
  </si>
  <si>
    <t>D6REP5_GRAMD3</t>
  </si>
  <si>
    <t>D6REQ8_HEXB</t>
  </si>
  <si>
    <t>D6RER8_SLC38A9</t>
  </si>
  <si>
    <t>D6REX3_SEC31A</t>
  </si>
  <si>
    <t>D6REX7_SPRY1</t>
  </si>
  <si>
    <t>D6RF44_HNRNPD</t>
  </si>
  <si>
    <t>D6RF48_STX18</t>
  </si>
  <si>
    <t>D6RFG8_DCK</t>
  </si>
  <si>
    <t>D6RGD1_MYO10</t>
  </si>
  <si>
    <t>D6RGG3_COL12A1</t>
  </si>
  <si>
    <t>D6RGJ7_SLC9B2</t>
  </si>
  <si>
    <t>D6RH20_MRPS27</t>
  </si>
  <si>
    <t>D6RHG7_SERINC5</t>
  </si>
  <si>
    <t>D6RHI7_CCNH</t>
  </si>
  <si>
    <t>D6RHI9_RNASET2</t>
  </si>
  <si>
    <t>D6RIE3_COX7A2</t>
  </si>
  <si>
    <t>D6RIU2_CLDND1</t>
  </si>
  <si>
    <t>D6RIZ4_MFSD10</t>
  </si>
  <si>
    <t>D6RJG8_RFESD</t>
  </si>
  <si>
    <t>E2QRD0_VWA8</t>
  </si>
  <si>
    <t>E2QRG8_REEP5</t>
  </si>
  <si>
    <t>E5RG13_IMPA1</t>
  </si>
  <si>
    <t>E5RG17_TATDN1</t>
  </si>
  <si>
    <t>E5RGX5_STMN2</t>
  </si>
  <si>
    <t>E5RGY0_DERL1</t>
  </si>
  <si>
    <t>E5RH41_GTF2E2</t>
  </si>
  <si>
    <t>E5RHG5_SLC36A1</t>
  </si>
  <si>
    <t>E5RHG8_TCEB1</t>
  </si>
  <si>
    <t>E5RHG9_UQCRB</t>
  </si>
  <si>
    <t>E5RIH5_TTI2</t>
  </si>
  <si>
    <t>E5RIY0_TMEM55A</t>
  </si>
  <si>
    <t>E5RJ08_CHCHD7</t>
  </si>
  <si>
    <t>E5RJ29_PSD3</t>
  </si>
  <si>
    <t>E5RJ52_AP3M2</t>
  </si>
  <si>
    <t>E5RJ99_ZFAND1</t>
  </si>
  <si>
    <t>E5RJR5_SKP1</t>
  </si>
  <si>
    <t>E5RK28_SGK3</t>
  </si>
  <si>
    <t>E5RK82_CETN3</t>
  </si>
  <si>
    <t>E7EM50_PIGG</t>
  </si>
  <si>
    <t>E7EM64_COPS6</t>
  </si>
  <si>
    <t>E7EM93_NUDT12</t>
  </si>
  <si>
    <t>E7EMA9_ATHL1</t>
  </si>
  <si>
    <t>E7EMB6_DNPEP</t>
  </si>
  <si>
    <t>E7EMM4_ASAH1</t>
  </si>
  <si>
    <t>E7EN73_KIAA0319L</t>
  </si>
  <si>
    <t>E7ENA9_NCSTN</t>
  </si>
  <si>
    <t>E7ENC2_RIMS1</t>
  </si>
  <si>
    <t>E7ENF1_C12orf43</t>
  </si>
  <si>
    <t>E7ENK0_CALCOCO2</t>
  </si>
  <si>
    <t>E7EPC6_CD44</t>
  </si>
  <si>
    <t>E7EPD0_TOM1</t>
  </si>
  <si>
    <t>E7EPL4_PDXDC1</t>
  </si>
  <si>
    <t>E7EPN9_PRRC2C</t>
  </si>
  <si>
    <t>E7EPP7_STXBP4</t>
  </si>
  <si>
    <t>E7EPR3_IFI16</t>
  </si>
  <si>
    <t>E7EPS8_PTPRM</t>
  </si>
  <si>
    <t>E7EPT4_NDUFV2</t>
  </si>
  <si>
    <t>E7EPV7_SNCA</t>
  </si>
  <si>
    <t>E7EQ69_NAA50</t>
  </si>
  <si>
    <t>E7EQB2_LTF</t>
  </si>
  <si>
    <t>E7EQB3_TSEN34</t>
  </si>
  <si>
    <t>E7EQL8_TUBGCP6</t>
  </si>
  <si>
    <t>E7EQR8_YIPF3</t>
  </si>
  <si>
    <t>E7EQT4_ACIN1</t>
  </si>
  <si>
    <t>E7EQZ4_SMN1</t>
  </si>
  <si>
    <t>E7ER32_MKL1</t>
  </si>
  <si>
    <t>E7ER60_SYNJ2</t>
  </si>
  <si>
    <t>E7ER89_PAPSS2</t>
  </si>
  <si>
    <t>E7ERB7_GMIP</t>
  </si>
  <si>
    <t>E7ERC6_ATP2C1</t>
  </si>
  <si>
    <t>E7ERH1_TNS1</t>
  </si>
  <si>
    <t>E7ERJ0_ITSN1</t>
  </si>
  <si>
    <t>E7ERK9_EIF2B4</t>
  </si>
  <si>
    <t>E7ERL6_MAST2</t>
  </si>
  <si>
    <t>E7ERS3_ZC3H18</t>
  </si>
  <si>
    <t>E7ES21_HEPH</t>
  </si>
  <si>
    <t>E7ES35_TTC38</t>
  </si>
  <si>
    <t>E7ES43_HSPA4L</t>
  </si>
  <si>
    <t>E7ES96_PSEN1</t>
  </si>
  <si>
    <t>E7ESK6_SDC2</t>
  </si>
  <si>
    <t>E7ESP4_ITGA2</t>
  </si>
  <si>
    <t>E7ESY6_AMOTL1</t>
  </si>
  <si>
    <t>E7ESZ7_NDUFA10</t>
  </si>
  <si>
    <t>E7ET40_PLAU</t>
  </si>
  <si>
    <t>E7ETA6_PCM1</t>
  </si>
  <si>
    <t>E7ETK0_RPS24</t>
  </si>
  <si>
    <t>E7ETU5_RBMS1</t>
  </si>
  <si>
    <t>E7ETW5_RCHY1</t>
  </si>
  <si>
    <t>E7ETZ4_BZW2</t>
  </si>
  <si>
    <t>E7EU05_CD36</t>
  </si>
  <si>
    <t>E7EU23_GDI2</t>
  </si>
  <si>
    <t>E7EU96_CSNK2A1</t>
  </si>
  <si>
    <t>E7EUC6_NAV3</t>
  </si>
  <si>
    <t>E7EUD0_DKK3</t>
  </si>
  <si>
    <t>E7EUM5_NUP54</t>
  </si>
  <si>
    <t>E7EUU1_LTBP4</t>
  </si>
  <si>
    <t>E7EUY0_PRKDC</t>
  </si>
  <si>
    <t>E7EUY3_PCCB</t>
  </si>
  <si>
    <t>E7EV01_CAPN5</t>
  </si>
  <si>
    <t>E7EV05_ZFAND2B</t>
  </si>
  <si>
    <t>E7EVA0_MAP4</t>
  </si>
  <si>
    <t>E7EVC7_ATG16L1</t>
  </si>
  <si>
    <t>E7EVH9_HDHD1</t>
  </si>
  <si>
    <t>E7EVZ2_YWHAZ</t>
  </si>
  <si>
    <t>E7EW20_MYO6</t>
  </si>
  <si>
    <t>E7EW32_MON1B</t>
  </si>
  <si>
    <t>E7EW69_SEPT10</t>
  </si>
  <si>
    <t>E7EW77_ABI2</t>
  </si>
  <si>
    <t>E7EWC2_IQGAP2</t>
  </si>
  <si>
    <t>E7EWM3_ZMIZ2</t>
  </si>
  <si>
    <t>E7EWP0_NDUFB5</t>
  </si>
  <si>
    <t>E7EX01_MPP2</t>
  </si>
  <si>
    <t>E7EX17_EIF4B</t>
  </si>
  <si>
    <t>E7EX90_DCTN1</t>
  </si>
  <si>
    <t>E9PAR5_NCBP2</t>
  </si>
  <si>
    <t>E9PAU2_RAVER1</t>
  </si>
  <si>
    <t>E9PB09_HEATR5A</t>
  </si>
  <si>
    <t>E9PB61_ALYREF</t>
  </si>
  <si>
    <t>E9PBJ5_SDHA</t>
  </si>
  <si>
    <t>E9PBL8_COG1</t>
  </si>
  <si>
    <t>E9PBS1_PAICS</t>
  </si>
  <si>
    <t>E9PC15_AGK</t>
  </si>
  <si>
    <t>E9PC47_LIMK1</t>
  </si>
  <si>
    <t>E9PC74_EIF2B5</t>
  </si>
  <si>
    <t>E9PCH4_FNIP1</t>
  </si>
  <si>
    <t>E9PCJ7_UBR7</t>
  </si>
  <si>
    <t>E9PCW1_GOSR1</t>
  </si>
  <si>
    <t>E9PCY7_HNRNPH1</t>
  </si>
  <si>
    <t>E9PDF6_MYO1B</t>
  </si>
  <si>
    <t>E9PDN5_DMD</t>
  </si>
  <si>
    <t>E9PDX3_KIF13A</t>
  </si>
  <si>
    <t>E9PEE8_ITGB6</t>
  </si>
  <si>
    <t>E9PEH6_SGCE</t>
  </si>
  <si>
    <t>E9PEN8_XPO7</t>
  </si>
  <si>
    <t>E9PEP6_NRP1</t>
  </si>
  <si>
    <t>E9PER1_DIP2A</t>
  </si>
  <si>
    <t>E9PER6_PDPK1</t>
  </si>
  <si>
    <t>E9PEZ3_DIAPH1</t>
  </si>
  <si>
    <t>E9PF10_NUP155</t>
  </si>
  <si>
    <t>E9PF16_ACSF2</t>
  </si>
  <si>
    <t>E9PF18_HADH</t>
  </si>
  <si>
    <t>E9PF19_TBL2</t>
  </si>
  <si>
    <t>E9PF55_TNS1</t>
  </si>
  <si>
    <t>E9PFH7_MAPK8IP3</t>
  </si>
  <si>
    <t>E9PFK9_RABGEF1</t>
  </si>
  <si>
    <t>E9PFR3_PPP2R5D</t>
  </si>
  <si>
    <t>E9PG19_FCHSD2</t>
  </si>
  <si>
    <t>E9PG22_CEP97</t>
  </si>
  <si>
    <t>E9PG71_EPHA4</t>
  </si>
  <si>
    <t>E9PGB5_SFXN4</t>
  </si>
  <si>
    <t>E9PGC0_RASA1</t>
  </si>
  <si>
    <t>E9PGF5_TNS1</t>
  </si>
  <si>
    <t>E9PGN7_SERPING1</t>
  </si>
  <si>
    <t>E9PGT1_TSN</t>
  </si>
  <si>
    <t>E9PGT6_COPS8</t>
  </si>
  <si>
    <t>E9PH29_PRDX3</t>
  </si>
  <si>
    <t>E9PHG5_CYP20A1</t>
  </si>
  <si>
    <t>E9PHK9_TCOF1</t>
  </si>
  <si>
    <t>E9PHV5_SSFA2</t>
  </si>
  <si>
    <t>E9PHY8_MROH1</t>
  </si>
  <si>
    <t>E9PIE3_PRKCDBP</t>
  </si>
  <si>
    <t>E9PIM6_THY1</t>
  </si>
  <si>
    <t>E9PJ55_TCP11L1</t>
  </si>
  <si>
    <t>E9PJ64_PDE4DIP</t>
  </si>
  <si>
    <t>E9PJ81_UBXN1</t>
  </si>
  <si>
    <t>E9PJA2_CSF1</t>
  </si>
  <si>
    <t>E9PJD7_CYHR1</t>
  </si>
  <si>
    <t>E9PJK1_CD81</t>
  </si>
  <si>
    <t>E9PJK5_FAM160A2</t>
  </si>
  <si>
    <t>E9PK01_EEF1D</t>
  </si>
  <si>
    <t>E9PK67_PARP10</t>
  </si>
  <si>
    <t>E9PKB9_SNX19</t>
  </si>
  <si>
    <t>E9PKC5_AMPD3</t>
  </si>
  <si>
    <t>E9PKE3_HSPA8</t>
  </si>
  <si>
    <t>E9PKG1_PRMT1</t>
  </si>
  <si>
    <t>E9PKH2_SERPINH1</t>
  </si>
  <si>
    <t>E9PKN9_TP53I11</t>
  </si>
  <si>
    <t>E9PKT4_TMEM123</t>
  </si>
  <si>
    <t>E9PKV8_TTC9C</t>
  </si>
  <si>
    <t>E9PKZ0_RPL8</t>
  </si>
  <si>
    <t>E9PL01_SPCS2</t>
  </si>
  <si>
    <t>E9PL22_HYOU1</t>
  </si>
  <si>
    <t>E9PL33_EI24</t>
  </si>
  <si>
    <t>E9PLG8_GPAA1</t>
  </si>
  <si>
    <t>E9PLK3_NPEPPS</t>
  </si>
  <si>
    <t>E9PLL6_RPL27A</t>
  </si>
  <si>
    <t>E9PM04_DCUN1D5</t>
  </si>
  <si>
    <t>E9PM46_USP47</t>
  </si>
  <si>
    <t>E9PM92_C11orf58</t>
  </si>
  <si>
    <t>E9PMB9_ME3</t>
  </si>
  <si>
    <t>E9PME6_USF1</t>
  </si>
  <si>
    <t>E9PMI6_CLNS1A</t>
  </si>
  <si>
    <t>E9PMJ2_FAM118B</t>
  </si>
  <si>
    <t>E9PMP7_LMO7</t>
  </si>
  <si>
    <t>E9PMQ6_HSF1</t>
  </si>
  <si>
    <t>E9PN41_TSPAN4</t>
  </si>
  <si>
    <t>E9PND3_EBAG9</t>
  </si>
  <si>
    <t>E9PNV3_RDX</t>
  </si>
  <si>
    <t>E9PNX1_SERPINH1</t>
  </si>
  <si>
    <t>E9PPM8_DERA</t>
  </si>
  <si>
    <t>E9PPU0_EPPK1</t>
  </si>
  <si>
    <t>E9PPU6_NAGK</t>
  </si>
  <si>
    <t>E9PPW7_NDUFS8</t>
  </si>
  <si>
    <t>E9PQ91_SC5D</t>
  </si>
  <si>
    <t>E9PQR4_TUB</t>
  </si>
  <si>
    <t>E9PQW1_CARD16</t>
  </si>
  <si>
    <t>E9PQY2_PFDN4</t>
  </si>
  <si>
    <t>E9PR17_CD59</t>
  </si>
  <si>
    <t>E9PR30_FAU</t>
  </si>
  <si>
    <t>E9PR44_CRYAB</t>
  </si>
  <si>
    <t>E9PR54_CTSB</t>
  </si>
  <si>
    <t>E9PR71_UVRAG</t>
  </si>
  <si>
    <t>E9PR76_MAF1</t>
  </si>
  <si>
    <t>E9PRM7_SLC22A18</t>
  </si>
  <si>
    <t>E9PRR8_EIF1AD</t>
  </si>
  <si>
    <t>E9PRU1_EFEMP2</t>
  </si>
  <si>
    <t>E9PS00_FADS3</t>
  </si>
  <si>
    <t>E9PS17_SCYL1</t>
  </si>
  <si>
    <t>E9PS38_NEDD8-MDP1</t>
  </si>
  <si>
    <t>E9PSC1_EFEMP2</t>
  </si>
  <si>
    <t>E9PSI1_TM9SF1</t>
  </si>
  <si>
    <t>F2Z2B9_TUBGCP2</t>
  </si>
  <si>
    <t>F2Z2I2_PFKFB3</t>
  </si>
  <si>
    <t>F2Z2U8_MYH14</t>
  </si>
  <si>
    <t>F2Z2X4_XPO4</t>
  </si>
  <si>
    <t>F5GWF3_C1RL</t>
  </si>
  <si>
    <t>F5GWT4_WNK1</t>
  </si>
  <si>
    <t>F5GWU7_SMAD5</t>
  </si>
  <si>
    <t>F5GWX5_CHD4</t>
  </si>
  <si>
    <t>F5GWY5_PODXL</t>
  </si>
  <si>
    <t>F5GX68_DNMT1</t>
  </si>
  <si>
    <t>F5GXC8_SUCLA2</t>
  </si>
  <si>
    <t>F5GXE4_ATE1</t>
  </si>
  <si>
    <t>F5GXE7_LTBR</t>
  </si>
  <si>
    <t>F5GXI4_PTPRK</t>
  </si>
  <si>
    <t>F5GXK8_DNAJB11</t>
  </si>
  <si>
    <t>F5GXW6_BRI3</t>
  </si>
  <si>
    <t>F5GXX5_DAD1</t>
  </si>
  <si>
    <t>F5GXZ7_CCDC53</t>
  </si>
  <si>
    <t>F5GY20_GPNMB</t>
  </si>
  <si>
    <t>F5GY99_GALNT1</t>
  </si>
  <si>
    <t>F5GYJ5_</t>
  </si>
  <si>
    <t>F5GYK2_STRN4</t>
  </si>
  <si>
    <t>F5GYN4_OTUB1</t>
  </si>
  <si>
    <t>F5GYP2_DGKH</t>
  </si>
  <si>
    <t>F5GYQ1_ATP6V0D1</t>
  </si>
  <si>
    <t>F5GZ78_PXN</t>
  </si>
  <si>
    <t>F5GZ84_FARP2</t>
  </si>
  <si>
    <t>F5GZK1_EXTL2</t>
  </si>
  <si>
    <t>F5GZP3_TRIM59</t>
  </si>
  <si>
    <t>F5GZS0_DHX36</t>
  </si>
  <si>
    <t>F5GZS6_SLC3A2</t>
  </si>
  <si>
    <t>F5GZX9_FAM120B</t>
  </si>
  <si>
    <t>F5GZY7_GABARAPL1</t>
  </si>
  <si>
    <t>F5H012_TRIM21</t>
  </si>
  <si>
    <t>F5H0L8_SEC23IP</t>
  </si>
  <si>
    <t>F5H148_RRN3</t>
  </si>
  <si>
    <t>F5H1C6_FERMT3</t>
  </si>
  <si>
    <t>F5H1F3_FBLN2</t>
  </si>
  <si>
    <t>F5H1G9_ABI1</t>
  </si>
  <si>
    <t>F5H1H0_L1CAM</t>
  </si>
  <si>
    <t>F5H1M8_PCMTD1</t>
  </si>
  <si>
    <t>F5H1X8_LRBA</t>
  </si>
  <si>
    <t>F5H1Y4_GOPC</t>
  </si>
  <si>
    <t>F5H1Z6_STARD10</t>
  </si>
  <si>
    <t>F5H254_TMEM135</t>
  </si>
  <si>
    <t>F5H280_WSB2</t>
  </si>
  <si>
    <t>F5H2H5_ANKLE2</t>
  </si>
  <si>
    <t>F5H2J3_VMP1</t>
  </si>
  <si>
    <t>F5H2Q7_KIAA1715</t>
  </si>
  <si>
    <t>F5H2S7_DCTN2</t>
  </si>
  <si>
    <t>F5H2U2_PRPF4B</t>
  </si>
  <si>
    <t>F5H2X3_NRP2</t>
  </si>
  <si>
    <t>F5H357_RBPMS</t>
  </si>
  <si>
    <t>F5H365_SEC23A</t>
  </si>
  <si>
    <t>F5H3B6_SHROOM2</t>
  </si>
  <si>
    <t>F5H3M3_MANSC1</t>
  </si>
  <si>
    <t>F5H3Q2_TMEM117</t>
  </si>
  <si>
    <t>F5H3T5_COLGALT2</t>
  </si>
  <si>
    <t>F5H3V2_LRCH3</t>
  </si>
  <si>
    <t>F5H442_TSG101</t>
  </si>
  <si>
    <t>F5H456_RRP12</t>
  </si>
  <si>
    <t>F5H4G7_KPNA6</t>
  </si>
  <si>
    <t>F5H4H2_ATP5J2</t>
  </si>
  <si>
    <t>F5H4K0_WLS</t>
  </si>
  <si>
    <t>F5H4Q5_VPS37C</t>
  </si>
  <si>
    <t>F5H4R0_EVI5</t>
  </si>
  <si>
    <t>F5H523_KLHL42</t>
  </si>
  <si>
    <t>F5H533_AMPH</t>
  </si>
  <si>
    <t>F5H569_ATP6V0A1</t>
  </si>
  <si>
    <t>F5H577_BRK1</t>
  </si>
  <si>
    <t>F5H5A3_MAP4K3</t>
  </si>
  <si>
    <t>F5H5D3_TUBA1C</t>
  </si>
  <si>
    <t>F5H5M7_IFNGR1</t>
  </si>
  <si>
    <t>F5H5N0_CDC42BPA</t>
  </si>
  <si>
    <t>F5H5N1_NDUFS7</t>
  </si>
  <si>
    <t>F5H5P2_BCKDHA</t>
  </si>
  <si>
    <t>F5H5R8_NAT1</t>
  </si>
  <si>
    <t>F5H604_CLASP2</t>
  </si>
  <si>
    <t>F5H620_OXNAD1</t>
  </si>
  <si>
    <t>F5H698_LARS</t>
  </si>
  <si>
    <t>F5H6Z0_CDK17</t>
  </si>
  <si>
    <t>F5H721_WBP11</t>
  </si>
  <si>
    <t>F5H740_VDAC3</t>
  </si>
  <si>
    <t>F5H780_TXNRD1</t>
  </si>
  <si>
    <t>F5H7C4_MSRB3</t>
  </si>
  <si>
    <t>F5H7N9_MFGE8</t>
  </si>
  <si>
    <t>F5H801_OGDH</t>
  </si>
  <si>
    <t>F5H843_SLC16A7</t>
  </si>
  <si>
    <t>F5H860_INPP4A</t>
  </si>
  <si>
    <t>F5H897_TRAP1</t>
  </si>
  <si>
    <t>F5H8D7_XRCC1</t>
  </si>
  <si>
    <t>F5H8H2_MVK</t>
  </si>
  <si>
    <t>F5H8J3_CLPTM1</t>
  </si>
  <si>
    <t>F5H8J4_EIF4G3</t>
  </si>
  <si>
    <t>F6PQP6_EPN2</t>
  </si>
  <si>
    <t>F6S0T5_KDM1A</t>
  </si>
  <si>
    <t>F6T1Q0_PDE12</t>
  </si>
  <si>
    <t>F6U1F2_BAG6</t>
  </si>
  <si>
    <t>F6U1T9_PPP3R1</t>
  </si>
  <si>
    <t>F6WCX7_MAP2K7</t>
  </si>
  <si>
    <t>F6XY72_NME2</t>
  </si>
  <si>
    <t>F8VP89_EIF4B</t>
  </si>
  <si>
    <t>F8VP97_CNOT2</t>
  </si>
  <si>
    <t>F8VPD4_CAD</t>
  </si>
  <si>
    <t>F8VPF7_HVCN1</t>
  </si>
  <si>
    <t>F8VQD4_C12orf75</t>
  </si>
  <si>
    <t>F8VQZ7_METAP2</t>
  </si>
  <si>
    <t>F8VRE8_TMEM19</t>
  </si>
  <si>
    <t>F8VS47_NEK3</t>
  </si>
  <si>
    <t>F8VSL3_NFYB</t>
  </si>
  <si>
    <t>F8VSZ4_PLXNA1</t>
  </si>
  <si>
    <t>F8VU90_FKBP11</t>
  </si>
  <si>
    <t>F8VUJ3_POC1B-GALNT4</t>
  </si>
  <si>
    <t>F8VV56_CD63</t>
  </si>
  <si>
    <t>F8VV59_NAP1L1</t>
  </si>
  <si>
    <t>F8VV64_TENC1</t>
  </si>
  <si>
    <t>F8VVA2_DDX23</t>
  </si>
  <si>
    <t>F8VVA7_COPZ1</t>
  </si>
  <si>
    <t>F8VW41_PACS2</t>
  </si>
  <si>
    <t>F8VW96_CSRP2</t>
  </si>
  <si>
    <t>F8VWA6_MON2</t>
  </si>
  <si>
    <t>F8VWE0_TSPAN31</t>
  </si>
  <si>
    <t>F8VXC8_SMARCC2</t>
  </si>
  <si>
    <t>F8VXG7_SCAF11</t>
  </si>
  <si>
    <t>F8VXI9_GIT2</t>
  </si>
  <si>
    <t>F8VY35_NAP1L1</t>
  </si>
  <si>
    <t>F8VYN9_ARL1</t>
  </si>
  <si>
    <t>F8VYY5_DNAJC14</t>
  </si>
  <si>
    <t>F8VYZ4_COPZ1</t>
  </si>
  <si>
    <t>F8VZJ2_NACA</t>
  </si>
  <si>
    <t>F8W038_C17orf49</t>
  </si>
  <si>
    <t>F8W1B3_CHPT1</t>
  </si>
  <si>
    <t>F8W1H4_</t>
  </si>
  <si>
    <t>F8W1I9_ACAD10</t>
  </si>
  <si>
    <t>F8W1P7_SLC11A2</t>
  </si>
  <si>
    <t>F8W1Q3_BTD</t>
  </si>
  <si>
    <t>F8W1T6_RBMS2</t>
  </si>
  <si>
    <t>F8W6I7_HNRNPA1</t>
  </si>
  <si>
    <t>F8W6N8_TRIM5</t>
  </si>
  <si>
    <t>F8W717_EML1</t>
  </si>
  <si>
    <t>F8W726_UBAP2L</t>
  </si>
  <si>
    <t>F8W7D6_GPHN</t>
  </si>
  <si>
    <t>F8W7E6_SLC4A7</t>
  </si>
  <si>
    <t>F8W7Q4_FAM162A</t>
  </si>
  <si>
    <t>F8W8I6_TIA1</t>
  </si>
  <si>
    <t>F8W8M3_PPP1R12B</t>
  </si>
  <si>
    <t>F8W8M9_UNC13B</t>
  </si>
  <si>
    <t>F8W930_IGF2BP2</t>
  </si>
  <si>
    <t>F8W9B4_RFC5</t>
  </si>
  <si>
    <t>F8WA11_CLASP1</t>
  </si>
  <si>
    <t>F8WA39_MTMR1</t>
  </si>
  <si>
    <t>F8WAC3_UCKL1</t>
  </si>
  <si>
    <t>F8WAF5_NABP1</t>
  </si>
  <si>
    <t>F8WAT8_DENND2A</t>
  </si>
  <si>
    <t>F8WBK5_MRPL40</t>
  </si>
  <si>
    <t>F8WCD0_RNF149</t>
  </si>
  <si>
    <t>F8WCP6_KIF21A</t>
  </si>
  <si>
    <t>F8WD04_ATL1</t>
  </si>
  <si>
    <t>F8WDA4_PHC3</t>
  </si>
  <si>
    <t>F8WDZ1_PELP1</t>
  </si>
  <si>
    <t>F8WE88_MYO5A</t>
  </si>
  <si>
    <t>F8WE91_DNMT3A</t>
  </si>
  <si>
    <t>F8WEC0_MMADHC</t>
  </si>
  <si>
    <t>F8WF48_SEC62</t>
  </si>
  <si>
    <t>F8WJN3_CPSF6</t>
  </si>
  <si>
    <t>G3V0I5_NDUFV1</t>
  </si>
  <si>
    <t>G3V0I6_OTUD4</t>
  </si>
  <si>
    <t>G3V120_FAM91A1</t>
  </si>
  <si>
    <t>G3V169_CASP1</t>
  </si>
  <si>
    <t>G3V1A6_GSDMD</t>
  </si>
  <si>
    <t>G3V1B5_DSCAML1</t>
  </si>
  <si>
    <t>G3V1K3_PON2</t>
  </si>
  <si>
    <t>G3V1L9_TJP1</t>
  </si>
  <si>
    <t>G3V1N2_HBA2</t>
  </si>
  <si>
    <t>G3V1P3_LOH12CR1</t>
  </si>
  <si>
    <t>G3V1R3_ZEB1</t>
  </si>
  <si>
    <t>G3V1R9_ISYNA1</t>
  </si>
  <si>
    <t>G3V1T4_NUP107</t>
  </si>
  <si>
    <t>G3V1U0_ATF7IP</t>
  </si>
  <si>
    <t>G3V203_RPL18</t>
  </si>
  <si>
    <t>G3V2F7_TMEM189</t>
  </si>
  <si>
    <t>G3V2U7_ACYP1</t>
  </si>
  <si>
    <t>G3V3D2_SPATA7</t>
  </si>
  <si>
    <t>G3V3G9_DCAF8</t>
  </si>
  <si>
    <t>G3V3R7_ATXN3</t>
  </si>
  <si>
    <t>G3V416_SIX4</t>
  </si>
  <si>
    <t>G3V4K3_VIPAS39</t>
  </si>
  <si>
    <t>G3V4P7_AP4S1</t>
  </si>
  <si>
    <t>G3V4U0_FBLN5</t>
  </si>
  <si>
    <t>G3V511_LTBP2</t>
  </si>
  <si>
    <t>G3V583_FAM177A1</t>
  </si>
  <si>
    <t>G3V599_CTAGE5</t>
  </si>
  <si>
    <t>G3V5I3_SERPINA3</t>
  </si>
  <si>
    <t>G3V5N8_ZFYVE1</t>
  </si>
  <si>
    <t>G3V5T0_GSTZ1</t>
  </si>
  <si>
    <t>G3V5T9_CDK2</t>
  </si>
  <si>
    <t>G3V5W1_WARS</t>
  </si>
  <si>
    <t>G3V5Z7_PSMA6</t>
  </si>
  <si>
    <t>G3XA81_TMEM48</t>
  </si>
  <si>
    <t>G3XAA0_ARID1B</t>
  </si>
  <si>
    <t>G3XAH6_PAPOLA</t>
  </si>
  <si>
    <t>G3XAI2_LAMB1</t>
  </si>
  <si>
    <t>G3XAN8_TIMM8B</t>
  </si>
  <si>
    <t>G3XAP3_ABCB8</t>
  </si>
  <si>
    <t>G3XAP6_COMP</t>
  </si>
  <si>
    <t>G5E972_TMPO</t>
  </si>
  <si>
    <t>G5E994_GPR107</t>
  </si>
  <si>
    <t>G5E9A6_USP11</t>
  </si>
  <si>
    <t>G5E9C8_SOS1</t>
  </si>
  <si>
    <t>G5E9P3_NKIRAS1</t>
  </si>
  <si>
    <t>G5EA30_CELF1</t>
  </si>
  <si>
    <t>G5EA37_WIPI1</t>
  </si>
  <si>
    <t>G5EA42_TMOD2</t>
  </si>
  <si>
    <t>G5EA52_PDIA3</t>
  </si>
  <si>
    <t>G8JL86_COBLL1</t>
  </si>
  <si>
    <t>G8JLA2_MYL6</t>
  </si>
  <si>
    <t>G8JLB3_PUS1</t>
  </si>
  <si>
    <t>G8JLI5_WDR45</t>
  </si>
  <si>
    <t>G8JLI6_LEPREL2</t>
  </si>
  <si>
    <t>G8JLK4_TACC1</t>
  </si>
  <si>
    <t>G8JLL2_PPT2</t>
  </si>
  <si>
    <t>G8JLL7_MVB12B</t>
  </si>
  <si>
    <t>G8JLM0_PRKAG2</t>
  </si>
  <si>
    <t>H0UI80_TH1L</t>
  </si>
  <si>
    <t>H0Y2M6_CLCN7</t>
  </si>
  <si>
    <t>H0Y360_AMPD2</t>
  </si>
  <si>
    <t>H0Y4G9_MYD88</t>
  </si>
  <si>
    <t>H0Y4Y2_NAPEPLD</t>
  </si>
  <si>
    <t>H0Y507_SH3PXD2A</t>
  </si>
  <si>
    <t>H0Y547_ATP11A</t>
  </si>
  <si>
    <t>H0Y589_PHF8</t>
  </si>
  <si>
    <t>H0Y599_DOCK4</t>
  </si>
  <si>
    <t>H0Y5A1_PTGDS</t>
  </si>
  <si>
    <t>H0Y5B0_EPB41L2</t>
  </si>
  <si>
    <t>H0Y5C2_ATE1</t>
  </si>
  <si>
    <t>H0Y5Y0_PREP</t>
  </si>
  <si>
    <t>H0Y614_UFM1</t>
  </si>
  <si>
    <t>H0Y6A0_ARFGAP3</t>
  </si>
  <si>
    <t>H0Y6C3_PYCRL</t>
  </si>
  <si>
    <t>H0Y6J0_NME4</t>
  </si>
  <si>
    <t>H0Y6K5_SP3</t>
  </si>
  <si>
    <t>H0Y7A7_CALM2</t>
  </si>
  <si>
    <t>H0Y7U4_THOC2</t>
  </si>
  <si>
    <t>H0Y7X5_PLXNB2</t>
  </si>
  <si>
    <t>H0Y860_STIM2</t>
  </si>
  <si>
    <t>H0Y870_TMEM222</t>
  </si>
  <si>
    <t>H0Y8E6_MCM2</t>
  </si>
  <si>
    <t>H0Y8H1_CHIC2</t>
  </si>
  <si>
    <t>H0YA20_DGKQ</t>
  </si>
  <si>
    <t>H0YA52_PCBD2</t>
  </si>
  <si>
    <t>H0YAE0_C5orf24</t>
  </si>
  <si>
    <t>H0YAJ5_APBB2</t>
  </si>
  <si>
    <t>H0YAN8_ARHGEF10</t>
  </si>
  <si>
    <t>H0YAX0_ZDHHC14</t>
  </si>
  <si>
    <t>H0YB73_UBE2W</t>
  </si>
  <si>
    <t>H0YBC7_BNIP3L</t>
  </si>
  <si>
    <t>H0YBI6_TXNRD3</t>
  </si>
  <si>
    <t>H0YBP1_PTK2</t>
  </si>
  <si>
    <t>H0YBZ4_MTFR1</t>
  </si>
  <si>
    <t>H0YC66_ADAM19</t>
  </si>
  <si>
    <t>H0YCK3_ADAR</t>
  </si>
  <si>
    <t>H0YD93_RUFY2</t>
  </si>
  <si>
    <t>H0YDR5_SIGIRR</t>
  </si>
  <si>
    <t>H0YDS0_UBQLN1</t>
  </si>
  <si>
    <t>H0YDT0_REPS1</t>
  </si>
  <si>
    <t>H0YDU5_PPP1R16A</t>
  </si>
  <si>
    <t>H0YDU8_PPP5C</t>
  </si>
  <si>
    <t>H0YEB6_SSSCA1</t>
  </si>
  <si>
    <t>H0YEF3_RNASEH2C</t>
  </si>
  <si>
    <t>H0YEN5_RPS2</t>
  </si>
  <si>
    <t>H0YEX6_MAPK3</t>
  </si>
  <si>
    <t>H0YG20_MAN1B1</t>
  </si>
  <si>
    <t>H0YGA7_CADM1</t>
  </si>
  <si>
    <t>H0YGR4_REXO2</t>
  </si>
  <si>
    <t>H0YGX7_ARHGDIB</t>
  </si>
  <si>
    <t>H0YHQ9_ARHGAP23</t>
  </si>
  <si>
    <t>H0YI08_MRVI1</t>
  </si>
  <si>
    <t>H0YI09_METTL7A</t>
  </si>
  <si>
    <t>H0YIV9_</t>
  </si>
  <si>
    <t>H0YJ34_FERMT2</t>
  </si>
  <si>
    <t>H0YJE0_CCDC85C</t>
  </si>
  <si>
    <t>H0YK61_EMC4</t>
  </si>
  <si>
    <t>H0YKW5_C15orf48</t>
  </si>
  <si>
    <t>H0YL33_ANXA2</t>
  </si>
  <si>
    <t>H0YLH9_IL16</t>
  </si>
  <si>
    <t>H0YMB3_GMPR2</t>
  </si>
  <si>
    <t>H0YMF4_RPL28</t>
  </si>
  <si>
    <t>H0YMG7_ALDH1A2</t>
  </si>
  <si>
    <t>H0YN78_C15orf57</t>
  </si>
  <si>
    <t>H0YNG3_SEC11A</t>
  </si>
  <si>
    <t>H0YNH5_DPH6</t>
  </si>
  <si>
    <t>H0YNH8_UACA</t>
  </si>
  <si>
    <t>H3BLU2_LSAMP</t>
  </si>
  <si>
    <t>H3BLV0_CD55</t>
  </si>
  <si>
    <t>H3BLZ2_DBNDD1</t>
  </si>
  <si>
    <t>H3BLZ8_DDX17</t>
  </si>
  <si>
    <t>H3BM14_NUB1</t>
  </si>
  <si>
    <t>H3BM67_NOL3</t>
  </si>
  <si>
    <t>H3BM91_COMMD4</t>
  </si>
  <si>
    <t>H3BMA2_SIN3A</t>
  </si>
  <si>
    <t>H3BMF4_SPNS1</t>
  </si>
  <si>
    <t>H3BML8_TMEM219</t>
  </si>
  <si>
    <t>H3BMQ0_TSC2</t>
  </si>
  <si>
    <t>H3BND3_NUDT21</t>
  </si>
  <si>
    <t>H3BNE3_BLOC1S6</t>
  </si>
  <si>
    <t>H3BNU0_PRICKLE2</t>
  </si>
  <si>
    <t>H3BNU9_CARHSP1</t>
  </si>
  <si>
    <t>H3BP13_TRAPPC2L</t>
  </si>
  <si>
    <t>H3BP20_HEXA</t>
  </si>
  <si>
    <t>H3BP28_COQ7</t>
  </si>
  <si>
    <t>H3BP77_TK2</t>
  </si>
  <si>
    <t>H3BPC4_UBE2I</t>
  </si>
  <si>
    <t>H3BPE7_FUS</t>
  </si>
  <si>
    <t>H3BPG5_RNPS1</t>
  </si>
  <si>
    <t>H3BPK6_ORAOV1</t>
  </si>
  <si>
    <t>H3BPS8_ALDOA</t>
  </si>
  <si>
    <t>H3BQ37_EDC3</t>
  </si>
  <si>
    <t>H3BQ52_ARPP19</t>
  </si>
  <si>
    <t>H3BQA0_SNAPC5</t>
  </si>
  <si>
    <t>H3BQK0_DDX19B</t>
  </si>
  <si>
    <t>H3BQX6_MT3</t>
  </si>
  <si>
    <t>H3BQZ7_hCG_2044799</t>
  </si>
  <si>
    <t>H3BR94_DCTN5</t>
  </si>
  <si>
    <t>H3BRD1_UBE2I</t>
  </si>
  <si>
    <t>H3BRF9_ZFYVE19</t>
  </si>
  <si>
    <t>H3BRG4_UQCRC2</t>
  </si>
  <si>
    <t>H3BRL3_UBFD1</t>
  </si>
  <si>
    <t>H3BRN4_ABAT</t>
  </si>
  <si>
    <t>H3BRU1_FAM219B</t>
  </si>
  <si>
    <t>H3BRV0_EIF3C</t>
  </si>
  <si>
    <t>H3BRY6_VWA9</t>
  </si>
  <si>
    <t>H3BSM7_C16orf58</t>
  </si>
  <si>
    <t>H3BSS5_KCTD5</t>
  </si>
  <si>
    <t>H3BSW6_CTU2</t>
  </si>
  <si>
    <t>H3BTF5_METTL22</t>
  </si>
  <si>
    <t>H3BTH4_ADPGK</t>
  </si>
  <si>
    <t>H3BTL1_MAP1LC3B</t>
  </si>
  <si>
    <t>H3BTN5_PKM</t>
  </si>
  <si>
    <t>H3BTX0_</t>
  </si>
  <si>
    <t>H3BTX7_RNF166</t>
  </si>
  <si>
    <t>H3BU49_ARL2BP</t>
  </si>
  <si>
    <t>H3BUQ2_OGFOD1</t>
  </si>
  <si>
    <t>H3BUR4_NOB1</t>
  </si>
  <si>
    <t>H3BUU9_CDH11</t>
  </si>
  <si>
    <t>H3BUW8_LONP2</t>
  </si>
  <si>
    <t>H3BUY6_C16orf45</t>
  </si>
  <si>
    <t>H3BVF7_TMEM62</t>
  </si>
  <si>
    <t>H6UMI1_GABARAP</t>
  </si>
  <si>
    <t>H7BXD8_LGALS8</t>
  </si>
  <si>
    <t>H7BXH2_PPP6R3</t>
  </si>
  <si>
    <t>H7BXI1_ESYT2</t>
  </si>
  <si>
    <t>H7BXI5_ERGIC3</t>
  </si>
  <si>
    <t>H7BXP5_TPRN</t>
  </si>
  <si>
    <t>H7BXW7_MPC1</t>
  </si>
  <si>
    <t>H7BY58_PCMT1</t>
  </si>
  <si>
    <t>H7BY82_COL5A1</t>
  </si>
  <si>
    <t>H7BY84_GTF3C5</t>
  </si>
  <si>
    <t>H7BYE5_WRB</t>
  </si>
  <si>
    <t>H7BYP4_SP140L</t>
  </si>
  <si>
    <t>H7BYV1_IFITM2</t>
  </si>
  <si>
    <t>H7BZ94_P4HB</t>
  </si>
  <si>
    <t>H7BZJ3_PDIA3</t>
  </si>
  <si>
    <t>H7BZQ3_OTUD5</t>
  </si>
  <si>
    <t>H7BZT4_</t>
  </si>
  <si>
    <t>H7C0G7_NHEJ1</t>
  </si>
  <si>
    <t>H7C0Z5_IL10RB</t>
  </si>
  <si>
    <t>H7C107_IQSEC1</t>
  </si>
  <si>
    <t>H7C128_BRD8</t>
  </si>
  <si>
    <t>H7C137_RANBP1</t>
  </si>
  <si>
    <t>H7C173_MZT2B</t>
  </si>
  <si>
    <t>H7C1E4_AP1S1</t>
  </si>
  <si>
    <t>H7C1G1_TMEM87B</t>
  </si>
  <si>
    <t>H7C1Q1_</t>
  </si>
  <si>
    <t>H7C1U3_CC2D1B</t>
  </si>
  <si>
    <t>H7C1U8_APOO</t>
  </si>
  <si>
    <t>H7C224_IRAK1</t>
  </si>
  <si>
    <t>H7C347_PPM1N</t>
  </si>
  <si>
    <t>H7C3D8_CMC1</t>
  </si>
  <si>
    <t>H7C3K0_ELN</t>
  </si>
  <si>
    <t>H7C3T2_ATG2A</t>
  </si>
  <si>
    <t>H7C3Z2_FLVCR1</t>
  </si>
  <si>
    <t>H7C417_</t>
  </si>
  <si>
    <t>H7C4B9_MDFIC</t>
  </si>
  <si>
    <t>H7C4T5_MBNL1</t>
  </si>
  <si>
    <t>H7C585_FXN</t>
  </si>
  <si>
    <t>H7C5E4_XRN1</t>
  </si>
  <si>
    <t>H7C5G1_IAH1</t>
  </si>
  <si>
    <t>H7C5H4_GPM6B</t>
  </si>
  <si>
    <t>H9KV44_EFR3A</t>
  </si>
  <si>
    <t>H9KV50_SEPN1</t>
  </si>
  <si>
    <t>H9KV65_SGIP1</t>
  </si>
  <si>
    <t>H9KVB8_MICU1</t>
  </si>
  <si>
    <t>H9KVD4_MECOM</t>
  </si>
  <si>
    <t>I3L097_</t>
  </si>
  <si>
    <t>I3L0A4_WASH6P</t>
  </si>
  <si>
    <t>I3L0K1_GOSR2</t>
  </si>
  <si>
    <t>I3L0K7_TRAP1</t>
  </si>
  <si>
    <t>I3L0L6_RNF167</t>
  </si>
  <si>
    <t>I3L0N3_NSF</t>
  </si>
  <si>
    <t>I3L172_FAM195A</t>
  </si>
  <si>
    <t>I3L1D5_ALOX15B</t>
  </si>
  <si>
    <t>I3L1K6_MYL4</t>
  </si>
  <si>
    <t>I3L1P8_SLC25A11</t>
  </si>
  <si>
    <t>I3L1Q3_ELP5</t>
  </si>
  <si>
    <t>I3L2B0_CLUH</t>
  </si>
  <si>
    <t>I3L2N2_DVL2</t>
  </si>
  <si>
    <t>I3L354_RUNX2</t>
  </si>
  <si>
    <t>I3L367_TOM1L1</t>
  </si>
  <si>
    <t>I3L397_EIF5A</t>
  </si>
  <si>
    <t>I3L448_ATPAF1</t>
  </si>
  <si>
    <t>I3L4Q0_FAM195B</t>
  </si>
  <si>
    <t>I3L4V0_LSMD1</t>
  </si>
  <si>
    <t>I3L4X3_NFKBIB</t>
  </si>
  <si>
    <t>I3NI03_P4HB</t>
  </si>
  <si>
    <t>I3NI23_TMEM159</t>
  </si>
  <si>
    <t>I3NI25_FOPNL</t>
  </si>
  <si>
    <t>I6L894_ANK2</t>
  </si>
  <si>
    <t>I6L8B7_FABP5</t>
  </si>
  <si>
    <t>J3KMW8_CACTIN</t>
  </si>
  <si>
    <t>J3KMY5_NPC2</t>
  </si>
  <si>
    <t>J3KMZ9_LDLR</t>
  </si>
  <si>
    <t>J3KN10_PI4KA</t>
  </si>
  <si>
    <t>J3KN16_KIAA0368</t>
  </si>
  <si>
    <t>J3KN29_PSMD9</t>
  </si>
  <si>
    <t>J3KN36_NOMO3</t>
  </si>
  <si>
    <t>J3KN56_CHFR</t>
  </si>
  <si>
    <t>J3KN59_BNIP2</t>
  </si>
  <si>
    <t>J3KN69_NCEH1</t>
  </si>
  <si>
    <t>J3KN75_TBC1D8B</t>
  </si>
  <si>
    <t>J3KND3_MYL6</t>
  </si>
  <si>
    <t>J3KNF4_CCS</t>
  </si>
  <si>
    <t>J3KNF5_CEP290</t>
  </si>
  <si>
    <t>J3KNF6_RGMB</t>
  </si>
  <si>
    <t>J3KNF8_CYB5B</t>
  </si>
  <si>
    <t>J3KNI1_COG4</t>
  </si>
  <si>
    <t>J3KNL3_CHID1</t>
  </si>
  <si>
    <t>J3KNL6_SEC16A</t>
  </si>
  <si>
    <t>J3KNL7_FAM63B</t>
  </si>
  <si>
    <t>J3KNM9_FBXL7</t>
  </si>
  <si>
    <t>J3KNN7_BRAP</t>
  </si>
  <si>
    <t>J3KNQ4_PARVA</t>
  </si>
  <si>
    <t>J3KNT4_FGFR1</t>
  </si>
  <si>
    <t>J3KNW4_FHL2</t>
  </si>
  <si>
    <t>J3KNX9_MYO18A</t>
  </si>
  <si>
    <t>J3KP15_SRSF2</t>
  </si>
  <si>
    <t>J3KP19_SIPA1L1</t>
  </si>
  <si>
    <t>J3KP22_PTPRA</t>
  </si>
  <si>
    <t>J3KP26_ANKRD46</t>
  </si>
  <si>
    <t>J3KP29_NUP98</t>
  </si>
  <si>
    <t>J3KP75_PHACTR2</t>
  </si>
  <si>
    <t>J3KPA2_TM2D1</t>
  </si>
  <si>
    <t>J3KPC8_SIK3</t>
  </si>
  <si>
    <t>J3KPF9_KIF3A</t>
  </si>
  <si>
    <t>J3KPG9_CSAD</t>
  </si>
  <si>
    <t>J3KPJ3_CAMKK1</t>
  </si>
  <si>
    <t>J3KPK1_SYNJ1</t>
  </si>
  <si>
    <t>J3KPP4_LUC7L3</t>
  </si>
  <si>
    <t>J3KPT4_TRABD</t>
  </si>
  <si>
    <t>J3KPV7_MPST</t>
  </si>
  <si>
    <t>J3KPW7_HDAC2</t>
  </si>
  <si>
    <t>J3KPX7_PHB2</t>
  </si>
  <si>
    <t>J3KPX8_MAP1A</t>
  </si>
  <si>
    <t>J3KPY9_ANTXR2</t>
  </si>
  <si>
    <t>J3KQ06_TMEM45A</t>
  </si>
  <si>
    <t>J3KQ32_OLA1</t>
  </si>
  <si>
    <t>J3KQ48_PTRH2</t>
  </si>
  <si>
    <t>J3KQ88_C6orf203</t>
  </si>
  <si>
    <t>J3KQ98_PPP1R37</t>
  </si>
  <si>
    <t>J3KQB0_THUMPD1</t>
  </si>
  <si>
    <t>J3KQC3_SHANK2</t>
  </si>
  <si>
    <t>J3KQD0_FAM213B</t>
  </si>
  <si>
    <t>J3KQE5_RAN</t>
  </si>
  <si>
    <t>J3KQG4_GBA</t>
  </si>
  <si>
    <t>J3KQJ1_SUMF2</t>
  </si>
  <si>
    <t>J3KQL8_APOL2</t>
  </si>
  <si>
    <t>J3KQR7_CEP170B</t>
  </si>
  <si>
    <t>J3KQS6_BABAM1</t>
  </si>
  <si>
    <t>J3KQV0_CDKN1A</t>
  </si>
  <si>
    <t>J3KR35_CCDC12</t>
  </si>
  <si>
    <t>J3KR58_SEPHS2</t>
  </si>
  <si>
    <t>J3KR88_CORIN</t>
  </si>
  <si>
    <t>J3KR97_TBCD</t>
  </si>
  <si>
    <t>J3KRP6_SS18</t>
  </si>
  <si>
    <t>J3KS05_CBX1</t>
  </si>
  <si>
    <t>J3KSL8_TRAPPC8</t>
  </si>
  <si>
    <t>J3KSS7_GGA3</t>
  </si>
  <si>
    <t>J3KT10_NUP85</t>
  </si>
  <si>
    <t>J3KTA4_DDX5</t>
  </si>
  <si>
    <t>J3KTL2_SRSF1</t>
  </si>
  <si>
    <t>J3QK89_CHERP</t>
  </si>
  <si>
    <t>J3QKR3_PSMB3</t>
  </si>
  <si>
    <t>J3QKS7_SMARCE1</t>
  </si>
  <si>
    <t>J3QL56_SCO1</t>
  </si>
  <si>
    <t>J3QL71_SCRN2</t>
  </si>
  <si>
    <t>J3QLE5_SNRPN</t>
  </si>
  <si>
    <t>J3QLU9_ERBB2</t>
  </si>
  <si>
    <t>J3QQJ0_SAP30BP</t>
  </si>
  <si>
    <t>J3QQN7_GDPD1</t>
  </si>
  <si>
    <t>J3QQT2_RPL17</t>
  </si>
  <si>
    <t>J3QR07_YTHDC1</t>
  </si>
  <si>
    <t>J3QR29_CDK11B</t>
  </si>
  <si>
    <t>J3QR64_EIF4A1</t>
  </si>
  <si>
    <t>J3QRC3_NAT9</t>
  </si>
  <si>
    <t>J3QRD1_ALDH3A2</t>
  </si>
  <si>
    <t>J3QRL9_DSC3</t>
  </si>
  <si>
    <t>J3QRS3_MYL12A</t>
  </si>
  <si>
    <t>J3QRS9_ZNF207</t>
  </si>
  <si>
    <t>J3QRU1_YES1</t>
  </si>
  <si>
    <t>J3QRU4_VAMP2</t>
  </si>
  <si>
    <t>J3QRX6_COPRS</t>
  </si>
  <si>
    <t>J3QS47_CYB561</t>
  </si>
  <si>
    <t>J3QS68_RNF135</t>
  </si>
  <si>
    <t>J3QS74_SKA2</t>
  </si>
  <si>
    <t>J3QSW1_SAMD4A</t>
  </si>
  <si>
    <t>J3QSY4_NHP2</t>
  </si>
  <si>
    <t>J3QT34_MAST4</t>
  </si>
  <si>
    <t>J3QTA2_BAG1</t>
  </si>
  <si>
    <t>J3QTA6_CHCHD6</t>
  </si>
  <si>
    <t>J9JID7_LMNB2</t>
  </si>
  <si>
    <t>J9JIE6_TMCO1</t>
  </si>
  <si>
    <t>J9JIE9_HYI</t>
  </si>
  <si>
    <t>J9JIG6_ARSG</t>
  </si>
  <si>
    <t>K4DI92_RWDD4</t>
  </si>
  <si>
    <t>K4DI93_CUL4B</t>
  </si>
  <si>
    <t>K7EID0_MLX</t>
  </si>
  <si>
    <t>K7EIE9_PTPN2</t>
  </si>
  <si>
    <t>K7EIG1_CLUH</t>
  </si>
  <si>
    <t>K7EIP7_YIPF2</t>
  </si>
  <si>
    <t>K7EIU8_SMAD4</t>
  </si>
  <si>
    <t>K7EJ78_RPS15</t>
  </si>
  <si>
    <t>K7EJH0_SPC24</t>
  </si>
  <si>
    <t>K7EJL1_AP1M1</t>
  </si>
  <si>
    <t>K7EK00_FAM210A</t>
  </si>
  <si>
    <t>K7EK07_H3F3B</t>
  </si>
  <si>
    <t>K7EK35_STAT5A</t>
  </si>
  <si>
    <t>K7EKE6_LONP1</t>
  </si>
  <si>
    <t>K7EKI8_PPL</t>
  </si>
  <si>
    <t>K7EKP8_ACOT7</t>
  </si>
  <si>
    <t>K7EKW3_TMUB2</t>
  </si>
  <si>
    <t>K7EL21_CAPS</t>
  </si>
  <si>
    <t>K7EL68_CDC37</t>
  </si>
  <si>
    <t>K7ELL7_PRKCSH</t>
  </si>
  <si>
    <t>K7ELY2_STX10</t>
  </si>
  <si>
    <t>K7EM02_KATNAL2</t>
  </si>
  <si>
    <t>K7EM09_TMEM205</t>
  </si>
  <si>
    <t>K7EM38_ACTG1</t>
  </si>
  <si>
    <t>K7EM88_UBALD1</t>
  </si>
  <si>
    <t>K7EMM8_GLYR1</t>
  </si>
  <si>
    <t>K7EN05_ELOF1</t>
  </si>
  <si>
    <t>K7EN08_NFIX</t>
  </si>
  <si>
    <t>K7ENL9_C18orf8</t>
  </si>
  <si>
    <t>K7ENR1_ELK1</t>
  </si>
  <si>
    <t>K7ENR6_PSMG2</t>
  </si>
  <si>
    <t>K7EP32_UBXN6</t>
  </si>
  <si>
    <t>K7EPJ5_MGRN1</t>
  </si>
  <si>
    <t>K7EQG1_QPCTL</t>
  </si>
  <si>
    <t>K7EQG4_FXYD1</t>
  </si>
  <si>
    <t>K7EQW8_TPM4</t>
  </si>
  <si>
    <t>K7ER00_FARSA</t>
  </si>
  <si>
    <t>K7ER08_RBM42</t>
  </si>
  <si>
    <t>K7ERF1_EIF3K</t>
  </si>
  <si>
    <t>K7ES02_BLMH</t>
  </si>
  <si>
    <t>K7ES54_FSTL3</t>
  </si>
  <si>
    <t>K7ESE6_G6PC3</t>
  </si>
  <si>
    <t>K7ESM5_TUBB6</t>
  </si>
  <si>
    <t>K7ESP4_DCAKD</t>
  </si>
  <si>
    <t>M0QWZ7_SARS2</t>
  </si>
  <si>
    <t>M0QX35_PAF1</t>
  </si>
  <si>
    <t>M0QXC8_IRF3</t>
  </si>
  <si>
    <t>M0QXX4_KPTN</t>
  </si>
  <si>
    <t>M0QXZ5_ZNF428</t>
  </si>
  <si>
    <t>M0QY17_BABAM1</t>
  </si>
  <si>
    <t>M0QY77_KXD1</t>
  </si>
  <si>
    <t>M0QY97_ZC3H4</t>
  </si>
  <si>
    <t>M0QYM7_TUBB4A</t>
  </si>
  <si>
    <t>M0QYS1_RPL13A</t>
  </si>
  <si>
    <t>M0QZ22_SAMD4B</t>
  </si>
  <si>
    <t>M0QZL8_JOSD2</t>
  </si>
  <si>
    <t>M0R042_TUBB4A</t>
  </si>
  <si>
    <t>M0R0F0_RPS5</t>
  </si>
  <si>
    <t>M0R0N4_AP2S1</t>
  </si>
  <si>
    <t>M0R150_</t>
  </si>
  <si>
    <t>M0R154_ESM1</t>
  </si>
  <si>
    <t>M0R2A0_EMC10</t>
  </si>
  <si>
    <t>M0R2V8_AKT1S1</t>
  </si>
  <si>
    <t>M0R300_MYO9B</t>
  </si>
  <si>
    <t>M0R333_DMPK</t>
  </si>
  <si>
    <t>M0R366_FSD1</t>
  </si>
  <si>
    <t>M0R3D4_RABAC1</t>
  </si>
  <si>
    <t>O00116_AGPS</t>
  </si>
  <si>
    <t>O00124-3_UBXN8</t>
  </si>
  <si>
    <t>O00139-2_KIF2A</t>
  </si>
  <si>
    <t>O00148_DDX39A</t>
  </si>
  <si>
    <t>O00151_PDLIM1</t>
  </si>
  <si>
    <t>O00154-4_ACOT7</t>
  </si>
  <si>
    <t>O00161_SNAP23</t>
  </si>
  <si>
    <t>O00170_AIP</t>
  </si>
  <si>
    <t>O00178_GTPBP1</t>
  </si>
  <si>
    <t>O00186_STXBP3</t>
  </si>
  <si>
    <t>O00203_AP3B1</t>
  </si>
  <si>
    <t>O00213-2_APBB1</t>
  </si>
  <si>
    <t>O00220_TNFRSF10A</t>
  </si>
  <si>
    <t>O00221_NFKBIE</t>
  </si>
  <si>
    <t>O00231_PSMD11</t>
  </si>
  <si>
    <t>O00232_PSMD12</t>
  </si>
  <si>
    <t>O00244_ATOX1</t>
  </si>
  <si>
    <t>O00264_PGRMC1</t>
  </si>
  <si>
    <t>O00267-2_SUPT5H</t>
  </si>
  <si>
    <t>O00273_DFFA</t>
  </si>
  <si>
    <t>O00273-2_DFFA</t>
  </si>
  <si>
    <t>O00291_HIP1</t>
  </si>
  <si>
    <t>O00299_CLIC1</t>
  </si>
  <si>
    <t>O00300_TNFRSF11B</t>
  </si>
  <si>
    <t>O00308-2_WWP2</t>
  </si>
  <si>
    <t>O00330_PDHX</t>
  </si>
  <si>
    <t>O00391_QSOX1</t>
  </si>
  <si>
    <t>O00399_DCTN6</t>
  </si>
  <si>
    <t>O00400_SLC33A1</t>
  </si>
  <si>
    <t>O00401_WASL</t>
  </si>
  <si>
    <t>O00410_IPO5</t>
  </si>
  <si>
    <t>O00418_EEF2K</t>
  </si>
  <si>
    <t>O00422_SAP18</t>
  </si>
  <si>
    <t>O00425_IGF2BP3</t>
  </si>
  <si>
    <t>O00429_DNM1L</t>
  </si>
  <si>
    <t>O00429-4_DNM1L</t>
  </si>
  <si>
    <t>O00442_RTCA</t>
  </si>
  <si>
    <t>O00459_PIK3R2</t>
  </si>
  <si>
    <t>O00461_GOLIM4</t>
  </si>
  <si>
    <t>O00462_MANBA</t>
  </si>
  <si>
    <t>O00469-2_PLOD2</t>
  </si>
  <si>
    <t>O00471_EXOC5</t>
  </si>
  <si>
    <t>O00479_HMGN4</t>
  </si>
  <si>
    <t>O00483_NDUFA4</t>
  </si>
  <si>
    <t>O00487_PSMD14</t>
  </si>
  <si>
    <t>O00488_ZNF593</t>
  </si>
  <si>
    <t>O00499-6_BIN1</t>
  </si>
  <si>
    <t>O00505_KPNA3</t>
  </si>
  <si>
    <t>O00506_STK25</t>
  </si>
  <si>
    <t>O00534_VWA5A</t>
  </si>
  <si>
    <t>O00560_SDCBP</t>
  </si>
  <si>
    <t>O00571_DDX3X</t>
  </si>
  <si>
    <t>O00622_CYR61</t>
  </si>
  <si>
    <t>O00625_PIR</t>
  </si>
  <si>
    <t>O00629_KPNA4</t>
  </si>
  <si>
    <t>O00635_TRIM38</t>
  </si>
  <si>
    <t>O00743_PPP6C</t>
  </si>
  <si>
    <t>O00748_CES2</t>
  </si>
  <si>
    <t>O00754-2_MAN2B1</t>
  </si>
  <si>
    <t>O00764_PDXK</t>
  </si>
  <si>
    <t>O14495_PPAP2B</t>
  </si>
  <si>
    <t>O14497_ARID1A</t>
  </si>
  <si>
    <t>O14498_ISLR</t>
  </si>
  <si>
    <t>O14519-2_CDK2AP1</t>
  </si>
  <si>
    <t>O14523_C2CD2L</t>
  </si>
  <si>
    <t>O14524-2_TMEM194A</t>
  </si>
  <si>
    <t>O14545_TRAFD1</t>
  </si>
  <si>
    <t>O14548_COX7A2L</t>
  </si>
  <si>
    <t>O14558_HSPB6</t>
  </si>
  <si>
    <t>O14561_NDUFAB1</t>
  </si>
  <si>
    <t>O14569_CYB561D2</t>
  </si>
  <si>
    <t>O14579_COPE</t>
  </si>
  <si>
    <t>O14613_CDC42EP2</t>
  </si>
  <si>
    <t>O14617-4_AP3D1</t>
  </si>
  <si>
    <t>O14640-2_DVL1</t>
  </si>
  <si>
    <t>O14656_TOR1A</t>
  </si>
  <si>
    <t>O14657_TOR1B</t>
  </si>
  <si>
    <t>O14662-2_STX16</t>
  </si>
  <si>
    <t>O14672_ADAM10</t>
  </si>
  <si>
    <t>O14732-2_IMPA2</t>
  </si>
  <si>
    <t>O14734_ACOT8</t>
  </si>
  <si>
    <t>O14737_PDCD5</t>
  </si>
  <si>
    <t>O14744_PRMT5</t>
  </si>
  <si>
    <t>O14745_SLC9A3R1</t>
  </si>
  <si>
    <t>O14763-2_TNFRSF10B</t>
  </si>
  <si>
    <t>O14772_FPGT</t>
  </si>
  <si>
    <t>O14773_TPP1</t>
  </si>
  <si>
    <t>O14776-2_TCERG1</t>
  </si>
  <si>
    <t>O14787-2_TNPO2</t>
  </si>
  <si>
    <t>O14807_MRAS</t>
  </si>
  <si>
    <t>O14818_PSMA7</t>
  </si>
  <si>
    <t>O14828_SCAMP3</t>
  </si>
  <si>
    <t>O14841_OPLAH</t>
  </si>
  <si>
    <t>O14867_BACH1</t>
  </si>
  <si>
    <t>O14879_IFIT3</t>
  </si>
  <si>
    <t>O14907_TAX1BP3</t>
  </si>
  <si>
    <t>O14908_GIPC1</t>
  </si>
  <si>
    <t>O14910_LIN7A</t>
  </si>
  <si>
    <t>O14920_IKBKB</t>
  </si>
  <si>
    <t>O14925_TIMM23</t>
  </si>
  <si>
    <t>O14929_HAT1</t>
  </si>
  <si>
    <t>O14933_UBE2L6</t>
  </si>
  <si>
    <t>O14936-3_CASK</t>
  </si>
  <si>
    <t>O14949_UQCRQ</t>
  </si>
  <si>
    <t>O14964_HGS</t>
  </si>
  <si>
    <t>O14966_RAB7L1</t>
  </si>
  <si>
    <t>O14967_CLGN</t>
  </si>
  <si>
    <t>O14974_PPP1R12A</t>
  </si>
  <si>
    <t>O14976_GAK</t>
  </si>
  <si>
    <t>O14979_HNRPDL</t>
  </si>
  <si>
    <t>O14980_XPO1</t>
  </si>
  <si>
    <t>O15027-5_SEC16A</t>
  </si>
  <si>
    <t>O15031_PLXNB2</t>
  </si>
  <si>
    <t>O15040_TECPR2</t>
  </si>
  <si>
    <t>O15061_SYNM</t>
  </si>
  <si>
    <t>O15063_KIAA0355</t>
  </si>
  <si>
    <t>O15066_KIF3B</t>
  </si>
  <si>
    <t>O15067_PFAS</t>
  </si>
  <si>
    <t>O15069_NACAD</t>
  </si>
  <si>
    <t>O15085_ARHGEF11</t>
  </si>
  <si>
    <t>O15116_LSM1</t>
  </si>
  <si>
    <t>O15118_NPC1</t>
  </si>
  <si>
    <t>O15121_DEGS1</t>
  </si>
  <si>
    <t>O15126_SCAMP1</t>
  </si>
  <si>
    <t>O15127_SCAMP2</t>
  </si>
  <si>
    <t>O15143_ARPC1B</t>
  </si>
  <si>
    <t>O15144_ARPC2</t>
  </si>
  <si>
    <t>O15145_ARPC3</t>
  </si>
  <si>
    <t>O15155_BET1</t>
  </si>
  <si>
    <t>O15160_POLR1C</t>
  </si>
  <si>
    <t>O15173_PGRMC2</t>
  </si>
  <si>
    <t>O15211_RGL2</t>
  </si>
  <si>
    <t>O15212_PFDN6</t>
  </si>
  <si>
    <t>O15228_GNPAT</t>
  </si>
  <si>
    <t>O15234_CASC3</t>
  </si>
  <si>
    <t>O15240_VGF</t>
  </si>
  <si>
    <t>O15247_CLIC2</t>
  </si>
  <si>
    <t>O15254-2_ACOX3</t>
  </si>
  <si>
    <t>O15258_RER1</t>
  </si>
  <si>
    <t>O15269_SPTLC1</t>
  </si>
  <si>
    <t>O15270_SPTLC2</t>
  </si>
  <si>
    <t>O15294-3_OGT</t>
  </si>
  <si>
    <t>O15305_PMM2</t>
  </si>
  <si>
    <t>O15327_INPP4B</t>
  </si>
  <si>
    <t>O15344_MID1</t>
  </si>
  <si>
    <t>O15347_HMGB3</t>
  </si>
  <si>
    <t>O15355_PPM1G</t>
  </si>
  <si>
    <t>O15357_INPPL1</t>
  </si>
  <si>
    <t>O15382_BCAT2</t>
  </si>
  <si>
    <t>O15394_NCAM2</t>
  </si>
  <si>
    <t>O15397_IPO8</t>
  </si>
  <si>
    <t>O15400-2_STX7</t>
  </si>
  <si>
    <t>O15403_SLC16A6</t>
  </si>
  <si>
    <t>O15427_SLC16A3</t>
  </si>
  <si>
    <t>O15431_SLC31A1</t>
  </si>
  <si>
    <t>O15439-2_ABCC4</t>
  </si>
  <si>
    <t>O15446_CD3EAP</t>
  </si>
  <si>
    <t>O15460-2_P4HA2</t>
  </si>
  <si>
    <t>O15498_YKT6</t>
  </si>
  <si>
    <t>O15511_ARPC5</t>
  </si>
  <si>
    <t>O15514_POLR2D</t>
  </si>
  <si>
    <t>O15522_NKX2-8</t>
  </si>
  <si>
    <t>O15541_RNF113A</t>
  </si>
  <si>
    <t>O43143_DHX15</t>
  </si>
  <si>
    <t>O43148_RNMT</t>
  </si>
  <si>
    <t>O43150_ASAP2</t>
  </si>
  <si>
    <t>O43155_FLRT2</t>
  </si>
  <si>
    <t>O43157-2_PLXNB1</t>
  </si>
  <si>
    <t>O43164-2_PJA2</t>
  </si>
  <si>
    <t>O43175_PHGDH</t>
  </si>
  <si>
    <t>O43181_NDUFS4</t>
  </si>
  <si>
    <t>O43182-4_ARHGAP6</t>
  </si>
  <si>
    <t>O43237_DYNC1LI2</t>
  </si>
  <si>
    <t>O43242_PSMD3</t>
  </si>
  <si>
    <t>O43252_PAPSS1</t>
  </si>
  <si>
    <t>O43264_ZW10</t>
  </si>
  <si>
    <t>O43281_EFS</t>
  </si>
  <si>
    <t>O43290_SART1</t>
  </si>
  <si>
    <t>O43293_DAPK3</t>
  </si>
  <si>
    <t>O43294-2_TGFB1I1</t>
  </si>
  <si>
    <t>O43299_AP5Z1</t>
  </si>
  <si>
    <t>O43301_HSPA12A</t>
  </si>
  <si>
    <t>O43310_CTIF</t>
  </si>
  <si>
    <t>O43314-2_PPIP5K2</t>
  </si>
  <si>
    <t>O43318-2_MAP3K7</t>
  </si>
  <si>
    <t>O43325_LYRM1</t>
  </si>
  <si>
    <t>O43353_RIPK2</t>
  </si>
  <si>
    <t>O43395_PRPF3</t>
  </si>
  <si>
    <t>O43396_TXNL1</t>
  </si>
  <si>
    <t>O43399_TPD52L2</t>
  </si>
  <si>
    <t>O43399-2_TPD52L2</t>
  </si>
  <si>
    <t>O43402_EMC8</t>
  </si>
  <si>
    <t>O43464-3_HTRA2</t>
  </si>
  <si>
    <t>O43488_AKR7A2</t>
  </si>
  <si>
    <t>O43493-2_TGOLN2</t>
  </si>
  <si>
    <t>O43504_LAMTOR5</t>
  </si>
  <si>
    <t>O43505_B3GNT1</t>
  </si>
  <si>
    <t>O43516_WIPF1</t>
  </si>
  <si>
    <t>O43520_ATP8B1</t>
  </si>
  <si>
    <t>O43524_FOXO3</t>
  </si>
  <si>
    <t>O43567_RNF13</t>
  </si>
  <si>
    <t>O43583_DENR</t>
  </si>
  <si>
    <t>O43592_XPOT</t>
  </si>
  <si>
    <t>O43598_DNPH1</t>
  </si>
  <si>
    <t>O43615_TIMM44</t>
  </si>
  <si>
    <t>O43617_TRAPPC3</t>
  </si>
  <si>
    <t>O43633_CHMP2A</t>
  </si>
  <si>
    <t>O43639_NCK2</t>
  </si>
  <si>
    <t>O43657_TSPAN6</t>
  </si>
  <si>
    <t>O43665-2_RGS10</t>
  </si>
  <si>
    <t>O43676_NDUFB3</t>
  </si>
  <si>
    <t>O43678_NDUFA2</t>
  </si>
  <si>
    <t>O43681_ASNA1</t>
  </si>
  <si>
    <t>O43684_BUB3</t>
  </si>
  <si>
    <t>O43707_ACTN4</t>
  </si>
  <si>
    <t>O43709_WBSCR22</t>
  </si>
  <si>
    <t>O43715_TRIAP1</t>
  </si>
  <si>
    <t>O43719_HTATSF1</t>
  </si>
  <si>
    <t>O43739-2_CYTH3</t>
  </si>
  <si>
    <t>O43752_STX6</t>
  </si>
  <si>
    <t>O43760_SYNGR2</t>
  </si>
  <si>
    <t>O43765_SGTA</t>
  </si>
  <si>
    <t>O43768-2_ENSA</t>
  </si>
  <si>
    <t>O43772_SLC25A20</t>
  </si>
  <si>
    <t>O43776_NARS</t>
  </si>
  <si>
    <t>O43805_SSNA1</t>
  </si>
  <si>
    <t>O43813_LANCL1</t>
  </si>
  <si>
    <t>O43818_RRP9</t>
  </si>
  <si>
    <t>O43819_SCO2</t>
  </si>
  <si>
    <t>O43820-4_HYAL3</t>
  </si>
  <si>
    <t>O43837_IDH3B</t>
  </si>
  <si>
    <t>O43852_CALU</t>
  </si>
  <si>
    <t>O43852-2_CALU</t>
  </si>
  <si>
    <t>O43854-2_EDIL3</t>
  </si>
  <si>
    <t>O43865_AHCYL1</t>
  </si>
  <si>
    <t>O43896_KIF1C</t>
  </si>
  <si>
    <t>O43920_NDUFS5</t>
  </si>
  <si>
    <t>O43924_PDE6D</t>
  </si>
  <si>
    <t>O60218_AKR1B10</t>
  </si>
  <si>
    <t>O60220_TIMM8A</t>
  </si>
  <si>
    <t>O60234_GMFG</t>
  </si>
  <si>
    <t>O60239_SH3BP5</t>
  </si>
  <si>
    <t>O60256_PRPSAP2</t>
  </si>
  <si>
    <t>O60271-4_SPAG9</t>
  </si>
  <si>
    <t>O60271-9_SPAG9</t>
  </si>
  <si>
    <t>O60279_SUSD5</t>
  </si>
  <si>
    <t>O60292_SIPA1L3</t>
  </si>
  <si>
    <t>O60294_LCMT2</t>
  </si>
  <si>
    <t>O60313-2_OPA1</t>
  </si>
  <si>
    <t>O60331-4_PIP5K1C</t>
  </si>
  <si>
    <t>O60343-2_TBC1D4</t>
  </si>
  <si>
    <t>O60344-4_ECE2</t>
  </si>
  <si>
    <t>O60347_TBC1D12</t>
  </si>
  <si>
    <t>O60353-2_FZD6</t>
  </si>
  <si>
    <t>O60427_FADS1</t>
  </si>
  <si>
    <t>O60443_DFNA5</t>
  </si>
  <si>
    <t>O60449-3_LY75</t>
  </si>
  <si>
    <t>O60476_MAN1A2</t>
  </si>
  <si>
    <t>O60488-2_ACSL4</t>
  </si>
  <si>
    <t>O60493_SNX3</t>
  </si>
  <si>
    <t>O60502_MGEA5</t>
  </si>
  <si>
    <t>O60503_ADCY9</t>
  </si>
  <si>
    <t>O60504-2_SORBS3</t>
  </si>
  <si>
    <t>O60506-4_SYNCRIP</t>
  </si>
  <si>
    <t>O60507_TPST1</t>
  </si>
  <si>
    <t>O60513_B4GALT4</t>
  </si>
  <si>
    <t>O60518_RANBP6</t>
  </si>
  <si>
    <t>O60547-2_GMDS</t>
  </si>
  <si>
    <t>O60551_NMT2</t>
  </si>
  <si>
    <t>O60568_PLOD3</t>
  </si>
  <si>
    <t>O60613_SEP15</t>
  </si>
  <si>
    <t>O60637-3_TSPAN3</t>
  </si>
  <si>
    <t>O60645-2_EXOC3</t>
  </si>
  <si>
    <t>O60664-2_PLIN3</t>
  </si>
  <si>
    <t>O60664-3_PLIN3</t>
  </si>
  <si>
    <t>O60671_RAD1</t>
  </si>
  <si>
    <t>O60678_PRMT3</t>
  </si>
  <si>
    <t>O60701_UGDH</t>
  </si>
  <si>
    <t>O60704_TPST2</t>
  </si>
  <si>
    <t>O60711_LPXN</t>
  </si>
  <si>
    <t>O60716-5_CTNND1</t>
  </si>
  <si>
    <t>O60725_ICMT</t>
  </si>
  <si>
    <t>O60749_SNX2</t>
  </si>
  <si>
    <t>O60763_USO1</t>
  </si>
  <si>
    <t>O60826_CCDC22</t>
  </si>
  <si>
    <t>O60828_PQBP1</t>
  </si>
  <si>
    <t>O60830_TIMM17B</t>
  </si>
  <si>
    <t>O60831_PRAF2</t>
  </si>
  <si>
    <t>O60841_EIF5B</t>
  </si>
  <si>
    <t>O60869_EDF1</t>
  </si>
  <si>
    <t>O60884_DNAJA2</t>
  </si>
  <si>
    <t>O60885_BRD4</t>
  </si>
  <si>
    <t>O60888-3_CUTA</t>
  </si>
  <si>
    <t>O60906_SMPD2</t>
  </si>
  <si>
    <t>O60925_PFDN1</t>
  </si>
  <si>
    <t>O60927_PPP1R11</t>
  </si>
  <si>
    <t>O60934_NBN</t>
  </si>
  <si>
    <t>O75027_ABCB7</t>
  </si>
  <si>
    <t>O75044_SRGAP2</t>
  </si>
  <si>
    <t>O75063_FAM20B</t>
  </si>
  <si>
    <t>O75071_EFCAB14</t>
  </si>
  <si>
    <t>O75083_WDR1</t>
  </si>
  <si>
    <t>O75084_FZD7</t>
  </si>
  <si>
    <t>O75095-2_MEGF6</t>
  </si>
  <si>
    <t>O75110_ATP9A</t>
  </si>
  <si>
    <t>O75113_N4BP1</t>
  </si>
  <si>
    <t>O75116_ROCK2</t>
  </si>
  <si>
    <t>O75131_CPNE3</t>
  </si>
  <si>
    <t>O75143-2_ATG13</t>
  </si>
  <si>
    <t>O75146_HIP1R</t>
  </si>
  <si>
    <t>O75155_CAND2</t>
  </si>
  <si>
    <t>O75157-2_TSC22D2</t>
  </si>
  <si>
    <t>O75165_DNAJC13</t>
  </si>
  <si>
    <t>O75170-4_PPP6R2</t>
  </si>
  <si>
    <t>O75175-2_CNOT3</t>
  </si>
  <si>
    <t>O75179-2_ANKRD17</t>
  </si>
  <si>
    <t>O75191_XYLB</t>
  </si>
  <si>
    <t>O75208_COQ9</t>
  </si>
  <si>
    <t>O75223_GGCT</t>
  </si>
  <si>
    <t>O75298-2_RTN2</t>
  </si>
  <si>
    <t>O75306-2_NDUFS2</t>
  </si>
  <si>
    <t>O75312_ZNF259</t>
  </si>
  <si>
    <t>O75323_GBAS</t>
  </si>
  <si>
    <t>O75324_SNN</t>
  </si>
  <si>
    <t>O75326_SEMA7A</t>
  </si>
  <si>
    <t>O75347_TBCA</t>
  </si>
  <si>
    <t>O75348_ATP6V1G1</t>
  </si>
  <si>
    <t>O75351_VPS4B</t>
  </si>
  <si>
    <t>O75356_ENTPD5</t>
  </si>
  <si>
    <t>O75368_SH3BGRL</t>
  </si>
  <si>
    <t>O75369-8_FLNB</t>
  </si>
  <si>
    <t>O75376-2_NCOR1</t>
  </si>
  <si>
    <t>O75379_VAMP4</t>
  </si>
  <si>
    <t>O75380_NDUFS6</t>
  </si>
  <si>
    <t>O75381-2_PEX14</t>
  </si>
  <si>
    <t>O75391_SPAG7</t>
  </si>
  <si>
    <t>O75396_SEC22B</t>
  </si>
  <si>
    <t>O75400-2_PRPF40A</t>
  </si>
  <si>
    <t>O75427_LRCH4</t>
  </si>
  <si>
    <t>O75436_VPS26A</t>
  </si>
  <si>
    <t>O75438_NDUFB1</t>
  </si>
  <si>
    <t>O75439_PMPCB</t>
  </si>
  <si>
    <t>O75449_KATNA1</t>
  </si>
  <si>
    <t>O75475_PSIP1</t>
  </si>
  <si>
    <t>O75477_ERLIN1</t>
  </si>
  <si>
    <t>O75489_NDUFS3</t>
  </si>
  <si>
    <t>O75503_CLN5</t>
  </si>
  <si>
    <t>O75506_HSBP1</t>
  </si>
  <si>
    <t>O75521-2_ECI2</t>
  </si>
  <si>
    <t>O75531_BANF1</t>
  </si>
  <si>
    <t>O75533_SF3B1</t>
  </si>
  <si>
    <t>O75534_CSDE1</t>
  </si>
  <si>
    <t>O75600_GCAT</t>
  </si>
  <si>
    <t>O75607_NPM3</t>
  </si>
  <si>
    <t>O75608-2_LYPLA1</t>
  </si>
  <si>
    <t>O75635-2_SERPINB7</t>
  </si>
  <si>
    <t>O75648_TRMU</t>
  </si>
  <si>
    <t>O75663_TIPRL</t>
  </si>
  <si>
    <t>O75688_PPM1B</t>
  </si>
  <si>
    <t>O75689_ADAP1</t>
  </si>
  <si>
    <t>O75695_RP2</t>
  </si>
  <si>
    <t>O75718_CRTAP</t>
  </si>
  <si>
    <t>O75746_SLC25A12</t>
  </si>
  <si>
    <t>O75781_PALM</t>
  </si>
  <si>
    <t>O75792_RNASEH2A</t>
  </si>
  <si>
    <t>O75794_CDC123</t>
  </si>
  <si>
    <t>O75815-3_BCAR3</t>
  </si>
  <si>
    <t>O75818-2_RPP40</t>
  </si>
  <si>
    <t>O75821_EIF3G</t>
  </si>
  <si>
    <t>O75822_EIF3J</t>
  </si>
  <si>
    <t>O75828_CBR3</t>
  </si>
  <si>
    <t>O75832_PSMD10</t>
  </si>
  <si>
    <t>O75844_ZMPSTE24</t>
  </si>
  <si>
    <t>O75874_IDH1</t>
  </si>
  <si>
    <t>O75882_ATRN</t>
  </si>
  <si>
    <t>O75884_RBBP9</t>
  </si>
  <si>
    <t>O75886_STAM2</t>
  </si>
  <si>
    <t>O75891_ALDH1L1</t>
  </si>
  <si>
    <t>O75896_TUSC2</t>
  </si>
  <si>
    <t>O75911_DHRS3</t>
  </si>
  <si>
    <t>O75914-2_PAK3</t>
  </si>
  <si>
    <t>O75915_ARL6IP5</t>
  </si>
  <si>
    <t>O75934_BCAS2</t>
  </si>
  <si>
    <t>O75935_DCTN3</t>
  </si>
  <si>
    <t>O75937_DNAJC8</t>
  </si>
  <si>
    <t>O75940_SMNDC1</t>
  </si>
  <si>
    <t>O75947_ATP5H</t>
  </si>
  <si>
    <t>O75955_FLOT1</t>
  </si>
  <si>
    <t>O75962-4_TRIO</t>
  </si>
  <si>
    <t>O75964_ATP5L</t>
  </si>
  <si>
    <t>O75976_CPD</t>
  </si>
  <si>
    <t>O76003_GLRX3</t>
  </si>
  <si>
    <t>O76024_WFS1</t>
  </si>
  <si>
    <t>O76031_CLPX</t>
  </si>
  <si>
    <t>O76054_SEC14L2</t>
  </si>
  <si>
    <t>O76061_STC2</t>
  </si>
  <si>
    <t>O76070_SNCG</t>
  </si>
  <si>
    <t>O76071_CIAO1</t>
  </si>
  <si>
    <t>O76074_PDE5A</t>
  </si>
  <si>
    <t>O76075_DFFB</t>
  </si>
  <si>
    <t>O76080_ZFAND5</t>
  </si>
  <si>
    <t>O76094_SRP72</t>
  </si>
  <si>
    <t>O76095-2_JTB</t>
  </si>
  <si>
    <t>O94760_DDAH1</t>
  </si>
  <si>
    <t>O94763_URI1</t>
  </si>
  <si>
    <t>O94766_B3GAT3</t>
  </si>
  <si>
    <t>O94804_STK10</t>
  </si>
  <si>
    <t>O94819_KBTBD11</t>
  </si>
  <si>
    <t>O94826_TOMM70A</t>
  </si>
  <si>
    <t>O94829_IPO13</t>
  </si>
  <si>
    <t>O94830_DDHD2</t>
  </si>
  <si>
    <t>O94832_MYO1D</t>
  </si>
  <si>
    <t>O94851-5_MICAL2</t>
  </si>
  <si>
    <t>O94854-2_KIAA0754</t>
  </si>
  <si>
    <t>O94855_SEC24D</t>
  </si>
  <si>
    <t>O94856-9_NFASC</t>
  </si>
  <si>
    <t>O94874_UFL1</t>
  </si>
  <si>
    <t>O94876_TMCC1</t>
  </si>
  <si>
    <t>O94885_SASH1</t>
  </si>
  <si>
    <t>O94888_UBXN7</t>
  </si>
  <si>
    <t>O94889_KLHL18</t>
  </si>
  <si>
    <t>O94903_PROSC</t>
  </si>
  <si>
    <t>O94905_ERLIN2</t>
  </si>
  <si>
    <t>O94919_ENDOD1</t>
  </si>
  <si>
    <t>O94921_CDK14</t>
  </si>
  <si>
    <t>O94966-7_USP19</t>
  </si>
  <si>
    <t>O94967-2_WDR47</t>
  </si>
  <si>
    <t>O94973_AP2A2</t>
  </si>
  <si>
    <t>O94992_HEXIM1</t>
  </si>
  <si>
    <t>O95050-2_INMT</t>
  </si>
  <si>
    <t>O95057_DIRAS1</t>
  </si>
  <si>
    <t>O95084_PRSS23</t>
  </si>
  <si>
    <t>O95104-2_SCAF4</t>
  </si>
  <si>
    <t>O95136_S1PR2</t>
  </si>
  <si>
    <t>O95139_NDUFB6</t>
  </si>
  <si>
    <t>O95140_MFN2</t>
  </si>
  <si>
    <t>O95155-2_UBE4B</t>
  </si>
  <si>
    <t>O95159_ZFPL1</t>
  </si>
  <si>
    <t>O95167_NDUFA3</t>
  </si>
  <si>
    <t>O95183_VAMP5</t>
  </si>
  <si>
    <t>O95197-2_RTN3</t>
  </si>
  <si>
    <t>O95202_LETM1</t>
  </si>
  <si>
    <t>O95205_MBLL</t>
  </si>
  <si>
    <t>O95210_STBD1</t>
  </si>
  <si>
    <t>O95218-2_ZRANB2</t>
  </si>
  <si>
    <t>O95219_SNX4</t>
  </si>
  <si>
    <t>O95231_VENTX</t>
  </si>
  <si>
    <t>O95273_CCNDBP1</t>
  </si>
  <si>
    <t>O95292_VAPB</t>
  </si>
  <si>
    <t>O95295_SNAPIN</t>
  </si>
  <si>
    <t>O95297-2_MPZL1</t>
  </si>
  <si>
    <t>O95298-2_NDUFC2</t>
  </si>
  <si>
    <t>O95302_FKBP9</t>
  </si>
  <si>
    <t>O95336_PGLS</t>
  </si>
  <si>
    <t>O95352_ATG7</t>
  </si>
  <si>
    <t>O95361_TRIM16</t>
  </si>
  <si>
    <t>O95363_FARS2</t>
  </si>
  <si>
    <t>O95372_LYPLA2</t>
  </si>
  <si>
    <t>O95373_IPO7</t>
  </si>
  <si>
    <t>O95376_ARIH2</t>
  </si>
  <si>
    <t>O95394-3_PGM3</t>
  </si>
  <si>
    <t>O95396_MOCS3</t>
  </si>
  <si>
    <t>O95400_CD2BP2</t>
  </si>
  <si>
    <t>O95405_ZFYVE9</t>
  </si>
  <si>
    <t>O95425_SVIL</t>
  </si>
  <si>
    <t>O95429-2_BAG4</t>
  </si>
  <si>
    <t>O95433_AHSA1</t>
  </si>
  <si>
    <t>O95453-2_PARN</t>
  </si>
  <si>
    <t>O95455_TGDS</t>
  </si>
  <si>
    <t>O95456_PSMG1</t>
  </si>
  <si>
    <t>O95486_SEC24A</t>
  </si>
  <si>
    <t>O95487-2_SEC24B</t>
  </si>
  <si>
    <t>O95528_SLC2A10</t>
  </si>
  <si>
    <t>O95544_NADK</t>
  </si>
  <si>
    <t>O95551_TDP2</t>
  </si>
  <si>
    <t>O95571_ETHE1</t>
  </si>
  <si>
    <t>O95573_ACSL3</t>
  </si>
  <si>
    <t>O95628-3_CNOT4</t>
  </si>
  <si>
    <t>O95630_STAMBP</t>
  </si>
  <si>
    <t>O95671-2_ASMTL</t>
  </si>
  <si>
    <t>O95674_CDS2</t>
  </si>
  <si>
    <t>O95684_FGFR1OP</t>
  </si>
  <si>
    <t>O95716_RAB3D</t>
  </si>
  <si>
    <t>O95721_SNAP29</t>
  </si>
  <si>
    <t>O95747_OXSR1</t>
  </si>
  <si>
    <t>O95749_GGPS1</t>
  </si>
  <si>
    <t>O95777_NAA38</t>
  </si>
  <si>
    <t>O95782-2_AP2A1</t>
  </si>
  <si>
    <t>O95786_DDX58</t>
  </si>
  <si>
    <t>O95801_TTC4</t>
  </si>
  <si>
    <t>O95807_TMEM50A</t>
  </si>
  <si>
    <t>O95810_SDPR</t>
  </si>
  <si>
    <t>O95816_BAG2</t>
  </si>
  <si>
    <t>O95817_BAG3</t>
  </si>
  <si>
    <t>O95825_CRYZL1</t>
  </si>
  <si>
    <t>O95831-3_AIFM1</t>
  </si>
  <si>
    <t>O95833_CLIC3</t>
  </si>
  <si>
    <t>O95834_EML2</t>
  </si>
  <si>
    <t>O95837_GNA14</t>
  </si>
  <si>
    <t>O95848_NUDT14</t>
  </si>
  <si>
    <t>O95857_TSPAN13</t>
  </si>
  <si>
    <t>O95864_FADS2</t>
  </si>
  <si>
    <t>O95865_DDAH2</t>
  </si>
  <si>
    <t>O95873_C6orf47</t>
  </si>
  <si>
    <t>O95881_TXNDC12</t>
  </si>
  <si>
    <t>O95905_ECD</t>
  </si>
  <si>
    <t>O95926_SYF2</t>
  </si>
  <si>
    <t>O95965_ITGBL1</t>
  </si>
  <si>
    <t>O95980_RECK</t>
  </si>
  <si>
    <t>O95989_NUDT3</t>
  </si>
  <si>
    <t>O95999_BCL10</t>
  </si>
  <si>
    <t>O96000_NDUFB10</t>
  </si>
  <si>
    <t>O96007_MOCS2</t>
  </si>
  <si>
    <t>O96008_TOMM40</t>
  </si>
  <si>
    <t>O96011_PEX11B</t>
  </si>
  <si>
    <t>O96013_PAK4</t>
  </si>
  <si>
    <t>O96017_CHEK2</t>
  </si>
  <si>
    <t>O96019_ACTL6A</t>
  </si>
  <si>
    <t>O96033_MOCS2</t>
  </si>
  <si>
    <t>P00167-2_CYB5A</t>
  </si>
  <si>
    <t>P00325_ADH1B</t>
  </si>
  <si>
    <t>P00338_LDHA</t>
  </si>
  <si>
    <t>P00352_ALDH1A1</t>
  </si>
  <si>
    <t>P00367_GLUD1</t>
  </si>
  <si>
    <t>P00387-2_CYB5R3</t>
  </si>
  <si>
    <t>P00390-2_GSR</t>
  </si>
  <si>
    <t>P00403_MT-CO2</t>
  </si>
  <si>
    <t>P00441_SOD1</t>
  </si>
  <si>
    <t>P00491_PNP</t>
  </si>
  <si>
    <t>P00492_HPRT1</t>
  </si>
  <si>
    <t>P00505_GOT2</t>
  </si>
  <si>
    <t>P00519_ABL1</t>
  </si>
  <si>
    <t>P00533_EGFR</t>
  </si>
  <si>
    <t>P00558_PGK1</t>
  </si>
  <si>
    <t>P00736_C1R</t>
  </si>
  <si>
    <t>P00738_HP</t>
  </si>
  <si>
    <t>P00813_ADA</t>
  </si>
  <si>
    <t>P00966_ASS1</t>
  </si>
  <si>
    <t>P01023_A2M</t>
  </si>
  <si>
    <t>P01024_C3</t>
  </si>
  <si>
    <t>P01034_CST3</t>
  </si>
  <si>
    <t>P01111_NRAS</t>
  </si>
  <si>
    <t>P01112_HRAS</t>
  </si>
  <si>
    <t>P01116-2_KRAS</t>
  </si>
  <si>
    <t>P01137_TGFB1</t>
  </si>
  <si>
    <t>P02008_HBZ</t>
  </si>
  <si>
    <t>P02452_COL1A1</t>
  </si>
  <si>
    <t>P02458_COL2A1</t>
  </si>
  <si>
    <t>P02461_COL3A1</t>
  </si>
  <si>
    <t>P02462-2_COL4A1</t>
  </si>
  <si>
    <t>P02545_LMNA</t>
  </si>
  <si>
    <t>P02649_APOE</t>
  </si>
  <si>
    <t>P02652_APOA2</t>
  </si>
  <si>
    <t>P02751-17_FN1</t>
  </si>
  <si>
    <t>P02786_TFRC</t>
  </si>
  <si>
    <t>P02787_TF</t>
  </si>
  <si>
    <t>P02790_HPX</t>
  </si>
  <si>
    <t>P02792_FTL</t>
  </si>
  <si>
    <t>P02794_FTH1</t>
  </si>
  <si>
    <t>P02795_MT2A</t>
  </si>
  <si>
    <t>P03928_MT-ATP8</t>
  </si>
  <si>
    <t>P04040_CAT</t>
  </si>
  <si>
    <t>P04066_FUCA1</t>
  </si>
  <si>
    <t>P04075_ALDOA</t>
  </si>
  <si>
    <t>P04080_CSTB</t>
  </si>
  <si>
    <t>P04083_ANXA1</t>
  </si>
  <si>
    <t>P04150-7_NR3C1</t>
  </si>
  <si>
    <t>P04181_OAT</t>
  </si>
  <si>
    <t>P04217_A1BG</t>
  </si>
  <si>
    <t>P04350_TUBB4A</t>
  </si>
  <si>
    <t>P04406_GAPDH</t>
  </si>
  <si>
    <t>P04406-2_GAPDH</t>
  </si>
  <si>
    <t>P04424_ASL</t>
  </si>
  <si>
    <t>P04632_CAPNS1</t>
  </si>
  <si>
    <t>P04731_MT1A</t>
  </si>
  <si>
    <t>P04792_HSPB1</t>
  </si>
  <si>
    <t>P04843_RPN1</t>
  </si>
  <si>
    <t>P04844-2_RPN2</t>
  </si>
  <si>
    <t>P04899_GNAI2</t>
  </si>
  <si>
    <t>P04921-2_GYPC</t>
  </si>
  <si>
    <t>P05023-4_ATP1A1</t>
  </si>
  <si>
    <t>P05067-7_APP</t>
  </si>
  <si>
    <t>P05090_APOD</t>
  </si>
  <si>
    <t>P05091_ALDH2</t>
  </si>
  <si>
    <t>P05106_ITGB3</t>
  </si>
  <si>
    <t>P05114_HMGN1</t>
  </si>
  <si>
    <t>P05120_SERPINB2</t>
  </si>
  <si>
    <t>P05121_SERPINE1</t>
  </si>
  <si>
    <t>P05141_SLC25A5</t>
  </si>
  <si>
    <t>P05161_ISG15</t>
  </si>
  <si>
    <t>P05186_ALPL</t>
  </si>
  <si>
    <t>P05198_EIF2S1</t>
  </si>
  <si>
    <t>P05204_HMGN2</t>
  </si>
  <si>
    <t>P05230_FGF1</t>
  </si>
  <si>
    <t>P05362_ICAM1</t>
  </si>
  <si>
    <t>P05386_RPLP1</t>
  </si>
  <si>
    <t>P05387_RPLP2</t>
  </si>
  <si>
    <t>P05388_RPLP0</t>
  </si>
  <si>
    <t>P05412_JUN</t>
  </si>
  <si>
    <t>P05413_FABP3</t>
  </si>
  <si>
    <t>P05455_SSB</t>
  </si>
  <si>
    <t>P05556_ITGB1</t>
  </si>
  <si>
    <t>P05997_COL5A2</t>
  </si>
  <si>
    <t>P06132_UROD</t>
  </si>
  <si>
    <t>P06241_FYN</t>
  </si>
  <si>
    <t>P06280_GLA</t>
  </si>
  <si>
    <t>P06396-2_GSN</t>
  </si>
  <si>
    <t>P06396-3_GSN</t>
  </si>
  <si>
    <t>P06576_ATP5B</t>
  </si>
  <si>
    <t>P06733_ENO1</t>
  </si>
  <si>
    <t>P06737-2_PYGL</t>
  </si>
  <si>
    <t>P06744_GPI</t>
  </si>
  <si>
    <t>P06748_NPM1</t>
  </si>
  <si>
    <t>P06756-2_ITGAV</t>
  </si>
  <si>
    <t>P06756-3_ITGAV</t>
  </si>
  <si>
    <t>P07093-2_SERPINE2</t>
  </si>
  <si>
    <t>P07099_EPHX1</t>
  </si>
  <si>
    <t>P07108_DBI</t>
  </si>
  <si>
    <t>P07195_LDHB</t>
  </si>
  <si>
    <t>P07203_GPX1</t>
  </si>
  <si>
    <t>P07205_PGK2</t>
  </si>
  <si>
    <t>P07237_P4HB</t>
  </si>
  <si>
    <t>P07305-2_H1F0</t>
  </si>
  <si>
    <t>P07339_CTSD</t>
  </si>
  <si>
    <t>P07355_ANXA2</t>
  </si>
  <si>
    <t>P07384_CAPN1</t>
  </si>
  <si>
    <t>P07476_IVL</t>
  </si>
  <si>
    <t>P07585_DCN</t>
  </si>
  <si>
    <t>P07686_HEXB</t>
  </si>
  <si>
    <t>P07711_CTSL1</t>
  </si>
  <si>
    <t>P07737_PFN1</t>
  </si>
  <si>
    <t>P07738_BPGM</t>
  </si>
  <si>
    <t>P07741_APRT</t>
  </si>
  <si>
    <t>P07814_EPRS</t>
  </si>
  <si>
    <t>P07858_CTSB</t>
  </si>
  <si>
    <t>P07900_HSP90AA1</t>
  </si>
  <si>
    <t>P07902_GALT</t>
  </si>
  <si>
    <t>P07919_UQCRH</t>
  </si>
  <si>
    <t>P07954-2_FH</t>
  </si>
  <si>
    <t>P07992-2_ERCC1</t>
  </si>
  <si>
    <t>P07996_THBS1</t>
  </si>
  <si>
    <t>P08047_SP1</t>
  </si>
  <si>
    <t>P08107_HSPA1A</t>
  </si>
  <si>
    <t>P08123_COL1A2</t>
  </si>
  <si>
    <t>P08133_ANXA6</t>
  </si>
  <si>
    <t>P08237_PFKM</t>
  </si>
  <si>
    <t>P08238_HSP90AB1</t>
  </si>
  <si>
    <t>P08240_SRPR</t>
  </si>
  <si>
    <t>P08243-2_ASNS</t>
  </si>
  <si>
    <t>P08253_MMP2</t>
  </si>
  <si>
    <t>P08294_SOD3</t>
  </si>
  <si>
    <t>P08397-2_HMBS</t>
  </si>
  <si>
    <t>P08473_MME</t>
  </si>
  <si>
    <t>P08476_INHBA</t>
  </si>
  <si>
    <t>P08559-3_PDHA1</t>
  </si>
  <si>
    <t>P08572_COL4A2</t>
  </si>
  <si>
    <t>P08574_CYC1</t>
  </si>
  <si>
    <t>P08582_MFI2</t>
  </si>
  <si>
    <t>P08590_MYL3</t>
  </si>
  <si>
    <t>P08603_CFH</t>
  </si>
  <si>
    <t>P08621-2_SNRNP70</t>
  </si>
  <si>
    <t>P08648_ITGA5</t>
  </si>
  <si>
    <t>P08651-2_NFIC</t>
  </si>
  <si>
    <t>P08670_VIM</t>
  </si>
  <si>
    <t>P08754_GNAI3</t>
  </si>
  <si>
    <t>P08758_ANXA5</t>
  </si>
  <si>
    <t>P08842_STS</t>
  </si>
  <si>
    <t>P09012_SNRPA</t>
  </si>
  <si>
    <t>P09038-2_FGF2</t>
  </si>
  <si>
    <t>P09104_ENO2</t>
  </si>
  <si>
    <t>P09110_ACAA1</t>
  </si>
  <si>
    <t>P09132_SRP19</t>
  </si>
  <si>
    <t>P09211_GSTP1</t>
  </si>
  <si>
    <t>P09234_SNRPC</t>
  </si>
  <si>
    <t>P09382_LGALS1</t>
  </si>
  <si>
    <t>P09417_QDPR</t>
  </si>
  <si>
    <t>P09429_HMGB1</t>
  </si>
  <si>
    <t>P09486_SPARC</t>
  </si>
  <si>
    <t>P09496-2_CLTA</t>
  </si>
  <si>
    <t>P09497-2_CLTB</t>
  </si>
  <si>
    <t>P09525_ANXA4</t>
  </si>
  <si>
    <t>P09543-2_CNP</t>
  </si>
  <si>
    <t>P09601_HMOX1</t>
  </si>
  <si>
    <t>P09619_PDGFRB</t>
  </si>
  <si>
    <t>P09622_DLD</t>
  </si>
  <si>
    <t>P09661_SNRPA1</t>
  </si>
  <si>
    <t>P09668_CTSH</t>
  </si>
  <si>
    <t>P09669_COX6C</t>
  </si>
  <si>
    <t>P09874_PARP1</t>
  </si>
  <si>
    <t>P09917-2_ALOX5</t>
  </si>
  <si>
    <t>P09936_UCHL1</t>
  </si>
  <si>
    <t>P09960_LTA4H</t>
  </si>
  <si>
    <t>P09972_ALDOC</t>
  </si>
  <si>
    <t>P0C7P0_CISD3</t>
  </si>
  <si>
    <t>P0C7T5_ATXN1L</t>
  </si>
  <si>
    <t>P0CAP2_POLR2M</t>
  </si>
  <si>
    <t>P0CG12_CHTF8</t>
  </si>
  <si>
    <t>P0CG35_TMSB15B</t>
  </si>
  <si>
    <t>P0CW22_RPS17L</t>
  </si>
  <si>
    <t>P0DJ93_SMIM13</t>
  </si>
  <si>
    <t>P10109_FDX1</t>
  </si>
  <si>
    <t>P10114_RAP2A</t>
  </si>
  <si>
    <t>P10124_SRGN</t>
  </si>
  <si>
    <t>P10155_TROVE2</t>
  </si>
  <si>
    <t>P10176_COX8A</t>
  </si>
  <si>
    <t>P10253_GAA</t>
  </si>
  <si>
    <t>P10301_RRAS</t>
  </si>
  <si>
    <t>P10398_ARAF</t>
  </si>
  <si>
    <t>P10515_DLAT</t>
  </si>
  <si>
    <t>P10586-2_PTPRF</t>
  </si>
  <si>
    <t>P10599_TXN</t>
  </si>
  <si>
    <t>P10606_COX5B</t>
  </si>
  <si>
    <t>P10619_CTSA</t>
  </si>
  <si>
    <t>P10620_MGST1</t>
  </si>
  <si>
    <t>P10636_MAPT</t>
  </si>
  <si>
    <t>P10644_PRKAR1A</t>
  </si>
  <si>
    <t>P10746_UROS</t>
  </si>
  <si>
    <t>P10768_ESD</t>
  </si>
  <si>
    <t>P10809_HSPD1</t>
  </si>
  <si>
    <t>P10909-4_CLU</t>
  </si>
  <si>
    <t>P10915_HAPLN1</t>
  </si>
  <si>
    <t>P11021_HSPA5</t>
  </si>
  <si>
    <t>P11047_LAMC1</t>
  </si>
  <si>
    <t>P11117_ACP2</t>
  </si>
  <si>
    <t>P11137-3_MAP2</t>
  </si>
  <si>
    <t>P11137-4_MAP2</t>
  </si>
  <si>
    <t>P11142_HSPA8</t>
  </si>
  <si>
    <t>P11161-2_EGR2</t>
  </si>
  <si>
    <t>P11166_SLC2A1</t>
  </si>
  <si>
    <t>P11169_SLC2A3</t>
  </si>
  <si>
    <t>P11172_UMPS</t>
  </si>
  <si>
    <t>P11177-2_PDHB</t>
  </si>
  <si>
    <t>P11182_DBT</t>
  </si>
  <si>
    <t>P11216_PYGB</t>
  </si>
  <si>
    <t>P11233_RALA</t>
  </si>
  <si>
    <t>P11234_RALB</t>
  </si>
  <si>
    <t>P11274-2_BCR</t>
  </si>
  <si>
    <t>P11279_LAMP1</t>
  </si>
  <si>
    <t>P11413_G6PD</t>
  </si>
  <si>
    <t>P11441_UBL4A</t>
  </si>
  <si>
    <t>P11498_PC</t>
  </si>
  <si>
    <t>P11586_MTHFD1</t>
  </si>
  <si>
    <t>P11717_IGF2R</t>
  </si>
  <si>
    <t>P11766_ADH5</t>
  </si>
  <si>
    <t>P11802_CDK4</t>
  </si>
  <si>
    <t>P11831_SRF</t>
  </si>
  <si>
    <t>P11908_PRPS2</t>
  </si>
  <si>
    <t>P11940-2_PABPC1</t>
  </si>
  <si>
    <t>P12004_PCNA</t>
  </si>
  <si>
    <t>P12081_HARS</t>
  </si>
  <si>
    <t>P12107-3_COL11A1</t>
  </si>
  <si>
    <t>P12109_COL6A1</t>
  </si>
  <si>
    <t>P12110_COL6A2</t>
  </si>
  <si>
    <t>P12110-2_COL6A2</t>
  </si>
  <si>
    <t>P12111_COL6A3</t>
  </si>
  <si>
    <t>P12236_SLC25A6</t>
  </si>
  <si>
    <t>P12268_IMPDH2</t>
  </si>
  <si>
    <t>P12270_TPR</t>
  </si>
  <si>
    <t>P12277_CKB</t>
  </si>
  <si>
    <t>P12429_ANXA3</t>
  </si>
  <si>
    <t>P12532_CKMT1A</t>
  </si>
  <si>
    <t>P12814-2_ACTN1</t>
  </si>
  <si>
    <t>P12821-2_ACE</t>
  </si>
  <si>
    <t>P12931_SRC</t>
  </si>
  <si>
    <t>P12955_PEPD</t>
  </si>
  <si>
    <t>P12956_XRCC6</t>
  </si>
  <si>
    <t>P13010_XRCC5</t>
  </si>
  <si>
    <t>P13073_COX4I1</t>
  </si>
  <si>
    <t>P13196_ALAS1</t>
  </si>
  <si>
    <t>P13284_IFI30</t>
  </si>
  <si>
    <t>P13489_RNH1</t>
  </si>
  <si>
    <t>P13611_VCAN</t>
  </si>
  <si>
    <t>P13612_ITGA4</t>
  </si>
  <si>
    <t>P13639_EEF2</t>
  </si>
  <si>
    <t>P13667_PDIA4</t>
  </si>
  <si>
    <t>P13674_P4HA1</t>
  </si>
  <si>
    <t>P13674-2_P4HA1</t>
  </si>
  <si>
    <t>P13693_TPT1</t>
  </si>
  <si>
    <t>P13726_F3</t>
  </si>
  <si>
    <t>P13746-2_HLA-A</t>
  </si>
  <si>
    <t>P13797_PLS3</t>
  </si>
  <si>
    <t>P13804_ETFA</t>
  </si>
  <si>
    <t>P13861_PRKAR2A</t>
  </si>
  <si>
    <t>P13929-2_ENO3</t>
  </si>
  <si>
    <t>P13984_GTF2F2</t>
  </si>
  <si>
    <t>P13995_MTHFD2</t>
  </si>
  <si>
    <t>P14174_MIF</t>
  </si>
  <si>
    <t>P14209-3_CD99</t>
  </si>
  <si>
    <t>P14324-2_FDPS</t>
  </si>
  <si>
    <t>P14384_CPM</t>
  </si>
  <si>
    <t>P14550_AKR1A1</t>
  </si>
  <si>
    <t>P14618_PKM</t>
  </si>
  <si>
    <t>P14621_ACYP2</t>
  </si>
  <si>
    <t>P14625_HSP90B1</t>
  </si>
  <si>
    <t>P14649_MYL6B</t>
  </si>
  <si>
    <t>P14735_IDE</t>
  </si>
  <si>
    <t>P14854_COX6B1</t>
  </si>
  <si>
    <t>P14866_HNRNPL</t>
  </si>
  <si>
    <t>P14868_DARS</t>
  </si>
  <si>
    <t>P14923_JUP</t>
  </si>
  <si>
    <t>P14927_UQCRB</t>
  </si>
  <si>
    <t>P15056_BRAF</t>
  </si>
  <si>
    <t>P15090_FABP4</t>
  </si>
  <si>
    <t>P15104_GLUL</t>
  </si>
  <si>
    <t>P15121_AKR1B1</t>
  </si>
  <si>
    <t>P15144_ANPEP</t>
  </si>
  <si>
    <t>P15151-3_PVR</t>
  </si>
  <si>
    <t>P15170-2_GSPT1</t>
  </si>
  <si>
    <t>P15289_ARSA</t>
  </si>
  <si>
    <t>P15289-2_ARSA</t>
  </si>
  <si>
    <t>P15291-2_B4GALT1</t>
  </si>
  <si>
    <t>P15311_EZR</t>
  </si>
  <si>
    <t>P15374_UCHL3</t>
  </si>
  <si>
    <t>P15407_FOSL1</t>
  </si>
  <si>
    <t>P15529-15_CD46</t>
  </si>
  <si>
    <t>P15529-7_CD46</t>
  </si>
  <si>
    <t>P15531_NME1</t>
  </si>
  <si>
    <t>P15586_GNS</t>
  </si>
  <si>
    <t>P15848_ARSB</t>
  </si>
  <si>
    <t>P15882_CHN1</t>
  </si>
  <si>
    <t>P15927_RPA2</t>
  </si>
  <si>
    <t>P16035_TIMP2</t>
  </si>
  <si>
    <t>P16152_CBR1</t>
  </si>
  <si>
    <t>P16219_ACADS</t>
  </si>
  <si>
    <t>P16220-2_CREB1</t>
  </si>
  <si>
    <t>P16234_PDGFRA</t>
  </si>
  <si>
    <t>P16260_SLC25A16</t>
  </si>
  <si>
    <t>P16278-3_GLB1</t>
  </si>
  <si>
    <t>P16298_PPP3CB</t>
  </si>
  <si>
    <t>P16333_NCK1</t>
  </si>
  <si>
    <t>P16383_GCFC2</t>
  </si>
  <si>
    <t>P16401_HIST1H1B</t>
  </si>
  <si>
    <t>P16403_HIST1H1C</t>
  </si>
  <si>
    <t>P16435_POR</t>
  </si>
  <si>
    <t>P16455_MGMT</t>
  </si>
  <si>
    <t>P16591-3_FER</t>
  </si>
  <si>
    <t>P16615_ATP2A2</t>
  </si>
  <si>
    <t>P16870-2_CPE</t>
  </si>
  <si>
    <t>P16930_FAH</t>
  </si>
  <si>
    <t>P16949_STMN1</t>
  </si>
  <si>
    <t>P16989_YBX3</t>
  </si>
  <si>
    <t>P16989-2_YBX3</t>
  </si>
  <si>
    <t>P17050_NAGA</t>
  </si>
  <si>
    <t>P17066_HSPA6</t>
  </si>
  <si>
    <t>P17096-2_HMGA1</t>
  </si>
  <si>
    <t>P17152_TMEM11</t>
  </si>
  <si>
    <t>P17174_GOT1</t>
  </si>
  <si>
    <t>P17252_PRKCA</t>
  </si>
  <si>
    <t>P17275_JUNB</t>
  </si>
  <si>
    <t>P17301_ITGA2</t>
  </si>
  <si>
    <t>P17302_GJA1</t>
  </si>
  <si>
    <t>P17342-2_NPR3</t>
  </si>
  <si>
    <t>P17405-4_SMPD1</t>
  </si>
  <si>
    <t>P17535_JUND</t>
  </si>
  <si>
    <t>P17612_PRKACA</t>
  </si>
  <si>
    <t>P17655_CAPN2</t>
  </si>
  <si>
    <t>P17661_DES</t>
  </si>
  <si>
    <t>P17812_CTPS1</t>
  </si>
  <si>
    <t>P17813-2_ENG</t>
  </si>
  <si>
    <t>P17858_PFKL</t>
  </si>
  <si>
    <t>P17900_GM2A</t>
  </si>
  <si>
    <t>P17931_LGALS3</t>
  </si>
  <si>
    <t>P17936_IGFBP3</t>
  </si>
  <si>
    <t>P17987_TCP1</t>
  </si>
  <si>
    <t>P18031_PTPN1</t>
  </si>
  <si>
    <t>P18065_IGFBP2</t>
  </si>
  <si>
    <t>P18084_ITGB5</t>
  </si>
  <si>
    <t>P18085_ARF4</t>
  </si>
  <si>
    <t>P18124_RPL7</t>
  </si>
  <si>
    <t>P18146_EGR1</t>
  </si>
  <si>
    <t>P18615_NELFE</t>
  </si>
  <si>
    <t>P18669_PGAM1</t>
  </si>
  <si>
    <t>P18754_RCC1</t>
  </si>
  <si>
    <t>P18827_SDC1</t>
  </si>
  <si>
    <t>P18846_ATF1</t>
  </si>
  <si>
    <t>P18859_ATP5J</t>
  </si>
  <si>
    <t>P19021_PAM</t>
  </si>
  <si>
    <t>P19338_NCL</t>
  </si>
  <si>
    <t>P19367_HK1</t>
  </si>
  <si>
    <t>P19388_POLR2E</t>
  </si>
  <si>
    <t>P19532_TFE3</t>
  </si>
  <si>
    <t>P19623_SRM</t>
  </si>
  <si>
    <t>P19784_CSNK2A2</t>
  </si>
  <si>
    <t>P19838_NFKB1</t>
  </si>
  <si>
    <t>P19883-2_FST</t>
  </si>
  <si>
    <t>P19971_TYMP</t>
  </si>
  <si>
    <t>P20020-6_ATP2B1</t>
  </si>
  <si>
    <t>P20042_EIF2S2</t>
  </si>
  <si>
    <t>P20290_BTF3</t>
  </si>
  <si>
    <t>P20290-2_BTF3</t>
  </si>
  <si>
    <t>P20336_RAB3A</t>
  </si>
  <si>
    <t>P20337_RAB3B</t>
  </si>
  <si>
    <t>P20338_RAB4A</t>
  </si>
  <si>
    <t>P20340-2_RAB6A</t>
  </si>
  <si>
    <t>P20591_MX1</t>
  </si>
  <si>
    <t>P20618_PSMB1</t>
  </si>
  <si>
    <t>P20645_M6PR</t>
  </si>
  <si>
    <t>P20674_COX5A</t>
  </si>
  <si>
    <t>P20700_LMNB1</t>
  </si>
  <si>
    <t>P20719_HOXA5</t>
  </si>
  <si>
    <t>P20908_COL5A1</t>
  </si>
  <si>
    <t>P20933_AGA</t>
  </si>
  <si>
    <t>P20962_PTMS</t>
  </si>
  <si>
    <t>P21266_GSTM3</t>
  </si>
  <si>
    <t>P21281_ATP6V1B2</t>
  </si>
  <si>
    <t>P21283_ATP6V1C1</t>
  </si>
  <si>
    <t>P21291_CSRP1</t>
  </si>
  <si>
    <t>P21333-2_FLNA</t>
  </si>
  <si>
    <t>P21397_MAOA</t>
  </si>
  <si>
    <t>P21399_ACO1</t>
  </si>
  <si>
    <t>P21583-2_KITLG</t>
  </si>
  <si>
    <t>P21589_NT5E</t>
  </si>
  <si>
    <t>P21796_VDAC1</t>
  </si>
  <si>
    <t>P21912_SDHB</t>
  </si>
  <si>
    <t>P21953_BCKDHB</t>
  </si>
  <si>
    <t>P21964-2_COMT</t>
  </si>
  <si>
    <t>P21980_TGM2</t>
  </si>
  <si>
    <t>P22033_MUT</t>
  </si>
  <si>
    <t>P22059_OSBP</t>
  </si>
  <si>
    <t>P22102_GART</t>
  </si>
  <si>
    <t>P22304_IDS</t>
  </si>
  <si>
    <t>P22307_SCP2</t>
  </si>
  <si>
    <t>P22307-2_SCP2</t>
  </si>
  <si>
    <t>P22314_UBA1</t>
  </si>
  <si>
    <t>P22352_GPX3</t>
  </si>
  <si>
    <t>P22413_ENPP1</t>
  </si>
  <si>
    <t>P22570_FDXR</t>
  </si>
  <si>
    <t>P22626_HNRNPA2B1</t>
  </si>
  <si>
    <t>P22676_CALB2</t>
  </si>
  <si>
    <t>P22681_CBL</t>
  </si>
  <si>
    <t>P22692_IGFBP4</t>
  </si>
  <si>
    <t>P22694_PRKACB</t>
  </si>
  <si>
    <t>P22830_FECH</t>
  </si>
  <si>
    <t>P23141-3_CES1</t>
  </si>
  <si>
    <t>P23142-4_FBLN1</t>
  </si>
  <si>
    <t>P23193_TCEA1</t>
  </si>
  <si>
    <t>P23219-3_PTGS1</t>
  </si>
  <si>
    <t>P23246_SFPQ</t>
  </si>
  <si>
    <t>P23258_TUBG1</t>
  </si>
  <si>
    <t>P23284_PPIB</t>
  </si>
  <si>
    <t>P23368_ME2</t>
  </si>
  <si>
    <t>P23381_WARS</t>
  </si>
  <si>
    <t>P23396_RPS3</t>
  </si>
  <si>
    <t>P23434_GCSH</t>
  </si>
  <si>
    <t>P23470-2_PTPRG</t>
  </si>
  <si>
    <t>P23497_SP100</t>
  </si>
  <si>
    <t>P23508-2_MCC</t>
  </si>
  <si>
    <t>P23511-2_NFYA</t>
  </si>
  <si>
    <t>P23526_AHCY</t>
  </si>
  <si>
    <t>P23528_CFL1</t>
  </si>
  <si>
    <t>P23610_F8A1</t>
  </si>
  <si>
    <t>P23634-5_ATP2B4</t>
  </si>
  <si>
    <t>P23634-8_ATP2B4</t>
  </si>
  <si>
    <t>P23743_DGKA</t>
  </si>
  <si>
    <t>P23786_CPT2</t>
  </si>
  <si>
    <t>P23919_DTYMK</t>
  </si>
  <si>
    <t>P23921_RRM1</t>
  </si>
  <si>
    <t>P24043_LAMA2</t>
  </si>
  <si>
    <t>P24385_CCND1</t>
  </si>
  <si>
    <t>P24522_GADD45A</t>
  </si>
  <si>
    <t>P24534_EEF1B2</t>
  </si>
  <si>
    <t>P24592_IGFBP6</t>
  </si>
  <si>
    <t>P24593_IGFBP5</t>
  </si>
  <si>
    <t>P24666_ACP1</t>
  </si>
  <si>
    <t>P24666-2_ACP1</t>
  </si>
  <si>
    <t>P24752_ACAT1</t>
  </si>
  <si>
    <t>P24821-4_TNC</t>
  </si>
  <si>
    <t>P24844_MYL9</t>
  </si>
  <si>
    <t>P24928_POLR2A</t>
  </si>
  <si>
    <t>P25098_ADRBK1</t>
  </si>
  <si>
    <t>P25116_F2R</t>
  </si>
  <si>
    <t>P25398_RPS12</t>
  </si>
  <si>
    <t>P25445-6_FAS</t>
  </si>
  <si>
    <t>P25685_DNAJB1</t>
  </si>
  <si>
    <t>P25686_DNAJB2</t>
  </si>
  <si>
    <t>P25705_ATP5A1</t>
  </si>
  <si>
    <t>P25786_PSMA1</t>
  </si>
  <si>
    <t>P25787_PSMA2</t>
  </si>
  <si>
    <t>P25788-2_PSMA3</t>
  </si>
  <si>
    <t>P25789_PSMA4</t>
  </si>
  <si>
    <t>P26006_ITGA3</t>
  </si>
  <si>
    <t>P26022_PTX3</t>
  </si>
  <si>
    <t>P26038_MSN</t>
  </si>
  <si>
    <t>P26196_DDX6</t>
  </si>
  <si>
    <t>P26232-3_CTNNA2</t>
  </si>
  <si>
    <t>P26373_RPL13</t>
  </si>
  <si>
    <t>P26374_CHML</t>
  </si>
  <si>
    <t>P26440_IVD</t>
  </si>
  <si>
    <t>P26447_S100A4</t>
  </si>
  <si>
    <t>P26572_MGAT1</t>
  </si>
  <si>
    <t>P26583_HMGB2</t>
  </si>
  <si>
    <t>P26599_PTBP1</t>
  </si>
  <si>
    <t>P26639_TARS</t>
  </si>
  <si>
    <t>P26641_EEF1G</t>
  </si>
  <si>
    <t>P26885_FKBP2</t>
  </si>
  <si>
    <t>P27144_AK4</t>
  </si>
  <si>
    <t>P27338_MAOB</t>
  </si>
  <si>
    <t>P27348_YWHAQ</t>
  </si>
  <si>
    <t>P27361_MAPK3</t>
  </si>
  <si>
    <t>P27449_ATP6V0C</t>
  </si>
  <si>
    <t>P27540-2_ARNT</t>
  </si>
  <si>
    <t>P27635_RPL10</t>
  </si>
  <si>
    <t>P27658_COL8A1</t>
  </si>
  <si>
    <t>P27694_RPA1</t>
  </si>
  <si>
    <t>P27695_APEX1</t>
  </si>
  <si>
    <t>P27701_CD82</t>
  </si>
  <si>
    <t>P27797_CALR</t>
  </si>
  <si>
    <t>P27816-5_MAP4</t>
  </si>
  <si>
    <t>P27824_CANX</t>
  </si>
  <si>
    <t>P28062-2_PSMB8</t>
  </si>
  <si>
    <t>P28066_PSMA5</t>
  </si>
  <si>
    <t>P28070_PSMB4</t>
  </si>
  <si>
    <t>P28072_PSMB6</t>
  </si>
  <si>
    <t>P28074_PSMB5</t>
  </si>
  <si>
    <t>P28161_GSTM2</t>
  </si>
  <si>
    <t>P28300_LOX</t>
  </si>
  <si>
    <t>P28331_NDUFS1</t>
  </si>
  <si>
    <t>P28482_MAPK1</t>
  </si>
  <si>
    <t>P28715_ERCC5</t>
  </si>
  <si>
    <t>P28799_GRN</t>
  </si>
  <si>
    <t>P28838-2_LAP3</t>
  </si>
  <si>
    <t>P28845_HSD11B1</t>
  </si>
  <si>
    <t>P29083_GTF2E1</t>
  </si>
  <si>
    <t>P29218_IMPA1</t>
  </si>
  <si>
    <t>P29279_CTGF</t>
  </si>
  <si>
    <t>P29317_EPHA2</t>
  </si>
  <si>
    <t>P29323-2_EPHB2</t>
  </si>
  <si>
    <t>P29353_SHC1</t>
  </si>
  <si>
    <t>P29353-6_SHC1</t>
  </si>
  <si>
    <t>P29373_CRABP2</t>
  </si>
  <si>
    <t>P29401_TKT</t>
  </si>
  <si>
    <t>P29536-2_LMOD1</t>
  </si>
  <si>
    <t>P29590_PML</t>
  </si>
  <si>
    <t>P29966_MARCKS</t>
  </si>
  <si>
    <t>P29992_GNA11</t>
  </si>
  <si>
    <t>P30038_ALDH4A1</t>
  </si>
  <si>
    <t>P30039_PBLD</t>
  </si>
  <si>
    <t>P30040_ERP29</t>
  </si>
  <si>
    <t>P30041_PRDX6</t>
  </si>
  <si>
    <t>P30042_C21orf33</t>
  </si>
  <si>
    <t>P30043_BLVRB</t>
  </si>
  <si>
    <t>P30044-2_PRDX5</t>
  </si>
  <si>
    <t>P30046_DDT</t>
  </si>
  <si>
    <t>P30049_ATP5D</t>
  </si>
  <si>
    <t>P30050_RPL12</t>
  </si>
  <si>
    <t>P30084_ECHS1</t>
  </si>
  <si>
    <t>P30085_CMPK1</t>
  </si>
  <si>
    <t>P30086_PEBP1</t>
  </si>
  <si>
    <t>P30153_PPP2R1A</t>
  </si>
  <si>
    <t>P30154-4_PPP2R1B</t>
  </si>
  <si>
    <t>P30405_PPIF</t>
  </si>
  <si>
    <t>P30411-2_BDKRB2</t>
  </si>
  <si>
    <t>P30419_NMT1</t>
  </si>
  <si>
    <t>P30504_HLA-C</t>
  </si>
  <si>
    <t>P30519_HMOX2</t>
  </si>
  <si>
    <t>P30520_ADSS</t>
  </si>
  <si>
    <t>P30530-2_AXL</t>
  </si>
  <si>
    <t>P30533_LRPAP1</t>
  </si>
  <si>
    <t>P30566_ADSL</t>
  </si>
  <si>
    <t>P30613-2_PKLR</t>
  </si>
  <si>
    <t>P30711_GSTT1</t>
  </si>
  <si>
    <t>P30740_SERPINB1</t>
  </si>
  <si>
    <t>P30825_SLC7A1</t>
  </si>
  <si>
    <t>P30837_ALDH1B1</t>
  </si>
  <si>
    <t>P31146_CORO1A</t>
  </si>
  <si>
    <t>P31150_GDI1</t>
  </si>
  <si>
    <t>P31153_MAT2A</t>
  </si>
  <si>
    <t>P31321_PRKAR1B</t>
  </si>
  <si>
    <t>P31323_PRKAR2B</t>
  </si>
  <si>
    <t>P31327_CPS1</t>
  </si>
  <si>
    <t>P31350_RRM2</t>
  </si>
  <si>
    <t>P31689_DNAJA1</t>
  </si>
  <si>
    <t>P31749_AKT1</t>
  </si>
  <si>
    <t>P31751_AKT2</t>
  </si>
  <si>
    <t>P31930_UQCRC1</t>
  </si>
  <si>
    <t>P31937_HIBADH</t>
  </si>
  <si>
    <t>P31939_ATIC</t>
  </si>
  <si>
    <t>P31942-2_HNRNPH3</t>
  </si>
  <si>
    <t>P31946_YWHAB</t>
  </si>
  <si>
    <t>P31947-2_SFN</t>
  </si>
  <si>
    <t>P31948_STIP1</t>
  </si>
  <si>
    <t>P31949_S100A11</t>
  </si>
  <si>
    <t>P32119_PRDX2</t>
  </si>
  <si>
    <t>P32189-1_GK</t>
  </si>
  <si>
    <t>P32320_CDA</t>
  </si>
  <si>
    <t>P32321-2_DCTD</t>
  </si>
  <si>
    <t>P32322_PYCR1</t>
  </si>
  <si>
    <t>P32418-2_SLC8A1</t>
  </si>
  <si>
    <t>P32455_GBP1</t>
  </si>
  <si>
    <t>P32456_GBP2</t>
  </si>
  <si>
    <t>P32856-3_STX2</t>
  </si>
  <si>
    <t>P32929_CTH</t>
  </si>
  <si>
    <t>P32969_RPL9</t>
  </si>
  <si>
    <t>P33121_ACSL1</t>
  </si>
  <si>
    <t>P33176_KIF5B</t>
  </si>
  <si>
    <t>P33240-2_CSTF2</t>
  </si>
  <si>
    <t>P33241-2_LSP1</t>
  </si>
  <si>
    <t>P33316_DUT</t>
  </si>
  <si>
    <t>P33527_ABCC1</t>
  </si>
  <si>
    <t>P33764_S100A3</t>
  </si>
  <si>
    <t>P33908_MAN1A1</t>
  </si>
  <si>
    <t>P34059_GALNS</t>
  </si>
  <si>
    <t>P34896-2_SHMT1</t>
  </si>
  <si>
    <t>P34897-3_SHMT2</t>
  </si>
  <si>
    <t>P34931_HSPA1L</t>
  </si>
  <si>
    <t>P34932_HSPA4</t>
  </si>
  <si>
    <t>P34949_MPI</t>
  </si>
  <si>
    <t>P35052_GPC1</t>
  </si>
  <si>
    <t>P35221_CTNNA1</t>
  </si>
  <si>
    <t>P35232_PHB</t>
  </si>
  <si>
    <t>P35237_SERPINB6</t>
  </si>
  <si>
    <t>P35240-5_NF2</t>
  </si>
  <si>
    <t>P35241_RDX</t>
  </si>
  <si>
    <t>P35244_RPA3</t>
  </si>
  <si>
    <t>P35250_RFC2</t>
  </si>
  <si>
    <t>P35268_RPL22</t>
  </si>
  <si>
    <t>P35269_GTF2F1</t>
  </si>
  <si>
    <t>P35270_SPR</t>
  </si>
  <si>
    <t>P35398-2_RORA</t>
  </si>
  <si>
    <t>P35442_THBS2</t>
  </si>
  <si>
    <t>P35520_CBS</t>
  </si>
  <si>
    <t>P35555_FBN1</t>
  </si>
  <si>
    <t>P35556_FBN2</t>
  </si>
  <si>
    <t>P35568_IRS1</t>
  </si>
  <si>
    <t>P35579_MYH9</t>
  </si>
  <si>
    <t>P35580_MYH10</t>
  </si>
  <si>
    <t>P35606_COPB2</t>
  </si>
  <si>
    <t>P35611_ADD1</t>
  </si>
  <si>
    <t>P35613-2_BSG</t>
  </si>
  <si>
    <t>P35625_TIMP3</t>
  </si>
  <si>
    <t>P35658-2_NUP214</t>
  </si>
  <si>
    <t>P35754_GLRX</t>
  </si>
  <si>
    <t>P35790-2_CHKA</t>
  </si>
  <si>
    <t>P35813_PPM1A</t>
  </si>
  <si>
    <t>P35998_PSMC2</t>
  </si>
  <si>
    <t>P36021_SLC16A2</t>
  </si>
  <si>
    <t>P36269-2_GGT5</t>
  </si>
  <si>
    <t>P36404_ARL2</t>
  </si>
  <si>
    <t>P36405_ARL3</t>
  </si>
  <si>
    <t>P36406-3_TRIM23</t>
  </si>
  <si>
    <t>P36507_MAP2K2</t>
  </si>
  <si>
    <t>P36543_ATP6V1E1</t>
  </si>
  <si>
    <t>P36551_CPOX</t>
  </si>
  <si>
    <t>P36578_RPL4</t>
  </si>
  <si>
    <t>P36639-4_NUDT1</t>
  </si>
  <si>
    <t>P36871_PGM1</t>
  </si>
  <si>
    <t>P36873_PPP1CC</t>
  </si>
  <si>
    <t>P36915_GNL1</t>
  </si>
  <si>
    <t>P36954_POLR2I</t>
  </si>
  <si>
    <t>P36955_SERPINF1</t>
  </si>
  <si>
    <t>P36957_DLST</t>
  </si>
  <si>
    <t>P36959_GMPR</t>
  </si>
  <si>
    <t>P36969-2_GPX4</t>
  </si>
  <si>
    <t>P37059_HSD17B2</t>
  </si>
  <si>
    <t>P37108_SRP14</t>
  </si>
  <si>
    <t>P37173_TGFBR2</t>
  </si>
  <si>
    <t>P37198_NUP62</t>
  </si>
  <si>
    <t>P37235_HPCAL1</t>
  </si>
  <si>
    <t>P37268_FDFT1</t>
  </si>
  <si>
    <t>P37802_TAGLN2</t>
  </si>
  <si>
    <t>P37837_TALDO1</t>
  </si>
  <si>
    <t>P38117_ETFB</t>
  </si>
  <si>
    <t>P38159_RBMX</t>
  </si>
  <si>
    <t>P38405-3_GNAL</t>
  </si>
  <si>
    <t>P38435_GGCX</t>
  </si>
  <si>
    <t>P38571-2_LIPA</t>
  </si>
  <si>
    <t>P38606_ATP6V1A</t>
  </si>
  <si>
    <t>P38646_HSPA9</t>
  </si>
  <si>
    <t>P38919_EIF4A3</t>
  </si>
  <si>
    <t>P39019_RPS19</t>
  </si>
  <si>
    <t>P39023_RPL3</t>
  </si>
  <si>
    <t>P39059_COL15A1</t>
  </si>
  <si>
    <t>P39656_DDOST</t>
  </si>
  <si>
    <t>P39687_ANP32A</t>
  </si>
  <si>
    <t>P39748_FEN1</t>
  </si>
  <si>
    <t>P40121_CAPG</t>
  </si>
  <si>
    <t>P40123_CAP2</t>
  </si>
  <si>
    <t>P40189_IL6ST</t>
  </si>
  <si>
    <t>P40222_TXLNA</t>
  </si>
  <si>
    <t>P40227_CCT6A</t>
  </si>
  <si>
    <t>P40261_NNMT</t>
  </si>
  <si>
    <t>P40306_PSMB10</t>
  </si>
  <si>
    <t>P40763_STAT3</t>
  </si>
  <si>
    <t>P40818_USP8</t>
  </si>
  <si>
    <t>P40925_MDH1</t>
  </si>
  <si>
    <t>P40926_MDH2</t>
  </si>
  <si>
    <t>P40939_HADHA</t>
  </si>
  <si>
    <t>P41091_EIF2S3</t>
  </si>
  <si>
    <t>P41134-2_ID1</t>
  </si>
  <si>
    <t>P41159_LEP</t>
  </si>
  <si>
    <t>P41208_CETN2</t>
  </si>
  <si>
    <t>P41214_EIF2D</t>
  </si>
  <si>
    <t>P41221-2_WNT5A</t>
  </si>
  <si>
    <t>P41223_BUD31</t>
  </si>
  <si>
    <t>P41226_UBA7</t>
  </si>
  <si>
    <t>P41227-2_NAA10</t>
  </si>
  <si>
    <t>P41240_CSK</t>
  </si>
  <si>
    <t>P41247_PNPLA4</t>
  </si>
  <si>
    <t>P41250_GARS</t>
  </si>
  <si>
    <t>P41252_IARS</t>
  </si>
  <si>
    <t>P41567_EIF1</t>
  </si>
  <si>
    <t>P41743_PRKCI</t>
  </si>
  <si>
    <t>P42025_ACTR1B</t>
  </si>
  <si>
    <t>P42126-2_ECI1</t>
  </si>
  <si>
    <t>P42224_STAT1</t>
  </si>
  <si>
    <t>P42226_STAT6</t>
  </si>
  <si>
    <t>P42285_SKIV2L2</t>
  </si>
  <si>
    <t>P42330_AKR1C3</t>
  </si>
  <si>
    <t>P42331-6_ARHGAP25</t>
  </si>
  <si>
    <t>P42336_PIK3CA</t>
  </si>
  <si>
    <t>P42345_MTOR</t>
  </si>
  <si>
    <t>P42566_EPS15</t>
  </si>
  <si>
    <t>P42574_CASP3</t>
  </si>
  <si>
    <t>P42575_CASP2</t>
  </si>
  <si>
    <t>P42677_RPS27</t>
  </si>
  <si>
    <t>P42704_LRPPRC</t>
  </si>
  <si>
    <t>P42765_ACAA2</t>
  </si>
  <si>
    <t>P42766_RPL35</t>
  </si>
  <si>
    <t>P42771_CDKN2A</t>
  </si>
  <si>
    <t>P42772_CDKN2B</t>
  </si>
  <si>
    <t>P42773_CDKN2C</t>
  </si>
  <si>
    <t>P42785_PRCP</t>
  </si>
  <si>
    <t>P42892-3_ECE1</t>
  </si>
  <si>
    <t>P43005_SLC1A1</t>
  </si>
  <si>
    <t>P43007_SLC1A4</t>
  </si>
  <si>
    <t>P43034_PAFAH1B1</t>
  </si>
  <si>
    <t>P43121_MCAM</t>
  </si>
  <si>
    <t>P43155-2_CRAT</t>
  </si>
  <si>
    <t>P43234_CTSO</t>
  </si>
  <si>
    <t>P43235_CTSK</t>
  </si>
  <si>
    <t>P43304_GPD2</t>
  </si>
  <si>
    <t>P43304-2_GPD2</t>
  </si>
  <si>
    <t>P43307_SSR1</t>
  </si>
  <si>
    <t>P43378_PTPN9</t>
  </si>
  <si>
    <t>P43487_RANBP1</t>
  </si>
  <si>
    <t>P43490_NAMPT</t>
  </si>
  <si>
    <t>P43686_PSMC4</t>
  </si>
  <si>
    <t>P43897_TSFM</t>
  </si>
  <si>
    <t>P45381_ASPA</t>
  </si>
  <si>
    <t>P45877_PPIC</t>
  </si>
  <si>
    <t>P45880_VDAC2</t>
  </si>
  <si>
    <t>P45954_ACADSB</t>
  </si>
  <si>
    <t>P45973_CBX5</t>
  </si>
  <si>
    <t>P45974-2_USP5</t>
  </si>
  <si>
    <t>P45983-3_MAPK8</t>
  </si>
  <si>
    <t>P45984-2_MAPK9</t>
  </si>
  <si>
    <t>P45985_MAP2K4</t>
  </si>
  <si>
    <t>P46060_RANGAP1</t>
  </si>
  <si>
    <t>P46063_RECQL</t>
  </si>
  <si>
    <t>P46087-2_NOP2</t>
  </si>
  <si>
    <t>P46108_CRK</t>
  </si>
  <si>
    <t>P46108-2_CRK</t>
  </si>
  <si>
    <t>P46109_CRKL</t>
  </si>
  <si>
    <t>P46199_MTIF2</t>
  </si>
  <si>
    <t>P46439_GSTM5</t>
  </si>
  <si>
    <t>P46527_CDKN1B</t>
  </si>
  <si>
    <t>P46734_MAP2K3</t>
  </si>
  <si>
    <t>P46734-2_MAP2K3</t>
  </si>
  <si>
    <t>P46736-2_BRCC3</t>
  </si>
  <si>
    <t>P46777_RPL5</t>
  </si>
  <si>
    <t>P46778_RPL21</t>
  </si>
  <si>
    <t>P46781_RPS9</t>
  </si>
  <si>
    <t>P46783_RPS10</t>
  </si>
  <si>
    <t>P46821_MAP1B</t>
  </si>
  <si>
    <t>P46926_GNPDA1</t>
  </si>
  <si>
    <t>P46934-4_NEDD4</t>
  </si>
  <si>
    <t>P46939_UTRN</t>
  </si>
  <si>
    <t>P46940_IQGAP1</t>
  </si>
  <si>
    <t>P46976-2_GYG1</t>
  </si>
  <si>
    <t>P46977_STT3A</t>
  </si>
  <si>
    <t>P47224_RABIF</t>
  </si>
  <si>
    <t>P47712_PLA2G4A</t>
  </si>
  <si>
    <t>P47755_CAPZA2</t>
  </si>
  <si>
    <t>P47756_CAPZB</t>
  </si>
  <si>
    <t>P47756-2_CAPZB</t>
  </si>
  <si>
    <t>P47813_EIF1AX</t>
  </si>
  <si>
    <t>P47914_RPL29</t>
  </si>
  <si>
    <t>P47974_ZFP36L2</t>
  </si>
  <si>
    <t>P47985_UQCRFS1</t>
  </si>
  <si>
    <t>P48029_SLC6A8</t>
  </si>
  <si>
    <t>P48047_ATP5O</t>
  </si>
  <si>
    <t>P48059-3_LIMS1</t>
  </si>
  <si>
    <t>P48060_GLIPR1</t>
  </si>
  <si>
    <t>P48147_PREP</t>
  </si>
  <si>
    <t>P48163_ME1</t>
  </si>
  <si>
    <t>P48200_IREB2</t>
  </si>
  <si>
    <t>P48357-2_LEPR</t>
  </si>
  <si>
    <t>P48436_SOX9</t>
  </si>
  <si>
    <t>P48444_ARCN1</t>
  </si>
  <si>
    <t>P48449_LSS</t>
  </si>
  <si>
    <t>P48454-2_PPP3CC</t>
  </si>
  <si>
    <t>P48506_GCLC</t>
  </si>
  <si>
    <t>P48507_GCLM</t>
  </si>
  <si>
    <t>P48509_CD151</t>
  </si>
  <si>
    <t>P48634_PRRC2A</t>
  </si>
  <si>
    <t>P48637_GSS</t>
  </si>
  <si>
    <t>P48643_CCT5</t>
  </si>
  <si>
    <t>P48681_NES</t>
  </si>
  <si>
    <t>P48723_HSPA13</t>
  </si>
  <si>
    <t>P48735_IDH2</t>
  </si>
  <si>
    <t>P48739_PITPNB</t>
  </si>
  <si>
    <t>P48740-4_MASP1</t>
  </si>
  <si>
    <t>P48960-2_CD97</t>
  </si>
  <si>
    <t>P49006_MARCKSL1</t>
  </si>
  <si>
    <t>P49069_CAMLG</t>
  </si>
  <si>
    <t>P49137_MAPKAPK2</t>
  </si>
  <si>
    <t>P49189_ALDH9A1</t>
  </si>
  <si>
    <t>P49207_RPL34</t>
  </si>
  <si>
    <t>P49247_RPIA</t>
  </si>
  <si>
    <t>P49257_LMAN1</t>
  </si>
  <si>
    <t>P49321_NASP</t>
  </si>
  <si>
    <t>P49327_FASN</t>
  </si>
  <si>
    <t>P49354_FNTA</t>
  </si>
  <si>
    <t>P49356_FNTB</t>
  </si>
  <si>
    <t>P49366_DHPS</t>
  </si>
  <si>
    <t>P49368_CCT3</t>
  </si>
  <si>
    <t>P49407-2_ARRB1</t>
  </si>
  <si>
    <t>P49411_TUFM</t>
  </si>
  <si>
    <t>P49419-2_ALDH7A1</t>
  </si>
  <si>
    <t>P49427_CDC34</t>
  </si>
  <si>
    <t>P49441_INPP1</t>
  </si>
  <si>
    <t>P49458_SRP9</t>
  </si>
  <si>
    <t>P49459_UBE2A</t>
  </si>
  <si>
    <t>P49585_PCYT1A</t>
  </si>
  <si>
    <t>P49588_AARS</t>
  </si>
  <si>
    <t>P49589-3_CARS</t>
  </si>
  <si>
    <t>P49591_SARS</t>
  </si>
  <si>
    <t>P49662_CASP4</t>
  </si>
  <si>
    <t>P49721_PSMB2</t>
  </si>
  <si>
    <t>P49748-2_ACADVL</t>
  </si>
  <si>
    <t>P49750-4_YLPM1</t>
  </si>
  <si>
    <t>P49753_ACOT2</t>
  </si>
  <si>
    <t>P49755_TMED10</t>
  </si>
  <si>
    <t>P49756_RBM25</t>
  </si>
  <si>
    <t>P49757-4_NUMB</t>
  </si>
  <si>
    <t>P49770_EIF2B2</t>
  </si>
  <si>
    <t>P49773_HINT1</t>
  </si>
  <si>
    <t>P49790_NUP153</t>
  </si>
  <si>
    <t>P49792_RANBP2</t>
  </si>
  <si>
    <t>P49795_RGS19</t>
  </si>
  <si>
    <t>P49796-1_RGS3</t>
  </si>
  <si>
    <t>P49840_GSK3A</t>
  </si>
  <si>
    <t>P49841_GSK3B</t>
  </si>
  <si>
    <t>P49902_NT5C2</t>
  </si>
  <si>
    <t>P49903_SEPHS1</t>
  </si>
  <si>
    <t>P49914_MTHFS</t>
  </si>
  <si>
    <t>P49915_GMPS</t>
  </si>
  <si>
    <t>P49959_MRE11A</t>
  </si>
  <si>
    <t>P50135_HNMT</t>
  </si>
  <si>
    <t>P50148_GNAQ</t>
  </si>
  <si>
    <t>P50151_GNG10</t>
  </si>
  <si>
    <t>P50213_IDH3A</t>
  </si>
  <si>
    <t>P50224_SULT1A3</t>
  </si>
  <si>
    <t>P50225_SULT1A1</t>
  </si>
  <si>
    <t>P50238_CRIP1</t>
  </si>
  <si>
    <t>P50281_MMP14</t>
  </si>
  <si>
    <t>P50336_PPOX</t>
  </si>
  <si>
    <t>P50402_EMD</t>
  </si>
  <si>
    <t>P50416_CPT1A</t>
  </si>
  <si>
    <t>P50452_SERPINB8</t>
  </si>
  <si>
    <t>P50453_SERPINB9</t>
  </si>
  <si>
    <t>P50454_SERPINH1</t>
  </si>
  <si>
    <t>P50479_PDLIM4</t>
  </si>
  <si>
    <t>P50502_ST13</t>
  </si>
  <si>
    <t>P50552_VASP</t>
  </si>
  <si>
    <t>P50570-2_DNM2</t>
  </si>
  <si>
    <t>P50579_METAP2</t>
  </si>
  <si>
    <t>P50583_NUDT2</t>
  </si>
  <si>
    <t>P50747_HLCS</t>
  </si>
  <si>
    <t>P50749_RASSF2</t>
  </si>
  <si>
    <t>P50895_BCAM</t>
  </si>
  <si>
    <t>P50897_PPT1</t>
  </si>
  <si>
    <t>P50914_RPL14</t>
  </si>
  <si>
    <t>P50990_CCT8</t>
  </si>
  <si>
    <t>P50991_CCT4</t>
  </si>
  <si>
    <t>P51116_FXR2</t>
  </si>
  <si>
    <t>P51148_RAB5C</t>
  </si>
  <si>
    <t>P51149_RAB7A</t>
  </si>
  <si>
    <t>P51151_RAB9A</t>
  </si>
  <si>
    <t>P51153_RAB13</t>
  </si>
  <si>
    <t>P51157_RAB28</t>
  </si>
  <si>
    <t>P51159-2_RAB27A</t>
  </si>
  <si>
    <t>P51178_PLCD1</t>
  </si>
  <si>
    <t>P51397_DAP</t>
  </si>
  <si>
    <t>P51398-2_DAP3</t>
  </si>
  <si>
    <t>P51452_DUSP3</t>
  </si>
  <si>
    <t>P51531-2_SMARCA2</t>
  </si>
  <si>
    <t>P51553_IDH3G</t>
  </si>
  <si>
    <t>P51570_GALK1</t>
  </si>
  <si>
    <t>P51571_SSR4</t>
  </si>
  <si>
    <t>P51572_BCAP31</t>
  </si>
  <si>
    <t>P51580_TPMT</t>
  </si>
  <si>
    <t>P51608_MECP2</t>
  </si>
  <si>
    <t>P51610-2_HCFC1</t>
  </si>
  <si>
    <t>P51659_HSD17B4</t>
  </si>
  <si>
    <t>P51665_PSMD7</t>
  </si>
  <si>
    <t>P51668_UBE2D1</t>
  </si>
  <si>
    <t>P51687_SUOX</t>
  </si>
  <si>
    <t>P51688_SGSH</t>
  </si>
  <si>
    <t>P51689-3_ARSD</t>
  </si>
  <si>
    <t>P51692_STAT5B</t>
  </si>
  <si>
    <t>P51790-4_CLCN3</t>
  </si>
  <si>
    <t>P51795_CLCN5</t>
  </si>
  <si>
    <t>P51805_PLXNA3</t>
  </si>
  <si>
    <t>P51809_VAMP7</t>
  </si>
  <si>
    <t>P51812_RPS6KA3</t>
  </si>
  <si>
    <t>P51857-2_AKR1D1</t>
  </si>
  <si>
    <t>P51858_HDGF</t>
  </si>
  <si>
    <t>P51884_LUM</t>
  </si>
  <si>
    <t>P51911_CNN1</t>
  </si>
  <si>
    <t>P51948-2_MNAT1</t>
  </si>
  <si>
    <t>P51970_NDUFA8</t>
  </si>
  <si>
    <t>P51991_HNRNPA3</t>
  </si>
  <si>
    <t>P52272-2_HNRNPM</t>
  </si>
  <si>
    <t>P52292_KPNA2</t>
  </si>
  <si>
    <t>P52294_KPNA1</t>
  </si>
  <si>
    <t>P52306_RAP1GDS1</t>
  </si>
  <si>
    <t>P52306-4_RAP1GDS1</t>
  </si>
  <si>
    <t>P52565_ARHGDIA</t>
  </si>
  <si>
    <t>P52597_HNRNPF</t>
  </si>
  <si>
    <t>P52630-4_STAT2</t>
  </si>
  <si>
    <t>P52655_GTF2A1</t>
  </si>
  <si>
    <t>P52657_GTF2A2</t>
  </si>
  <si>
    <t>P52735-3_VAV2</t>
  </si>
  <si>
    <t>P52758_HRSP12</t>
  </si>
  <si>
    <t>P52788_SMS</t>
  </si>
  <si>
    <t>P52789_HK2</t>
  </si>
  <si>
    <t>P52799_EFNB2</t>
  </si>
  <si>
    <t>P52848_NDST1</t>
  </si>
  <si>
    <t>P52888_THOP1</t>
  </si>
  <si>
    <t>P52907_CAPZA1</t>
  </si>
  <si>
    <t>P52943_CRIP2</t>
  </si>
  <si>
    <t>P53004_BLVRA</t>
  </si>
  <si>
    <t>P53007_SLC25A1</t>
  </si>
  <si>
    <t>P53365_ARFIP2</t>
  </si>
  <si>
    <t>P53367_ARFIP1</t>
  </si>
  <si>
    <t>P53367-2_ARFIP1</t>
  </si>
  <si>
    <t>P53370_NUDT6</t>
  </si>
  <si>
    <t>P53384-2_NUBP1</t>
  </si>
  <si>
    <t>P53396_ACLY</t>
  </si>
  <si>
    <t>P53582_METAP1</t>
  </si>
  <si>
    <t>P53597_SUCLG1</t>
  </si>
  <si>
    <t>P53602_MVD</t>
  </si>
  <si>
    <t>P53609_PGGT1B</t>
  </si>
  <si>
    <t>P53611_RABGGTB</t>
  </si>
  <si>
    <t>P53618_COPB1</t>
  </si>
  <si>
    <t>P53621_COPA</t>
  </si>
  <si>
    <t>P53634_CTSC</t>
  </si>
  <si>
    <t>P53701_HCCS</t>
  </si>
  <si>
    <t>P53778_MAPK12</t>
  </si>
  <si>
    <t>P53794_SLC5A3</t>
  </si>
  <si>
    <t>P53801_PTTG1IP</t>
  </si>
  <si>
    <t>P53805_RCAN1</t>
  </si>
  <si>
    <t>P53814-5_SMTN</t>
  </si>
  <si>
    <t>P53985_SLC16A1</t>
  </si>
  <si>
    <t>P53990-2_IST1</t>
  </si>
  <si>
    <t>P53992_SEC24C</t>
  </si>
  <si>
    <t>P53999_SUB1</t>
  </si>
  <si>
    <t>P54136_RARS</t>
  </si>
  <si>
    <t>P54253_ATXN1</t>
  </si>
  <si>
    <t>P54259_ATN1</t>
  </si>
  <si>
    <t>P54284-5_CACNB3</t>
  </si>
  <si>
    <t>P54577_YARS</t>
  </si>
  <si>
    <t>P54578_USP14</t>
  </si>
  <si>
    <t>P54619-2_PRKAG1</t>
  </si>
  <si>
    <t>P54646_PRKAA2</t>
  </si>
  <si>
    <t>P54652_HSPA2</t>
  </si>
  <si>
    <t>P54687_BCAT1</t>
  </si>
  <si>
    <t>P54687-5_BCAT1</t>
  </si>
  <si>
    <t>P54709_ATP1B3</t>
  </si>
  <si>
    <t>P54725_RAD23A</t>
  </si>
  <si>
    <t>P54727_RAD23B</t>
  </si>
  <si>
    <t>P54802_NAGLU</t>
  </si>
  <si>
    <t>P54819_AK2</t>
  </si>
  <si>
    <t>P54886-2_ALDH18A1</t>
  </si>
  <si>
    <t>P54920_NAPA</t>
  </si>
  <si>
    <t>P54922_ADPRH</t>
  </si>
  <si>
    <t>P55010_EIF5</t>
  </si>
  <si>
    <t>P55011-3_SLC12A2</t>
  </si>
  <si>
    <t>P55036_PSMD4</t>
  </si>
  <si>
    <t>P55039_DRG2</t>
  </si>
  <si>
    <t>P55042_RRAD</t>
  </si>
  <si>
    <t>P55060-3_CSE1L</t>
  </si>
  <si>
    <t>P55072_VCP</t>
  </si>
  <si>
    <t>P55081_MFAP1</t>
  </si>
  <si>
    <t>P55145_MANF</t>
  </si>
  <si>
    <t>P55210_CASP7</t>
  </si>
  <si>
    <t>P55212_CASP6</t>
  </si>
  <si>
    <t>P55263_ADK</t>
  </si>
  <si>
    <t>P55268_LAMB2</t>
  </si>
  <si>
    <t>P55273_CDKN2D</t>
  </si>
  <si>
    <t>P55285_CDH6</t>
  </si>
  <si>
    <t>P55290_CDH13</t>
  </si>
  <si>
    <t>P55345_PRMT2</t>
  </si>
  <si>
    <t>P55735_SEC13</t>
  </si>
  <si>
    <t>P55789_GFER</t>
  </si>
  <si>
    <t>P55795_HNRNPH2</t>
  </si>
  <si>
    <t>P55809_OXCT1</t>
  </si>
  <si>
    <t>P55884_EIF3B</t>
  </si>
  <si>
    <t>P55899_FCGRT</t>
  </si>
  <si>
    <t>P55957_BID</t>
  </si>
  <si>
    <t>P56181-2_NDUFV3</t>
  </si>
  <si>
    <t>P56192_MARS</t>
  </si>
  <si>
    <t>P56199_ITGA1</t>
  </si>
  <si>
    <t>P56211_ARPP19</t>
  </si>
  <si>
    <t>P56277_CMC4</t>
  </si>
  <si>
    <t>P56377_AP1S2</t>
  </si>
  <si>
    <t>P56381_ATP5E</t>
  </si>
  <si>
    <t>P56385_ATP5I</t>
  </si>
  <si>
    <t>P56524_HDAC4</t>
  </si>
  <si>
    <t>P56537_EIF6</t>
  </si>
  <si>
    <t>P56545-2_CTBP2</t>
  </si>
  <si>
    <t>P56589_PEX3</t>
  </si>
  <si>
    <t>P56937-3_HSD17B7</t>
  </si>
  <si>
    <t>P56945-5_BCAR1</t>
  </si>
  <si>
    <t>P56962_STX17</t>
  </si>
  <si>
    <t>P57060_RWDD2B</t>
  </si>
  <si>
    <t>P57076_C21orf59</t>
  </si>
  <si>
    <t>P57077-4_MAP3K7CL</t>
  </si>
  <si>
    <t>P57081-2_WDR4</t>
  </si>
  <si>
    <t>P57088_TMEM33</t>
  </si>
  <si>
    <t>P57105_SYNJ2BP</t>
  </si>
  <si>
    <t>P57737-3_CORO7</t>
  </si>
  <si>
    <t>P57768_SNX16</t>
  </si>
  <si>
    <t>P58004_SESN2</t>
  </si>
  <si>
    <t>P58546_MTPN</t>
  </si>
  <si>
    <t>P59768_GNG2</t>
  </si>
  <si>
    <t>P60059_SEC61G</t>
  </si>
  <si>
    <t>P60174-1_TPI1</t>
  </si>
  <si>
    <t>P60174-4_TPI1</t>
  </si>
  <si>
    <t>P60228_EIF3E</t>
  </si>
  <si>
    <t>P60468_SEC61B</t>
  </si>
  <si>
    <t>P60484_PTEN</t>
  </si>
  <si>
    <t>P60510_PPP4C</t>
  </si>
  <si>
    <t>P60520_GABARAPL2</t>
  </si>
  <si>
    <t>P60602_ROMO1</t>
  </si>
  <si>
    <t>P60604-2_UBE2G2</t>
  </si>
  <si>
    <t>P60763_RAC3</t>
  </si>
  <si>
    <t>P60842_EIF4A1</t>
  </si>
  <si>
    <t>P60866_RPS20</t>
  </si>
  <si>
    <t>P60880-2_SNAP25</t>
  </si>
  <si>
    <t>P60891_PRPS1</t>
  </si>
  <si>
    <t>P60896_SHFM1</t>
  </si>
  <si>
    <t>P60903_S100A10</t>
  </si>
  <si>
    <t>P60953_CDC42</t>
  </si>
  <si>
    <t>P60981_DSTN</t>
  </si>
  <si>
    <t>P60983_GMFB</t>
  </si>
  <si>
    <t>P61006_RAB8A</t>
  </si>
  <si>
    <t>P61011_SRP54</t>
  </si>
  <si>
    <t>P61018_RAB4B</t>
  </si>
  <si>
    <t>P61019_RAB2A</t>
  </si>
  <si>
    <t>P61020_RAB5B</t>
  </si>
  <si>
    <t>P61026_RAB10</t>
  </si>
  <si>
    <t>P61077_UBE2D3</t>
  </si>
  <si>
    <t>P61081_UBE2M</t>
  </si>
  <si>
    <t>P61086_UBE2K</t>
  </si>
  <si>
    <t>P61088_UBE2N</t>
  </si>
  <si>
    <t>P61106_RAB14</t>
  </si>
  <si>
    <t>P61158_ACTR3</t>
  </si>
  <si>
    <t>P61160_ACTR2</t>
  </si>
  <si>
    <t>P61163_ACTR1A</t>
  </si>
  <si>
    <t>P61201_COPS2</t>
  </si>
  <si>
    <t>P61218_POLR2F</t>
  </si>
  <si>
    <t>P61221_ABCE1</t>
  </si>
  <si>
    <t>P61224_RAP1B</t>
  </si>
  <si>
    <t>P61225_RAP2B</t>
  </si>
  <si>
    <t>P61244-2_MAX</t>
  </si>
  <si>
    <t>P61247_RPS3A</t>
  </si>
  <si>
    <t>P61289_PSME3</t>
  </si>
  <si>
    <t>P61326_MAGOH</t>
  </si>
  <si>
    <t>P61353_RPL27</t>
  </si>
  <si>
    <t>P61586_RHOA</t>
  </si>
  <si>
    <t>P61587_RND3</t>
  </si>
  <si>
    <t>P61599_NAA20</t>
  </si>
  <si>
    <t>P61601_NCALD</t>
  </si>
  <si>
    <t>P61604_HSPE1</t>
  </si>
  <si>
    <t>P61758_VBP1</t>
  </si>
  <si>
    <t>P61764_STXBP1</t>
  </si>
  <si>
    <t>P61769_B2M</t>
  </si>
  <si>
    <t>P61812_TGFB2</t>
  </si>
  <si>
    <t>P61925_PKIA</t>
  </si>
  <si>
    <t>P61927_RPL37</t>
  </si>
  <si>
    <t>P61952_GNG11</t>
  </si>
  <si>
    <t>P61960-2_UFM1</t>
  </si>
  <si>
    <t>P61962_DCAF7</t>
  </si>
  <si>
    <t>P61964_WDR5</t>
  </si>
  <si>
    <t>P61970_NUTF2</t>
  </si>
  <si>
    <t>P61978-3_HNRNPK</t>
  </si>
  <si>
    <t>P61981_YWHAG</t>
  </si>
  <si>
    <t>P62070_RRAS2</t>
  </si>
  <si>
    <t>P62072_TIMM10</t>
  </si>
  <si>
    <t>P62081_RPS7</t>
  </si>
  <si>
    <t>P62136_PPP1CA</t>
  </si>
  <si>
    <t>P62140_PPP1CB</t>
  </si>
  <si>
    <t>P62166_NCS1</t>
  </si>
  <si>
    <t>P62191_PSMC1</t>
  </si>
  <si>
    <t>P62195-2_PSMC5</t>
  </si>
  <si>
    <t>P62241_RPS8</t>
  </si>
  <si>
    <t>P62249_RPS16</t>
  </si>
  <si>
    <t>P62253_UBE2G1</t>
  </si>
  <si>
    <t>P62258_YWHAE</t>
  </si>
  <si>
    <t>P62263_RPS14</t>
  </si>
  <si>
    <t>P62269_RPS18</t>
  </si>
  <si>
    <t>P62273_RPS29</t>
  </si>
  <si>
    <t>P62277_RPS13</t>
  </si>
  <si>
    <t>P62280_RPS11</t>
  </si>
  <si>
    <t>P62304_SNRPE</t>
  </si>
  <si>
    <t>P62306_SNRPF</t>
  </si>
  <si>
    <t>P62308_SNRPG</t>
  </si>
  <si>
    <t>P62310_LSM3</t>
  </si>
  <si>
    <t>P62312_LSM6</t>
  </si>
  <si>
    <t>P62314_SNRPD1</t>
  </si>
  <si>
    <t>P62316_SNRPD2</t>
  </si>
  <si>
    <t>P62328_TMSB4X</t>
  </si>
  <si>
    <t>P62330_ARF6</t>
  </si>
  <si>
    <t>P62333_PSMC6</t>
  </si>
  <si>
    <t>P62380_TBPL1</t>
  </si>
  <si>
    <t>P62424_RPL7A</t>
  </si>
  <si>
    <t>P62487_POLR2G</t>
  </si>
  <si>
    <t>P62495_ETF1</t>
  </si>
  <si>
    <t>P62633-4_CNBP</t>
  </si>
  <si>
    <t>P62701_RPS4X</t>
  </si>
  <si>
    <t>P62714_PPP2CB</t>
  </si>
  <si>
    <t>P62736_ACTA2</t>
  </si>
  <si>
    <t>P62745_RHOB</t>
  </si>
  <si>
    <t>P62750_RPL23A</t>
  </si>
  <si>
    <t>P62753_RPS6</t>
  </si>
  <si>
    <t>P62805_HIST1H4A</t>
  </si>
  <si>
    <t>P62820_RAB1A</t>
  </si>
  <si>
    <t>P62829_RPL23</t>
  </si>
  <si>
    <t>P62834_RAP1A</t>
  </si>
  <si>
    <t>P62851_RPS25</t>
  </si>
  <si>
    <t>P62857_RPS28</t>
  </si>
  <si>
    <t>P62873_GNB1</t>
  </si>
  <si>
    <t>P62877_RBX1</t>
  </si>
  <si>
    <t>P62879_GNB2</t>
  </si>
  <si>
    <t>P62888_RPL30</t>
  </si>
  <si>
    <t>P62906_RPL10A</t>
  </si>
  <si>
    <t>P62913-2_RPL11</t>
  </si>
  <si>
    <t>P62937_PPIA</t>
  </si>
  <si>
    <t>P62942_FKBP1A</t>
  </si>
  <si>
    <t>P62979_RPS27A</t>
  </si>
  <si>
    <t>P62987_UBA52</t>
  </si>
  <si>
    <t>P62993_GRB2</t>
  </si>
  <si>
    <t>P62995-3_TRA2B</t>
  </si>
  <si>
    <t>P63000_RAC1</t>
  </si>
  <si>
    <t>P63010_AP2B1</t>
  </si>
  <si>
    <t>P63092_GNAS</t>
  </si>
  <si>
    <t>P63092-3_GNAS</t>
  </si>
  <si>
    <t>P63096_GNAI1</t>
  </si>
  <si>
    <t>P63104_YWHAZ</t>
  </si>
  <si>
    <t>P63146_UBE2B</t>
  </si>
  <si>
    <t>P63151_PPP2R2A</t>
  </si>
  <si>
    <t>P63167_DYNLL1</t>
  </si>
  <si>
    <t>P63173_RPL38</t>
  </si>
  <si>
    <t>P63218_GNG5</t>
  </si>
  <si>
    <t>P63244_GNB2L1</t>
  </si>
  <si>
    <t>P67809_YBX1</t>
  </si>
  <si>
    <t>P67936_TPM4</t>
  </si>
  <si>
    <t>P67936-2_TPM4</t>
  </si>
  <si>
    <t>P68036_UBE2L3</t>
  </si>
  <si>
    <t>P68104_EEF1A1</t>
  </si>
  <si>
    <t>P68371_TUBB4B</t>
  </si>
  <si>
    <t>P68402_PAFAH1B2</t>
  </si>
  <si>
    <t>P68871_HBB</t>
  </si>
  <si>
    <t>P78310_CXADR</t>
  </si>
  <si>
    <t>P78314_SH3BP2</t>
  </si>
  <si>
    <t>P78318_IGBP1</t>
  </si>
  <si>
    <t>P78324_SIRPA</t>
  </si>
  <si>
    <t>P78330_PSPH</t>
  </si>
  <si>
    <t>P78347-2_GTF2I</t>
  </si>
  <si>
    <t>P78356_PIP4K2B</t>
  </si>
  <si>
    <t>P78371_CCT2</t>
  </si>
  <si>
    <t>P78406_RAE1</t>
  </si>
  <si>
    <t>P78417_GSTO1</t>
  </si>
  <si>
    <t>P78536_ADAM17</t>
  </si>
  <si>
    <t>P78537_BLOC1S1</t>
  </si>
  <si>
    <t>P78552_IL13RA1</t>
  </si>
  <si>
    <t>P78560_CRADD</t>
  </si>
  <si>
    <t>P80217_IFI35</t>
  </si>
  <si>
    <t>P80297_MT1X</t>
  </si>
  <si>
    <t>P80303_NUCB2</t>
  </si>
  <si>
    <t>P80723_BASP1</t>
  </si>
  <si>
    <t>P81408-3_FAM189B</t>
  </si>
  <si>
    <t>P82094_TMF1</t>
  </si>
  <si>
    <t>P82909_MRPS36</t>
  </si>
  <si>
    <t>P82979_SARNP</t>
  </si>
  <si>
    <t>P83111_LACTB</t>
  </si>
  <si>
    <t>P83436_COG7</t>
  </si>
  <si>
    <t>P83876_TXNL4A</t>
  </si>
  <si>
    <t>P84077_ARF1</t>
  </si>
  <si>
    <t>P84085_ARF5</t>
  </si>
  <si>
    <t>P84090_ERH</t>
  </si>
  <si>
    <t>P84095_RHOG</t>
  </si>
  <si>
    <t>P84098_RPL19</t>
  </si>
  <si>
    <t>P84101-4_SERF2</t>
  </si>
  <si>
    <t>P84157_MXRA7</t>
  </si>
  <si>
    <t>P84157-3_MXRA7</t>
  </si>
  <si>
    <t>P85037_FOXK1</t>
  </si>
  <si>
    <t>P86397_RPP14</t>
  </si>
  <si>
    <t>P86791_CCZ1</t>
  </si>
  <si>
    <t>P98082-3_DAB2</t>
  </si>
  <si>
    <t>P98155-2_VLDLR</t>
  </si>
  <si>
    <t>P98160_HSPG2</t>
  </si>
  <si>
    <t>P98170_XIAP</t>
  </si>
  <si>
    <t>P98172_EFNB1</t>
  </si>
  <si>
    <t>P98173_FAM3A</t>
  </si>
  <si>
    <t>P98175-2_RBM10</t>
  </si>
  <si>
    <t>P98179_RBM3</t>
  </si>
  <si>
    <t>Q00013-2_MPP1</t>
  </si>
  <si>
    <t>Q00169_PITPNA</t>
  </si>
  <si>
    <t>Q00325-2_SLC25A3</t>
  </si>
  <si>
    <t>Q00341_HDLBP</t>
  </si>
  <si>
    <t>Q00403_GTF2B</t>
  </si>
  <si>
    <t>Q00534_CDK6</t>
  </si>
  <si>
    <t>Q00535_CDK5</t>
  </si>
  <si>
    <t>Q00536_CDK16</t>
  </si>
  <si>
    <t>Q00577_PURA</t>
  </si>
  <si>
    <t>Q00587-2_CDC42EP1</t>
  </si>
  <si>
    <t>Q00610-2_CLTC</t>
  </si>
  <si>
    <t>Q00653-4_NFKB2</t>
  </si>
  <si>
    <t>Q00688_FKBP3</t>
  </si>
  <si>
    <t>Q00765_REEP5</t>
  </si>
  <si>
    <t>Q00796_SORD</t>
  </si>
  <si>
    <t>Q00839-2_HNRNPU</t>
  </si>
  <si>
    <t>Q00978_IRF9</t>
  </si>
  <si>
    <t>Q01082_SPTBN1</t>
  </si>
  <si>
    <t>Q01085-2_TIAL1</t>
  </si>
  <si>
    <t>Q01105_SET</t>
  </si>
  <si>
    <t>Q01415_GALK2</t>
  </si>
  <si>
    <t>Q01459_CTBS</t>
  </si>
  <si>
    <t>Q01469_FABP5</t>
  </si>
  <si>
    <t>Q01518-2_CAP1</t>
  </si>
  <si>
    <t>Q01581_HMGCS1</t>
  </si>
  <si>
    <t>Q01650_SLC7A5</t>
  </si>
  <si>
    <t>Q01658_DR1</t>
  </si>
  <si>
    <t>Q01813_PFKP</t>
  </si>
  <si>
    <t>Q01850_CDR2</t>
  </si>
  <si>
    <t>Q01968_OCRL</t>
  </si>
  <si>
    <t>Q01970_PLCB3</t>
  </si>
  <si>
    <t>Q01974_ROR2</t>
  </si>
  <si>
    <t>Q01995_TAGLN</t>
  </si>
  <si>
    <t>Q02083-2_NAAA</t>
  </si>
  <si>
    <t>Q02127_DHODH</t>
  </si>
  <si>
    <t>Q02156_PRKCE</t>
  </si>
  <si>
    <t>Q02252_ALDH6A1</t>
  </si>
  <si>
    <t>Q02318_CYP27A1</t>
  </si>
  <si>
    <t>Q02338_BDH1</t>
  </si>
  <si>
    <t>Q02388-2_COL7A1</t>
  </si>
  <si>
    <t>Q02410_APBA1</t>
  </si>
  <si>
    <t>Q02543_RPL18A</t>
  </si>
  <si>
    <t>Q02742_GCNT1</t>
  </si>
  <si>
    <t>Q02750_MAP2K1</t>
  </si>
  <si>
    <t>Q02790_FKBP4</t>
  </si>
  <si>
    <t>Q02809_PLOD1</t>
  </si>
  <si>
    <t>Q02818_NUCB1</t>
  </si>
  <si>
    <t>Q02878_RPL6</t>
  </si>
  <si>
    <t>Q02952-3_AKAP12</t>
  </si>
  <si>
    <t>Q03001_DST</t>
  </si>
  <si>
    <t>Q03001-3_DST</t>
  </si>
  <si>
    <t>Q03013_GSTM4</t>
  </si>
  <si>
    <t>Q03135_CAV1</t>
  </si>
  <si>
    <t>Q03154_ACY1</t>
  </si>
  <si>
    <t>Q03169_TNFAIP2</t>
  </si>
  <si>
    <t>Q03393_PTS</t>
  </si>
  <si>
    <t>Q03405_PLAUR</t>
  </si>
  <si>
    <t>Q03519_TAP2</t>
  </si>
  <si>
    <t>Q04446_GBE1</t>
  </si>
  <si>
    <t>Q04656-5_ATP7A</t>
  </si>
  <si>
    <t>Q04721_NOTCH2</t>
  </si>
  <si>
    <t>Q04760_GLO1</t>
  </si>
  <si>
    <t>Q04771_ACVR1</t>
  </si>
  <si>
    <t>Q04828_AKR1C1</t>
  </si>
  <si>
    <t>Q04837_SSBP1</t>
  </si>
  <si>
    <t>Q04912-2_MST1R</t>
  </si>
  <si>
    <t>Q04917_YWHAH</t>
  </si>
  <si>
    <t>Q04941_PLP2</t>
  </si>
  <si>
    <t>Q05048_CSTF1</t>
  </si>
  <si>
    <t>Q05086-3_UBE3A</t>
  </si>
  <si>
    <t>Q05193-3_DNM1</t>
  </si>
  <si>
    <t>Q05209_PTPN12</t>
  </si>
  <si>
    <t>Q05519-2_SRSF11</t>
  </si>
  <si>
    <t>Q05639_EEF1A2</t>
  </si>
  <si>
    <t>Q05655_PRKCD</t>
  </si>
  <si>
    <t>Q06124_PTPN11</t>
  </si>
  <si>
    <t>Q06136_KDSR</t>
  </si>
  <si>
    <t>Q06190_PPP2R3A</t>
  </si>
  <si>
    <t>Q06203_PPAT</t>
  </si>
  <si>
    <t>Q06210-2_GFPT1</t>
  </si>
  <si>
    <t>Q06265_EXOSC9</t>
  </si>
  <si>
    <t>Q06278_AOX1</t>
  </si>
  <si>
    <t>Q06323_PSME1</t>
  </si>
  <si>
    <t>Q06330_RBPJ</t>
  </si>
  <si>
    <t>Q06481-3_APLP2</t>
  </si>
  <si>
    <t>Q06546_GABPA</t>
  </si>
  <si>
    <t>Q06587_RING1</t>
  </si>
  <si>
    <t>Q06830_PRDX1</t>
  </si>
  <si>
    <t>Q07021_C1QBP</t>
  </si>
  <si>
    <t>Q07065_CKAP4</t>
  </si>
  <si>
    <t>Q07092-2_COL16A1</t>
  </si>
  <si>
    <t>Q07352_ZFP36L1</t>
  </si>
  <si>
    <t>Q07507_DPT</t>
  </si>
  <si>
    <t>Q07812-5_BAX</t>
  </si>
  <si>
    <t>Q07866-6_KLC1</t>
  </si>
  <si>
    <t>Q07912_TNK2</t>
  </si>
  <si>
    <t>Q07954_LRP1</t>
  </si>
  <si>
    <t>Q07960_ARHGAP1</t>
  </si>
  <si>
    <t>Q08209-2_PPP3CA</t>
  </si>
  <si>
    <t>Q08211_DHX9</t>
  </si>
  <si>
    <t>Q08257_CRYZ</t>
  </si>
  <si>
    <t>Q08357_SLC20A2</t>
  </si>
  <si>
    <t>Q08378_GOLGA3</t>
  </si>
  <si>
    <t>Q08379_GOLGA2</t>
  </si>
  <si>
    <t>Q08380_LGALS3BP</t>
  </si>
  <si>
    <t>Q08426_EHHADH</t>
  </si>
  <si>
    <t>Q08629_SPOCK1</t>
  </si>
  <si>
    <t>Q08722_CD47</t>
  </si>
  <si>
    <t>Q08752_PPID</t>
  </si>
  <si>
    <t>Q08AD1-2_CAMSAP2</t>
  </si>
  <si>
    <t>Q08AE8-2_SPIRE1</t>
  </si>
  <si>
    <t>Q08AF3_SLFN5</t>
  </si>
  <si>
    <t>Q08AG7_MZT1</t>
  </si>
  <si>
    <t>Q08AM6_VAC14</t>
  </si>
  <si>
    <t>Q08E86_KIAA0100</t>
  </si>
  <si>
    <t>Q08J23_NSUN2</t>
  </si>
  <si>
    <t>Q09028-3_RBBP4</t>
  </si>
  <si>
    <t>Q09161_NCBP1</t>
  </si>
  <si>
    <t>Q09328_MGAT5</t>
  </si>
  <si>
    <t>Q09666_AHNAK</t>
  </si>
  <si>
    <t>Q09666-2_AHNAK</t>
  </si>
  <si>
    <t>Q0JRZ9_FCHO2</t>
  </si>
  <si>
    <t>Q0VDF9_HSPA14</t>
  </si>
  <si>
    <t>Q0VDG4_SCRN3</t>
  </si>
  <si>
    <t>Q0VG06_FAAP100</t>
  </si>
  <si>
    <t>Q0VGL1_LAMTOR4</t>
  </si>
  <si>
    <t>Q0ZGT2-4_NEXN</t>
  </si>
  <si>
    <t>Q10469_MGAT2</t>
  </si>
  <si>
    <t>Q10471_GALNT2</t>
  </si>
  <si>
    <t>Q10567-2_AP1B1</t>
  </si>
  <si>
    <t>Q10567-3_AP1B1</t>
  </si>
  <si>
    <t>Q10713_PMPCA</t>
  </si>
  <si>
    <t>Q11201_ST3GAL1</t>
  </si>
  <si>
    <t>Q11206-3_ST3GAL4</t>
  </si>
  <si>
    <t>Q12765_SCRN1</t>
  </si>
  <si>
    <t>Q12792_TWF1</t>
  </si>
  <si>
    <t>Q12797_ASPH</t>
  </si>
  <si>
    <t>Q12802-4_AKAP13</t>
  </si>
  <si>
    <t>Q12805-2_EFEMP1</t>
  </si>
  <si>
    <t>Q12841_FSTL1</t>
  </si>
  <si>
    <t>Q12846_STX4</t>
  </si>
  <si>
    <t>Q12849_GRSF1</t>
  </si>
  <si>
    <t>Q12872_SFSWAP</t>
  </si>
  <si>
    <t>Q12874_SF3A3</t>
  </si>
  <si>
    <t>Q12882_DPYD</t>
  </si>
  <si>
    <t>Q12884_FAP</t>
  </si>
  <si>
    <t>Q12888_TP53BP1</t>
  </si>
  <si>
    <t>Q12893_TMEM115</t>
  </si>
  <si>
    <t>Q12905_ILF2</t>
  </si>
  <si>
    <t>Q12906_ILF3</t>
  </si>
  <si>
    <t>Q12907_LMAN2</t>
  </si>
  <si>
    <t>Q12923-2_PTPN13</t>
  </si>
  <si>
    <t>Q12929_EPS8</t>
  </si>
  <si>
    <t>Q12959-5_DLG1</t>
  </si>
  <si>
    <t>Q12962_TAF10</t>
  </si>
  <si>
    <t>Q12965_MYO1E</t>
  </si>
  <si>
    <t>Q12972_PPP1R8</t>
  </si>
  <si>
    <t>Q12974_PTP4A2</t>
  </si>
  <si>
    <t>Q12979-4_ABR</t>
  </si>
  <si>
    <t>Q12981_BNIP1</t>
  </si>
  <si>
    <t>Q13011_ECH1</t>
  </si>
  <si>
    <t>Q13017-2_ARHGAP5</t>
  </si>
  <si>
    <t>Q13018-2_PLA2R1</t>
  </si>
  <si>
    <t>Q13033-2_STRN3</t>
  </si>
  <si>
    <t>Q13043_STK4</t>
  </si>
  <si>
    <t>Q13045_FLII</t>
  </si>
  <si>
    <t>Q13049_TRIM32</t>
  </si>
  <si>
    <t>Q13057_COASY</t>
  </si>
  <si>
    <t>Q13107-2_USP4</t>
  </si>
  <si>
    <t>Q13126_MTAP</t>
  </si>
  <si>
    <t>Q13131_PRKAA1</t>
  </si>
  <si>
    <t>Q13136_PPFIA1</t>
  </si>
  <si>
    <t>Q13148_TARDBP</t>
  </si>
  <si>
    <t>Q13151_HNRNPA0</t>
  </si>
  <si>
    <t>Q13153_PAK1</t>
  </si>
  <si>
    <t>Q13158_FADD</t>
  </si>
  <si>
    <t>Q13162_PRDX4</t>
  </si>
  <si>
    <t>Q13164_MAPK7</t>
  </si>
  <si>
    <t>Q13177_PAK2</t>
  </si>
  <si>
    <t>Q13185_CBX3</t>
  </si>
  <si>
    <t>Q13188_STK3</t>
  </si>
  <si>
    <t>Q13190_STX5</t>
  </si>
  <si>
    <t>Q13200_PSMD2</t>
  </si>
  <si>
    <t>Q13217_DNAJC3</t>
  </si>
  <si>
    <t>Q13228_SELENBP1</t>
  </si>
  <si>
    <t>Q13232_NME3</t>
  </si>
  <si>
    <t>Q13242_SRSF9</t>
  </si>
  <si>
    <t>Q13243-3_SRSF5</t>
  </si>
  <si>
    <t>Q13247-3_SRSF6</t>
  </si>
  <si>
    <t>Q13263_TRIM28</t>
  </si>
  <si>
    <t>Q13277-2_STX3</t>
  </si>
  <si>
    <t>Q13283_G3BP1</t>
  </si>
  <si>
    <t>Q13287_NMI</t>
  </si>
  <si>
    <t>Q13308_PTK7</t>
  </si>
  <si>
    <t>Q13310-3_PABPC4</t>
  </si>
  <si>
    <t>Q13322-3_GRB10</t>
  </si>
  <si>
    <t>Q13325_IFIT5</t>
  </si>
  <si>
    <t>Q13336_SLC14A1</t>
  </si>
  <si>
    <t>Q13347_EIF3I</t>
  </si>
  <si>
    <t>Q13362-4_PPP2R5C</t>
  </si>
  <si>
    <t>Q13363_CTBP1</t>
  </si>
  <si>
    <t>Q13371_PDCL</t>
  </si>
  <si>
    <t>Q13409-6_DYNC1I2</t>
  </si>
  <si>
    <t>Q13418_ILK</t>
  </si>
  <si>
    <t>Q13423_NNT</t>
  </si>
  <si>
    <t>Q13424_SNTA1</t>
  </si>
  <si>
    <t>Q13425_SNTB2</t>
  </si>
  <si>
    <t>Q13432_UNC119</t>
  </si>
  <si>
    <t>Q13433_SLC39A6</t>
  </si>
  <si>
    <t>Q13435_SF3B2</t>
  </si>
  <si>
    <t>Q13438-4_OS9</t>
  </si>
  <si>
    <t>Q13439-3_GOLGA4</t>
  </si>
  <si>
    <t>Q13442_PDAP1</t>
  </si>
  <si>
    <t>Q13443_ADAM9</t>
  </si>
  <si>
    <t>Q13444-10_ADAM15</t>
  </si>
  <si>
    <t>Q13445_TMED1</t>
  </si>
  <si>
    <t>Q13451_FKBP5</t>
  </si>
  <si>
    <t>Q13464_ROCK1</t>
  </si>
  <si>
    <t>Q13480-2_GAB1</t>
  </si>
  <si>
    <t>Q13488_TCIRG1</t>
  </si>
  <si>
    <t>Q13492-3_PICALM</t>
  </si>
  <si>
    <t>Q13496_MTM1</t>
  </si>
  <si>
    <t>Q13501_SQSTM1</t>
  </si>
  <si>
    <t>Q13505-3_MTX1</t>
  </si>
  <si>
    <t>Q13509_TUBB3</t>
  </si>
  <si>
    <t>Q13526_PIN1</t>
  </si>
  <si>
    <t>Q13541_EIF4EBP1</t>
  </si>
  <si>
    <t>Q13542_EIF4EBP2</t>
  </si>
  <si>
    <t>Q13546_RIPK1</t>
  </si>
  <si>
    <t>Q13564_NAE1</t>
  </si>
  <si>
    <t>Q13572_ITPK1</t>
  </si>
  <si>
    <t>Q13573_SNW1</t>
  </si>
  <si>
    <t>Q13586_STIM1</t>
  </si>
  <si>
    <t>Q13595-2_TRA2A</t>
  </si>
  <si>
    <t>Q13596_SNX1</t>
  </si>
  <si>
    <t>Q13610_PWP1</t>
  </si>
  <si>
    <t>Q13616_CUL1</t>
  </si>
  <si>
    <t>Q13617_CUL2</t>
  </si>
  <si>
    <t>Q13618-2_CUL3</t>
  </si>
  <si>
    <t>Q13619_CUL4A</t>
  </si>
  <si>
    <t>Q13630_TSTA3</t>
  </si>
  <si>
    <t>Q13636_RAB31</t>
  </si>
  <si>
    <t>Q13637_RAB32</t>
  </si>
  <si>
    <t>Q13641_TPBG</t>
  </si>
  <si>
    <t>Q13642-5_FHL1</t>
  </si>
  <si>
    <t>Q13643_FHL3</t>
  </si>
  <si>
    <t>Q13671_RIN1</t>
  </si>
  <si>
    <t>Q13683-3_ITGA7</t>
  </si>
  <si>
    <t>Q13724_MOGS</t>
  </si>
  <si>
    <t>Q13740-2_ALCAM</t>
  </si>
  <si>
    <t>Q13795_ARFRP1</t>
  </si>
  <si>
    <t>Q13813_SPTAN1</t>
  </si>
  <si>
    <t>Q13868_EXOSC2</t>
  </si>
  <si>
    <t>Q13873_BMPR2</t>
  </si>
  <si>
    <t>Q13884_SNTB1</t>
  </si>
  <si>
    <t>Q13885_TUBB2A</t>
  </si>
  <si>
    <t>Q13895_BYSL</t>
  </si>
  <si>
    <t>Q13905-2_RAPGEF1</t>
  </si>
  <si>
    <t>Q13907_IDI1</t>
  </si>
  <si>
    <t>Q13951_CBFB</t>
  </si>
  <si>
    <t>Q13951-2_CBFB</t>
  </si>
  <si>
    <t>Q13952-3_NFYC</t>
  </si>
  <si>
    <t>Q13976-2_PRKG1</t>
  </si>
  <si>
    <t>Q14008-2_CKAP5</t>
  </si>
  <si>
    <t>Q14011_CIRBP</t>
  </si>
  <si>
    <t>Q14012_CAMK1</t>
  </si>
  <si>
    <t>Q14019_COTL1</t>
  </si>
  <si>
    <t>Q14061_COX17</t>
  </si>
  <si>
    <t>Q14103-3_HNRNPD</t>
  </si>
  <si>
    <t>Q14108_SCARB2</t>
  </si>
  <si>
    <t>Q14112-2_NID2</t>
  </si>
  <si>
    <t>Q14114-4_LRP8</t>
  </si>
  <si>
    <t>Q14118_DAG1</t>
  </si>
  <si>
    <t>Q14123-2_PDE1C</t>
  </si>
  <si>
    <t>Q14139_UBE4A</t>
  </si>
  <si>
    <t>Q14151_SAFB2</t>
  </si>
  <si>
    <t>Q14152_EIF3A</t>
  </si>
  <si>
    <t>Q14157_UBAP2L</t>
  </si>
  <si>
    <t>Q14160_SCRIB</t>
  </si>
  <si>
    <t>Q14165_MLEC</t>
  </si>
  <si>
    <t>Q14166_TTLL12</t>
  </si>
  <si>
    <t>Q14185_DOCK1</t>
  </si>
  <si>
    <t>Q14195-2_DPYSL3</t>
  </si>
  <si>
    <t>Q14204_DYNC1H1</t>
  </si>
  <si>
    <t>Q14232_EIF2B1</t>
  </si>
  <si>
    <t>Q14240-2_EIF4A2</t>
  </si>
  <si>
    <t>Q14241_TCEB3</t>
  </si>
  <si>
    <t>Q14247_CTTN</t>
  </si>
  <si>
    <t>Q14249_ENDOG</t>
  </si>
  <si>
    <t>Q14254_FLOT2</t>
  </si>
  <si>
    <t>Q14257_RCN2</t>
  </si>
  <si>
    <t>Q14258_TRIM25</t>
  </si>
  <si>
    <t>Q14315_FLNC</t>
  </si>
  <si>
    <t>Q14318-2_FKBP8</t>
  </si>
  <si>
    <t>Q14320_FAM50A</t>
  </si>
  <si>
    <t>Q14332_FZD2</t>
  </si>
  <si>
    <t>Q14344_GNA13</t>
  </si>
  <si>
    <t>Q14353_GAMT</t>
  </si>
  <si>
    <t>Q14376_GALE</t>
  </si>
  <si>
    <t>Q14392_LRRC32</t>
  </si>
  <si>
    <t>Q14393-2_GAS6</t>
  </si>
  <si>
    <t>Q14444-2_CAPRIN1</t>
  </si>
  <si>
    <t>Q14498-3_RBM39</t>
  </si>
  <si>
    <t>Q14511-3_NEDD9</t>
  </si>
  <si>
    <t>Q14517_FAT1</t>
  </si>
  <si>
    <t>Q14520-2_HABP2</t>
  </si>
  <si>
    <t>Q14534_SQLE</t>
  </si>
  <si>
    <t>Q14554_PDIA5</t>
  </si>
  <si>
    <t>Q14558_PRPSAP1</t>
  </si>
  <si>
    <t>Q14642_INPP5A</t>
  </si>
  <si>
    <t>Q14644_RASA3</t>
  </si>
  <si>
    <t>Q14653_IRF3</t>
  </si>
  <si>
    <t>Q14657_LAGE3</t>
  </si>
  <si>
    <t>Q14669-3_TRIP12</t>
  </si>
  <si>
    <t>Q14676-4_MDC1</t>
  </si>
  <si>
    <t>Q14677_CLINT1</t>
  </si>
  <si>
    <t>Q14681_KCTD2</t>
  </si>
  <si>
    <t>Q14693_LPIN1</t>
  </si>
  <si>
    <t>Q14694_USP10</t>
  </si>
  <si>
    <t>Q14696_MESDC2</t>
  </si>
  <si>
    <t>Q14697_GANAB</t>
  </si>
  <si>
    <t>Q14699_RFTN1</t>
  </si>
  <si>
    <t>Q14714_SSPN</t>
  </si>
  <si>
    <t>Q14739_LBR</t>
  </si>
  <si>
    <t>Q14764_MVP</t>
  </si>
  <si>
    <t>Q14766-3_LTBP1</t>
  </si>
  <si>
    <t>Q14789-2_GOLGB1</t>
  </si>
  <si>
    <t>Q14790_CASP8</t>
  </si>
  <si>
    <t>Q147X3_NAA30</t>
  </si>
  <si>
    <t>Q14847_LASP1</t>
  </si>
  <si>
    <t>Q14872_MTF1</t>
  </si>
  <si>
    <t>Q14914-2_PTGR1</t>
  </si>
  <si>
    <t>Q14964_RAB39A</t>
  </si>
  <si>
    <t>Q14966_ZNF638</t>
  </si>
  <si>
    <t>Q14974_KPNB1</t>
  </si>
  <si>
    <t>Q14978_NOLC1</t>
  </si>
  <si>
    <t>Q14980_NUMA1</t>
  </si>
  <si>
    <t>Q14C86-3_GAPVD1</t>
  </si>
  <si>
    <t>Q14CS0_UBXN2B</t>
  </si>
  <si>
    <t>Q14CX7-2_NAA25</t>
  </si>
  <si>
    <t>Q15006_EMC2</t>
  </si>
  <si>
    <t>Q15008_PSMD6</t>
  </si>
  <si>
    <t>Q15011-3_HERPUD1</t>
  </si>
  <si>
    <t>Q15012_LAPTM4A</t>
  </si>
  <si>
    <t>Q15013_MAD2L1BP</t>
  </si>
  <si>
    <t>Q15018_FAM175B</t>
  </si>
  <si>
    <t>Q15019-2_SEPT2</t>
  </si>
  <si>
    <t>Q15024_EXOSC7</t>
  </si>
  <si>
    <t>Q15029-2_EFTUD2</t>
  </si>
  <si>
    <t>Q15031_LARS2</t>
  </si>
  <si>
    <t>Q15036_SNX17</t>
  </si>
  <si>
    <t>Q15043-2_SLC39A14</t>
  </si>
  <si>
    <t>Q15046_KARS</t>
  </si>
  <si>
    <t>Q15056-2_EIF4H</t>
  </si>
  <si>
    <t>Q15057_ACAP2</t>
  </si>
  <si>
    <t>Q15061_WDR43</t>
  </si>
  <si>
    <t>Q15067_ACOX1</t>
  </si>
  <si>
    <t>Q15075_EEA1</t>
  </si>
  <si>
    <t>Q15102_PAFAH1B3</t>
  </si>
  <si>
    <t>Q15113_PCOLCE</t>
  </si>
  <si>
    <t>Q15118_PDK1</t>
  </si>
  <si>
    <t>Q15119_PDK2</t>
  </si>
  <si>
    <t>Q15121_PEA15</t>
  </si>
  <si>
    <t>Q15124_PGM5</t>
  </si>
  <si>
    <t>Q15126_PMVK</t>
  </si>
  <si>
    <t>Q15139_PRKD1</t>
  </si>
  <si>
    <t>Q15147_PLCB4</t>
  </si>
  <si>
    <t>Q15149-3_PLEC</t>
  </si>
  <si>
    <t>Q15149-4_PLEC</t>
  </si>
  <si>
    <t>Q15149-8_PLEC</t>
  </si>
  <si>
    <t>Q15155_NOMO1</t>
  </si>
  <si>
    <t>Q15170-2_TCEAL1</t>
  </si>
  <si>
    <t>Q15172_PPP2R5A</t>
  </si>
  <si>
    <t>Q15173-2_PPP2R5B</t>
  </si>
  <si>
    <t>Q15181_PPA1</t>
  </si>
  <si>
    <t>Q15208_STK38</t>
  </si>
  <si>
    <t>Q15223_PVRL1</t>
  </si>
  <si>
    <t>Q15233-2_NONO</t>
  </si>
  <si>
    <t>Q15257_PPP2R4</t>
  </si>
  <si>
    <t>Q15274_QPRT</t>
  </si>
  <si>
    <t>Q15276_RABEP1</t>
  </si>
  <si>
    <t>Q15283-2_RASA2</t>
  </si>
  <si>
    <t>Q15286_RAB35</t>
  </si>
  <si>
    <t>Q15291-2_RBBP5</t>
  </si>
  <si>
    <t>Q15293_RCN1</t>
  </si>
  <si>
    <t>Q15311_RALBP1</t>
  </si>
  <si>
    <t>Q15363_TMED2</t>
  </si>
  <si>
    <t>Q15365_PCBP1</t>
  </si>
  <si>
    <t>Q15370_TCEB2</t>
  </si>
  <si>
    <t>Q15382_RHEB</t>
  </si>
  <si>
    <t>Q15386_UBE3C</t>
  </si>
  <si>
    <t>Q15393_SF3B3</t>
  </si>
  <si>
    <t>Q15404_RSU1</t>
  </si>
  <si>
    <t>Q15417_CNN3</t>
  </si>
  <si>
    <t>Q15424_SAFB</t>
  </si>
  <si>
    <t>Q15428_SF3A2</t>
  </si>
  <si>
    <t>Q15435_PPP1R7</t>
  </si>
  <si>
    <t>Q15437_SEC23B</t>
  </si>
  <si>
    <t>Q15438-2_CYTH1</t>
  </si>
  <si>
    <t>Q15459_SF3A1</t>
  </si>
  <si>
    <t>Q15464_SHB</t>
  </si>
  <si>
    <t>Q15493_RGN</t>
  </si>
  <si>
    <t>Q15506_SPA17</t>
  </si>
  <si>
    <t>Q15526-2_SURF1</t>
  </si>
  <si>
    <t>Q15545_TAF7</t>
  </si>
  <si>
    <t>Q15555-4_MAPRE2</t>
  </si>
  <si>
    <t>Q15582_TGFBI</t>
  </si>
  <si>
    <t>Q15599_SLC9A3R2</t>
  </si>
  <si>
    <t>Q15628_TRADD</t>
  </si>
  <si>
    <t>Q15637-5_SF1</t>
  </si>
  <si>
    <t>Q15642_TRIP10</t>
  </si>
  <si>
    <t>Q15642-2_TRIP10</t>
  </si>
  <si>
    <t>Q15643_TRIP11</t>
  </si>
  <si>
    <t>Q15645_TRIP13</t>
  </si>
  <si>
    <t>Q15648_MED1</t>
  </si>
  <si>
    <t>Q15652-3_JMJD1C</t>
  </si>
  <si>
    <t>Q15654_TRIP6</t>
  </si>
  <si>
    <t>Q15691_MAPRE1</t>
  </si>
  <si>
    <t>Q15714_TSC22D1</t>
  </si>
  <si>
    <t>Q15717_ELAVL1</t>
  </si>
  <si>
    <t>Q15738_NSDHL</t>
  </si>
  <si>
    <t>Q15742-3_NAB2</t>
  </si>
  <si>
    <t>Q15743_GPR68</t>
  </si>
  <si>
    <t>Q15746-6_MYLK</t>
  </si>
  <si>
    <t>Q15750-2_TAB1</t>
  </si>
  <si>
    <t>Q15758_SLC1A5</t>
  </si>
  <si>
    <t>Q15759_MAPK11</t>
  </si>
  <si>
    <t>Q15771_RAB30</t>
  </si>
  <si>
    <t>Q15785_TOMM34</t>
  </si>
  <si>
    <t>Q15800_MSMO1</t>
  </si>
  <si>
    <t>Q15813_TBCE</t>
  </si>
  <si>
    <t>Q15814_TBCC</t>
  </si>
  <si>
    <t>Q15819_UBE2V2</t>
  </si>
  <si>
    <t>Q15831-2_STK11</t>
  </si>
  <si>
    <t>Q15833-2_STXBP2</t>
  </si>
  <si>
    <t>Q15834_CCDC85B</t>
  </si>
  <si>
    <t>Q15836_VAMP3</t>
  </si>
  <si>
    <t>Q15847_ADIRF</t>
  </si>
  <si>
    <t>Q15904_ATP6AP1</t>
  </si>
  <si>
    <t>Q15907_RAB11B</t>
  </si>
  <si>
    <t>Q15942_ZYX</t>
  </si>
  <si>
    <t>Q16082_HSPB2</t>
  </si>
  <si>
    <t>Q16134_ETFDH</t>
  </si>
  <si>
    <t>Q16143_SNCB</t>
  </si>
  <si>
    <t>Q16181_SEPT7</t>
  </si>
  <si>
    <t>Q16186_ADRM1</t>
  </si>
  <si>
    <t>Q16204_CCDC6</t>
  </si>
  <si>
    <t>Q16222-3_UAP1</t>
  </si>
  <si>
    <t>Q16254_E2F4</t>
  </si>
  <si>
    <t>Q16270-2_IGFBP7</t>
  </si>
  <si>
    <t>Q16352_INA</t>
  </si>
  <si>
    <t>Q16363-2_LAMA4</t>
  </si>
  <si>
    <t>Q16401-2_PSMD5</t>
  </si>
  <si>
    <t>Q16512_PKN1</t>
  </si>
  <si>
    <t>Q16513_PKN2</t>
  </si>
  <si>
    <t>Q16531_DDB1</t>
  </si>
  <si>
    <t>Q16539_MAPK14</t>
  </si>
  <si>
    <t>Q16539-2_MAPK14</t>
  </si>
  <si>
    <t>Q16543_CDC37</t>
  </si>
  <si>
    <t>Q16555_DPYSL2</t>
  </si>
  <si>
    <t>Q16566_CAMK4</t>
  </si>
  <si>
    <t>Q16576_RBBP7</t>
  </si>
  <si>
    <t>Q16585_SGCB</t>
  </si>
  <si>
    <t>Q16610_ECM1</t>
  </si>
  <si>
    <t>Q16619-2_CTF1</t>
  </si>
  <si>
    <t>Q16625-5_OCLN</t>
  </si>
  <si>
    <t>Q16626_MEA1</t>
  </si>
  <si>
    <t>Q16643_DBN1</t>
  </si>
  <si>
    <t>Q16644_MAPKAPK3</t>
  </si>
  <si>
    <t>Q16647_PTGIS</t>
  </si>
  <si>
    <t>Q16658_FSCN1</t>
  </si>
  <si>
    <t>Q16706_MAN2A1</t>
  </si>
  <si>
    <t>Q16718_NDUFA5</t>
  </si>
  <si>
    <t>Q16720-8_ATP2B3</t>
  </si>
  <si>
    <t>Q16740_CLPP</t>
  </si>
  <si>
    <t>Q16762_TST</t>
  </si>
  <si>
    <t>Q16775-2_HAGH</t>
  </si>
  <si>
    <t>Q16799_RTN1</t>
  </si>
  <si>
    <t>Q16822_PCK2</t>
  </si>
  <si>
    <t>Q16831_UPP1</t>
  </si>
  <si>
    <t>Q16832_DDR2</t>
  </si>
  <si>
    <t>Q16850_CYP51A1</t>
  </si>
  <si>
    <t>Q16851_UGP2</t>
  </si>
  <si>
    <t>Q16854_DGUOK</t>
  </si>
  <si>
    <t>Q16864_ATP6V1F</t>
  </si>
  <si>
    <t>Q17R31-2_TATDN3</t>
  </si>
  <si>
    <t>Q17RU2_REL</t>
  </si>
  <si>
    <t>Q1RMZ1_C7orf60</t>
  </si>
  <si>
    <t>Q27J81_INF2</t>
  </si>
  <si>
    <t>Q29RF7_PDS5A</t>
  </si>
  <si>
    <t>Q2M1Z3_ARHGAP31</t>
  </si>
  <si>
    <t>Q2M2I8-2_AAK1</t>
  </si>
  <si>
    <t>Q2NL98_VMAC</t>
  </si>
  <si>
    <t>Q2T9J0-2_TYSND1</t>
  </si>
  <si>
    <t>Q2TAA5_ALG11</t>
  </si>
  <si>
    <t>Q2TAL8_QRICH1</t>
  </si>
  <si>
    <t>Q2TAM5_RELA</t>
  </si>
  <si>
    <t>Q2TAY7_SMU1</t>
  </si>
  <si>
    <t>Q30201-5_HFE</t>
  </si>
  <si>
    <t>Q32MZ4-4_LRRFIP1</t>
  </si>
  <si>
    <t>Q32P28_LEPRE1</t>
  </si>
  <si>
    <t>Q32P41_TRMT5</t>
  </si>
  <si>
    <t>Q32Q12_NME1-NME2</t>
  </si>
  <si>
    <t>Q3B726_TWISTNB</t>
  </si>
  <si>
    <t>Q3KQU3-2_MAP7D1</t>
  </si>
  <si>
    <t>Q3KQV9_UAP1L1</t>
  </si>
  <si>
    <t>Q3KRA6_C2orf76</t>
  </si>
  <si>
    <t>Q3KRA9_ALKBH6</t>
  </si>
  <si>
    <t>Q3LXA3_DAK</t>
  </si>
  <si>
    <t>Q3MHD2_LSM12</t>
  </si>
  <si>
    <t>Q3MIT2_PUS10</t>
  </si>
  <si>
    <t>Q3SXM5_HSDL1</t>
  </si>
  <si>
    <t>Q3SXZ0_C9orf126</t>
  </si>
  <si>
    <t>Q3SY69_ALDH1L2</t>
  </si>
  <si>
    <t>Q3T906_GNPTAB</t>
  </si>
  <si>
    <t>Q3V6T2-4_CCDC88A</t>
  </si>
  <si>
    <t>Q3YEC7_RABL6</t>
  </si>
  <si>
    <t>Q3ZCM7_TUBB8</t>
  </si>
  <si>
    <t>Q3ZCQ8_TIMM50</t>
  </si>
  <si>
    <t>Q3ZCW2_LGALSL</t>
  </si>
  <si>
    <t>Q495W5-2_FUT11</t>
  </si>
  <si>
    <t>Q49AH0-2_CDNF</t>
  </si>
  <si>
    <t>Q49AR2_C5orf22</t>
  </si>
  <si>
    <t>Q49B96_COX19</t>
  </si>
  <si>
    <t>Q4G0F5_VPS26B</t>
  </si>
  <si>
    <t>Q4G0I0_CCSMST1</t>
  </si>
  <si>
    <t>Q4G0N4_NADKD1</t>
  </si>
  <si>
    <t>Q4G0X4_KCTD21</t>
  </si>
  <si>
    <t>Q4G148-2_GXYLT1</t>
  </si>
  <si>
    <t>Q4G176_ACSF3</t>
  </si>
  <si>
    <t>Q4J6C6-4_PREPL</t>
  </si>
  <si>
    <t>Q4KMP7_TBC1D10B</t>
  </si>
  <si>
    <t>Q4KMQ2-3_ANO6</t>
  </si>
  <si>
    <t>Q4KWH8-3_PLCH1</t>
  </si>
  <si>
    <t>Q4L180-3_FILIP1L</t>
  </si>
  <si>
    <t>Q4LDE5_SVEP1</t>
  </si>
  <si>
    <t>Q4LDG9_DNAL1</t>
  </si>
  <si>
    <t>Q4V328_GRIPAP1</t>
  </si>
  <si>
    <t>Q4V9L6_TMEM119</t>
  </si>
  <si>
    <t>Q4VC05_BCL7A</t>
  </si>
  <si>
    <t>Q4VXZ8_DECR2</t>
  </si>
  <si>
    <t>Q4ZIN3-2_TMEM259</t>
  </si>
  <si>
    <t>Q504U0_C4orf46</t>
  </si>
  <si>
    <t>Q52LW3_ARHGAP29</t>
  </si>
  <si>
    <t>Q53EL6-2_PDCD4</t>
  </si>
  <si>
    <t>Q53EP0_FNDC3B</t>
  </si>
  <si>
    <t>Q53F39_MPPE1</t>
  </si>
  <si>
    <t>Q53FA7_TP53I3</t>
  </si>
  <si>
    <t>Q53FP2_TMEM35</t>
  </si>
  <si>
    <t>Q53FT3_C11orf73</t>
  </si>
  <si>
    <t>Q53GA4_PHLDA2</t>
  </si>
  <si>
    <t>Q53GG5-2_PDLIM3</t>
  </si>
  <si>
    <t>Q53GQ0_HSD17B12</t>
  </si>
  <si>
    <t>Q53H82_LACTB2</t>
  </si>
  <si>
    <t>Q53H96_PYCRL</t>
  </si>
  <si>
    <t>Q53QV2_LBH</t>
  </si>
  <si>
    <t>Q53S33_BOLA3</t>
  </si>
  <si>
    <t>Q53T59_HS1BP3</t>
  </si>
  <si>
    <t>Q53TN4-3_CYBRD1</t>
  </si>
  <si>
    <t>Q53XA7_DKFZp686F13224</t>
  </si>
  <si>
    <t>Q562R1_ACTBL2</t>
  </si>
  <si>
    <t>Q567Q0_PPIA</t>
  </si>
  <si>
    <t>Q569H4_PRR16</t>
  </si>
  <si>
    <t>Q56VL3_OCIAD2</t>
  </si>
  <si>
    <t>Q587I9_SFT2D3</t>
  </si>
  <si>
    <t>Q58DX5_NAALADL2</t>
  </si>
  <si>
    <t>Q58FF6_HSP90AB4P</t>
  </si>
  <si>
    <t>Q58FF8_HSP90AB2P</t>
  </si>
  <si>
    <t>Q58FG1_HSP90AA4P</t>
  </si>
  <si>
    <t>Q58WW2-3_DCAF6</t>
  </si>
  <si>
    <t>Q59GN2_RPL39P5</t>
  </si>
  <si>
    <t>Q5BJH7-6_YIF1B</t>
  </si>
  <si>
    <t>Q5BKU9_OXLD1</t>
  </si>
  <si>
    <t>Q5BKX5_C19orf54</t>
  </si>
  <si>
    <t>Q5D1E8_ZC3H12A</t>
  </si>
  <si>
    <t>Q5EBL4_RILPL1</t>
  </si>
  <si>
    <t>Q5EBL8_PDZD11</t>
  </si>
  <si>
    <t>Q5GJ75_TNFAIP8L3</t>
  </si>
  <si>
    <t>Q5GLZ8-2_HERC4</t>
  </si>
  <si>
    <t>Q5H937_PKIG</t>
  </si>
  <si>
    <t>Q5H9A7_TIMP1</t>
  </si>
  <si>
    <t>Q5H9L1_TCEAL8</t>
  </si>
  <si>
    <t>Q5HYI7_MTX3</t>
  </si>
  <si>
    <t>Q5HYI8_RABL3</t>
  </si>
  <si>
    <t>Q5HYK3_COQ5</t>
  </si>
  <si>
    <t>Q5HYK7_SH3D19</t>
  </si>
  <si>
    <t>Q5JP53_TUBB</t>
  </si>
  <si>
    <t>Q5JPE7-2_NOMO2</t>
  </si>
  <si>
    <t>Q5JPH6_EARS2</t>
  </si>
  <si>
    <t>Q5JPI9_METTL10</t>
  </si>
  <si>
    <t>Q5JQQ4_DPCD</t>
  </si>
  <si>
    <t>Q5JR08_RHOC</t>
  </si>
  <si>
    <t>Q5JRA6_MIA3</t>
  </si>
  <si>
    <t>Q5JRG1_NUPL1</t>
  </si>
  <si>
    <t>Q5JRI1_SRSF10</t>
  </si>
  <si>
    <t>Q5JRX3_PITRM1</t>
  </si>
  <si>
    <t>Q5JS36_PROSER1</t>
  </si>
  <si>
    <t>Q5JS37_NHLRC3</t>
  </si>
  <si>
    <t>Q5JS54_PSMG4</t>
  </si>
  <si>
    <t>Q5JSH3-2_WDR44</t>
  </si>
  <si>
    <t>Q5JSK7_HMGN5</t>
  </si>
  <si>
    <t>Q5JSZ5_PRRC2B</t>
  </si>
  <si>
    <t>Q5JTD0-2_TJAP1</t>
  </si>
  <si>
    <t>Q5JTJ3-3_COA6</t>
  </si>
  <si>
    <t>Q5JTV8_TOR1AIP1</t>
  </si>
  <si>
    <t>Q5JTZ9_AARS2</t>
  </si>
  <si>
    <t>Q5JU21_FPGS</t>
  </si>
  <si>
    <t>Q5JU69_TOR2A</t>
  </si>
  <si>
    <t>Q5JV73_FRMPD3</t>
  </si>
  <si>
    <t>Q5JVF3-3_PCID2</t>
  </si>
  <si>
    <t>Q5JVS0_HABP4</t>
  </si>
  <si>
    <t>Q5JVZ5_ELMO2</t>
  </si>
  <si>
    <t>Q5JW02_SLC35C2</t>
  </si>
  <si>
    <t>Q5JW30_STAU1</t>
  </si>
  <si>
    <t>Q5JWB9_TMEM230</t>
  </si>
  <si>
    <t>Q5JXX2_MORF4L2</t>
  </si>
  <si>
    <t>Q5JY65_CRNKL1</t>
  </si>
  <si>
    <t>Q5JYT7_KIAA1755</t>
  </si>
  <si>
    <t>Q5JZH3_SNX21</t>
  </si>
  <si>
    <t>Q5K4L6_SLC27A3</t>
  </si>
  <si>
    <t>Q5KU26_COLEC12</t>
  </si>
  <si>
    <t>Q5M775-4_SPECC1</t>
  </si>
  <si>
    <t>Q5MIZ7-3_SMEK2</t>
  </si>
  <si>
    <t>Q5MNZ6_WDR45B</t>
  </si>
  <si>
    <t>Q5MNZ9-2_WIPI1</t>
  </si>
  <si>
    <t>Q5NDL2_EOGT</t>
  </si>
  <si>
    <t>Q5QJ74_TBCEL</t>
  </si>
  <si>
    <t>Q5QNY5_PEX19</t>
  </si>
  <si>
    <t>Q5QNZ2_ATP5F1</t>
  </si>
  <si>
    <t>Q5QP56_BCL2L1</t>
  </si>
  <si>
    <t>Q5QPK2_DPM1</t>
  </si>
  <si>
    <t>Q5QPM7_PSMF1</t>
  </si>
  <si>
    <t>Q5R372-4_RABGAP1L</t>
  </si>
  <si>
    <t>Q5R372-7_RABGAP1L</t>
  </si>
  <si>
    <t>Q5R3B4_MPC2</t>
  </si>
  <si>
    <t>Q5R3E4_MAPK13</t>
  </si>
  <si>
    <t>Q5RI15_COX20</t>
  </si>
  <si>
    <t>Q5RJ85_HLA-G</t>
  </si>
  <si>
    <t>Q5RKV6_EXOSC6</t>
  </si>
  <si>
    <t>Q5SNW6_MTHFR</t>
  </si>
  <si>
    <t>Q5SPY9_NPDC1</t>
  </si>
  <si>
    <t>Q5SQU3_PRKG1</t>
  </si>
  <si>
    <t>Q5SR56_HIATL1</t>
  </si>
  <si>
    <t>Q5SRE7-2_PHYHD1</t>
  </si>
  <si>
    <t>Q5SRN5_HLA-A</t>
  </si>
  <si>
    <t>Q5SRQ6_CSNK2B</t>
  </si>
  <si>
    <t>Q5SVK8_DNMBP</t>
  </si>
  <si>
    <t>Q5SW96_LDLRAP1</t>
  </si>
  <si>
    <t>Q5SWX3_CAMK2G</t>
  </si>
  <si>
    <t>Q5SWX8_ODR4</t>
  </si>
  <si>
    <t>Q5SX86_GDI2</t>
  </si>
  <si>
    <t>Q5SXM8_DNLZ</t>
  </si>
  <si>
    <t>Q5SYE7-2_NHSL1</t>
  </si>
  <si>
    <t>Q5SZE2_CERS2</t>
  </si>
  <si>
    <t>Q5T0D9_TPRG1L</t>
  </si>
  <si>
    <t>Q5T0N5-3_FNBP1L</t>
  </si>
  <si>
    <t>Q5T0S4_PPT1</t>
  </si>
  <si>
    <t>Q5T123_SH3BGRL3</t>
  </si>
  <si>
    <t>Q5T160_RARS2</t>
  </si>
  <si>
    <t>Q5T171_PYGO2</t>
  </si>
  <si>
    <t>Q5T179_CKS1B</t>
  </si>
  <si>
    <t>Q5T1C6_THEM4</t>
  </si>
  <si>
    <t>Q5T1M5_FKBP15</t>
  </si>
  <si>
    <t>Q5T1N9_GPSM2</t>
  </si>
  <si>
    <t>Q5T1V6_DDX59</t>
  </si>
  <si>
    <t>Q5T1Z4_PUM1</t>
  </si>
  <si>
    <t>Q5T200-2_ZC3H13</t>
  </si>
  <si>
    <t>Q5T2E6_C10orf76</t>
  </si>
  <si>
    <t>Q5T3F8_TMEM63B</t>
  </si>
  <si>
    <t>Q5T3J3-2_LRIF1</t>
  </si>
  <si>
    <t>Q5T440_IBA57</t>
  </si>
  <si>
    <t>Q5T4B2_CERCAM</t>
  </si>
  <si>
    <t>Q5T4P9_PLEKHO1</t>
  </si>
  <si>
    <t>Q5T4S7-3_UBR4</t>
  </si>
  <si>
    <t>Q5T4U5_ACADM</t>
  </si>
  <si>
    <t>Q5T593_FAM219A</t>
  </si>
  <si>
    <t>Q5T5C0_STXBP5</t>
  </si>
  <si>
    <t>Q5T5U3_ARHGAP21</t>
  </si>
  <si>
    <t>Q5T5Y3-2_CAMSAP1</t>
  </si>
  <si>
    <t>Q5T6F2_UBAP2</t>
  </si>
  <si>
    <t>Q5T6V5_C9orf64</t>
  </si>
  <si>
    <t>Q5T6X4_FAM162B</t>
  </si>
  <si>
    <t>Q5T7M9_FAM69A</t>
  </si>
  <si>
    <t>Q5T7V8_GORAB</t>
  </si>
  <si>
    <t>Q5T8D3-2_ACBD5</t>
  </si>
  <si>
    <t>Q5T8I0_COX6A1P2</t>
  </si>
  <si>
    <t>Q5T8N1_NUP133</t>
  </si>
  <si>
    <t>Q5T8P6-2_RBM26</t>
  </si>
  <si>
    <t>Q5T8T7_MED22</t>
  </si>
  <si>
    <t>Q5T8U5_SURF4</t>
  </si>
  <si>
    <t>Q5T9B7_AK1</t>
  </si>
  <si>
    <t>Q5T9P7_PRPF18</t>
  </si>
  <si>
    <t>Q5TA50_GLTPD1</t>
  </si>
  <si>
    <t>Q5TAA8_HPS1</t>
  </si>
  <si>
    <t>Q5TC82-2_RC3H1</t>
  </si>
  <si>
    <t>Q5TD07_NQO2</t>
  </si>
  <si>
    <t>Q5TDH0_DDI2</t>
  </si>
  <si>
    <t>Q5TEA3_C20orf194</t>
  </si>
  <si>
    <t>Q5TEE2_HDAC1</t>
  </si>
  <si>
    <t>Q5TEU4_NDUFAF5</t>
  </si>
  <si>
    <t>Q5TFE4_NT5DC1</t>
  </si>
  <si>
    <t>Q5TG81_KCNAB2</t>
  </si>
  <si>
    <t>Q5TGE1_TMEM189</t>
  </si>
  <si>
    <t>Q5TGL8_PXDC1</t>
  </si>
  <si>
    <t>Q5TGY1_TMCO4</t>
  </si>
  <si>
    <t>Q5TIE1_SLC19A2</t>
  </si>
  <si>
    <t>Q5TIH2_SFT2D2</t>
  </si>
  <si>
    <t>Q5TZA2_CROCC</t>
  </si>
  <si>
    <t>Q5U5Q3_MEX3C</t>
  </si>
  <si>
    <t>Q5U5X0_LYRM7</t>
  </si>
  <si>
    <t>Q5VIR6-4_VPS53</t>
  </si>
  <si>
    <t>Q5VSL9_STRIP1</t>
  </si>
  <si>
    <t>Q5VST6_ABHD17B</t>
  </si>
  <si>
    <t>Q5VT52-2_RPRD2</t>
  </si>
  <si>
    <t>Q5VT94_GHITM</t>
  </si>
  <si>
    <t>Q5VTQ0-2_TTC39B</t>
  </si>
  <si>
    <t>Q5VTR2_RNF20</t>
  </si>
  <si>
    <t>Q5VTU3_DYNLT1</t>
  </si>
  <si>
    <t>Q5VU10_RPP30</t>
  </si>
  <si>
    <t>Q5VU97_CACHD1</t>
  </si>
  <si>
    <t>Q5VUA4_ZNF318</t>
  </si>
  <si>
    <t>Q5VUE5_C1orf53</t>
  </si>
  <si>
    <t>Q5VUJ6-2_LRCH2</t>
  </si>
  <si>
    <t>Q5VUM1_C6orf57</t>
  </si>
  <si>
    <t>Q5VV89_MGST3</t>
  </si>
  <si>
    <t>Q5VVD7_PLEKHM2</t>
  </si>
  <si>
    <t>Q5VVQ6-2_YOD1</t>
  </si>
  <si>
    <t>Q5VVW5_SLC2A8</t>
  </si>
  <si>
    <t>Q5VW27_NFIB</t>
  </si>
  <si>
    <t>Q5VW32_BROX</t>
  </si>
  <si>
    <t>Q5VWJ9_SNX30</t>
  </si>
  <si>
    <t>Q5VWQ8-2_DAB2IP</t>
  </si>
  <si>
    <t>Q5VWU8_PARD3</t>
  </si>
  <si>
    <t>Q5VWZ2_LYPLAL1</t>
  </si>
  <si>
    <t>Q5VY43_PEAR1</t>
  </si>
  <si>
    <t>Q5VYS8-2_ZCCHC6</t>
  </si>
  <si>
    <t>Q5VYX0-2_RNLS</t>
  </si>
  <si>
    <t>Q5VZE5_NAA35</t>
  </si>
  <si>
    <t>Q5VZI3-2_C9orf91</t>
  </si>
  <si>
    <t>Q5VZK9_LRRC16A</t>
  </si>
  <si>
    <t>Q5VZZ6_CELF2</t>
  </si>
  <si>
    <t>Q5W0A2_ITM2B</t>
  </si>
  <si>
    <t>Q5W0V3_FAM160B1</t>
  </si>
  <si>
    <t>Q5W0Z9-3_ZDHHC20</t>
  </si>
  <si>
    <t>Q5W111_SPRYD7</t>
  </si>
  <si>
    <t>Q5W145_NDUFB8</t>
  </si>
  <si>
    <t>Q5XKP0_QIL1</t>
  </si>
  <si>
    <t>Q5XPI4_RNF123</t>
  </si>
  <si>
    <t>Q5XUX1-3_FBXW9</t>
  </si>
  <si>
    <t>Q5ZPR3_CD276</t>
  </si>
  <si>
    <t>Q63HM1_AFMID</t>
  </si>
  <si>
    <t>Q63HN8_RNF213</t>
  </si>
  <si>
    <t>Q63HQ0_AP1AR</t>
  </si>
  <si>
    <t>Q63ZY3-3_KANK2</t>
  </si>
  <si>
    <t>Q641Q2_FAM21A</t>
  </si>
  <si>
    <t>Q658P3-3_STEAP3</t>
  </si>
  <si>
    <t>Q66K14-2_TBC1D9B</t>
  </si>
  <si>
    <t>Q66LE6_PPP2R2D</t>
  </si>
  <si>
    <t>Q66PJ3_ARL6IP4</t>
  </si>
  <si>
    <t>Q674X7-3_KAZN</t>
  </si>
  <si>
    <t>Q68CQ4_DIEXF</t>
  </si>
  <si>
    <t>Q68CQ7_GLT8D1</t>
  </si>
  <si>
    <t>Q68CZ2_TNS3</t>
  </si>
  <si>
    <t>Q68D91_MBLAC2</t>
  </si>
  <si>
    <t>Q68DM5_DKFZp781L1143</t>
  </si>
  <si>
    <t>Q68EM7-6_ARHGAP17</t>
  </si>
  <si>
    <t>Q69YL0_</t>
  </si>
  <si>
    <t>Q69YN2-3_CWF19L1</t>
  </si>
  <si>
    <t>Q69YQ0-2_SPECC1L</t>
  </si>
  <si>
    <t>Q69YU5_C12orf73</t>
  </si>
  <si>
    <t>Q6AWC2-4_WWC2</t>
  </si>
  <si>
    <t>Q6AZY7-2_SCARA3</t>
  </si>
  <si>
    <t>Q6BCY4_CYB5R2</t>
  </si>
  <si>
    <t>Q6DD88_ATL3</t>
  </si>
  <si>
    <t>Q6DHV7_ADAL</t>
  </si>
  <si>
    <t>Q6DKJ4_NXN</t>
  </si>
  <si>
    <t>Q6DKK2_TTC19</t>
  </si>
  <si>
    <t>Q6EEV4-2_POLR2M</t>
  </si>
  <si>
    <t>Q6EMK4_VASN</t>
  </si>
  <si>
    <t>Q6FI81-3_CIAPIN1</t>
  </si>
  <si>
    <t>Q6FIF0-2_ZFAND6</t>
  </si>
  <si>
    <t>Q6GMV2_SMYD5</t>
  </si>
  <si>
    <t>Q6GMV3_PTRHD1</t>
  </si>
  <si>
    <t>Q6GQQ9_OTUD7B</t>
  </si>
  <si>
    <t>Q6GYA4_SELS</t>
  </si>
  <si>
    <t>Q6I9Y2_THOC7</t>
  </si>
  <si>
    <t>Q6IA69_NADSYN1</t>
  </si>
  <si>
    <t>Q6IA86-3_ELP2</t>
  </si>
  <si>
    <t>Q6IAA8_LAMTOR1</t>
  </si>
  <si>
    <t>Q6IAN0_DHRS7B</t>
  </si>
  <si>
    <t>Q6IBS0_TWF2</t>
  </si>
  <si>
    <t>Q6ICB0_DESI1</t>
  </si>
  <si>
    <t>Q6ICB4_FAM109B</t>
  </si>
  <si>
    <t>Q6ICG6_KIAA0930</t>
  </si>
  <si>
    <t>Q6ICJ4_Em:AP000351.3</t>
  </si>
  <si>
    <t>Q6ICL3_TANGO2</t>
  </si>
  <si>
    <t>Q6IN85-2_SMEK1</t>
  </si>
  <si>
    <t>Q6IQ22_RAB12</t>
  </si>
  <si>
    <t>Q6IQ49-3_SDE2</t>
  </si>
  <si>
    <t>Q6JVM2_DNASE1L2</t>
  </si>
  <si>
    <t>Q6N022_TENM4</t>
  </si>
  <si>
    <t>Q6N063_OGFOD2</t>
  </si>
  <si>
    <t>Q6NSJ0_KIAA1161</t>
  </si>
  <si>
    <t>Q6NT16_SLC18B1</t>
  </si>
  <si>
    <t>Q6NT89_TRNP1</t>
  </si>
  <si>
    <t>Q6NUK1_SLC25A24</t>
  </si>
  <si>
    <t>Q6NUK4_REEP3</t>
  </si>
  <si>
    <t>Q6NUM9_RETSAT</t>
  </si>
  <si>
    <t>Q6NUQ1_RINT1</t>
  </si>
  <si>
    <t>Q6NUQ4-2_TMEM214</t>
  </si>
  <si>
    <t>Q6NVU6_UFSP1</t>
  </si>
  <si>
    <t>Q6NVY1_HIBCH</t>
  </si>
  <si>
    <t>Q6NXT1_ANKRD54</t>
  </si>
  <si>
    <t>Q6NXT6_TAPT1</t>
  </si>
  <si>
    <t>Q6NYC8_PPP1R18</t>
  </si>
  <si>
    <t>Q6NZ53_THOC3</t>
  </si>
  <si>
    <t>Q6NZI2_PTRF</t>
  </si>
  <si>
    <t>Q6NZY7_CDC42EP5</t>
  </si>
  <si>
    <t>Q6P161_MRPL54</t>
  </si>
  <si>
    <t>Q6P179_ERAP2</t>
  </si>
  <si>
    <t>Q6P1J9_CDC73</t>
  </si>
  <si>
    <t>Q6P1K2-4_PMF1</t>
  </si>
  <si>
    <t>Q6P1L8_MRPL14</t>
  </si>
  <si>
    <t>Q6P1M0_SLC27A4</t>
  </si>
  <si>
    <t>Q6P1N0-2_CC2D1A</t>
  </si>
  <si>
    <t>Q6P1Q9_METTL2B</t>
  </si>
  <si>
    <t>Q6P1R4_DUS1L</t>
  </si>
  <si>
    <t>Q6P1X6_C8orf82</t>
  </si>
  <si>
    <t>Q6P2E9_EDC4</t>
  </si>
  <si>
    <t>Q6P2P2_PRMT10</t>
  </si>
  <si>
    <t>Q6P3S1-5_DENND1B</t>
  </si>
  <si>
    <t>Q6P3W7_SCYL2</t>
  </si>
  <si>
    <t>Q6P3X3_TTC27</t>
  </si>
  <si>
    <t>Q6P499-2_NIPAL3</t>
  </si>
  <si>
    <t>Q6P4E1_CASC4</t>
  </si>
  <si>
    <t>Q6P4F2_FDX1L</t>
  </si>
  <si>
    <t>Q6P4I2_WDR73</t>
  </si>
  <si>
    <t>Q6P4R8-3_NFRKB</t>
  </si>
  <si>
    <t>Q6P582_MZT2A</t>
  </si>
  <si>
    <t>Q6P587_FAHD1</t>
  </si>
  <si>
    <t>Q6P6B1_C8orf47</t>
  </si>
  <si>
    <t>Q6P6C2-3_ALKBH5</t>
  </si>
  <si>
    <t>Q6P9B6_KIAA1609</t>
  </si>
  <si>
    <t>Q6P9B9_INTS5</t>
  </si>
  <si>
    <t>Q6PCE3_PGM2L1</t>
  </si>
  <si>
    <t>Q6PD74_AAGAB</t>
  </si>
  <si>
    <t>Q6PGP7_TTC37</t>
  </si>
  <si>
    <t>Q6PHR2-3_ULK3</t>
  </si>
  <si>
    <t>Q6PI78_TMEM65</t>
  </si>
  <si>
    <t>Q6PID6_TTC33</t>
  </si>
  <si>
    <t>Q6PII3_CCDC174</t>
  </si>
  <si>
    <t>Q6PII5-2_HAGHL</t>
  </si>
  <si>
    <t>Q6PJ69_TRIM65</t>
  </si>
  <si>
    <t>Q6PJT7-5_ZC3H14</t>
  </si>
  <si>
    <t>Q6PJW8_CNST</t>
  </si>
  <si>
    <t>Q6PK18_OGFOD3</t>
  </si>
  <si>
    <t>Q6PKG0_LARP1</t>
  </si>
  <si>
    <t>Q6PL24_TMED8</t>
  </si>
  <si>
    <t>Q6PML9_SLC30A9</t>
  </si>
  <si>
    <t>Q6QHF9-2_PAOX</t>
  </si>
  <si>
    <t>Q6QNY0_BLOC1S3</t>
  </si>
  <si>
    <t>Q6QNY1_BLOC1S2</t>
  </si>
  <si>
    <t>Q6RW13-2_AGTRAP</t>
  </si>
  <si>
    <t>Q6T4R5-4_NHS</t>
  </si>
  <si>
    <t>Q6UB28_METAP1D</t>
  </si>
  <si>
    <t>Q6UB35_MTHFD1L</t>
  </si>
  <si>
    <t>Q6ULP2-3_AFTPH</t>
  </si>
  <si>
    <t>Q6UN15-3_FIP1L1</t>
  </si>
  <si>
    <t>Q6UUV7-3_CRTC3</t>
  </si>
  <si>
    <t>Q6UUV9-3_CRTC1</t>
  </si>
  <si>
    <t>Q6UVK1_CSPG4</t>
  </si>
  <si>
    <t>Q6UVY6-2_MOXD1</t>
  </si>
  <si>
    <t>Q6UW56_ATRAID</t>
  </si>
  <si>
    <t>Q6UW63_KDELC1</t>
  </si>
  <si>
    <t>Q6UW78_C11orf83</t>
  </si>
  <si>
    <t>Q6UWE0_LRSAM1</t>
  </si>
  <si>
    <t>Q6UWH4_FAM198B</t>
  </si>
  <si>
    <t>Q6UWP2_DHRS11</t>
  </si>
  <si>
    <t>Q6UWP7-3_LCLAT1</t>
  </si>
  <si>
    <t>Q6UWS5_PET117</t>
  </si>
  <si>
    <t>Q6UWU4_C6orf89</t>
  </si>
  <si>
    <t>Q6UWY0_ARSK</t>
  </si>
  <si>
    <t>Q6UX04_CWC27</t>
  </si>
  <si>
    <t>Q6UX15-2_LAYN</t>
  </si>
  <si>
    <t>Q6UX53_METTL7B</t>
  </si>
  <si>
    <t>Q6UX71_PLXDC2</t>
  </si>
  <si>
    <t>Q6UXD5-6_SEZ6L2</t>
  </si>
  <si>
    <t>Q6UXH1-4_CRELD2</t>
  </si>
  <si>
    <t>Q6UXH8_CCBE1</t>
  </si>
  <si>
    <t>Q6UXN9_WDR82</t>
  </si>
  <si>
    <t>Q6UXV4_APOOL</t>
  </si>
  <si>
    <t>Q6V0I7-3_FAT4</t>
  </si>
  <si>
    <t>Q6V1X1-2_DPP8</t>
  </si>
  <si>
    <t>Q6VY07_PACS1</t>
  </si>
  <si>
    <t>Q6WCQ1_MPRIP</t>
  </si>
  <si>
    <t>Q6WKZ4_RAB11FIP1</t>
  </si>
  <si>
    <t>Q6XQN6_NAPRT1</t>
  </si>
  <si>
    <t>Q6Y288_B3GALTL</t>
  </si>
  <si>
    <t>Q6Y7W6-4_GIGYF2</t>
  </si>
  <si>
    <t>Q6YHK3_CD109</t>
  </si>
  <si>
    <t>Q6YHU6-3_THADA</t>
  </si>
  <si>
    <t>Q6YN16_HSDL2</t>
  </si>
  <si>
    <t>Q6YP21-3_CCBL2</t>
  </si>
  <si>
    <t>Q6ZMG9_CERS6</t>
  </si>
  <si>
    <t>Q6ZMZ3-2_SYNE3</t>
  </si>
  <si>
    <t>Q6ZN03_LINC00322</t>
  </si>
  <si>
    <t>Q6ZN18-2_AEBP2</t>
  </si>
  <si>
    <t>Q6ZNW5_GDPGP1</t>
  </si>
  <si>
    <t>Q6ZPD9_DPY19L3</t>
  </si>
  <si>
    <t>Q6ZRP7_QSOX2</t>
  </si>
  <si>
    <t>Q6ZS17-2_FAM65A</t>
  </si>
  <si>
    <t>Q6ZSJ8_C1orf122</t>
  </si>
  <si>
    <t>Q6ZSS7_MFSD6</t>
  </si>
  <si>
    <t>Q6ZT21-2_TMPPE</t>
  </si>
  <si>
    <t>Q6ZTN6-3_ANKRD13D</t>
  </si>
  <si>
    <t>Q6ZUT6_C15orf52</t>
  </si>
  <si>
    <t>Q6ZUX7_LHFPL2</t>
  </si>
  <si>
    <t>Q6ZVK8_NUDT18</t>
  </si>
  <si>
    <t>Q6ZVM7_TOM1L2</t>
  </si>
  <si>
    <t>Q6ZWT7_MBOAT2</t>
  </si>
  <si>
    <t>Q6ZXV5-2_TMTC3</t>
  </si>
  <si>
    <t>Q6ZYL4_GTF2H5</t>
  </si>
  <si>
    <t>Q709C8-3_VPS13C</t>
  </si>
  <si>
    <t>Q709F0_ACAD11</t>
  </si>
  <si>
    <t>Q70E73-7_RAPH1</t>
  </si>
  <si>
    <t>Q70IA6_MOB2</t>
  </si>
  <si>
    <t>Q70UQ0_IKBIP</t>
  </si>
  <si>
    <t>Q70UQ0-4_IKBIP</t>
  </si>
  <si>
    <t>Q712K3_UBE2R2</t>
  </si>
  <si>
    <t>Q71RC2-6_LARP4</t>
  </si>
  <si>
    <t>Q71U36-2_TUBA1A</t>
  </si>
  <si>
    <t>Q765P7_MTSS1L</t>
  </si>
  <si>
    <t>Q76M96_CCDC80</t>
  </si>
  <si>
    <t>Q7KYR7-5_BTN2A1</t>
  </si>
  <si>
    <t>Q7KZ85_SUPT6H</t>
  </si>
  <si>
    <t>Q7KZ85-2_SUPT6H</t>
  </si>
  <si>
    <t>Q7KZF4_SND1</t>
  </si>
  <si>
    <t>Q7L014_DDX46</t>
  </si>
  <si>
    <t>Q7L099-3_RUFY3</t>
  </si>
  <si>
    <t>Q7L0J3-2_SV2A</t>
  </si>
  <si>
    <t>Q7L0Y3_TRMT10C</t>
  </si>
  <si>
    <t>Q7L1Q6_BZW1</t>
  </si>
  <si>
    <t>Q7L1T6_CYB5R4</t>
  </si>
  <si>
    <t>Q7L211_ABHD13</t>
  </si>
  <si>
    <t>Q7L273_KCTD9</t>
  </si>
  <si>
    <t>Q7L2H7_EIF3M</t>
  </si>
  <si>
    <t>Q7L4I2-2_RSRC2</t>
  </si>
  <si>
    <t>Q7L523_RRAGA</t>
  </si>
  <si>
    <t>Q7L576_CYFIP1</t>
  </si>
  <si>
    <t>Q7L592_NDUFAF7</t>
  </si>
  <si>
    <t>Q7L5D6_GET4</t>
  </si>
  <si>
    <t>Q7L5N7_LPCAT2</t>
  </si>
  <si>
    <t>Q7L5Y1_ENOSF1</t>
  </si>
  <si>
    <t>Q7L775_EPM2AIP1</t>
  </si>
  <si>
    <t>Q7L7X3_TAOK1</t>
  </si>
  <si>
    <t>Q7L804_RAB11FIP2</t>
  </si>
  <si>
    <t>Q7L8J4_SH3BP5L</t>
  </si>
  <si>
    <t>Q7LBC6_KDM3B</t>
  </si>
  <si>
    <t>Q7LBR1_CHMP1B</t>
  </si>
  <si>
    <t>Q7LG56_RRM2B</t>
  </si>
  <si>
    <t>Q7LGA3_HS2ST1</t>
  </si>
  <si>
    <t>Q7LGC8_CHST3</t>
  </si>
  <si>
    <t>Q7RTP6_MICAL3</t>
  </si>
  <si>
    <t>Q7RTS9_DYM</t>
  </si>
  <si>
    <t>Q7RTV0_PHF5A</t>
  </si>
  <si>
    <t>Q7RTV5_AAED1</t>
  </si>
  <si>
    <t>Q7Z2K8_GPRIN1</t>
  </si>
  <si>
    <t>Q7Z2X4-4_PID1</t>
  </si>
  <si>
    <t>Q7Z2Z2_EFTUD1</t>
  </si>
  <si>
    <t>Q7Z388_DPY19L4</t>
  </si>
  <si>
    <t>Q7Z3B1_NEGR1</t>
  </si>
  <si>
    <t>Q7Z3D4_LYSMD3</t>
  </si>
  <si>
    <t>Q7Z3D6-2_C14orf159</t>
  </si>
  <si>
    <t>Q7Z3E2_C10orf118</t>
  </si>
  <si>
    <t>Q7Z3E5_ARMC9</t>
  </si>
  <si>
    <t>Q7Z3T8_ZFYVE16</t>
  </si>
  <si>
    <t>Q7Z3V4_UBE3B</t>
  </si>
  <si>
    <t>Q7Z417_NUFIP2</t>
  </si>
  <si>
    <t>Q7Z422-2_SZRD1</t>
  </si>
  <si>
    <t>Q7Z434_MAVS</t>
  </si>
  <si>
    <t>Q7Z449_CYP2U1</t>
  </si>
  <si>
    <t>Q7Z478_DHX29</t>
  </si>
  <si>
    <t>Q7Z4F1_LRP10</t>
  </si>
  <si>
    <t>Q7Z4G1_COMMD6</t>
  </si>
  <si>
    <t>Q7Z4G4-2_TRMT11</t>
  </si>
  <si>
    <t>Q7Z4H3_HDDC2</t>
  </si>
  <si>
    <t>Q7Z4H7-3_HAUS6</t>
  </si>
  <si>
    <t>Q7Z4H8_KDELC2</t>
  </si>
  <si>
    <t>Q7Z4L0_COX8C</t>
  </si>
  <si>
    <t>Q7Z4N8_P4HA3</t>
  </si>
  <si>
    <t>Q7Z4Q2_HEATR3</t>
  </si>
  <si>
    <t>Q7Z4W1_DCXR</t>
  </si>
  <si>
    <t>Q7Z5G4-3_GOLGA7</t>
  </si>
  <si>
    <t>Q7Z5H3-3_ARHGAP22</t>
  </si>
  <si>
    <t>Q7Z5K2_WAPAL</t>
  </si>
  <si>
    <t>Q7Z5L2-2_R3HCC1L</t>
  </si>
  <si>
    <t>Q7Z5L7_PODN</t>
  </si>
  <si>
    <t>Q7Z5R6_APBB1IP</t>
  </si>
  <si>
    <t>Q7Z624_CAMKMT</t>
  </si>
  <si>
    <t>Q7Z6B0-2_CCDC91</t>
  </si>
  <si>
    <t>Q7Z6B7_SRGAP1</t>
  </si>
  <si>
    <t>Q7Z6E9-4_RBBP6</t>
  </si>
  <si>
    <t>Q7Z6J0_SH3RF1</t>
  </si>
  <si>
    <t>Q7Z6K3_PTAR1</t>
  </si>
  <si>
    <t>Q7Z6K5_C15orf38</t>
  </si>
  <si>
    <t>Q7Z6L1_TECPR1</t>
  </si>
  <si>
    <t>Q7Z6M1_RABEPK</t>
  </si>
  <si>
    <t>Q7Z6M3_MILR1</t>
  </si>
  <si>
    <t>Q7Z6M4_MTERFD2</t>
  </si>
  <si>
    <t>Q7Z6V5-2_ADAT2</t>
  </si>
  <si>
    <t>Q7Z6Z7-2_HUWE1</t>
  </si>
  <si>
    <t>Q7Z7A3_CTU1</t>
  </si>
  <si>
    <t>Q7Z7A4_PXK</t>
  </si>
  <si>
    <t>Q7Z7E8_UBE2Q1</t>
  </si>
  <si>
    <t>Q7Z7H5-3_TMED4</t>
  </si>
  <si>
    <t>Q7Z7J9_CAMK2N1</t>
  </si>
  <si>
    <t>Q7Z7L8_C11orf96</t>
  </si>
  <si>
    <t>Q7Z7M9_GALNT5</t>
  </si>
  <si>
    <t>Q7Z7N9_TMEM179B</t>
  </si>
  <si>
    <t>Q86SF2_GALNT7</t>
  </si>
  <si>
    <t>Q86SJ2_AMIGO2</t>
  </si>
  <si>
    <t>Q86SQ0_PHLDB2</t>
  </si>
  <si>
    <t>Q86SQ7_SDCCAG8</t>
  </si>
  <si>
    <t>Q86SQ9-3_DHDDS</t>
  </si>
  <si>
    <t>Q86SR1_GALNT10</t>
  </si>
  <si>
    <t>Q86SX6_GLRX5</t>
  </si>
  <si>
    <t>Q86SZ2_TRAPPC6B</t>
  </si>
  <si>
    <t>Q86T13_CLEC14A</t>
  </si>
  <si>
    <t>Q86TB9-4_PATL1</t>
  </si>
  <si>
    <t>Q86TG1_TMEM150A</t>
  </si>
  <si>
    <t>Q86TI2_DPP9</t>
  </si>
  <si>
    <t>Q86TP1_PRUNE</t>
  </si>
  <si>
    <t>Q86TS9-3_MRPL52</t>
  </si>
  <si>
    <t>Q86TU7_SETD3</t>
  </si>
  <si>
    <t>Q86TV2_LGMN</t>
  </si>
  <si>
    <t>Q86TX2_ACOT1</t>
  </si>
  <si>
    <t>Q86U28_ISCA2</t>
  </si>
  <si>
    <t>Q86U44_METTL3</t>
  </si>
  <si>
    <t>Q86U90_YRDC</t>
  </si>
  <si>
    <t>Q86UA1_PRPF39</t>
  </si>
  <si>
    <t>Q86UE4_MTDH</t>
  </si>
  <si>
    <t>Q86UK7-2_ZNF598</t>
  </si>
  <si>
    <t>Q86UL3_AGPAT6</t>
  </si>
  <si>
    <t>Q86UL8-2_MAGI2</t>
  </si>
  <si>
    <t>Q86UP2_KTN1</t>
  </si>
  <si>
    <t>Q86US8_SMG6</t>
  </si>
  <si>
    <t>Q86UU0-4_BCL9L</t>
  </si>
  <si>
    <t>Q86UU1-2_PHLDB1</t>
  </si>
  <si>
    <t>Q86UY0_TXNDC5</t>
  </si>
  <si>
    <t>Q86UY8-2_NT5DC3</t>
  </si>
  <si>
    <t>Q86V21_AACS</t>
  </si>
  <si>
    <t>Q86V48_LUZP1</t>
  </si>
  <si>
    <t>Q86V84_OSBPL6</t>
  </si>
  <si>
    <t>Q86V85_GPR180</t>
  </si>
  <si>
    <t>Q86V87_FAM160B2</t>
  </si>
  <si>
    <t>Q86VG3_C11orf74</t>
  </si>
  <si>
    <t>Q86VN1-2_VPS36</t>
  </si>
  <si>
    <t>Q86VP6_CAND1</t>
  </si>
  <si>
    <t>Q86VQ1_GLCCI1</t>
  </si>
  <si>
    <t>Q86VR2_FAM134C</t>
  </si>
  <si>
    <t>Q86VS8_HOOK3</t>
  </si>
  <si>
    <t>Q86VU3_MAP4K2</t>
  </si>
  <si>
    <t>Q86VW0_SESTD1</t>
  </si>
  <si>
    <t>Q86VZ4_LRP11</t>
  </si>
  <si>
    <t>Q86W33_TPRA1</t>
  </si>
  <si>
    <t>Q86W34_AMZ2</t>
  </si>
  <si>
    <t>Q86WA6-2_BPHL</t>
  </si>
  <si>
    <t>Q86WA9_SLC26A11</t>
  </si>
  <si>
    <t>Q86WG5_SBF2</t>
  </si>
  <si>
    <t>Q86WN1_FCHSD1</t>
  </si>
  <si>
    <t>Q86WQ0_NR2C2AP</t>
  </si>
  <si>
    <t>Q86WR0_CCDC25</t>
  </si>
  <si>
    <t>Q86WR7_PROSER2</t>
  </si>
  <si>
    <t>Q86WV5_TEN1</t>
  </si>
  <si>
    <t>Q86WV6_TMEM173</t>
  </si>
  <si>
    <t>Q86WV7_CCDC43</t>
  </si>
  <si>
    <t>Q86X02_CDR2L</t>
  </si>
  <si>
    <t>Q86X19_TMEM17</t>
  </si>
  <si>
    <t>Q86X27_RALGPS2</t>
  </si>
  <si>
    <t>Q86X55-1_CARM1</t>
  </si>
  <si>
    <t>Q86X76-2_NIT1</t>
  </si>
  <si>
    <t>Q86XP3_DDX42</t>
  </si>
  <si>
    <t>Q86XZ4_SPATS2</t>
  </si>
  <si>
    <t>Q86Y37_CACUL1</t>
  </si>
  <si>
    <t>Q86Y38_XYLT1</t>
  </si>
  <si>
    <t>Q86Y39_NDUFA11</t>
  </si>
  <si>
    <t>Q86Y56_HEATR2</t>
  </si>
  <si>
    <t>Q86Y82_STX12</t>
  </si>
  <si>
    <t>Q86YB8_ERO1LB</t>
  </si>
  <si>
    <t>Q86YH6_PDSS2</t>
  </si>
  <si>
    <t>Q86YM7_HOMER1</t>
  </si>
  <si>
    <t>Q86YP4-2_GATAD2A</t>
  </si>
  <si>
    <t>Q86YQ8_CPNE8</t>
  </si>
  <si>
    <t>Q86YR5-4_GPSM1</t>
  </si>
  <si>
    <t>Q86YS6_RAB43</t>
  </si>
  <si>
    <t>Q86YV5_SGK223</t>
  </si>
  <si>
    <t>Q8IU85-2_CAMK1D</t>
  </si>
  <si>
    <t>Q8IUC6_TICAM1</t>
  </si>
  <si>
    <t>Q8IUD2_ERC1</t>
  </si>
  <si>
    <t>Q8IUI8_CRLF3</t>
  </si>
  <si>
    <t>Q8IUR0_TRAPPC5</t>
  </si>
  <si>
    <t>Q8IUW3_SPATA2L</t>
  </si>
  <si>
    <t>Q8IUW5_RELL1</t>
  </si>
  <si>
    <t>Q8IUX1-4_TMEM126B</t>
  </si>
  <si>
    <t>Q8IUZ5_AGXT2L2</t>
  </si>
  <si>
    <t>Q8IV08_PLD3</t>
  </si>
  <si>
    <t>Q8IV20_LACC1</t>
  </si>
  <si>
    <t>Q8IV38_ANKMY2</t>
  </si>
  <si>
    <t>Q8IV50_LYSMD2</t>
  </si>
  <si>
    <t>Q8IVB5_LIX1L</t>
  </si>
  <si>
    <t>Q8IVD9_NUDCD3</t>
  </si>
  <si>
    <t>Q8IVF2-3_AHNAK2</t>
  </si>
  <si>
    <t>Q8IVH4_MMAA</t>
  </si>
  <si>
    <t>Q8IVL5_LEPREL1</t>
  </si>
  <si>
    <t>Q8IVM0_CCDC50</t>
  </si>
  <si>
    <t>Q8IVS2_MCAT</t>
  </si>
  <si>
    <t>Q8IW45_CARKD</t>
  </si>
  <si>
    <t>Q8IWA4_MFN1</t>
  </si>
  <si>
    <t>Q8IWA5_SLC44A2</t>
  </si>
  <si>
    <t>Q8IWB1_ITPRIP</t>
  </si>
  <si>
    <t>Q8IWB7_WDFY1</t>
  </si>
  <si>
    <t>Q8IWB9_TEX2</t>
  </si>
  <si>
    <t>Q8IWC1-2_MAP7D3</t>
  </si>
  <si>
    <t>Q8IWE2_FAM114A1</t>
  </si>
  <si>
    <t>Q8IWE4_DCUN1D3</t>
  </si>
  <si>
    <t>Q8IWJ2_GCC2</t>
  </si>
  <si>
    <t>Q8IWL3_HSCB</t>
  </si>
  <si>
    <t>Q8IWV7_UBR1</t>
  </si>
  <si>
    <t>Q8IWV8-4_UBR2</t>
  </si>
  <si>
    <t>Q8IWW6-2_ARHGAP12</t>
  </si>
  <si>
    <t>Q8IWW6-3_ARHGAP12</t>
  </si>
  <si>
    <t>Q8IWW8-2_ADHFE1</t>
  </si>
  <si>
    <t>Q8IWZ3-6_ANKHD1</t>
  </si>
  <si>
    <t>Q8IWZ8_SUGP1</t>
  </si>
  <si>
    <t>Q8IX04_UEVLD</t>
  </si>
  <si>
    <t>Q8IX12-2_CCAR1</t>
  </si>
  <si>
    <t>Q8IXB1_DNAJC10</t>
  </si>
  <si>
    <t>Q8IXI2-4_RHOT1</t>
  </si>
  <si>
    <t>Q8IXJ6-2_SIRT2</t>
  </si>
  <si>
    <t>Q8IXQ4_KIAA1704</t>
  </si>
  <si>
    <t>Q8IY17-3_PNPLA6</t>
  </si>
  <si>
    <t>Q8IY22-3_CMIP</t>
  </si>
  <si>
    <t>Q8IY26_PPAPDC2</t>
  </si>
  <si>
    <t>Q8IY31_IFT20</t>
  </si>
  <si>
    <t>Q8IY33_MICALL2</t>
  </si>
  <si>
    <t>Q8IY95-2_TMEM192</t>
  </si>
  <si>
    <t>Q8IYB1_MB21D2</t>
  </si>
  <si>
    <t>Q8IYB5-3_SMAP1</t>
  </si>
  <si>
    <t>Q8IYB7_DIS3L2</t>
  </si>
  <si>
    <t>Q8IYB8_SUPV3L1</t>
  </si>
  <si>
    <t>Q8IYD1_GSPT2</t>
  </si>
  <si>
    <t>Q8IYI6_EXOC8</t>
  </si>
  <si>
    <t>Q8IYL3_C1orf174</t>
  </si>
  <si>
    <t>Q8IYM9-2_TRIM22</t>
  </si>
  <si>
    <t>Q8IYN6_UBALD2</t>
  </si>
  <si>
    <t>Q8IYQ7_THNSL1</t>
  </si>
  <si>
    <t>Q8IYS2_KIAA2013</t>
  </si>
  <si>
    <t>Q8IYU8_MICU2</t>
  </si>
  <si>
    <t>Q8IZ07_ANKRD13A</t>
  </si>
  <si>
    <t>Q8IZ21-3_PHACTR4</t>
  </si>
  <si>
    <t>Q8IZ68_MTX2</t>
  </si>
  <si>
    <t>Q8IZ73_RPUSD2</t>
  </si>
  <si>
    <t>Q8IZ81_ELMOD2</t>
  </si>
  <si>
    <t>Q8IZ83_ALDH16A1</t>
  </si>
  <si>
    <t>Q8IZD4_DCP1B</t>
  </si>
  <si>
    <t>Q8IZE3-2_SCYL3</t>
  </si>
  <si>
    <t>Q8IZJ1-2_UNC5B</t>
  </si>
  <si>
    <t>Q8IZL2_MAML2</t>
  </si>
  <si>
    <t>Q8IZR5-3_CMTM4</t>
  </si>
  <si>
    <t>Q8IZV5_RDH10</t>
  </si>
  <si>
    <t>Q8N0T1_C8orf59</t>
  </si>
  <si>
    <t>Q8N0U4_FAM185A</t>
  </si>
  <si>
    <t>Q8N0U8_VKORC1L1</t>
  </si>
  <si>
    <t>Q8N0W3_FUK</t>
  </si>
  <si>
    <t>Q8N0X4_CLYBL</t>
  </si>
  <si>
    <t>Q8N0X7_SPG20</t>
  </si>
  <si>
    <t>Q8N0Z6_TTC5</t>
  </si>
  <si>
    <t>Q8N108-17_MIER1</t>
  </si>
  <si>
    <t>Q8N111_CEND1</t>
  </si>
  <si>
    <t>Q8N122_RPTOR</t>
  </si>
  <si>
    <t>Q8N129_CNPY4</t>
  </si>
  <si>
    <t>Q8N130_SLC34A3</t>
  </si>
  <si>
    <t>Q8N138-4_ORMDL3</t>
  </si>
  <si>
    <t>Q8N142_ADSSL1</t>
  </si>
  <si>
    <t>Q8N163-2_KIAA1967</t>
  </si>
  <si>
    <t>Q8N183_NDUFAF2</t>
  </si>
  <si>
    <t>Q8N1A6_C4orf33</t>
  </si>
  <si>
    <t>Q8N1B4_VPS52</t>
  </si>
  <si>
    <t>Q8N1F7_NUP93</t>
  </si>
  <si>
    <t>Q8N1G2_FTSJD2</t>
  </si>
  <si>
    <t>Q8N1G4_LRRC47</t>
  </si>
  <si>
    <t>Q8N1Q1_CA13</t>
  </si>
  <si>
    <t>Q8N1S5-2_SLC39A11</t>
  </si>
  <si>
    <t>Q8N1W1-3_ARHGEF28</t>
  </si>
  <si>
    <t>Q8N283_ANKRD35</t>
  </si>
  <si>
    <t>Q8N2F6-3_ARMC10</t>
  </si>
  <si>
    <t>Q8N2G8-3_GHDC</t>
  </si>
  <si>
    <t>Q8N2H3_PYROXD2</t>
  </si>
  <si>
    <t>Q8N2K0_ABHD12</t>
  </si>
  <si>
    <t>Q8N300_CCDC23</t>
  </si>
  <si>
    <t>Q8N335_GPD1L</t>
  </si>
  <si>
    <t>Q8N350_DOS</t>
  </si>
  <si>
    <t>Q8N357_SLC35F6</t>
  </si>
  <si>
    <t>Q8N392_ARHGAP18</t>
  </si>
  <si>
    <t>Q8N3D4_EHBP1L1</t>
  </si>
  <si>
    <t>Q8N3F8_MICALL1</t>
  </si>
  <si>
    <t>Q8N3V7-2_SYNPO</t>
  </si>
  <si>
    <t>Q8N3X1_FNBP4</t>
  </si>
  <si>
    <t>Q8N465_D2HGDH</t>
  </si>
  <si>
    <t>Q8N474_SFRP1</t>
  </si>
  <si>
    <t>Q8N488_RYBP</t>
  </si>
  <si>
    <t>Q8N490-2_PNKD</t>
  </si>
  <si>
    <t>Q8N4C8_MINK1</t>
  </si>
  <si>
    <t>Q8N4H5_TOMM5</t>
  </si>
  <si>
    <t>Q8N4N3-2_KLHL36</t>
  </si>
  <si>
    <t>Q8N4P3_HDDC3</t>
  </si>
  <si>
    <t>Q8N4Q0_ZADH2</t>
  </si>
  <si>
    <t>Q8N4S0-2_CCDC82</t>
  </si>
  <si>
    <t>Q8N4V1_MMGT1</t>
  </si>
  <si>
    <t>Q8N556_AFAP1</t>
  </si>
  <si>
    <t>Q8N573-2_OXR1</t>
  </si>
  <si>
    <t>Q8N573-8_OXR1</t>
  </si>
  <si>
    <t>Q8N584_TTC39C</t>
  </si>
  <si>
    <t>Q8N5C1_FAM26E</t>
  </si>
  <si>
    <t>Q8N5G0-2_SMIM20</t>
  </si>
  <si>
    <t>Q8N5G2-2_TMEM57</t>
  </si>
  <si>
    <t>Q8N5H3-4_FAM89B</t>
  </si>
  <si>
    <t>Q8N5I4_DHRSX</t>
  </si>
  <si>
    <t>Q8N5I9_C12orf45</t>
  </si>
  <si>
    <t>Q8N5J2_FAM63A</t>
  </si>
  <si>
    <t>Q8N5K1_CISD2</t>
  </si>
  <si>
    <t>Q8N5L8_RPP25L</t>
  </si>
  <si>
    <t>Q8N5M1_ATPAF2</t>
  </si>
  <si>
    <t>Q8N5M9_JAGN1</t>
  </si>
  <si>
    <t>Q8N5N7_MRPL50</t>
  </si>
  <si>
    <t>Q8N5W9_FAM101B</t>
  </si>
  <si>
    <t>Q8N5X7_EIF4E3</t>
  </si>
  <si>
    <t>Q8N668_COMMD1</t>
  </si>
  <si>
    <t>Q8N684-2_CPSF7</t>
  </si>
  <si>
    <t>Q8N697_SLC15A4</t>
  </si>
  <si>
    <t>Q8N6H7_ARFGAP2</t>
  </si>
  <si>
    <t>Q8N6M0_OTUD6B</t>
  </si>
  <si>
    <t>Q8N6N3_C1orf52</t>
  </si>
  <si>
    <t>Q8N6Q8_METTL25</t>
  </si>
  <si>
    <t>Q8N6T3_ARFGAP1</t>
  </si>
  <si>
    <t>Q8N755_PQLC3</t>
  </si>
  <si>
    <t>Q8N766-4_EMC1</t>
  </si>
  <si>
    <t>Q8N7R7-3_CCNYL1</t>
  </si>
  <si>
    <t>Q8N8L6_ARL10</t>
  </si>
  <si>
    <t>Q8N8N7_PTGR2</t>
  </si>
  <si>
    <t>Q8N8R5_C2orf69</t>
  </si>
  <si>
    <t>Q8N8S7-2_ENAH</t>
  </si>
  <si>
    <t>Q8N954_GPATCH11</t>
  </si>
  <si>
    <t>Q8N999_C12orf29</t>
  </si>
  <si>
    <t>Q8N9A8-2_CNEP1R1</t>
  </si>
  <si>
    <t>Q8N9B5-2_JMY</t>
  </si>
  <si>
    <t>Q8N9N2-2_ASCC1</t>
  </si>
  <si>
    <t>Q8N9N7_LRRC57</t>
  </si>
  <si>
    <t>Q8N9V3-2_WDSUB1</t>
  </si>
  <si>
    <t>Q8NAF0_ZNF579</t>
  </si>
  <si>
    <t>Q8NB16_MLKL</t>
  </si>
  <si>
    <t>Q8NB37_PDDC1</t>
  </si>
  <si>
    <t>Q8NB49-3_ATP11C</t>
  </si>
  <si>
    <t>Q8NBF2_NHLRC2</t>
  </si>
  <si>
    <t>Q8NBF6_AVL9</t>
  </si>
  <si>
    <t>Q8NBI6_XXYLT1</t>
  </si>
  <si>
    <t>Q8NBJ4-2_GOLM1</t>
  </si>
  <si>
    <t>Q8NBJ5_COLGALT1</t>
  </si>
  <si>
    <t>Q8NBK3_SUMF1</t>
  </si>
  <si>
    <t>Q8NBL1_POGLUT1</t>
  </si>
  <si>
    <t>Q8NBM4-4_UBAC2</t>
  </si>
  <si>
    <t>Q8NBM8_PCYOX1L</t>
  </si>
  <si>
    <t>Q8NBN3_TMEM87A</t>
  </si>
  <si>
    <t>Q8NBN7_RDH13</t>
  </si>
  <si>
    <t>Q8NBU5_ATAD1</t>
  </si>
  <si>
    <t>Q8NBX0_SCCPDH</t>
  </si>
  <si>
    <t>Q8NC44_FAM134A</t>
  </si>
  <si>
    <t>Q8NC51-2_SERBP1</t>
  </si>
  <si>
    <t>Q8NC54_KCT2</t>
  </si>
  <si>
    <t>Q8NC56_LEMD2</t>
  </si>
  <si>
    <t>Q8NC96_NECAP1</t>
  </si>
  <si>
    <t>Q8NCC3_PLA2G15</t>
  </si>
  <si>
    <t>Q8NCE2-2_MTMR14</t>
  </si>
  <si>
    <t>Q8NCF5_NFATC2IP</t>
  </si>
  <si>
    <t>Q8NCG7-4_DAGLB</t>
  </si>
  <si>
    <t>Q8NCL4_GALNT6</t>
  </si>
  <si>
    <t>Q8NCN5_PDPR</t>
  </si>
  <si>
    <t>Q8NCW5_APOA1BP</t>
  </si>
  <si>
    <t>Q8ND24_RNF214</t>
  </si>
  <si>
    <t>Q8ND30_PPFIBP2</t>
  </si>
  <si>
    <t>Q8ND56-2_LSM14A</t>
  </si>
  <si>
    <t>Q8ND76-3_CCNY</t>
  </si>
  <si>
    <t>Q8ND90_PNMA1</t>
  </si>
  <si>
    <t>Q8ND94_LRRN4CL</t>
  </si>
  <si>
    <t>Q8NDC0_MAPK1IP1L</t>
  </si>
  <si>
    <t>Q8NDH3_NPEPL1</t>
  </si>
  <si>
    <t>Q8NDI1-3_EHBP1</t>
  </si>
  <si>
    <t>Q8NDZ4_C3orf58</t>
  </si>
  <si>
    <t>Q8NE00_TMEM104</t>
  </si>
  <si>
    <t>Q8NE71-2_ABCF1</t>
  </si>
  <si>
    <t>Q8NE86-3_MCU</t>
  </si>
  <si>
    <t>Q8NEC7_GSTCD</t>
  </si>
  <si>
    <t>Q8NEL9-2_DDHD1</t>
  </si>
  <si>
    <t>Q8NEN9_PDZD8</t>
  </si>
  <si>
    <t>Q8NEU8_APPL2</t>
  </si>
  <si>
    <t>Q8NEW0_SLC30A7</t>
  </si>
  <si>
    <t>Q8NEY1-2_NAV1</t>
  </si>
  <si>
    <t>Q8NEZ2-2_VPS37A</t>
  </si>
  <si>
    <t>Q8NEZ5_FBXO22</t>
  </si>
  <si>
    <t>Q8NF37_LPCAT1</t>
  </si>
  <si>
    <t>Q8NFC6_BOD1L1</t>
  </si>
  <si>
    <t>Q8NFF5-2_FLAD1</t>
  </si>
  <si>
    <t>Q8NFG4_FLCN</t>
  </si>
  <si>
    <t>Q8NFH3_NUP43</t>
  </si>
  <si>
    <t>Q8NFH4_NUP37</t>
  </si>
  <si>
    <t>Q8NFQ8_TOR1AIP2</t>
  </si>
  <si>
    <t>Q8NFV4_ABHD11</t>
  </si>
  <si>
    <t>Q8NFX7-2_STXBP6</t>
  </si>
  <si>
    <t>Q8NFZ4_NLGN2</t>
  </si>
  <si>
    <t>Q8NFZ8_CADM4</t>
  </si>
  <si>
    <t>Q8NG27-3_PJA1</t>
  </si>
  <si>
    <t>Q8NG68_TTL</t>
  </si>
  <si>
    <t>Q8NHG7_SVIP</t>
  </si>
  <si>
    <t>Q8NHH9_ATL2</t>
  </si>
  <si>
    <t>Q8NHP8_PLBD2</t>
  </si>
  <si>
    <t>Q8NHU3_SGMS2</t>
  </si>
  <si>
    <t>Q8NHU6_TDRD7</t>
  </si>
  <si>
    <t>Q8NHV1_GIMAP7</t>
  </si>
  <si>
    <t>Q8NHV4_NEDD1</t>
  </si>
  <si>
    <t>Q8NHZ8_CDC26</t>
  </si>
  <si>
    <t>Q8NI08-2_NCOA7</t>
  </si>
  <si>
    <t>Q8NI22-2_MCFD2</t>
  </si>
  <si>
    <t>Q8NI37_PPTC7</t>
  </si>
  <si>
    <t>Q8TAA9-2_VANGL1</t>
  </si>
  <si>
    <t>Q8TAE8_GADD45GIP1</t>
  </si>
  <si>
    <t>Q8TAF3_WDR48</t>
  </si>
  <si>
    <t>Q8TAP6-2_CEP76</t>
  </si>
  <si>
    <t>Q8TAP8_PPP1R35</t>
  </si>
  <si>
    <t>Q8TAT6_NPLOC4</t>
  </si>
  <si>
    <t>Q8TB03_CXorf38</t>
  </si>
  <si>
    <t>Q8TB22-3_SPATA20</t>
  </si>
  <si>
    <t>Q8TB24_RIN3</t>
  </si>
  <si>
    <t>Q8TB36-2_GDAP1</t>
  </si>
  <si>
    <t>Q8TB37_NUBPL</t>
  </si>
  <si>
    <t>Q8TB40_ABHD4</t>
  </si>
  <si>
    <t>Q8TB52_FBXO30</t>
  </si>
  <si>
    <t>Q8TB61-3_SLC35B2</t>
  </si>
  <si>
    <t>Q8TB70_TXNDC9</t>
  </si>
  <si>
    <t>Q8TB72-2_PUM2</t>
  </si>
  <si>
    <t>Q8TB96_ITFG1</t>
  </si>
  <si>
    <t>Q8TBA6-2_GOLGA5</t>
  </si>
  <si>
    <t>Q8TBB0-2_THAP6</t>
  </si>
  <si>
    <t>Q8TBB6_SLC7A14</t>
  </si>
  <si>
    <t>Q8TBC4_UBA3</t>
  </si>
  <si>
    <t>Q8TBC5-4_ZSCAN18</t>
  </si>
  <si>
    <t>Q8TBE9_NANP</t>
  </si>
  <si>
    <t>Q8TBM8_DNAJB14</t>
  </si>
  <si>
    <t>Q8TBN0_RAB3IL1</t>
  </si>
  <si>
    <t>Q8TBX8_PIP4K2C</t>
  </si>
  <si>
    <t>Q8TC07-2_TBC1D15</t>
  </si>
  <si>
    <t>Q8TC12_RDH11</t>
  </si>
  <si>
    <t>Q8TC71-2_SPATA18</t>
  </si>
  <si>
    <t>Q8TCA0_LRRC20</t>
  </si>
  <si>
    <t>Q8TCD1_C18orf32</t>
  </si>
  <si>
    <t>Q8TCD5_NT5C</t>
  </si>
  <si>
    <t>Q8TCE6-2_FAM45A</t>
  </si>
  <si>
    <t>Q8TCG2_PI4K2B</t>
  </si>
  <si>
    <t>Q8TCJ2_STT3B</t>
  </si>
  <si>
    <t>Q8TCT9-5_HM13</t>
  </si>
  <si>
    <t>Q8TCX1_DYNC2LI1</t>
  </si>
  <si>
    <t>Q8TCZ2-6_CD99L2</t>
  </si>
  <si>
    <t>Q8TD16_BICD2</t>
  </si>
  <si>
    <t>Q8TD19_NEK9</t>
  </si>
  <si>
    <t>Q8TD30_GPT2</t>
  </si>
  <si>
    <t>Q8TD55_PLEKHO2</t>
  </si>
  <si>
    <t>Q8TDB4_MGARP</t>
  </si>
  <si>
    <t>Q8TDH9_BLOC1S5</t>
  </si>
  <si>
    <t>Q8TDM0-3_BCAS4</t>
  </si>
  <si>
    <t>Q8TDM6_DLG5</t>
  </si>
  <si>
    <t>Q8TDQ7_GNPDA2</t>
  </si>
  <si>
    <t>Q8TDX7_NEK7</t>
  </si>
  <si>
    <t>Q8TDY4-3_ASAP3</t>
  </si>
  <si>
    <t>Q8TDZ2_MICAL1</t>
  </si>
  <si>
    <t>Q8TE73_DNAH5</t>
  </si>
  <si>
    <t>Q8TE77_SSH3</t>
  </si>
  <si>
    <t>Q8TEA1_NSUN6</t>
  </si>
  <si>
    <t>Q8TEA8_DTD1</t>
  </si>
  <si>
    <t>Q8TED1_GPX8</t>
  </si>
  <si>
    <t>Q8TEJ3_SH3RF3</t>
  </si>
  <si>
    <t>Q8TEQ6_GEMIN5</t>
  </si>
  <si>
    <t>Q8TEW8-5_PARD3B</t>
  </si>
  <si>
    <t>Q8TEX9_IPO4</t>
  </si>
  <si>
    <t>Q8TF01_PNISR</t>
  </si>
  <si>
    <t>Q8TF05-2_PPP4R1</t>
  </si>
  <si>
    <t>Q8TF42_UBASH3B</t>
  </si>
  <si>
    <t>Q8TF66_LRRC15</t>
  </si>
  <si>
    <t>Q8TF72_SHROOM3</t>
  </si>
  <si>
    <t>Q8TF74_WIPF2</t>
  </si>
  <si>
    <t>Q8WTS1_ABHD5</t>
  </si>
  <si>
    <t>Q8WTS6_SETD7</t>
  </si>
  <si>
    <t>Q8WU10_PYROXD1</t>
  </si>
  <si>
    <t>Q8WU17_RNF139</t>
  </si>
  <si>
    <t>Q8WU76-2_SCFD2</t>
  </si>
  <si>
    <t>Q8WU79-2_SMAP2</t>
  </si>
  <si>
    <t>Q8WU90_ZC3H15</t>
  </si>
  <si>
    <t>Q8WUA2_PPIL4</t>
  </si>
  <si>
    <t>Q8WUA8_TSKU</t>
  </si>
  <si>
    <t>Q8WUD1_RAB2B</t>
  </si>
  <si>
    <t>Q8WUF5_PPP1R13L</t>
  </si>
  <si>
    <t>Q8WUF8_FAM172A</t>
  </si>
  <si>
    <t>Q8WUH6_C12orf23</t>
  </si>
  <si>
    <t>Q8WUI4-3_HDAC7</t>
  </si>
  <si>
    <t>Q8WUJ0_STYX</t>
  </si>
  <si>
    <t>Q8WUK0-2_PTPMT1</t>
  </si>
  <si>
    <t>Q8WUM4_PDCD6IP</t>
  </si>
  <si>
    <t>Q8WUM9_SLC20A1</t>
  </si>
  <si>
    <t>Q8WUP2_FBLIM1</t>
  </si>
  <si>
    <t>Q8WUR7_C15orf40</t>
  </si>
  <si>
    <t>Q8WUX2_CHAC2</t>
  </si>
  <si>
    <t>Q8WUX9_CHMP7</t>
  </si>
  <si>
    <t>Q8WUY1_THEM6</t>
  </si>
  <si>
    <t>Q8WUY3-4_PRUNE2</t>
  </si>
  <si>
    <t>Q8WUY8_NAT14</t>
  </si>
  <si>
    <t>Q8WV41_SNX33</t>
  </si>
  <si>
    <t>Q8WV93_LACE1</t>
  </si>
  <si>
    <t>Q8WVC0_LEO1</t>
  </si>
  <si>
    <t>Q8WVC2_RPS21</t>
  </si>
  <si>
    <t>Q8WVD5_RNF141</t>
  </si>
  <si>
    <t>Q8WVE0_N6AMT2</t>
  </si>
  <si>
    <t>Q8WVJ2_NUDCD2</t>
  </si>
  <si>
    <t>Q8WVK2_SNRNP27</t>
  </si>
  <si>
    <t>Q8WVM8_SCFD1</t>
  </si>
  <si>
    <t>Q8WVN8-3_UBE2Q2</t>
  </si>
  <si>
    <t>Q8WVQ1_CANT1</t>
  </si>
  <si>
    <t>Q8WVT3_TRAPPC12</t>
  </si>
  <si>
    <t>Q8WVY7_UBLCP1</t>
  </si>
  <si>
    <t>Q8WW01_TSEN15</t>
  </si>
  <si>
    <t>Q8WW12_PCNP</t>
  </si>
  <si>
    <t>Q8WW59_SPRYD4</t>
  </si>
  <si>
    <t>Q8WWB7-2_C1orf85</t>
  </si>
  <si>
    <t>Q8WWH5_TRUB1</t>
  </si>
  <si>
    <t>Q8WWI5_SLC44A1</t>
  </si>
  <si>
    <t>Q8WWM7_ATXN2L</t>
  </si>
  <si>
    <t>Q8WWM9_CYGB</t>
  </si>
  <si>
    <t>Q8WWV3_RTN4IP1</t>
  </si>
  <si>
    <t>Q8WWX9_SELM</t>
  </si>
  <si>
    <t>Q8WX92_NELFB</t>
  </si>
  <si>
    <t>Q8WX93-3_PALLD</t>
  </si>
  <si>
    <t>Q8WXA9-2_SREK1</t>
  </si>
  <si>
    <t>Q8WXD5_GEMIN6</t>
  </si>
  <si>
    <t>Q8WXE0-2_CASKIN2</t>
  </si>
  <si>
    <t>Q8WXE1-5_ATRIP</t>
  </si>
  <si>
    <t>Q8WXF1_PSPC1</t>
  </si>
  <si>
    <t>Q8WXH0_SYNE2</t>
  </si>
  <si>
    <t>Q8WXI4-2_ACOT11</t>
  </si>
  <si>
    <t>Q8WXI9_GATAD2B</t>
  </si>
  <si>
    <t>Q8WXX5_DNAJC9</t>
  </si>
  <si>
    <t>Q8WYA6-3_CTNNBL1</t>
  </si>
  <si>
    <t>Q8WYL5_SSH1</t>
  </si>
  <si>
    <t>Q8WYN0_ATG4A</t>
  </si>
  <si>
    <t>Q8WYP5_AHCTF1</t>
  </si>
  <si>
    <t>Q8WZ82_OVCA2</t>
  </si>
  <si>
    <t>Q8WZA0_LZIC</t>
  </si>
  <si>
    <t>Q8WZA9_IRGQ</t>
  </si>
  <si>
    <t>Q92478_CLEC2B</t>
  </si>
  <si>
    <t>Q92499_DDX1</t>
  </si>
  <si>
    <t>Q92503-3_SEC14L1</t>
  </si>
  <si>
    <t>Q92504_SLC39A7</t>
  </si>
  <si>
    <t>Q92508_PIEZO1</t>
  </si>
  <si>
    <t>Q92520_FAM3C</t>
  </si>
  <si>
    <t>Q92526_CCT6B</t>
  </si>
  <si>
    <t>Q92529_SHC3</t>
  </si>
  <si>
    <t>Q92537_KIAA0247</t>
  </si>
  <si>
    <t>Q92538_GBF1</t>
  </si>
  <si>
    <t>Q92541_RTF1</t>
  </si>
  <si>
    <t>Q92544_TM9SF4</t>
  </si>
  <si>
    <t>Q92546_RGP1</t>
  </si>
  <si>
    <t>Q92567-2_FAM168A</t>
  </si>
  <si>
    <t>Q92572_AP3S1</t>
  </si>
  <si>
    <t>Q92574_TSC1</t>
  </si>
  <si>
    <t>Q92575_UBXN4</t>
  </si>
  <si>
    <t>Q92581-3_SLC9A6</t>
  </si>
  <si>
    <t>Q92597_NDRG1</t>
  </si>
  <si>
    <t>Q92598-2_HSPH1</t>
  </si>
  <si>
    <t>Q92600_RQCD1</t>
  </si>
  <si>
    <t>Q92609_TBC1D5</t>
  </si>
  <si>
    <t>Q92615_LARP4B</t>
  </si>
  <si>
    <t>Q92616_GCN1L1</t>
  </si>
  <si>
    <t>Q92620_DHX38</t>
  </si>
  <si>
    <t>Q92625_ANKS1A</t>
  </si>
  <si>
    <t>Q92626_PXDN</t>
  </si>
  <si>
    <t>Q92629-2_SGCD</t>
  </si>
  <si>
    <t>Q92636_NSMAF</t>
  </si>
  <si>
    <t>Q92686_NRGN</t>
  </si>
  <si>
    <t>Q92688_ANP32B</t>
  </si>
  <si>
    <t>Q92692_PVRL2</t>
  </si>
  <si>
    <t>Q92692-2_PVRL2</t>
  </si>
  <si>
    <t>Q92696_RABGGTA</t>
  </si>
  <si>
    <t>Q92734-2_TFG</t>
  </si>
  <si>
    <t>Q92738_USP6NL</t>
  </si>
  <si>
    <t>Q92747_ARPC1A</t>
  </si>
  <si>
    <t>Q92781_RDH5</t>
  </si>
  <si>
    <t>Q92783-2_STAM</t>
  </si>
  <si>
    <t>Q92793_CREBBP</t>
  </si>
  <si>
    <t>Q92797_SYMPK</t>
  </si>
  <si>
    <t>Q92804-2_TAF15</t>
  </si>
  <si>
    <t>Q92805_GOLGA1</t>
  </si>
  <si>
    <t>Q92819_HAS2</t>
  </si>
  <si>
    <t>Q92820_GGH</t>
  </si>
  <si>
    <t>Q92834-4_RPGR</t>
  </si>
  <si>
    <t>Q92843-2_BCL2L2</t>
  </si>
  <si>
    <t>Q92844_TANK</t>
  </si>
  <si>
    <t>Q92859-3_NEO1</t>
  </si>
  <si>
    <t>Q92871_PMM1</t>
  </si>
  <si>
    <t>Q92882_OSTF1</t>
  </si>
  <si>
    <t>Q92888-3_ARHGEF1</t>
  </si>
  <si>
    <t>Q92889_ERCC4</t>
  </si>
  <si>
    <t>Q92890_UFD1L</t>
  </si>
  <si>
    <t>Q92896_GLG1</t>
  </si>
  <si>
    <t>Q92900-2_UPF1</t>
  </si>
  <si>
    <t>Q92905_COPS5</t>
  </si>
  <si>
    <t>Q92917_GPKOW</t>
  </si>
  <si>
    <t>Q92930_RAB8B</t>
  </si>
  <si>
    <t>Q92934_BAD</t>
  </si>
  <si>
    <t>Q92945_KHSRP</t>
  </si>
  <si>
    <t>Q92947_GCDH</t>
  </si>
  <si>
    <t>Q92963_RIT1</t>
  </si>
  <si>
    <t>Q92968_PEX13</t>
  </si>
  <si>
    <t>Q92973-2_TNPO1</t>
  </si>
  <si>
    <t>Q92974-2_ARHGEF2</t>
  </si>
  <si>
    <t>Q92979_EMG1</t>
  </si>
  <si>
    <t>Q92990_GLMN</t>
  </si>
  <si>
    <t>Q92995_USP13</t>
  </si>
  <si>
    <t>Q93008-1_USP9X</t>
  </si>
  <si>
    <t>Q93015-2_NAT6</t>
  </si>
  <si>
    <t>Q93034_CUL5</t>
  </si>
  <si>
    <t>Q93052_LPP</t>
  </si>
  <si>
    <t>Q93063_EXT2</t>
  </si>
  <si>
    <t>Q969E2-2_SCAMP4</t>
  </si>
  <si>
    <t>Q969E4_TCEAL3</t>
  </si>
  <si>
    <t>Q969E8_TSR2</t>
  </si>
  <si>
    <t>Q969G6_RFK</t>
  </si>
  <si>
    <t>Q969H8_C19orf10</t>
  </si>
  <si>
    <t>Q969K3_RNF34</t>
  </si>
  <si>
    <t>Q969K7-3_TMEM54</t>
  </si>
  <si>
    <t>Q969M3_YIPF5</t>
  </si>
  <si>
    <t>Q969N2-3_PIGT</t>
  </si>
  <si>
    <t>Q969P0-3_IGSF8</t>
  </si>
  <si>
    <t>Q969Q5_RAB24</t>
  </si>
  <si>
    <t>Q969S3_ZNF622</t>
  </si>
  <si>
    <t>Q969S9-3_GFM2</t>
  </si>
  <si>
    <t>Q969T7-2_NT5C3B</t>
  </si>
  <si>
    <t>Q969V3-2_NCLN</t>
  </si>
  <si>
    <t>Q969X5-2_ERGIC1</t>
  </si>
  <si>
    <t>Q969Y2-3_GTPBP3</t>
  </si>
  <si>
    <t>Q969Z0_TBRG4</t>
  </si>
  <si>
    <t>Q969Z3_MARC2</t>
  </si>
  <si>
    <t>Q96A00_PPP1R14A</t>
  </si>
  <si>
    <t>Q96A19_CCDC102A</t>
  </si>
  <si>
    <t>Q96A33_CCDC47</t>
  </si>
  <si>
    <t>Q96A46_SLC25A28</t>
  </si>
  <si>
    <t>Q96A49_SYAP1</t>
  </si>
  <si>
    <t>Q96A65_EXOC4</t>
  </si>
  <si>
    <t>Q96A73-2_KIAA1191</t>
  </si>
  <si>
    <t>Q96AB3_ISOC2</t>
  </si>
  <si>
    <t>Q96AB6_NTAN1</t>
  </si>
  <si>
    <t>Q96AC1_FERMT2</t>
  </si>
  <si>
    <t>Q96AD5_PNPLA2</t>
  </si>
  <si>
    <t>Q96AE4_FUBP1</t>
  </si>
  <si>
    <t>Q96AE4-2_FUBP1</t>
  </si>
  <si>
    <t>Q96AG3_SLC25A46</t>
  </si>
  <si>
    <t>Q96AG4_LRRC59</t>
  </si>
  <si>
    <t>Q96AH8_RAB7B</t>
  </si>
  <si>
    <t>Q96AJ9-1_VTI1A</t>
  </si>
  <si>
    <t>Q96AM1_MRGPRF</t>
  </si>
  <si>
    <t>Q96AQ6-2_PBXIP1</t>
  </si>
  <si>
    <t>Q96AQ8_MCUR1</t>
  </si>
  <si>
    <t>Q96AT1_KIAA1143</t>
  </si>
  <si>
    <t>Q96AT9_RPE</t>
  </si>
  <si>
    <t>Q96AY3_FKBP10</t>
  </si>
  <si>
    <t>Q96AY4_TTC28</t>
  </si>
  <si>
    <t>Q96B23-2_C18orf25</t>
  </si>
  <si>
    <t>Q96B26_EXOSC8</t>
  </si>
  <si>
    <t>Q96B36_AKT1S1</t>
  </si>
  <si>
    <t>Q96B45_C10orf32</t>
  </si>
  <si>
    <t>Q96B49_TOMM6</t>
  </si>
  <si>
    <t>Q96BA8_CREB3L1</t>
  </si>
  <si>
    <t>Q96BH1_RNF25</t>
  </si>
  <si>
    <t>Q96BJ3_AIDA</t>
  </si>
  <si>
    <t>Q96BM9_ARL8A</t>
  </si>
  <si>
    <t>Q96BN8_FAM105B</t>
  </si>
  <si>
    <t>Q96BP2_CHCHD1</t>
  </si>
  <si>
    <t>Q96BP3_PPWD1</t>
  </si>
  <si>
    <t>Q96BR5_SELRC1</t>
  </si>
  <si>
    <t>Q96BW5-2_PTER</t>
  </si>
  <si>
    <t>Q96BX8_MOB3A</t>
  </si>
  <si>
    <t>Q96BY7_ATG2B</t>
  </si>
  <si>
    <t>Q96BZ9_TBC1D20</t>
  </si>
  <si>
    <t>Q96C01_FAM136A</t>
  </si>
  <si>
    <t>Q96C11_FGGY</t>
  </si>
  <si>
    <t>Q96C19_EFHD2</t>
  </si>
  <si>
    <t>Q96C23_GALM</t>
  </si>
  <si>
    <t>Q96C36_PYCR2</t>
  </si>
  <si>
    <t>Q96C86_DCPS</t>
  </si>
  <si>
    <t>Q96C90_PPP1R14B</t>
  </si>
  <si>
    <t>Q96C92-4_SDCCAG3</t>
  </si>
  <si>
    <t>Q96CB9-4_NSUN4</t>
  </si>
  <si>
    <t>Q96CC6_RHBDF1</t>
  </si>
  <si>
    <t>Q96CD0_FBXL8</t>
  </si>
  <si>
    <t>Q96CD2_PPCDC</t>
  </si>
  <si>
    <t>Q96CG8_CTHRC1</t>
  </si>
  <si>
    <t>Q96CN7_ISOC1</t>
  </si>
  <si>
    <t>Q96CN9_GCC1</t>
  </si>
  <si>
    <t>Q96CP2_FLYWCH2</t>
  </si>
  <si>
    <t>Q96CQ1_SLC25A36</t>
  </si>
  <si>
    <t>Q96CS3_FAF2</t>
  </si>
  <si>
    <t>Q96CT7_CCDC124</t>
  </si>
  <si>
    <t>Q96CU9-3_FOXRED1</t>
  </si>
  <si>
    <t>Q96CV9_OPTN</t>
  </si>
  <si>
    <t>Q96CW1-2_AP2M1</t>
  </si>
  <si>
    <t>Q96CW5-3_TUBGCP3</t>
  </si>
  <si>
    <t>Q96CW6_SLC7A6OS</t>
  </si>
  <si>
    <t>Q96CX2_KCTD12</t>
  </si>
  <si>
    <t>Q96D15_RCN3</t>
  </si>
  <si>
    <t>Q96DA6-2_DNAJC19</t>
  </si>
  <si>
    <t>Q96DB5_RMDN1</t>
  </si>
  <si>
    <t>Q96DC8_ECHDC3</t>
  </si>
  <si>
    <t>Q96DD7_SHISA4</t>
  </si>
  <si>
    <t>Q96DE0_NUDT16</t>
  </si>
  <si>
    <t>Q96DE5_ANAPC16</t>
  </si>
  <si>
    <t>Q96DF8_DGCR14</t>
  </si>
  <si>
    <t>Q96DG6_CMBL</t>
  </si>
  <si>
    <t>Q96DI7_SNRNP40</t>
  </si>
  <si>
    <t>Q96DR4_STARD4</t>
  </si>
  <si>
    <t>Q96DT0-3_LGALS12</t>
  </si>
  <si>
    <t>Q96DT6_ATG4C</t>
  </si>
  <si>
    <t>Q96DU7_ITPKC</t>
  </si>
  <si>
    <t>Q96DX4_RSPRY1</t>
  </si>
  <si>
    <t>Q96DX7_TRIM44</t>
  </si>
  <si>
    <t>Q96DZ1_ERLEC1</t>
  </si>
  <si>
    <t>Q96E09_FAM122A</t>
  </si>
  <si>
    <t>Q96E11-3_MRRF</t>
  </si>
  <si>
    <t>Q96EB6-2_SIRT1</t>
  </si>
  <si>
    <t>Q96EC8_YIPF6</t>
  </si>
  <si>
    <t>Q96EE3_SEH1L</t>
  </si>
  <si>
    <t>Q96EH3_MALSU1</t>
  </si>
  <si>
    <t>Q96EI5_TCEAL4</t>
  </si>
  <si>
    <t>Q96EK5_KIAA1279</t>
  </si>
  <si>
    <t>Q96EK6_GNPNAT1</t>
  </si>
  <si>
    <t>Q96EL3_MRPL53</t>
  </si>
  <si>
    <t>Q96EM0_L3HYPDH</t>
  </si>
  <si>
    <t>Q96EP5-2_DAZAP1</t>
  </si>
  <si>
    <t>Q96EQ0_SGTB</t>
  </si>
  <si>
    <t>Q96ER3_SAAL1</t>
  </si>
  <si>
    <t>Q96ER9_CCDC51</t>
  </si>
  <si>
    <t>Q96EU7_C1GALT1C1</t>
  </si>
  <si>
    <t>Q96EV2_RBM33</t>
  </si>
  <si>
    <t>Q96EV8_DTNBP1</t>
  </si>
  <si>
    <t>Q96EX1_SMIM12</t>
  </si>
  <si>
    <t>Q96EY5_MVB12A</t>
  </si>
  <si>
    <t>Q96EY8_MMAB</t>
  </si>
  <si>
    <t>Q96EY9_ADAT3</t>
  </si>
  <si>
    <t>Q96F10_SAT2</t>
  </si>
  <si>
    <t>Q96F24-2_NRBF2</t>
  </si>
  <si>
    <t>Q96F25_ALG14</t>
  </si>
  <si>
    <t>Q96F46_IL17RA</t>
  </si>
  <si>
    <t>Q96F85_CNRIP1</t>
  </si>
  <si>
    <t>Q96FE7-4_PIK3IP1</t>
  </si>
  <si>
    <t>Q96FH0-2_MEF2BNB</t>
  </si>
  <si>
    <t>Q96FJ0_STAMBPL1</t>
  </si>
  <si>
    <t>Q96FJ2_DYNLL2</t>
  </si>
  <si>
    <t>Q96FN4_CPNE2</t>
  </si>
  <si>
    <t>Q96FQ6_S100A16</t>
  </si>
  <si>
    <t>Q96FS4_SIPA1</t>
  </si>
  <si>
    <t>Q96FT9_IFT43</t>
  </si>
  <si>
    <t>Q96FX2_DPH3</t>
  </si>
  <si>
    <t>Q96FX7_TRMT61A</t>
  </si>
  <si>
    <t>Q96FZ7_CHMP6</t>
  </si>
  <si>
    <t>Q96G03_PGM2</t>
  </si>
  <si>
    <t>Q96G25_MED8</t>
  </si>
  <si>
    <t>Q96G28_CCDC104</t>
  </si>
  <si>
    <t>Q96G46_DUS3L</t>
  </si>
  <si>
    <t>Q96G61_NUDT11</t>
  </si>
  <si>
    <t>Q96GA3_LTV1</t>
  </si>
  <si>
    <t>Q96GA7_SDSL</t>
  </si>
  <si>
    <t>Q96GD0_PDXP</t>
  </si>
  <si>
    <t>Q96GF1_RNF185</t>
  </si>
  <si>
    <t>Q96GG9_DCUN1D1</t>
  </si>
  <si>
    <t>Q96GK7_FAHD2A</t>
  </si>
  <si>
    <t>Q96GP6-2_SCARF2</t>
  </si>
  <si>
    <t>Q96GS4_C17orf59</t>
  </si>
  <si>
    <t>Q96GS6_ABHD17A</t>
  </si>
  <si>
    <t>Q96GW9_MARS2</t>
  </si>
  <si>
    <t>Q96GX2_ATXN7L3B</t>
  </si>
  <si>
    <t>Q96GX9_APIP</t>
  </si>
  <si>
    <t>Q96GY0_ZC2HC1A</t>
  </si>
  <si>
    <t>Q96H20_SNF8</t>
  </si>
  <si>
    <t>Q96H79_ZC3HAV1L</t>
  </si>
  <si>
    <t>Q96HA4-4_C1orf159</t>
  </si>
  <si>
    <t>Q96HA8_WDYHV1</t>
  </si>
  <si>
    <t>Q96HC4_PDLIM5</t>
  </si>
  <si>
    <t>Q96HD1_CRELD1</t>
  </si>
  <si>
    <t>Q96HE7_ERO1L</t>
  </si>
  <si>
    <t>Q96HJ9_C7orf55</t>
  </si>
  <si>
    <t>Q96HQ2-2_CDKN2AIPNL</t>
  </si>
  <si>
    <t>Q96HR9_REEP6</t>
  </si>
  <si>
    <t>Q96HS1_PGAM5</t>
  </si>
  <si>
    <t>Q96HY6_DDRGK1</t>
  </si>
  <si>
    <t>Q96I15_SCLY</t>
  </si>
  <si>
    <t>Q96I23_PYURF</t>
  </si>
  <si>
    <t>Q96I24_FUBP3</t>
  </si>
  <si>
    <t>Q96I25_RBM17</t>
  </si>
  <si>
    <t>Q96I36_COX14</t>
  </si>
  <si>
    <t>Q96I51_WBSCR16</t>
  </si>
  <si>
    <t>Q96I99_SUCLG2</t>
  </si>
  <si>
    <t>Q96IG2_FBXL20</t>
  </si>
  <si>
    <t>Q96IJ6_GMPPA</t>
  </si>
  <si>
    <t>Q96IK1_BOD1</t>
  </si>
  <si>
    <t>Q96IU4_ABHD14B</t>
  </si>
  <si>
    <t>Q96IV0-2_NGLY1</t>
  </si>
  <si>
    <t>Q96IX5_USMG5</t>
  </si>
  <si>
    <t>Q96IZ0_PAWR</t>
  </si>
  <si>
    <t>Q96J02-2_ITCH</t>
  </si>
  <si>
    <t>Q96J84_KIRREL</t>
  </si>
  <si>
    <t>Q96J88-2_EPSTI1</t>
  </si>
  <si>
    <t>Q96JA1_LRIG1</t>
  </si>
  <si>
    <t>Q96JB2_COG3</t>
  </si>
  <si>
    <t>Q96JB5_CDK5RAP3</t>
  </si>
  <si>
    <t>Q96JC1-2_VPS39</t>
  </si>
  <si>
    <t>Q96JH7_VCPIP1</t>
  </si>
  <si>
    <t>Q96JJ7_TMX3</t>
  </si>
  <si>
    <t>Q96JP5_ZFP91</t>
  </si>
  <si>
    <t>Q96JQ0_DCHS1</t>
  </si>
  <si>
    <t>Q96JY6_PDLIM2</t>
  </si>
  <si>
    <t>Q96K19-2_RNF170</t>
  </si>
  <si>
    <t>Q96KA5-2_CLPTM1L</t>
  </si>
  <si>
    <t>Q96KB5_PBK</t>
  </si>
  <si>
    <t>Q96KB7_CIZ1</t>
  </si>
  <si>
    <t>Q96KC2_ARL5B</t>
  </si>
  <si>
    <t>Q96KC8_DNAJC1</t>
  </si>
  <si>
    <t>Q96KN4_FAM84A</t>
  </si>
  <si>
    <t>Q96KP1_EXOC2</t>
  </si>
  <si>
    <t>Q96KP4_CNDP2</t>
  </si>
  <si>
    <t>Q96KR1_ZFR</t>
  </si>
  <si>
    <t>Q96L35_EPHB4</t>
  </si>
  <si>
    <t>Q96L92_SNX27</t>
  </si>
  <si>
    <t>Q96L93-6_KIF16B</t>
  </si>
  <si>
    <t>Q96LD8_SENP8</t>
  </si>
  <si>
    <t>Q96LJ7_DHRS1</t>
  </si>
  <si>
    <t>Q96LW7-2_C9orf89</t>
  </si>
  <si>
    <t>Q96M20-2_CNBD2</t>
  </si>
  <si>
    <t>Q96M27_PRRC1</t>
  </si>
  <si>
    <t>Q96ME1-4_FBXL18</t>
  </si>
  <si>
    <t>Q96MH2_HEXIM2</t>
  </si>
  <si>
    <t>Q96MH6-2_TMEM68</t>
  </si>
  <si>
    <t>Q96MP8-2_KCTD7</t>
  </si>
  <si>
    <t>Q96MW5_COG8</t>
  </si>
  <si>
    <t>Q96MX6_WDR92</t>
  </si>
  <si>
    <t>Q96N21-2_ENTHD2</t>
  </si>
  <si>
    <t>Q96N66-2_MBOAT7</t>
  </si>
  <si>
    <t>Q96NA2_RILP</t>
  </si>
  <si>
    <t>Q96NC0_ZMAT2</t>
  </si>
  <si>
    <t>Q96NT0_CCDC115</t>
  </si>
  <si>
    <t>Q96NT1_NAP1L5</t>
  </si>
  <si>
    <t>Q96NY7-2_CLIC6</t>
  </si>
  <si>
    <t>Q96P47_AGAP3</t>
  </si>
  <si>
    <t>Q96P48-3_ARAP1</t>
  </si>
  <si>
    <t>Q96P50_ACAP3</t>
  </si>
  <si>
    <t>Q96P70_IPO9</t>
  </si>
  <si>
    <t>Q96PD2_DCBLD2</t>
  </si>
  <si>
    <t>Q96PE1-2_GPR124</t>
  </si>
  <si>
    <t>Q96PE2_ARHGEF17</t>
  </si>
  <si>
    <t>Q96PE7_MCEE</t>
  </si>
  <si>
    <t>Q96PK6_RBM14</t>
  </si>
  <si>
    <t>Q96PU5-2_NEDD4L</t>
  </si>
  <si>
    <t>Q96PU8-9_QKI</t>
  </si>
  <si>
    <t>Q96PY6-4_NEK1</t>
  </si>
  <si>
    <t>Q96PZ0_PUS7</t>
  </si>
  <si>
    <t>Q96Q06-2_PLIN4</t>
  </si>
  <si>
    <t>Q96Q11-2_TRNT1</t>
  </si>
  <si>
    <t>Q96Q42_ALS2</t>
  </si>
  <si>
    <t>Q96Q45-2_TMEM237</t>
  </si>
  <si>
    <t>Q96Q83_ALKBH3</t>
  </si>
  <si>
    <t>Q96QB1_DLC1</t>
  </si>
  <si>
    <t>Q96QC0_PPP1R10</t>
  </si>
  <si>
    <t>Q96QD8_SLC38A2</t>
  </si>
  <si>
    <t>Q96QE2_SLC2A13</t>
  </si>
  <si>
    <t>Q96QG7_MTMR9</t>
  </si>
  <si>
    <t>Q96QK1_VPS35</t>
  </si>
  <si>
    <t>Q96QR8_PURB</t>
  </si>
  <si>
    <t>Q96QU8_XPO6</t>
  </si>
  <si>
    <t>Q96QZ7-4_MAGI1</t>
  </si>
  <si>
    <t>Q96RD7_PANX1</t>
  </si>
  <si>
    <t>Q96RE7_NACC1</t>
  </si>
  <si>
    <t>Q96RF0-2_SNX18</t>
  </si>
  <si>
    <t>Q96RN5-3_MED15</t>
  </si>
  <si>
    <t>Q96RP9_GFM1</t>
  </si>
  <si>
    <t>Q96RQ1_ERGIC2</t>
  </si>
  <si>
    <t>Q96RR4_CAMKK2</t>
  </si>
  <si>
    <t>Q96RS6_NUDCD1</t>
  </si>
  <si>
    <t>Q96RT1-5_ERBB2IP</t>
  </si>
  <si>
    <t>Q96RU3-3_FNBP1</t>
  </si>
  <si>
    <t>Q96RW7-2_HMCN1</t>
  </si>
  <si>
    <t>Q96S19_C16orf13</t>
  </si>
  <si>
    <t>Q96S44_TP53RK</t>
  </si>
  <si>
    <t>Q96S52-2_PIGS</t>
  </si>
  <si>
    <t>Q96S66_CLCC1</t>
  </si>
  <si>
    <t>Q96S82_UBL7</t>
  </si>
  <si>
    <t>Q96S99_PLEKHF1</t>
  </si>
  <si>
    <t>Q96SB3_PPP1R9B</t>
  </si>
  <si>
    <t>Q96SL1-2_DIRC2</t>
  </si>
  <si>
    <t>Q96SL4_GPX7</t>
  </si>
  <si>
    <t>Q96SQ9_CYP2S1</t>
  </si>
  <si>
    <t>Q96ST2_IWS1</t>
  </si>
  <si>
    <t>Q96SZ5_ADO</t>
  </si>
  <si>
    <t>Q96T23-2_RSF1</t>
  </si>
  <si>
    <t>Q96T51_RUFY1</t>
  </si>
  <si>
    <t>Q96T58_SPEN</t>
  </si>
  <si>
    <t>Q96T76_MMS19</t>
  </si>
  <si>
    <t>Q96T83_SLC9A7</t>
  </si>
  <si>
    <t>Q96TA1_FAM129B</t>
  </si>
  <si>
    <t>Q96TA2-3_YME1L1</t>
  </si>
  <si>
    <t>Q96TC7_RMDN3</t>
  </si>
  <si>
    <t>Q99081_TCF12</t>
  </si>
  <si>
    <t>Q99417_MYCBP</t>
  </si>
  <si>
    <t>Q99424_ACOX2</t>
  </si>
  <si>
    <t>Q99426_TBCB</t>
  </si>
  <si>
    <t>Q99436_PSMB7</t>
  </si>
  <si>
    <t>Q99447_PCYT2</t>
  </si>
  <si>
    <t>Q99460_PSMD1</t>
  </si>
  <si>
    <t>Q99470_SDF2</t>
  </si>
  <si>
    <t>Q99471_PFDN5</t>
  </si>
  <si>
    <t>Q99487_PAFAH2</t>
  </si>
  <si>
    <t>Q99496_RNF2</t>
  </si>
  <si>
    <t>Q99497_PARK7</t>
  </si>
  <si>
    <t>Q99504-2_EYA3</t>
  </si>
  <si>
    <t>Q99519_NEU1</t>
  </si>
  <si>
    <t>Q99523_SORT1</t>
  </si>
  <si>
    <t>Q99536_VAT1</t>
  </si>
  <si>
    <t>Q99541_PLIN2</t>
  </si>
  <si>
    <t>Q99543_DNAJC2</t>
  </si>
  <si>
    <t>Q99567_NUP88</t>
  </si>
  <si>
    <t>Q99569-2_PKP4</t>
  </si>
  <si>
    <t>Q99574_SERPINI1</t>
  </si>
  <si>
    <t>Q99576_TSC22D3</t>
  </si>
  <si>
    <t>Q99584_S100A13</t>
  </si>
  <si>
    <t>Q99595_TIMM17A</t>
  </si>
  <si>
    <t>Q99598_TSNAX</t>
  </si>
  <si>
    <t>Q99614_TTC1</t>
  </si>
  <si>
    <t>Q99615_DNAJC7</t>
  </si>
  <si>
    <t>Q99622_C12orf57</t>
  </si>
  <si>
    <t>Q99650_OSMR</t>
  </si>
  <si>
    <t>Q99653_CHP1</t>
  </si>
  <si>
    <t>Q99674_CGREF1</t>
  </si>
  <si>
    <t>Q99685_MGLL</t>
  </si>
  <si>
    <t>Q99700-4_ATXN2</t>
  </si>
  <si>
    <t>Q99704_DOK1</t>
  </si>
  <si>
    <t>Q99707_MTR</t>
  </si>
  <si>
    <t>Q99714_HSD17B10</t>
  </si>
  <si>
    <t>Q99720_SIGMAR1</t>
  </si>
  <si>
    <t>Q99729-3_HNRNPAB</t>
  </si>
  <si>
    <t>Q99733_NAP1L4</t>
  </si>
  <si>
    <t>Q99747_NAPG</t>
  </si>
  <si>
    <t>Q99757_TXN2</t>
  </si>
  <si>
    <t>Q99766_ATP5S</t>
  </si>
  <si>
    <t>Q99797_MIPEP</t>
  </si>
  <si>
    <t>Q99805_TM9SF2</t>
  </si>
  <si>
    <t>Q99808_SLC29A1</t>
  </si>
  <si>
    <t>Q99832_CCT7</t>
  </si>
  <si>
    <t>Q99952-2_PTPN18</t>
  </si>
  <si>
    <t>Q99961_SH3GL1</t>
  </si>
  <si>
    <t>Q99969_RARRES2</t>
  </si>
  <si>
    <t>Q99996-5_AKAP9</t>
  </si>
  <si>
    <t>Q9BPW8_NIPSNAP1</t>
  </si>
  <si>
    <t>Q9BPX5_ARPC5L</t>
  </si>
  <si>
    <t>Q9BPX7_C7orf25</t>
  </si>
  <si>
    <t>Q9BQ24_ZFYVE21</t>
  </si>
  <si>
    <t>Q9BQ51_PDCD1LG2</t>
  </si>
  <si>
    <t>Q9BQ52-4_ELAC2</t>
  </si>
  <si>
    <t>Q9BQ61_C19orf43</t>
  </si>
  <si>
    <t>Q9BQ69_MACROD1</t>
  </si>
  <si>
    <t>Q9BQ95_ECSIT</t>
  </si>
  <si>
    <t>Q9BQB6_VKORC1</t>
  </si>
  <si>
    <t>Q9BQC3_DPH2</t>
  </si>
  <si>
    <t>Q9BQG0_MYBBP1A</t>
  </si>
  <si>
    <t>Q9BQJ4_TMEM47</t>
  </si>
  <si>
    <t>Q9BQL6_FERMT1</t>
  </si>
  <si>
    <t>Q9BQP7_MGME1</t>
  </si>
  <si>
    <t>Q9BQS8_FYCO1</t>
  </si>
  <si>
    <t>Q9BQT8-2_SLC25A21</t>
  </si>
  <si>
    <t>Q9BR61_ACBD6</t>
  </si>
  <si>
    <t>Q9BR76_CORO1B</t>
  </si>
  <si>
    <t>Q9BRA2_TXNDC17</t>
  </si>
  <si>
    <t>Q9BRF8_CPPED1</t>
  </si>
  <si>
    <t>Q9BRG1_VPS25</t>
  </si>
  <si>
    <t>Q9BRK0-2_REEP2</t>
  </si>
  <si>
    <t>Q9BRK5_SDF4</t>
  </si>
  <si>
    <t>Q9BRP1_PDCD2L</t>
  </si>
  <si>
    <t>Q9BRP4_PAAF1</t>
  </si>
  <si>
    <t>Q9BRP8-2_WIBG</t>
  </si>
  <si>
    <t>Q9BRQ8_AIFM2</t>
  </si>
  <si>
    <t>Q9BRR6-2_ADPGK</t>
  </si>
  <si>
    <t>Q9BRS8_LARP6</t>
  </si>
  <si>
    <t>Q9BRT2_MNF1</t>
  </si>
  <si>
    <t>Q9BRV8_SIKE1</t>
  </si>
  <si>
    <t>Q9BRX2_PELO</t>
  </si>
  <si>
    <t>Q9BRX8-2_FAM213A</t>
  </si>
  <si>
    <t>Q9BRZ2_TRIM56</t>
  </si>
  <si>
    <t>Q9BS18_ANAPC13</t>
  </si>
  <si>
    <t>Q9BS26_ERP44</t>
  </si>
  <si>
    <t>Q9BS40_LXN</t>
  </si>
  <si>
    <t>Q9BSA9_TMEM175</t>
  </si>
  <si>
    <t>Q9BSB4_ATG101</t>
  </si>
  <si>
    <t>Q9BSD7_NTPCR</t>
  </si>
  <si>
    <t>Q9BSE4_HERPUD2</t>
  </si>
  <si>
    <t>Q9BSE5_AGMAT</t>
  </si>
  <si>
    <t>Q9BSF4_C19orf52</t>
  </si>
  <si>
    <t>Q9BSG0_PRADC1</t>
  </si>
  <si>
    <t>Q9BSH4_TACO1</t>
  </si>
  <si>
    <t>Q9BSH5_HDHD3</t>
  </si>
  <si>
    <t>Q9BSJ5-3_C17orf80</t>
  </si>
  <si>
    <t>Q9BSJ8-2_ESYT1</t>
  </si>
  <si>
    <t>Q9BSL1_UBAC1</t>
  </si>
  <si>
    <t>Q9BSN7_TMEM204</t>
  </si>
  <si>
    <t>Q9BSR8_YIPF4</t>
  </si>
  <si>
    <t>Q9BST9-2_RTKN</t>
  </si>
  <si>
    <t>Q9BSU1_C16orf70</t>
  </si>
  <si>
    <t>Q9BSY4_CHCHD5</t>
  </si>
  <si>
    <t>Q9BT09_CNPY3</t>
  </si>
  <si>
    <t>Q9BT22_ALG1</t>
  </si>
  <si>
    <t>Q9BT30_ALKBH7</t>
  </si>
  <si>
    <t>Q9BT73_PSMG3</t>
  </si>
  <si>
    <t>Q9BT78_COPS4</t>
  </si>
  <si>
    <t>Q9BTA9-5_WAC</t>
  </si>
  <si>
    <t>Q9BTC0_DIDO1</t>
  </si>
  <si>
    <t>Q9BTE3-2_MCMBP</t>
  </si>
  <si>
    <t>Q9BTL3_FAM103A1</t>
  </si>
  <si>
    <t>Q9BTT0_ANP32E</t>
  </si>
  <si>
    <t>Q9BTT4_MED10</t>
  </si>
  <si>
    <t>Q9BTT6_LRRC1</t>
  </si>
  <si>
    <t>Q9BTU6_PI4K2A</t>
  </si>
  <si>
    <t>Q9BTV4_TMEM43</t>
  </si>
  <si>
    <t>Q9BTV6_WDR85</t>
  </si>
  <si>
    <t>Q9BTX7_TTPAL</t>
  </si>
  <si>
    <t>Q9BTY2_FUCA2</t>
  </si>
  <si>
    <t>Q9BTY7_FAM203A</t>
  </si>
  <si>
    <t>Q9BTZ2_DHRS4</t>
  </si>
  <si>
    <t>Q9BU02_THTPA</t>
  </si>
  <si>
    <t>Q9BU23-3_LMF2</t>
  </si>
  <si>
    <t>Q9BU61_NDUFAF3</t>
  </si>
  <si>
    <t>Q9BU76-2_MMTAG2</t>
  </si>
  <si>
    <t>Q9BU89_DOHH</t>
  </si>
  <si>
    <t>Q9BUB5-2_MKNK1</t>
  </si>
  <si>
    <t>Q9BUB7-2_TMEM70</t>
  </si>
  <si>
    <t>Q9BUD6_SPON2</t>
  </si>
  <si>
    <t>Q9BUE0_MED18</t>
  </si>
  <si>
    <t>Q9BUE6_ISCA1</t>
  </si>
  <si>
    <t>Q9BUF5_TUBB6</t>
  </si>
  <si>
    <t>Q9BUH6_C9orf142</t>
  </si>
  <si>
    <t>Q9BUJ2-2_HNRNPUL1</t>
  </si>
  <si>
    <t>Q9BUK6-3_MSTO1</t>
  </si>
  <si>
    <t>Q9BUP3-3_HTATIP2</t>
  </si>
  <si>
    <t>Q9BUR4_WRAP53</t>
  </si>
  <si>
    <t>Q9BUT1_BDH2</t>
  </si>
  <si>
    <t>Q9BUW7_C9orf16</t>
  </si>
  <si>
    <t>Q9BV19_C1orf50</t>
  </si>
  <si>
    <t>Q9BV20_MRI1</t>
  </si>
  <si>
    <t>Q9BV23_ABHD6</t>
  </si>
  <si>
    <t>Q9BV38_WDR18</t>
  </si>
  <si>
    <t>Q9BV44_THUMPD3</t>
  </si>
  <si>
    <t>Q9BV57_ADI1</t>
  </si>
  <si>
    <t>Q9BV68-2_RNF126</t>
  </si>
  <si>
    <t>Q9BV79_MECR</t>
  </si>
  <si>
    <t>Q9BV86_NTMT1</t>
  </si>
  <si>
    <t>Q9BVA0_KATNB1</t>
  </si>
  <si>
    <t>Q9BVA6_FICD</t>
  </si>
  <si>
    <t>Q9BVC4-3_MLST8</t>
  </si>
  <si>
    <t>Q9BVC6_TMEM109</t>
  </si>
  <si>
    <t>Q9BVG4_PBDC1</t>
  </si>
  <si>
    <t>Q9BVG9_PTDSS2</t>
  </si>
  <si>
    <t>Q9BVJ7_DUSP23</t>
  </si>
  <si>
    <t>Q9BVK6_TMED9</t>
  </si>
  <si>
    <t>Q9BVL4_SELO</t>
  </si>
  <si>
    <t>Q9BVM4_GGACT</t>
  </si>
  <si>
    <t>Q9BW30_TPPP3</t>
  </si>
  <si>
    <t>Q9BW60-2_ELOVL1</t>
  </si>
  <si>
    <t>Q9BW61_DDA1</t>
  </si>
  <si>
    <t>Q9BW62_KATNAL1</t>
  </si>
  <si>
    <t>Q9BW83_IFT27</t>
  </si>
  <si>
    <t>Q9BW91-2_NUDT9</t>
  </si>
  <si>
    <t>Q9BW92_TARS2</t>
  </si>
  <si>
    <t>Q9BWD1_ACAT2</t>
  </si>
  <si>
    <t>Q9BWH2_FUNDC2</t>
  </si>
  <si>
    <t>Q9BWH6_RPAP1</t>
  </si>
  <si>
    <t>Q9BWJ5_SF3B5</t>
  </si>
  <si>
    <t>Q9BWM7_SFXN3</t>
  </si>
  <si>
    <t>Q9BWU0_SLC4A1AP</t>
  </si>
  <si>
    <t>Q9BWW5_SSDP4</t>
  </si>
  <si>
    <t>Q9BX40_LSM14B</t>
  </si>
  <si>
    <t>Q9BX59_TAPBPL</t>
  </si>
  <si>
    <t>Q9BX67_JAM3</t>
  </si>
  <si>
    <t>Q9BX68_HINT2</t>
  </si>
  <si>
    <t>Q9BX95_SGPP1</t>
  </si>
  <si>
    <t>Q9BXB5_OSBPL10</t>
  </si>
  <si>
    <t>Q9BXF6_RAB11FIP5</t>
  </si>
  <si>
    <t>Q9BXJ9_NAA15</t>
  </si>
  <si>
    <t>Q9BXK5_BCL2L13</t>
  </si>
  <si>
    <t>Q9BXP2_SLC12A9</t>
  </si>
  <si>
    <t>Q9BXP5-5_SRRT</t>
  </si>
  <si>
    <t>Q9BXR0_QTRT1</t>
  </si>
  <si>
    <t>Q9BXS4_TMEM59</t>
  </si>
  <si>
    <t>Q9BXV9_C14orf142</t>
  </si>
  <si>
    <t>Q9BXW6_OSBPL1A</t>
  </si>
  <si>
    <t>Q9BXW7-2_CECR5</t>
  </si>
  <si>
    <t>Q9BY32_ITPA</t>
  </si>
  <si>
    <t>Q9BY43_CHMP4A</t>
  </si>
  <si>
    <t>Q9BY77_POLDIP3</t>
  </si>
  <si>
    <t>Q9BYB4_GNB1L</t>
  </si>
  <si>
    <t>Q9BYC8_MRPL32</t>
  </si>
  <si>
    <t>Q9BYD6_MRPL1</t>
  </si>
  <si>
    <t>Q9BYM8_RBCK1</t>
  </si>
  <si>
    <t>Q9BYN0_SRXN1</t>
  </si>
  <si>
    <t>Q9BYT8_NLN</t>
  </si>
  <si>
    <t>Q9BYV8_CEP41</t>
  </si>
  <si>
    <t>Q9BYX2-3_TBC1D2</t>
  </si>
  <si>
    <t>Q9BZ23-4_PANK2</t>
  </si>
  <si>
    <t>Q9BZ67-2_FRMD8</t>
  </si>
  <si>
    <t>Q9BZD2_SLC29A3</t>
  </si>
  <si>
    <t>Q9BZE2_PUS3</t>
  </si>
  <si>
    <t>Q9BZE9_ASPSCR1</t>
  </si>
  <si>
    <t>Q9BZF1-3_OSBPL8</t>
  </si>
  <si>
    <t>Q9BZK7_TBL1XR1</t>
  </si>
  <si>
    <t>Q9BZL1_UBL5</t>
  </si>
  <si>
    <t>Q9BZM1_PLA2G12A</t>
  </si>
  <si>
    <t>Q9BZM4_ULBP3</t>
  </si>
  <si>
    <t>Q9BZM5_ULBP2</t>
  </si>
  <si>
    <t>Q9BZQ8_FAM129A</t>
  </si>
  <si>
    <t>Q9BZX2_UCK2</t>
  </si>
  <si>
    <t>Q9BZZ5-2_API5</t>
  </si>
  <si>
    <t>Q9C004_SPRY4</t>
  </si>
  <si>
    <t>Q9C005_DPY30</t>
  </si>
  <si>
    <t>Q9C037-2_TRIM4</t>
  </si>
  <si>
    <t>Q9C073_FAM117A</t>
  </si>
  <si>
    <t>Q9C0B0_UNK</t>
  </si>
  <si>
    <t>Q9C0B1_FTO</t>
  </si>
  <si>
    <t>Q9C0B5-2_ZDHHC5</t>
  </si>
  <si>
    <t>Q9C0B7_TANGO6</t>
  </si>
  <si>
    <t>Q9C0C2_TNKS1BP1</t>
  </si>
  <si>
    <t>Q9C0C9_UBE2O</t>
  </si>
  <si>
    <t>Q9C0D5-2_TANC1</t>
  </si>
  <si>
    <t>Q9C0H2-2_TTYH3</t>
  </si>
  <si>
    <t>Q9C0I1_MTMR12</t>
  </si>
  <si>
    <t>Q9C0K7-2_STRADB</t>
  </si>
  <si>
    <t>Q9GZL7_WDR12</t>
  </si>
  <si>
    <t>Q9GZN8_C20orf27</t>
  </si>
  <si>
    <t>Q9GZP1_NRSN2</t>
  </si>
  <si>
    <t>Q9GZP4_PITHD1</t>
  </si>
  <si>
    <t>Q9GZP9_DERL2</t>
  </si>
  <si>
    <t>Q9GZQ3_COMMD5</t>
  </si>
  <si>
    <t>Q9GZS3_WDR61</t>
  </si>
  <si>
    <t>Q9GZT3-2_SLIRP</t>
  </si>
  <si>
    <t>Q9GZT4_SRR</t>
  </si>
  <si>
    <t>Q9GZT6-2_CCDC90B</t>
  </si>
  <si>
    <t>Q9GZT8-2_NIF3L1</t>
  </si>
  <si>
    <t>Q9GZT9_EGLN1</t>
  </si>
  <si>
    <t>Q9GZU7_CTDSP1</t>
  </si>
  <si>
    <t>Q9GZU8_FAM192A</t>
  </si>
  <si>
    <t>Q9GZV5_WWTR1</t>
  </si>
  <si>
    <t>Q9GZX9_TWSG1</t>
  </si>
  <si>
    <t>Q9GZZ9_UBA5</t>
  </si>
  <si>
    <t>Q9H008_LHPP</t>
  </si>
  <si>
    <t>Q9H019-3_MTFR1L</t>
  </si>
  <si>
    <t>Q9H029_DKFZp434B2017</t>
  </si>
  <si>
    <t>Q9H074_PAIP1</t>
  </si>
  <si>
    <t>Q9H078-2_CLPB</t>
  </si>
  <si>
    <t>Q9H082_RAB33B</t>
  </si>
  <si>
    <t>Q9H098_FAM107B</t>
  </si>
  <si>
    <t>Q9H0B6-2_KLC2</t>
  </si>
  <si>
    <t>Q9H0C8_ILKAP</t>
  </si>
  <si>
    <t>Q9H0D6_XRN2</t>
  </si>
  <si>
    <t>Q9H0E2_TOLLIP</t>
  </si>
  <si>
    <t>Q9H0F6_SHARPIN</t>
  </si>
  <si>
    <t>Q9H0G5_NSRP1</t>
  </si>
  <si>
    <t>Q9H0K1_SIK2</t>
  </si>
  <si>
    <t>Q9H0L4_CSTF2T</t>
  </si>
  <si>
    <t>Q9H0N0_RAB6C</t>
  </si>
  <si>
    <t>Q9H0P0-2_NT5C3A</t>
  </si>
  <si>
    <t>Q9H0Q0_FAM49A</t>
  </si>
  <si>
    <t>Q9H0R4_HDHD2</t>
  </si>
  <si>
    <t>Q9H0R5_GBP3</t>
  </si>
  <si>
    <t>Q9H0R6_QRSL1</t>
  </si>
  <si>
    <t>Q9H0U3_MAGT1</t>
  </si>
  <si>
    <t>Q9H0U4_RAB1B</t>
  </si>
  <si>
    <t>Q9H0U9_TSPYL1</t>
  </si>
  <si>
    <t>Q9H0V9_LMAN2L</t>
  </si>
  <si>
    <t>Q9H0W8_SMG9</t>
  </si>
  <si>
    <t>Q9H0W9_C11orf54</t>
  </si>
  <si>
    <t>Q9H0X4_ITFG3</t>
  </si>
  <si>
    <t>Q9H115_NAPB</t>
  </si>
  <si>
    <t>Q9H173_SIL1</t>
  </si>
  <si>
    <t>Q9H1A3-2_METTL9</t>
  </si>
  <si>
    <t>Q9H1B7_IRF2BPL</t>
  </si>
  <si>
    <t>Q9H1C3_GLT8D2</t>
  </si>
  <si>
    <t>Q9H1E3_NUCKS1</t>
  </si>
  <si>
    <t>Q9H1E5_TMX4</t>
  </si>
  <si>
    <t>Q9H1I8-3_ASCC2</t>
  </si>
  <si>
    <t>Q9H1J1-3_UPF3A</t>
  </si>
  <si>
    <t>Q9H1J7_WNT5B</t>
  </si>
  <si>
    <t>Q9H1K0_ZFYVE20</t>
  </si>
  <si>
    <t>Q9H1K1_ISCU</t>
  </si>
  <si>
    <t>Q9H1P3-2_OSBPL2</t>
  </si>
  <si>
    <t>Q9H1Y0_ATG5</t>
  </si>
  <si>
    <t>Q9H1Z4_WDR13</t>
  </si>
  <si>
    <t>Q9H1Z9_TSPAN10</t>
  </si>
  <si>
    <t>Q9H204_MED28</t>
  </si>
  <si>
    <t>Q9H223_EHD4</t>
  </si>
  <si>
    <t>Q9H246_C1orf21</t>
  </si>
  <si>
    <t>Q9H267_VPS33B</t>
  </si>
  <si>
    <t>Q9H269-2_VPS16</t>
  </si>
  <si>
    <t>Q9H270_VPS11</t>
  </si>
  <si>
    <t>Q9H2D1_SLC25A32</t>
  </si>
  <si>
    <t>Q9H2D6-5_TRIOBP</t>
  </si>
  <si>
    <t>Q9H2G9_BLZF1</t>
  </si>
  <si>
    <t>Q9H2H8_PPIL3</t>
  </si>
  <si>
    <t>Q9H2J4_PDCL3</t>
  </si>
  <si>
    <t>Q9H2K8_TAOK3</t>
  </si>
  <si>
    <t>Q9H2M9_RAB3GAP2</t>
  </si>
  <si>
    <t>Q9H2P9-3_DPH5</t>
  </si>
  <si>
    <t>Q9H2U2_PPA2</t>
  </si>
  <si>
    <t>Q9H2W6_MRPL46</t>
  </si>
  <si>
    <t>Q9H307_PNN</t>
  </si>
  <si>
    <t>Q9H329-2_EPB41L4B</t>
  </si>
  <si>
    <t>Q9H330-2_TMEM245</t>
  </si>
  <si>
    <t>Q9H3F6_KCTD10</t>
  </si>
  <si>
    <t>Q9H3H3-2_C11orf68</t>
  </si>
  <si>
    <t>Q9H3H5-2_DPAGT1</t>
  </si>
  <si>
    <t>Q9H3K6_BOLA2</t>
  </si>
  <si>
    <t>Q9H3M7_TXNIP</t>
  </si>
  <si>
    <t>Q9H3N1_TMX1</t>
  </si>
  <si>
    <t>Q9H3P7_ACBD3</t>
  </si>
  <si>
    <t>Q9H3Q1_CDC42EP4</t>
  </si>
  <si>
    <t>Q9H3S7_PTPN23</t>
  </si>
  <si>
    <t>Q9H3U1-2_UNC45A</t>
  </si>
  <si>
    <t>Q9H3U5-3_MFSD1</t>
  </si>
  <si>
    <t>Q9H3Y8_PPDPF</t>
  </si>
  <si>
    <t>Q9H3Z4-2_DNAJC5</t>
  </si>
  <si>
    <t>Q9H425_C1orf198</t>
  </si>
  <si>
    <t>Q9H444_CHMP4B</t>
  </si>
  <si>
    <t>Q9H446-2_RWDD1</t>
  </si>
  <si>
    <t>Q9H467_CUEDC2</t>
  </si>
  <si>
    <t>Q9H469_FBXL15</t>
  </si>
  <si>
    <t>Q9H479_FN3K</t>
  </si>
  <si>
    <t>Q9H488_POFUT1</t>
  </si>
  <si>
    <t>Q9H492_MAP1LC3A</t>
  </si>
  <si>
    <t>Q9H496_IFRG15</t>
  </si>
  <si>
    <t>Q9H497_TOR3A</t>
  </si>
  <si>
    <t>Q9H4A4_RNPEP</t>
  </si>
  <si>
    <t>Q9H4A5_GOLPH3L</t>
  </si>
  <si>
    <t>Q9H4A6_GOLPH3</t>
  </si>
  <si>
    <t>Q9H4G0-2_EPB41L1</t>
  </si>
  <si>
    <t>Q9H4G4_GLIPR2</t>
  </si>
  <si>
    <t>Q9H4I2_ZHX3</t>
  </si>
  <si>
    <t>Q9H4M9_EHD1</t>
  </si>
  <si>
    <t>Q9H4P4-2_RNF41</t>
  </si>
  <si>
    <t>Q9H4X1-2_RGCC</t>
  </si>
  <si>
    <t>Q9H553_ALG2</t>
  </si>
  <si>
    <t>Q9H5K3_SGK196</t>
  </si>
  <si>
    <t>Q9H5N1_RABEP2</t>
  </si>
  <si>
    <t>Q9H5V8_CDCP1</t>
  </si>
  <si>
    <t>Q9H5V9-2_CXorf56</t>
  </si>
  <si>
    <t>Q9H5X1_FAM96A</t>
  </si>
  <si>
    <t>Q9H668_OBFC1</t>
  </si>
  <si>
    <t>Q9H694_BICC1</t>
  </si>
  <si>
    <t>Q9H6B4_CLMP</t>
  </si>
  <si>
    <t>Q9H6D3_XKR8</t>
  </si>
  <si>
    <t>Q9H6E4_CCDC134</t>
  </si>
  <si>
    <t>Q9H6K1_C6orf106</t>
  </si>
  <si>
    <t>Q9H6Q4_NARFL</t>
  </si>
  <si>
    <t>Q9H6R3_ACSS3</t>
  </si>
  <si>
    <t>Q9H6S1_AZI2</t>
  </si>
  <si>
    <t>Q9H6S3_EPS8L2</t>
  </si>
  <si>
    <t>Q9H6T3_RPAP3</t>
  </si>
  <si>
    <t>Q9H6U8_ALG9</t>
  </si>
  <si>
    <t>Q9H6X2_ANTXR1</t>
  </si>
  <si>
    <t>Q9H6X4-2_TMEM134</t>
  </si>
  <si>
    <t>Q9H6Y2_WDR55</t>
  </si>
  <si>
    <t>Q9H773_DCTPP1</t>
  </si>
  <si>
    <t>Q9H777_ELAC1</t>
  </si>
  <si>
    <t>Q9H788-2_SH2D4A</t>
  </si>
  <si>
    <t>Q9H792_PEAK1</t>
  </si>
  <si>
    <t>Q9H7B4_SMYD3</t>
  </si>
  <si>
    <t>Q9H7C4-2_SYNC</t>
  </si>
  <si>
    <t>Q9H7C9_AAMDC</t>
  </si>
  <si>
    <t>Q9H7D0_DOCK5</t>
  </si>
  <si>
    <t>Q9H7F0_ATP13A3</t>
  </si>
  <si>
    <t>Q9H7F4_TMEM185B</t>
  </si>
  <si>
    <t>Q9H7X7-2_RABL5</t>
  </si>
  <si>
    <t>Q9H7Z7_PTGES2</t>
  </si>
  <si>
    <t>Q9H814_PHAX</t>
  </si>
  <si>
    <t>Q9H832_UBE2Z</t>
  </si>
  <si>
    <t>Q9H840_GEMIN7</t>
  </si>
  <si>
    <t>Q9H845_ACAD9</t>
  </si>
  <si>
    <t>Q9H857-2_NT5DC2</t>
  </si>
  <si>
    <t>Q9H8G2_CAAP1</t>
  </si>
  <si>
    <t>Q9H8H0_NOL11</t>
  </si>
  <si>
    <t>Q9H8K7_C10orf88</t>
  </si>
  <si>
    <t>Q9H8M7_FAM188A</t>
  </si>
  <si>
    <t>Q9H8S9_MOB1A</t>
  </si>
  <si>
    <t>Q9H8U3_ZFAND3</t>
  </si>
  <si>
    <t>Q9H8W4_PLEKHF2</t>
  </si>
  <si>
    <t>Q9H8Y8_GORASP2</t>
  </si>
  <si>
    <t>Q9H910-2_HN1L</t>
  </si>
  <si>
    <t>Q9H936_SLC25A22</t>
  </si>
  <si>
    <t>Q9H939_PSTPIP2</t>
  </si>
  <si>
    <t>Q9H944_MED20</t>
  </si>
  <si>
    <t>Q9H974_QTRTD1</t>
  </si>
  <si>
    <t>Q9H977_WDR54</t>
  </si>
  <si>
    <t>Q9H993_C6orf211</t>
  </si>
  <si>
    <t>Q9H9A6_LRRC40</t>
  </si>
  <si>
    <t>Q9H9B1-4_EHMT1</t>
  </si>
  <si>
    <t>Q9H9B4_SFXN1</t>
  </si>
  <si>
    <t>Q9H9H4_VPS37B</t>
  </si>
  <si>
    <t>Q9H9S4_CAB39L</t>
  </si>
  <si>
    <t>Q9H9V9-2_JMJD4</t>
  </si>
  <si>
    <t>Q9H9Y4_GPN2</t>
  </si>
  <si>
    <t>Q9HA64_FN3KRP</t>
  </si>
  <si>
    <t>Q9HA65_TBC1D17</t>
  </si>
  <si>
    <t>Q9HA77_CARS2</t>
  </si>
  <si>
    <t>Q9HAB8_PPCS</t>
  </si>
  <si>
    <t>Q9HAD4_WDR41</t>
  </si>
  <si>
    <t>Q9HAT2-2_SIAE</t>
  </si>
  <si>
    <t>Q9HAU0_PLEKHA5</t>
  </si>
  <si>
    <t>Q9HAU4_SMURF2</t>
  </si>
  <si>
    <t>Q9HAU8_RNPEPL1</t>
  </si>
  <si>
    <t>Q9HAV0_GNB4</t>
  </si>
  <si>
    <t>Q9HAV4_XPO5</t>
  </si>
  <si>
    <t>Q9HAV5_EDA2R</t>
  </si>
  <si>
    <t>Q9HAV7_GRPEL1</t>
  </si>
  <si>
    <t>Q9HB07_C12orf10</t>
  </si>
  <si>
    <t>Q9HB09_BCL2L12</t>
  </si>
  <si>
    <t>Q9HB19_PLEKHA2</t>
  </si>
  <si>
    <t>Q9HB20_PLEKHA3</t>
  </si>
  <si>
    <t>Q9HB40_SCPEP1</t>
  </si>
  <si>
    <t>Q9HB71_CACYBP</t>
  </si>
  <si>
    <t>Q9HB90_RRAGC</t>
  </si>
  <si>
    <t>Q9HBH5_RDH14</t>
  </si>
  <si>
    <t>Q9HBI1_PARVB</t>
  </si>
  <si>
    <t>Q9HBK9_AS3MT</t>
  </si>
  <si>
    <t>Q9HBL7_PLGRKT</t>
  </si>
  <si>
    <t>Q9HBL8_NMRAL1</t>
  </si>
  <si>
    <t>Q9HBM8_AGPAT1</t>
  </si>
  <si>
    <t>Q9HBR0_SLC38A10</t>
  </si>
  <si>
    <t>Q9HBU6_ETNK1</t>
  </si>
  <si>
    <t>Q9HBZ2-2_ARNT2</t>
  </si>
  <si>
    <t>Q9HC21_SLC25A19</t>
  </si>
  <si>
    <t>Q9HC35_EML4</t>
  </si>
  <si>
    <t>Q9HC38-2_GLOD4</t>
  </si>
  <si>
    <t>Q9HC57_WFDC1</t>
  </si>
  <si>
    <t>Q9HCC0_MCCC2</t>
  </si>
  <si>
    <t>Q9HCD6_TANC2</t>
  </si>
  <si>
    <t>Q9HCE0_EPG5</t>
  </si>
  <si>
    <t>Q9HCE3_ZNF532</t>
  </si>
  <si>
    <t>Q9HCE5_METTL14</t>
  </si>
  <si>
    <t>Q9HCH0-3_NCKAP5L</t>
  </si>
  <si>
    <t>Q9HCH5-6_SYTL2</t>
  </si>
  <si>
    <t>Q9HCJ6_VAT1L</t>
  </si>
  <si>
    <t>Q9HCK4_ROBO2</t>
  </si>
  <si>
    <t>Q9HCN3_TMEM8A</t>
  </si>
  <si>
    <t>Q9HCN4-2_GPN1</t>
  </si>
  <si>
    <t>Q9HCN8_SDF2L1</t>
  </si>
  <si>
    <t>Q9HCP0-2_CSNK1G1</t>
  </si>
  <si>
    <t>Q9HCU0_CD248</t>
  </si>
  <si>
    <t>Q9HCU5_PREB</t>
  </si>
  <si>
    <t>Q9HD15_SRA1</t>
  </si>
  <si>
    <t>Q9HD20-2_ATP13A1</t>
  </si>
  <si>
    <t>Q9HD42_CHMP1A</t>
  </si>
  <si>
    <t>Q9HD45_TM9SF3</t>
  </si>
  <si>
    <t>Q9HD47_RANGRF</t>
  </si>
  <si>
    <t>Q9HDC9_APMAP</t>
  </si>
  <si>
    <t>Q9NNW7-2_TXNRD2</t>
  </si>
  <si>
    <t>Q9NP58-4_ABCB6</t>
  </si>
  <si>
    <t>Q9NP61_ARFGAP3</t>
  </si>
  <si>
    <t>Q9NP72_RAB18</t>
  </si>
  <si>
    <t>Q9NP74-2_PALMD</t>
  </si>
  <si>
    <t>Q9NP77_SSU72</t>
  </si>
  <si>
    <t>Q9NP79_VTA1</t>
  </si>
  <si>
    <t>Q9NP80-3_PNPLA8</t>
  </si>
  <si>
    <t>Q9NP84_TNFRSF12A</t>
  </si>
  <si>
    <t>Q9NPA0_EMC7</t>
  </si>
  <si>
    <t>Q9NPA3_MID1IP1</t>
  </si>
  <si>
    <t>Q9NPA8-2_ENY2</t>
  </si>
  <si>
    <t>Q9NPB8_GPCPD1</t>
  </si>
  <si>
    <t>Q9NPD3_EXOSC4</t>
  </si>
  <si>
    <t>Q9NPF0_CD320</t>
  </si>
  <si>
    <t>Q9NPF4_OSGEP</t>
  </si>
  <si>
    <t>Q9NPH0_ACP6</t>
  </si>
  <si>
    <t>Q9NPI6_DCP1A</t>
  </si>
  <si>
    <t>Q9NPJ3_ACOT13</t>
  </si>
  <si>
    <t>Q9NPJ6_MED4</t>
  </si>
  <si>
    <t>Q9NPL8_TIMMDC1</t>
  </si>
  <si>
    <t>Q9NPQ8-4_RIC8A</t>
  </si>
  <si>
    <t>Q9NPR9_GPR108</t>
  </si>
  <si>
    <t>Q9NQ75_CASS4</t>
  </si>
  <si>
    <t>Q9NQ88_TIGAR</t>
  </si>
  <si>
    <t>Q9NQC3_RTN4</t>
  </si>
  <si>
    <t>Q9NQC3-5_RTN4</t>
  </si>
  <si>
    <t>Q9NQE9_HINT3</t>
  </si>
  <si>
    <t>Q9NQG1_MANBAL</t>
  </si>
  <si>
    <t>Q9NQG5_RPRD1B</t>
  </si>
  <si>
    <t>Q9NQH7-2_XPNPEP3</t>
  </si>
  <si>
    <t>Q9NQR4_NIT2</t>
  </si>
  <si>
    <t>Q9NQS1_AVEN</t>
  </si>
  <si>
    <t>Q9NQS3_PVRL3</t>
  </si>
  <si>
    <t>Q9NQT8_KIF13B</t>
  </si>
  <si>
    <t>Q9NQW7-3_XPNPEP1</t>
  </si>
  <si>
    <t>Q9NQY0_BIN3</t>
  </si>
  <si>
    <t>Q9NQZ5_STARD7</t>
  </si>
  <si>
    <t>Q9NR12_PDLIM7</t>
  </si>
  <si>
    <t>Q9NR19_ACSS2</t>
  </si>
  <si>
    <t>Q9NR28-2_DIABLO</t>
  </si>
  <si>
    <t>Q9NR30_DDX21</t>
  </si>
  <si>
    <t>Q9NR31_SAR1A</t>
  </si>
  <si>
    <t>Q9NR33_POLE4</t>
  </si>
  <si>
    <t>Q9NR45_NANS</t>
  </si>
  <si>
    <t>Q9NR48-2_ASH1L</t>
  </si>
  <si>
    <t>Q9NR50_EIF2B3</t>
  </si>
  <si>
    <t>Q9NRA2_SLC17A5</t>
  </si>
  <si>
    <t>Q9NRB3_CHST12</t>
  </si>
  <si>
    <t>Q9NRC6_SPTBN5</t>
  </si>
  <si>
    <t>Q9NRF2-2_SH2B1</t>
  </si>
  <si>
    <t>Q9NRF8_CTPS2</t>
  </si>
  <si>
    <t>Q9NRF9_POLE3</t>
  </si>
  <si>
    <t>Q9NRG0_CHRAC1</t>
  </si>
  <si>
    <t>Q9NRG1_PRTFDC1</t>
  </si>
  <si>
    <t>Q9NRG4_SMYD2</t>
  </si>
  <si>
    <t>Q9NRG7-2_SDR39U1</t>
  </si>
  <si>
    <t>Q9NRH1_YAE1D1</t>
  </si>
  <si>
    <t>Q9NRK6_ABCB10</t>
  </si>
  <si>
    <t>Q9NRN5-3_OLFML3</t>
  </si>
  <si>
    <t>Q9NRN7_AASDHPPT</t>
  </si>
  <si>
    <t>Q9NRN9_METTL5</t>
  </si>
  <si>
    <t>Q9NRP0_OSTC</t>
  </si>
  <si>
    <t>Q9NRP2_CMC2</t>
  </si>
  <si>
    <t>Q9NRQ2_PLSCR4</t>
  </si>
  <si>
    <t>Q9NRR5_UBQLN4</t>
  </si>
  <si>
    <t>Q9NRR8_CDC42SE1</t>
  </si>
  <si>
    <t>Q9NRS6_SNX15</t>
  </si>
  <si>
    <t>Q9NRV9_HEBP1</t>
  </si>
  <si>
    <t>Q9NRW1_RAB6B</t>
  </si>
  <si>
    <t>Q9NRW4_DUSP22</t>
  </si>
  <si>
    <t>Q9NRX4_PHPT1</t>
  </si>
  <si>
    <t>Q9NRX5_SERINC1</t>
  </si>
  <si>
    <t>Q9NRY2_INIP</t>
  </si>
  <si>
    <t>Q9NRY4_ARHGAP35</t>
  </si>
  <si>
    <t>Q9NRY5_FAM114A2</t>
  </si>
  <si>
    <t>Q9NRY6_PLSCR3</t>
  </si>
  <si>
    <t>Q9NRZ5_AGPAT4</t>
  </si>
  <si>
    <t>Q9NRZ7-2_AGPAT3</t>
  </si>
  <si>
    <t>Q9NS15_LTBP3</t>
  </si>
  <si>
    <t>Q9NS69_TOMM22</t>
  </si>
  <si>
    <t>Q9NS86_LANCL2</t>
  </si>
  <si>
    <t>Q9NS87-4_KIF15</t>
  </si>
  <si>
    <t>Q9NS93_TM7SF3</t>
  </si>
  <si>
    <t>Q9NSA3_CTNNBIP1</t>
  </si>
  <si>
    <t>Q9NSC5-5_HOMER3</t>
  </si>
  <si>
    <t>Q9NSD9_FARSB</t>
  </si>
  <si>
    <t>Q9NSE4_IARS2</t>
  </si>
  <si>
    <t>Q9NSI2-2_FAM207A</t>
  </si>
  <si>
    <t>Q9NSK7-4_C19orf12</t>
  </si>
  <si>
    <t>Q9NSY0_NRBP2</t>
  </si>
  <si>
    <t>Q9NSY1_BMP2K</t>
  </si>
  <si>
    <t>Q9NSY2_STARD5</t>
  </si>
  <si>
    <t>Q9NT62_ATG3</t>
  </si>
  <si>
    <t>Q9NTG7_SIRT3</t>
  </si>
  <si>
    <t>Q9NTJ5_SACM1L</t>
  </si>
  <si>
    <t>Q9NTK5-2_OLA1</t>
  </si>
  <si>
    <t>Q9NTN3_SLC35D1</t>
  </si>
  <si>
    <t>Q9NTX5-2_ECHDC1</t>
  </si>
  <si>
    <t>Q9NTX5-3_ECHDC1</t>
  </si>
  <si>
    <t>Q9NTX7-2_RNF146</t>
  </si>
  <si>
    <t>Q9NTZ6_RBM12</t>
  </si>
  <si>
    <t>Q9NU23_LYRM2</t>
  </si>
  <si>
    <t>Q9NUG6_PDRG1</t>
  </si>
  <si>
    <t>Q9NUJ1_ABHD10</t>
  </si>
  <si>
    <t>Q9NUL5-3_C19orf66</t>
  </si>
  <si>
    <t>Q9NUM4_TMEM106B</t>
  </si>
  <si>
    <t>Q9NUN5-3_LMBRD1</t>
  </si>
  <si>
    <t>Q9NUP1_BLOC1S4</t>
  </si>
  <si>
    <t>Q9NUP9_LIN7C</t>
  </si>
  <si>
    <t>Q9NUQ3_TXLNG</t>
  </si>
  <si>
    <t>Q9NUQ6_SPATS2L</t>
  </si>
  <si>
    <t>Q9NUQ7_UFSP2</t>
  </si>
  <si>
    <t>Q9NUQ8-2_ABCF3</t>
  </si>
  <si>
    <t>Q9NUQ9_FAM49B</t>
  </si>
  <si>
    <t>Q9NUS5_AP5S1</t>
  </si>
  <si>
    <t>Q9NUU7_DDX19A</t>
  </si>
  <si>
    <t>Q9NUY8_TBC1D23</t>
  </si>
  <si>
    <t>Q9NV35_NUDT15</t>
  </si>
  <si>
    <t>Q9NV56_MRGBP</t>
  </si>
  <si>
    <t>Q9NV70-2_EXOC1</t>
  </si>
  <si>
    <t>Q9NV88-3_INTS9</t>
  </si>
  <si>
    <t>Q9NV96_TMEM30A</t>
  </si>
  <si>
    <t>Q9NVA2-2_SEPT11</t>
  </si>
  <si>
    <t>Q9NVA4_TMEM184C</t>
  </si>
  <si>
    <t>Q9NVC3_SLC38A7</t>
  </si>
  <si>
    <t>Q9NVE7_PANK4</t>
  </si>
  <si>
    <t>Q9NVG8_TBC1D13</t>
  </si>
  <si>
    <t>Q9NVH6_TMLHE</t>
  </si>
  <si>
    <t>Q9NVI7-2_ATAD3A</t>
  </si>
  <si>
    <t>Q9NVJ2_ARL8B</t>
  </si>
  <si>
    <t>Q9NVM1_EVA1B</t>
  </si>
  <si>
    <t>Q9NVM4-3_PRMT7</t>
  </si>
  <si>
    <t>Q9NVM6_DNAJC17</t>
  </si>
  <si>
    <t>Q9NVR5_DNAAF2</t>
  </si>
  <si>
    <t>Q9NVS9_PNPO</t>
  </si>
  <si>
    <t>Q9NVT9_ARMC1</t>
  </si>
  <si>
    <t>Q9NVW2_RLIM</t>
  </si>
  <si>
    <t>Q9NVX2_NLE1</t>
  </si>
  <si>
    <t>Q9NVX7_KBTBD4</t>
  </si>
  <si>
    <t>Q9NVZ3_NECAP2</t>
  </si>
  <si>
    <t>Q9NW15_ANO10</t>
  </si>
  <si>
    <t>Q9NW21_FAM49B</t>
  </si>
  <si>
    <t>Q9NW68-4_BSDC1</t>
  </si>
  <si>
    <t>Q9NW82_WDR70</t>
  </si>
  <si>
    <t>Q9NW97_TMEM51</t>
  </si>
  <si>
    <t>Q9NWA0_MED9</t>
  </si>
  <si>
    <t>Q9NWB6-2_ARGLU1</t>
  </si>
  <si>
    <t>Q9NWD8_TMEM248</t>
  </si>
  <si>
    <t>Q9NWH2_TMEM242</t>
  </si>
  <si>
    <t>Q9NWM3_CUEDC1</t>
  </si>
  <si>
    <t>Q9NWM8_FKBP14</t>
  </si>
  <si>
    <t>Q9NWQ8_PAG1</t>
  </si>
  <si>
    <t>Q9NWQ9_C14orf119</t>
  </si>
  <si>
    <t>Q9NWS0_PIH1D1</t>
  </si>
  <si>
    <t>Q9NWS6_FAM118A</t>
  </si>
  <si>
    <t>Q9NWT6_HIF1AN</t>
  </si>
  <si>
    <t>Q9NWU1_OXSM</t>
  </si>
  <si>
    <t>Q9NWU2_GID8</t>
  </si>
  <si>
    <t>Q9NWV4_C1orf123</t>
  </si>
  <si>
    <t>Q9NWW6_NMRK1</t>
  </si>
  <si>
    <t>Q9NWX6_THG1L</t>
  </si>
  <si>
    <t>Q9NWY4_C4orf27</t>
  </si>
  <si>
    <t>Q9NWZ3_IRAK4</t>
  </si>
  <si>
    <t>Q9NX00_TMEM160</t>
  </si>
  <si>
    <t>Q9NX01_TXNL4B</t>
  </si>
  <si>
    <t>Q9NX07_TRNAU1AP</t>
  </si>
  <si>
    <t>Q9NX08_COMMD8</t>
  </si>
  <si>
    <t>Q9NX14_NDUFB11</t>
  </si>
  <si>
    <t>Q9NX40_OCIAD1</t>
  </si>
  <si>
    <t>Q9NX46_ADPRHL2</t>
  </si>
  <si>
    <t>Q9NX47_MARCH5</t>
  </si>
  <si>
    <t>Q9NX55_HYPK</t>
  </si>
  <si>
    <t>Q9NX62_IMPAD1</t>
  </si>
  <si>
    <t>Q9NX70_MED29</t>
  </si>
  <si>
    <t>Q9NX74_DUS2L</t>
  </si>
  <si>
    <t>Q9NX76_CMTM6</t>
  </si>
  <si>
    <t>Q9NX94_WBP1L</t>
  </si>
  <si>
    <t>Q9NXA8_SIRT5</t>
  </si>
  <si>
    <t>Q9NXF7_DCAF16</t>
  </si>
  <si>
    <t>Q9NXG6_P4HTM</t>
  </si>
  <si>
    <t>Q9NXH9_TRMT1</t>
  </si>
  <si>
    <t>Q9NXJ5_PGPEP1</t>
  </si>
  <si>
    <t>Q9NXN4-2_GDAP2</t>
  </si>
  <si>
    <t>Q9NXR1-2_NDE1</t>
  </si>
  <si>
    <t>Q9NXR7_BRE</t>
  </si>
  <si>
    <t>Q9NXU5_ARL15</t>
  </si>
  <si>
    <t>Q9NXV6_CDKN2AIP</t>
  </si>
  <si>
    <t>Q9NXW9_ALKBH4</t>
  </si>
  <si>
    <t>Q9NY27_PPP4R2</t>
  </si>
  <si>
    <t>Q9NY33_DPP3</t>
  </si>
  <si>
    <t>Q9NYA1-2_SPHK1</t>
  </si>
  <si>
    <t>Q9NYB0_TERF2IP</t>
  </si>
  <si>
    <t>Q9NYF8-2_BCLAF1</t>
  </si>
  <si>
    <t>Q9NYJ1_COA4</t>
  </si>
  <si>
    <t>Q9NYJ8_TAB2</t>
  </si>
  <si>
    <t>Q9NYK5_MRPL39</t>
  </si>
  <si>
    <t>Q9NYL2-2_MLTK</t>
  </si>
  <si>
    <t>Q9NYL9_TMOD3</t>
  </si>
  <si>
    <t>Q9NYM9_BET1L</t>
  </si>
  <si>
    <t>Q9NYU2-2_UGGT1</t>
  </si>
  <si>
    <t>Q9NYY8-2_FASTKD2</t>
  </si>
  <si>
    <t>Q9NZ01_TECR</t>
  </si>
  <si>
    <t>Q9NZ08_ERAP1</t>
  </si>
  <si>
    <t>Q9NZ08-2_ERAP1</t>
  </si>
  <si>
    <t>Q9NZ09_UBAP1</t>
  </si>
  <si>
    <t>Q9NZ32_ACTR10</t>
  </si>
  <si>
    <t>Q9NZ43_USE1</t>
  </si>
  <si>
    <t>Q9NZ45_CISD1</t>
  </si>
  <si>
    <t>Q9NZ53_PODXL2</t>
  </si>
  <si>
    <t>Q9NZ56_FMN2</t>
  </si>
  <si>
    <t>Q9NZ63_C9orf78</t>
  </si>
  <si>
    <t>Q9NZB2-4_FAM120A</t>
  </si>
  <si>
    <t>Q9NZB8-7_MOCS1</t>
  </si>
  <si>
    <t>Q9NZC3_GDE1</t>
  </si>
  <si>
    <t>Q9NZC9_SMARCAL1</t>
  </si>
  <si>
    <t>Q9NZD2_GLTP</t>
  </si>
  <si>
    <t>Q9NZD8-2_SPG21</t>
  </si>
  <si>
    <t>Q9NZI7-4_UBP1</t>
  </si>
  <si>
    <t>Q9NZJ6_COQ3</t>
  </si>
  <si>
    <t>Q9NZJ7-2_MTCH1</t>
  </si>
  <si>
    <t>Q9NZJ9_NUDT4</t>
  </si>
  <si>
    <t>Q9NZJ9-2_NUDT4</t>
  </si>
  <si>
    <t>Q9NZL4_HSPBP1</t>
  </si>
  <si>
    <t>Q9NZL9_MAT2B</t>
  </si>
  <si>
    <t>Q9NZL9-2_MAT2B</t>
  </si>
  <si>
    <t>Q9NZM1-6_MYOF</t>
  </si>
  <si>
    <t>Q9NZM3-2_ITSN2</t>
  </si>
  <si>
    <t>Q9NZM4-2_GLTSCR1</t>
  </si>
  <si>
    <t>Q9NZN3_EHD3</t>
  </si>
  <si>
    <t>Q9NZN4_EHD2</t>
  </si>
  <si>
    <t>Q9NZN9-3_AIPL1</t>
  </si>
  <si>
    <t>Q9NZQ3-3_NCKIPSD</t>
  </si>
  <si>
    <t>Q9NZQ7-3_CD274</t>
  </si>
  <si>
    <t>Q9NZS9_BFAR</t>
  </si>
  <si>
    <t>Q9NZT2-2_OGFR</t>
  </si>
  <si>
    <t>Q9NZU5_LMCD1</t>
  </si>
  <si>
    <t>Q9NZV1_CRIM1</t>
  </si>
  <si>
    <t>Q9NZW5_MPP6</t>
  </si>
  <si>
    <t>Q9NZZ3_CHMP5</t>
  </si>
  <si>
    <t>Q9P000_COMMD9</t>
  </si>
  <si>
    <t>Q9P013_CWC15</t>
  </si>
  <si>
    <t>Q9P016_THYN1</t>
  </si>
  <si>
    <t>Q9P032_NDUFAF4</t>
  </si>
  <si>
    <t>Q9P035_PTPLAD1</t>
  </si>
  <si>
    <t>Q9P0I2_EMC3</t>
  </si>
  <si>
    <t>Q9P0J1_PDP1</t>
  </si>
  <si>
    <t>Q9P0J7_KCMF1</t>
  </si>
  <si>
    <t>Q9P0K7-4_RAI14</t>
  </si>
  <si>
    <t>Q9P0L0_VAPA</t>
  </si>
  <si>
    <t>Q9P0P0_RNF181</t>
  </si>
  <si>
    <t>Q9P0R6_GSKIP</t>
  </si>
  <si>
    <t>Q9P0S2_COX16</t>
  </si>
  <si>
    <t>Q9P0V3_SH3BP4</t>
  </si>
  <si>
    <t>Q9P1F3_ABRACL</t>
  </si>
  <si>
    <t>Q9P1U0_ZNRD1</t>
  </si>
  <si>
    <t>Q9P1Z2-2_CALCOCO1</t>
  </si>
  <si>
    <t>Q9P253_VPS18</t>
  </si>
  <si>
    <t>Q9P258_RCC2</t>
  </si>
  <si>
    <t>Q9P260-2_KIAA1468</t>
  </si>
  <si>
    <t>Q9P265_DIP2B</t>
  </si>
  <si>
    <t>Q9P266_KIAA1462</t>
  </si>
  <si>
    <t>Q9P270_SLAIN2</t>
  </si>
  <si>
    <t>Q9P287_BCCIP</t>
  </si>
  <si>
    <t>Q9P287-2_BCCIP</t>
  </si>
  <si>
    <t>Q9P299_COPZ2</t>
  </si>
  <si>
    <t>Q9P2B4_CTTNBP2NL</t>
  </si>
  <si>
    <t>Q9P2B7_KIAA1430</t>
  </si>
  <si>
    <t>Q9P2C4_TMEM181</t>
  </si>
  <si>
    <t>Q9P2E7_PCDH10</t>
  </si>
  <si>
    <t>Q9P2E9_RRBP1</t>
  </si>
  <si>
    <t>Q9P2E9-2_RRBP1</t>
  </si>
  <si>
    <t>Q9P2G1_ANKIB1</t>
  </si>
  <si>
    <t>Q9P2H5_USP35</t>
  </si>
  <si>
    <t>Q9P2I0_CPSF2</t>
  </si>
  <si>
    <t>Q9P2K8-2_EIF2AK4</t>
  </si>
  <si>
    <t>Q9P2N5_RBM27</t>
  </si>
  <si>
    <t>Q9P2R3_ANKFY1</t>
  </si>
  <si>
    <t>Q9P2X0_DPM3</t>
  </si>
  <si>
    <t>Q9P2X3_IMPACT</t>
  </si>
  <si>
    <t>Q9UBB4_ATXN10</t>
  </si>
  <si>
    <t>Q9UBB6_NCDN</t>
  </si>
  <si>
    <t>Q9UBC2-2_EPS15L1</t>
  </si>
  <si>
    <t>Q9UBD8_CLN3</t>
  </si>
  <si>
    <t>Q9UBE0_SAE1</t>
  </si>
  <si>
    <t>Q9UBF2_COPG2</t>
  </si>
  <si>
    <t>Q9UBF6_RNF7</t>
  </si>
  <si>
    <t>Q9UBF8-2_PI4KB</t>
  </si>
  <si>
    <t>Q9UBG0_MRC2</t>
  </si>
  <si>
    <t>Q9UBI6_GNG12</t>
  </si>
  <si>
    <t>Q9UBK8-2_MTRR</t>
  </si>
  <si>
    <t>Q9UBK9_UXT</t>
  </si>
  <si>
    <t>Q9UBL6-2_CPNE7</t>
  </si>
  <si>
    <t>Q9UBM7_DHCR7</t>
  </si>
  <si>
    <t>Q9UBN6_TNFRSF10D</t>
  </si>
  <si>
    <t>Q9UBP0-3_SPAST</t>
  </si>
  <si>
    <t>Q9UBP6_METTL1</t>
  </si>
  <si>
    <t>Q9UBP9-4_GULP1</t>
  </si>
  <si>
    <t>Q9UBQ0_VPS29</t>
  </si>
  <si>
    <t>Q9UBQ7_GRHPR</t>
  </si>
  <si>
    <t>Q9UBR2_CTSZ</t>
  </si>
  <si>
    <t>Q9UBS0_RPS6KB2</t>
  </si>
  <si>
    <t>Q9UBS4_DNAJB11</t>
  </si>
  <si>
    <t>Q9UBS8_RNF14</t>
  </si>
  <si>
    <t>Q9UBT2_UBA2</t>
  </si>
  <si>
    <t>Q9UBT7-2_CTNNAL1</t>
  </si>
  <si>
    <t>Q9UBU6_FAM8A1</t>
  </si>
  <si>
    <t>Q9UBV2_SEL1L</t>
  </si>
  <si>
    <t>Q9UBV8_PEF1</t>
  </si>
  <si>
    <t>Q9UBW8_COPS7A</t>
  </si>
  <si>
    <t>Q9UBY9_HSPB7</t>
  </si>
  <si>
    <t>Q9UDR5_AASS</t>
  </si>
  <si>
    <t>Q9UDT6-2_CLIP2</t>
  </si>
  <si>
    <t>Q9UDW1_UQCR10</t>
  </si>
  <si>
    <t>Q9UDY2-6_TJP2</t>
  </si>
  <si>
    <t>Q9UDY4_DNAJB4</t>
  </si>
  <si>
    <t>Q9UDY8_MALT1</t>
  </si>
  <si>
    <t>Q9UEE9_CFDP1</t>
  </si>
  <si>
    <t>Q9UET6-2_FTSJ1</t>
  </si>
  <si>
    <t>Q9UEU0_VTI1B</t>
  </si>
  <si>
    <t>Q9UEW8_STK39</t>
  </si>
  <si>
    <t>Q9UEY8-2_ADD3</t>
  </si>
  <si>
    <t>Q9UFG5_C19orf25</t>
  </si>
  <si>
    <t>Q9UFN0_NIPSNAP3A</t>
  </si>
  <si>
    <t>Q9UFW8_CGGBP1</t>
  </si>
  <si>
    <t>Q9UG56-2_PISD</t>
  </si>
  <si>
    <t>Q9UG63_ABCF2</t>
  </si>
  <si>
    <t>Q9UGI8_TES</t>
  </si>
  <si>
    <t>Q9UGK8_SERGEF</t>
  </si>
  <si>
    <t>Q9UGP4_LIMD1</t>
  </si>
  <si>
    <t>Q9UGP8_SEC63</t>
  </si>
  <si>
    <t>Q9UGQ2-2_CACFD1</t>
  </si>
  <si>
    <t>Q9UGQ3-2_SLC2A6</t>
  </si>
  <si>
    <t>Q9UGT4_SUSD2</t>
  </si>
  <si>
    <t>Q9UGV2_NDRG3</t>
  </si>
  <si>
    <t>Q9UH62_ARMCX3</t>
  </si>
  <si>
    <t>Q9UH65_SWAP70</t>
  </si>
  <si>
    <t>Q9UH99_SUN2</t>
  </si>
  <si>
    <t>Q9UHA4_LAMTOR3</t>
  </si>
  <si>
    <t>Q9UHB7-2_AFF4</t>
  </si>
  <si>
    <t>Q9UHD1_CHORDC1</t>
  </si>
  <si>
    <t>Q9UHD2_TBK1</t>
  </si>
  <si>
    <t>Q9UHD8-5_SEPT9</t>
  </si>
  <si>
    <t>Q9UHD9_UBQLN2</t>
  </si>
  <si>
    <t>Q9UHE8_STEAP1</t>
  </si>
  <si>
    <t>Q9UHG3_PCYOX1</t>
  </si>
  <si>
    <t>Q9UHJ6_SHPK</t>
  </si>
  <si>
    <t>Q9UHL4_DPP7</t>
  </si>
  <si>
    <t>Q9UHN6_TMEM2</t>
  </si>
  <si>
    <t>Q9UHP3_USP25</t>
  </si>
  <si>
    <t>Q9UHQ4_BCAP29</t>
  </si>
  <si>
    <t>Q9UHQ9_CYB5R1</t>
  </si>
  <si>
    <t>Q9UHR4_BAIAP2L1</t>
  </si>
  <si>
    <t>Q9UHV9_PFDN2</t>
  </si>
  <si>
    <t>Q9UHW5_GPN3</t>
  </si>
  <si>
    <t>Q9UHX1-4_PUF60</t>
  </si>
  <si>
    <t>Q9UHY1_NRBP1</t>
  </si>
  <si>
    <t>Q9UHY7_ENOPH1</t>
  </si>
  <si>
    <t>Q9UHY8_FEZ2</t>
  </si>
  <si>
    <t>Q9UI08_EVL</t>
  </si>
  <si>
    <t>Q9UI12-2_ATP6V1H</t>
  </si>
  <si>
    <t>Q9UI15_TAGLN3</t>
  </si>
  <si>
    <t>Q9UI26_IPO11</t>
  </si>
  <si>
    <t>Q9UI30_TRMT112</t>
  </si>
  <si>
    <t>Q9UI42-2_CPA4</t>
  </si>
  <si>
    <t>Q9UIC8_LCMT1</t>
  </si>
  <si>
    <t>Q9UID3-2_VPS51</t>
  </si>
  <si>
    <t>Q9UII2_ATPIF1</t>
  </si>
  <si>
    <t>Q9UIJ5_ZDHHC2</t>
  </si>
  <si>
    <t>Q9UIJ7_AK3</t>
  </si>
  <si>
    <t>Q9UIL1-3_SCOC</t>
  </si>
  <si>
    <t>Q9UIQ6-3_LNPEP</t>
  </si>
  <si>
    <t>Q9UJ14_GGT7</t>
  </si>
  <si>
    <t>Q9UJ68-5_MSRA</t>
  </si>
  <si>
    <t>Q9UJ70_NAGK</t>
  </si>
  <si>
    <t>Q9UJA5_TRMT6</t>
  </si>
  <si>
    <t>Q9UJG1-2_MOSPD1</t>
  </si>
  <si>
    <t>Q9UJJ9_GNPTG</t>
  </si>
  <si>
    <t>Q9UJM3_ERRFI1</t>
  </si>
  <si>
    <t>Q9UJS0_SLC25A13</t>
  </si>
  <si>
    <t>Q9UJT0_TUBE1</t>
  </si>
  <si>
    <t>Q9UJU6_DBNL</t>
  </si>
  <si>
    <t>Q9UJU6-2_DBNL</t>
  </si>
  <si>
    <t>Q9UJW0-2_DCTN4</t>
  </si>
  <si>
    <t>Q9UJX2_CDC23</t>
  </si>
  <si>
    <t>Q9UJX5_ANAPC4</t>
  </si>
  <si>
    <t>Q9UJX6-2_ANAPC2</t>
  </si>
  <si>
    <t>Q9UJY1_HSPB8</t>
  </si>
  <si>
    <t>Q9UJY4_GGA2</t>
  </si>
  <si>
    <t>Q9UJY5-4_GGA1</t>
  </si>
  <si>
    <t>Q9UJZ1_STOML2</t>
  </si>
  <si>
    <t>Q9UK23-2_NAGPA</t>
  </si>
  <si>
    <t>Q9UK39_CCRN4L</t>
  </si>
  <si>
    <t>Q9UK41_VPS28</t>
  </si>
  <si>
    <t>Q9UK45_LSM7</t>
  </si>
  <si>
    <t>Q9UK59_DBR1</t>
  </si>
  <si>
    <t>Q9UK76_HN1</t>
  </si>
  <si>
    <t>Q9UK97-3_FBXO9</t>
  </si>
  <si>
    <t>Q9UK99_FBXO3</t>
  </si>
  <si>
    <t>Q9UKA4_AKAP11</t>
  </si>
  <si>
    <t>Q9UKB3_DNAJC12</t>
  </si>
  <si>
    <t>Q9UKC9_FBXL2</t>
  </si>
  <si>
    <t>Q9UKE5-5_TNIK</t>
  </si>
  <si>
    <t>Q9UKF6_CPSF3</t>
  </si>
  <si>
    <t>Q9UKG1_APPL1</t>
  </si>
  <si>
    <t>Q9UKG9_CROT</t>
  </si>
  <si>
    <t>Q9UKK3_PARP4</t>
  </si>
  <si>
    <t>Q9UKK9_NUDT5</t>
  </si>
  <si>
    <t>Q9UKL6_PCTP</t>
  </si>
  <si>
    <t>Q9UKR5_C14orf1</t>
  </si>
  <si>
    <t>Q9UKS6_PACSIN3</t>
  </si>
  <si>
    <t>Q9UKT4-2_FBXO5</t>
  </si>
  <si>
    <t>Q9UKT5_FBXO4</t>
  </si>
  <si>
    <t>Q9UKU6_TRHDE</t>
  </si>
  <si>
    <t>Q9UKU7_ACAD8</t>
  </si>
  <si>
    <t>Q9UKV5_AMFR</t>
  </si>
  <si>
    <t>Q9UKV8_AGO2</t>
  </si>
  <si>
    <t>Q9UKX5_ITGA11</t>
  </si>
  <si>
    <t>Q9UKX7-2_NUP50</t>
  </si>
  <si>
    <t>Q9UKY7_CDV3</t>
  </si>
  <si>
    <t>Q9UKZ1_CNOT11</t>
  </si>
  <si>
    <t>Q9UL15_BAG5</t>
  </si>
  <si>
    <t>Q9UL25_RAB21</t>
  </si>
  <si>
    <t>Q9UL26_RAB22A</t>
  </si>
  <si>
    <t>Q9UL46_PSME2</t>
  </si>
  <si>
    <t>Q9ULC3_RAB23</t>
  </si>
  <si>
    <t>Q9ULC4_MCTS1</t>
  </si>
  <si>
    <t>Q9ULC8_ZDHHC8</t>
  </si>
  <si>
    <t>Q9ULF5_SLC39A10</t>
  </si>
  <si>
    <t>Q9ULH0-5_KIDINS220</t>
  </si>
  <si>
    <t>Q9ULH1_ASAP1</t>
  </si>
  <si>
    <t>Q9ULH7-4_MKL2</t>
  </si>
  <si>
    <t>Q9ULI3_HEG1</t>
  </si>
  <si>
    <t>Q9ULJ6_ZMIZ1</t>
  </si>
  <si>
    <t>Q9ULJ7_ANKRD50</t>
  </si>
  <si>
    <t>Q9ULP9-2_TBC1D24</t>
  </si>
  <si>
    <t>Q9ULR0_ISY1</t>
  </si>
  <si>
    <t>Q9ULT8_HECTD1</t>
  </si>
  <si>
    <t>Q9ULV4_CORO1C</t>
  </si>
  <si>
    <t>Q9ULZ3-2_PYCARD</t>
  </si>
  <si>
    <t>Q9UM47_NOTCH3</t>
  </si>
  <si>
    <t>Q9UMF0_ICAM5</t>
  </si>
  <si>
    <t>Q9UMS0-3_NFU1</t>
  </si>
  <si>
    <t>Q9UMS4_PRPF19</t>
  </si>
  <si>
    <t>Q9UMS6_SYNPO2</t>
  </si>
  <si>
    <t>Q9UMX0-2_UBQLN1</t>
  </si>
  <si>
    <t>Q9UMX1_SUFU</t>
  </si>
  <si>
    <t>Q9UMX5_NENF</t>
  </si>
  <si>
    <t>Q9UMY4-2_SNX12</t>
  </si>
  <si>
    <t>Q9UMZ2-6_SYNRG</t>
  </si>
  <si>
    <t>Q9UN37_VPS4A</t>
  </si>
  <si>
    <t>Q9UN86-2_G3BP2</t>
  </si>
  <si>
    <t>Q9UNE7_STUB1</t>
  </si>
  <si>
    <t>Q9UNF0_PACSIN2</t>
  </si>
  <si>
    <t>Q9UNF1_MAGED2</t>
  </si>
  <si>
    <t>Q9UNH6_SNX7</t>
  </si>
  <si>
    <t>Q9UNH7_SNX6</t>
  </si>
  <si>
    <t>Q9UNI6_DUSP12</t>
  </si>
  <si>
    <t>Q9UNK0_STX8</t>
  </si>
  <si>
    <t>Q9UNM6_PSMD13</t>
  </si>
  <si>
    <t>Q9UNN5_FAF1</t>
  </si>
  <si>
    <t>Q9UNN8_PROCR</t>
  </si>
  <si>
    <t>Q9UNP9_PPIE</t>
  </si>
  <si>
    <t>Q9UNS2_COPS3</t>
  </si>
  <si>
    <t>Q9UNW1_MINPP1</t>
  </si>
  <si>
    <t>Q9UNY4-2_TTF2</t>
  </si>
  <si>
    <t>Q9UP38_FZD1</t>
  </si>
  <si>
    <t>Q9UP79_ADAMTS8</t>
  </si>
  <si>
    <t>Q9UP83_COG5</t>
  </si>
  <si>
    <t>Q9UP95-5_SLC12A4</t>
  </si>
  <si>
    <t>Q9UPM8-2_AP4E1</t>
  </si>
  <si>
    <t>Q9UPN6_SCAF8</t>
  </si>
  <si>
    <t>Q9UPN7_PPP6R1</t>
  </si>
  <si>
    <t>Q9UPN9-2_TRIM33</t>
  </si>
  <si>
    <t>Q9UPP5-2_KIAA1107</t>
  </si>
  <si>
    <t>Q9UPQ9-1_TNRC6B</t>
  </si>
  <si>
    <t>Q9UPR3_SMG5</t>
  </si>
  <si>
    <t>Q9UPT5-2_EXOC7</t>
  </si>
  <si>
    <t>Q9UPU5_USP24</t>
  </si>
  <si>
    <t>Q9UPU7-2_TBC1D2B</t>
  </si>
  <si>
    <t>Q9UPY8_MAPRE3</t>
  </si>
  <si>
    <t>Q9UPZ3-2_HPS5</t>
  </si>
  <si>
    <t>Q9UQ13-2_SHOC2</t>
  </si>
  <si>
    <t>Q9UQ35_SRRM2</t>
  </si>
  <si>
    <t>Q9UQ80_PA2G4</t>
  </si>
  <si>
    <t>Q9UQB8-2_BAIAP2</t>
  </si>
  <si>
    <t>Q9UQC2-2_GAB2</t>
  </si>
  <si>
    <t>Q9UQN3_CHMP2B</t>
  </si>
  <si>
    <t>Q9Y217_MTMR6</t>
  </si>
  <si>
    <t>Q9Y223-3_GNE</t>
  </si>
  <si>
    <t>Q9Y224_C14orf166</t>
  </si>
  <si>
    <t>Q9Y230_RUVBL2</t>
  </si>
  <si>
    <t>Q9Y237_PIN4</t>
  </si>
  <si>
    <t>Q9Y241_HIGD1A</t>
  </si>
  <si>
    <t>Q9Y243-2_AKT3</t>
  </si>
  <si>
    <t>Q9Y244_POMP</t>
  </si>
  <si>
    <t>Q9Y257_KCNK6</t>
  </si>
  <si>
    <t>Q9Y259_CHKB</t>
  </si>
  <si>
    <t>Q9Y263_PLAA</t>
  </si>
  <si>
    <t>Q9Y265_RUVBL1</t>
  </si>
  <si>
    <t>Q9Y266_NUDC</t>
  </si>
  <si>
    <t>Q9Y276_BCS1L</t>
  </si>
  <si>
    <t>Q9Y281_CFL2</t>
  </si>
  <si>
    <t>Q9Y294_ASF1A</t>
  </si>
  <si>
    <t>Q9Y295_DRG1</t>
  </si>
  <si>
    <t>Q9Y296_TRAPPC4</t>
  </si>
  <si>
    <t>Q9Y2A7_NCKAP1</t>
  </si>
  <si>
    <t>Q9Y2B0_CNPY2</t>
  </si>
  <si>
    <t>Q9Y2C2_UST</t>
  </si>
  <si>
    <t>Q9Y2C4_EXOG</t>
  </si>
  <si>
    <t>Q9Y2D0_CA5B</t>
  </si>
  <si>
    <t>Q9Y2D4_EXOC6B</t>
  </si>
  <si>
    <t>Q9Y2D5-6_AKAP2</t>
  </si>
  <si>
    <t>Q9Y2E4_DIP2C</t>
  </si>
  <si>
    <t>Q9Y2E5_MAN2B2</t>
  </si>
  <si>
    <t>Q9Y2G3_ATP11B</t>
  </si>
  <si>
    <t>Q9Y2G5_POFUT2</t>
  </si>
  <si>
    <t>Q9Y2H1_STK38L</t>
  </si>
  <si>
    <t>Q9Y2H6-2_FNDC3A</t>
  </si>
  <si>
    <t>Q9Y2I1_NISCH</t>
  </si>
  <si>
    <t>Q9Y2I8_WDR37</t>
  </si>
  <si>
    <t>Q9Y2J2-2_EPB41L3</t>
  </si>
  <si>
    <t>Q9Y2J4_AMOTL2</t>
  </si>
  <si>
    <t>Q9Y2L1_DIS3</t>
  </si>
  <si>
    <t>Q9Y2Q3_GSTK1</t>
  </si>
  <si>
    <t>Q9Y2Q5_LAMTOR2</t>
  </si>
  <si>
    <t>Q9Y2Q9_MRPS28</t>
  </si>
  <si>
    <t>Q9Y2R0_COA3</t>
  </si>
  <si>
    <t>Q9Y2S2-2_CRYL1</t>
  </si>
  <si>
    <t>Q9Y2S6_TMA7</t>
  </si>
  <si>
    <t>Q9Y2S7_POLDIP2</t>
  </si>
  <si>
    <t>Q9Y2T2_AP3M1</t>
  </si>
  <si>
    <t>Q9Y2U5_MAP3K2</t>
  </si>
  <si>
    <t>Q9Y2U8_LEMD3</t>
  </si>
  <si>
    <t>Q9Y2V7_COG6</t>
  </si>
  <si>
    <t>Q9Y2W1_THRAP3</t>
  </si>
  <si>
    <t>Q9Y2X7_GIT1</t>
  </si>
  <si>
    <t>Q9Y2Y1_POLR3K</t>
  </si>
  <si>
    <t>Q9Y2Z0_SUGT1</t>
  </si>
  <si>
    <t>Q9Y2Z0-2_SUGT1</t>
  </si>
  <si>
    <t>Q9Y2Z4_YARS2</t>
  </si>
  <si>
    <t>Q9Y2Z9-3_COQ6</t>
  </si>
  <si>
    <t>Q9Y303_AMDHD2</t>
  </si>
  <si>
    <t>Q9Y305_ACOT9</t>
  </si>
  <si>
    <t>Q9Y314_NOSIP</t>
  </si>
  <si>
    <t>Q9Y316_MEMO1</t>
  </si>
  <si>
    <t>Q9Y320-2_TMX2</t>
  </si>
  <si>
    <t>Q9Y333_LSM2</t>
  </si>
  <si>
    <t>Q9Y371_SH3GLB1</t>
  </si>
  <si>
    <t>Q9Y375_NDUFAF1</t>
  </si>
  <si>
    <t>Q9Y376_CAB39</t>
  </si>
  <si>
    <t>Q9Y383_LUC7L2</t>
  </si>
  <si>
    <t>Q9Y385_UBE2J1</t>
  </si>
  <si>
    <t>Q9Y394-2_DHRS7</t>
  </si>
  <si>
    <t>Q9Y3A3-3_MOB4</t>
  </si>
  <si>
    <t>Q9Y3A5_SBDS</t>
  </si>
  <si>
    <t>Q9Y3B3_TMED7</t>
  </si>
  <si>
    <t>Q9Y3B9_RRP15</t>
  </si>
  <si>
    <t>Q9Y3C1_NOP16</t>
  </si>
  <si>
    <t>Q9Y3C4-2_TPRKB</t>
  </si>
  <si>
    <t>Q9Y3C5_RNF11</t>
  </si>
  <si>
    <t>Q9Y3C6_PPIL1</t>
  </si>
  <si>
    <t>Q9Y3C8_UFC1</t>
  </si>
  <si>
    <t>Q9Y3D0_FAM96B</t>
  </si>
  <si>
    <t>Q9Y3D2_MSRB2</t>
  </si>
  <si>
    <t>Q9Y3D6_FIS1</t>
  </si>
  <si>
    <t>Q9Y3D8_TAF9</t>
  </si>
  <si>
    <t>Q9Y3E0_GOLT1B</t>
  </si>
  <si>
    <t>Q9Y3E1_HDGFRP3</t>
  </si>
  <si>
    <t>Q9Y3E2_BOLA1</t>
  </si>
  <si>
    <t>Q9Y3E7_CHMP3</t>
  </si>
  <si>
    <t>Q9Y3F4_STRAP</t>
  </si>
  <si>
    <t>Q9Y3I0_C22orf28</t>
  </si>
  <si>
    <t>Q9Y3I1_FBXO7</t>
  </si>
  <si>
    <t>Q9Y3L3_SH3BP1</t>
  </si>
  <si>
    <t>Q9Y3L5_RAP2C</t>
  </si>
  <si>
    <t>Q9Y3M8-3_STARD13</t>
  </si>
  <si>
    <t>Q9Y3P9_RABGAP1</t>
  </si>
  <si>
    <t>Q9Y3Q3_TMED3</t>
  </si>
  <si>
    <t>Q9Y3Q8_TSC22D4</t>
  </si>
  <si>
    <t>Q9Y3S2_ZNF330</t>
  </si>
  <si>
    <t>Q9Y3T6_R3HCC1</t>
  </si>
  <si>
    <t>Q9Y3T9_NOC2L</t>
  </si>
  <si>
    <t>Q9Y3U8_RPL36</t>
  </si>
  <si>
    <t>Q9Y3V2_RWDD3</t>
  </si>
  <si>
    <t>Q9Y3X0_CCDC9</t>
  </si>
  <si>
    <t>Q9Y3Z3-4_SAMHD1</t>
  </si>
  <si>
    <t>Q9Y450-4_HBS1L</t>
  </si>
  <si>
    <t>Q9Y478_PRKAB1</t>
  </si>
  <si>
    <t>Q9Y490_TLN1</t>
  </si>
  <si>
    <t>Q9Y4B5_SOGA2</t>
  </si>
  <si>
    <t>Q9Y4C2-2_FAM115A</t>
  </si>
  <si>
    <t>Q9Y4E1-2_FAM21C</t>
  </si>
  <si>
    <t>Q9Y4E8_USP15</t>
  </si>
  <si>
    <t>Q9Y4F1_FARP1</t>
  </si>
  <si>
    <t>Q9Y4G6_TLN2</t>
  </si>
  <si>
    <t>Q9Y4G8_RAPGEF2</t>
  </si>
  <si>
    <t>Q9Y4H2_IRS2</t>
  </si>
  <si>
    <t>Q9Y4K0_LOXL2</t>
  </si>
  <si>
    <t>Q9Y4K1_AIM1</t>
  </si>
  <si>
    <t>Q9Y4K4_MAP4K5</t>
  </si>
  <si>
    <t>Q9Y4P1-6_ATG4B</t>
  </si>
  <si>
    <t>Q9Y4P8-4_WIPI2</t>
  </si>
  <si>
    <t>Q9Y4U1_MMACHC</t>
  </si>
  <si>
    <t>Q9Y4W6_AFG3L2</t>
  </si>
  <si>
    <t>Q9Y4X5_ARIH1</t>
  </si>
  <si>
    <t>Q9Y4Z0_LSM4</t>
  </si>
  <si>
    <t>Q9Y508_RNF114</t>
  </si>
  <si>
    <t>Q9Y512_SAMM50</t>
  </si>
  <si>
    <t>Q9Y534_CSDC2</t>
  </si>
  <si>
    <t>Q9Y570_PPME1</t>
  </si>
  <si>
    <t>Q9Y576_ASB1</t>
  </si>
  <si>
    <t>Q9Y584_TIMM22</t>
  </si>
  <si>
    <t>Q9Y5A9-2_YTHDF2</t>
  </si>
  <si>
    <t>Q9Y5B0_CTDP1</t>
  </si>
  <si>
    <t>Q9Y5B8-2_NME7</t>
  </si>
  <si>
    <t>Q9Y5J5_PHLDA3</t>
  </si>
  <si>
    <t>Q9Y5J6_TIMM10B</t>
  </si>
  <si>
    <t>Q9Y5J7_TIMM9</t>
  </si>
  <si>
    <t>Q9Y5K5-2_UCHL5</t>
  </si>
  <si>
    <t>Q9Y5K6_CD2AP</t>
  </si>
  <si>
    <t>Q9Y5K8_ATP6V1D</t>
  </si>
  <si>
    <t>Q9Y5L0_TNPO3</t>
  </si>
  <si>
    <t>Q9Y5L4_TIMM13</t>
  </si>
  <si>
    <t>Q9Y5M8_SRPRB</t>
  </si>
  <si>
    <t>Q9Y5N5_N6AMT1</t>
  </si>
  <si>
    <t>Q9Y5P4-2_COL4A3BP</t>
  </si>
  <si>
    <t>Q9Y5P6_GMPPB</t>
  </si>
  <si>
    <t>Q9Y5R8_TRAPPC1</t>
  </si>
  <si>
    <t>Q9Y5S1_TRPV2</t>
  </si>
  <si>
    <t>Q9Y5S2_CDC42BPB</t>
  </si>
  <si>
    <t>Q9Y5S9_RBM8A</t>
  </si>
  <si>
    <t>Q9Y5U2-2_TSSC4</t>
  </si>
  <si>
    <t>Q9Y5V3_MAGED1</t>
  </si>
  <si>
    <t>Q9Y5X1_SNX9</t>
  </si>
  <si>
    <t>Q9Y5X2_SNX8</t>
  </si>
  <si>
    <t>Q9Y5X3_SNX5</t>
  </si>
  <si>
    <t>Q9Y5Y2_NUBP2</t>
  </si>
  <si>
    <t>Q9Y5Z4_HEBP2</t>
  </si>
  <si>
    <t>Q9Y5Z7_HCFC2</t>
  </si>
  <si>
    <t>Q9Y605_MRFAP1</t>
  </si>
  <si>
    <t>Q9Y608-4_LRRFIP2</t>
  </si>
  <si>
    <t>Q9Y613_FHOD1</t>
  </si>
  <si>
    <t>Q9Y617_PSAT1</t>
  </si>
  <si>
    <t>Q9Y619_SLC25A15</t>
  </si>
  <si>
    <t>Q9Y625_GPC6</t>
  </si>
  <si>
    <t>Q9Y639-1_NPTN</t>
  </si>
  <si>
    <t>Q9Y646_CPQ</t>
  </si>
  <si>
    <t>Q9Y673_ALG5</t>
  </si>
  <si>
    <t>Q9Y678_COPG1</t>
  </si>
  <si>
    <t>Q9Y679_AUP1</t>
  </si>
  <si>
    <t>Q9Y680-2_FKBP7</t>
  </si>
  <si>
    <t>Q9Y689-2_ARL5A</t>
  </si>
  <si>
    <t>Q9Y693_LHFP</t>
  </si>
  <si>
    <t>Q9Y696_CLIC4</t>
  </si>
  <si>
    <t>Q9Y697-2_NFS1</t>
  </si>
  <si>
    <t>Q9Y6A4_C16orf80</t>
  </si>
  <si>
    <t>Q9Y6B2-2_EID1</t>
  </si>
  <si>
    <t>Q9Y6C2_EMILIN1</t>
  </si>
  <si>
    <t>Q9Y6C9_MTCH2</t>
  </si>
  <si>
    <t>Q9Y6D5_ARFGEF2</t>
  </si>
  <si>
    <t>Q9Y6D6_ARFGEF1</t>
  </si>
  <si>
    <t>Q9Y6D9_MAD1L1</t>
  </si>
  <si>
    <t>Q9Y6E0-2_STK24</t>
  </si>
  <si>
    <t>Q9Y6G5_COMMD10</t>
  </si>
  <si>
    <t>Q9Y6G9_DYNC1LI1</t>
  </si>
  <si>
    <t>Q9Y6H1_CHCHD2</t>
  </si>
  <si>
    <t>Q9Y6I3_EPN1</t>
  </si>
  <si>
    <t>Q9Y6I9_TEX264</t>
  </si>
  <si>
    <t>Q9Y6K8-3_AK5</t>
  </si>
  <si>
    <t>Q9Y6M4-3_CSNK1G3</t>
  </si>
  <si>
    <t>Q9Y6M5_SLC30A1</t>
  </si>
  <si>
    <t>Q9Y6N1_COX11</t>
  </si>
  <si>
    <t>Q9Y6N5_SQRDL</t>
  </si>
  <si>
    <t>Q9Y6N7-5_ROBO1</t>
  </si>
  <si>
    <t>Q9Y6P5-2_SESN1</t>
  </si>
  <si>
    <t>Q9Y6Q2_STON1</t>
  </si>
  <si>
    <t>Q9Y6Q9-5_NCOA3</t>
  </si>
  <si>
    <t>Q9Y6R0_NUMBL</t>
  </si>
  <si>
    <t>Q9Y6V0-2_PCLO</t>
  </si>
  <si>
    <t>Q9Y6W3_CAPN7</t>
  </si>
  <si>
    <t>Q9Y6W5_WASF2</t>
  </si>
  <si>
    <t>Q9Y6X5_ENPP4</t>
  </si>
  <si>
    <t>R4GMM8_ROBO2</t>
  </si>
  <si>
    <t>R4GMN1_MOSPD2</t>
  </si>
  <si>
    <t>R4GMR5_PSMD8</t>
  </si>
  <si>
    <t>R4GMU1_H6PD</t>
  </si>
  <si>
    <t>R4GMX3_BMI1</t>
  </si>
  <si>
    <t>R4GMX8_RANBP10</t>
  </si>
  <si>
    <t>R4GMY4_NBL1</t>
  </si>
  <si>
    <t>R4GN55_YTHDF3</t>
  </si>
  <si>
    <t>R4GN89_C16orf74</t>
  </si>
  <si>
    <t>R4GN98_S100A6</t>
  </si>
  <si>
    <t>R4GNB2_DENND4C</t>
  </si>
  <si>
    <t>R4GND3_PHLDA1</t>
  </si>
  <si>
    <t>R4GNH3_PSMC3</t>
  </si>
  <si>
    <t>REV__Q96PE2_</t>
  </si>
  <si>
    <t>Melting_Curves/meltCurve_A0AVI4_TMEM129.pdf</t>
  </si>
  <si>
    <t>Melting_Curves/meltCurve_A0AVT1_UBA6.pdf</t>
  </si>
  <si>
    <t>Melting_Curves/meltCurve_A0JNW5_UHRF1BP1L.pdf</t>
  </si>
  <si>
    <t>Melting_Curves/meltCurve_A1A4S6_ARHGAP10.pdf</t>
  </si>
  <si>
    <t>Melting_Curves/meltCurve_A1L0T0_ILVBL.pdf</t>
  </si>
  <si>
    <t>Melting_Curves/meltCurve_A1L188_C17orf89.pdf</t>
  </si>
  <si>
    <t>Melting_Curves/meltCurve_A1X283_SH3PXD2B.pdf</t>
  </si>
  <si>
    <t>Melting_Curves/meltCurve_A2A274_ACO2.pdf</t>
  </si>
  <si>
    <t>Melting_Curves/meltCurve_A2A2F4_PMEPA1.pdf</t>
  </si>
  <si>
    <t>Melting_Curves/meltCurve_A2A2Q9_AAR2.pdf</t>
  </si>
  <si>
    <t>Melting_Curves/meltCurve_A2A2V1_PRNP.pdf</t>
  </si>
  <si>
    <t>Melting_Curves/meltCurve_A2RRP1_NBAS.pdf</t>
  </si>
  <si>
    <t>Melting_Curves/meltCurve_A2RU67_KIAA1467.pdf</t>
  </si>
  <si>
    <t>Melting_Curves/meltCurve_A2VDF0_FUOM.pdf</t>
  </si>
  <si>
    <t>Melting_Curves/meltCurve_A3KN83_3_SBNO1.pdf</t>
  </si>
  <si>
    <t>Melting_Curves/meltCurve_A4D126_ISPD.pdf</t>
  </si>
  <si>
    <t>Melting_Curves/meltCurve_A4D1U4_LCHN.pdf</t>
  </si>
  <si>
    <t>Melting_Curves/meltCurve_A4D1W8_UCC1.pdf</t>
  </si>
  <si>
    <t>Melting_Curves/meltCurve_A4D2B0_MBLAC1.pdf</t>
  </si>
  <si>
    <t>Melting_Curves/meltCurve_A4UGR9_2_XIRP2.pdf</t>
  </si>
  <si>
    <t>Melting_Curves/meltCurve_A5YKK6_2_CNOT1.pdf</t>
  </si>
  <si>
    <t>Melting_Curves/meltCurve_A6H8Z3_RAB3GAP1.pdf</t>
  </si>
  <si>
    <t>Melting_Curves/meltCurve_A6NC48_BST1.pdf</t>
  </si>
  <si>
    <t>Melting_Curves/meltCurve_A6NDG6_PGP.pdf</t>
  </si>
  <si>
    <t>Melting_Curves/meltCurve_A6NDU8_C5orf51.pdf</t>
  </si>
  <si>
    <t>Melting_Curves/meltCurve_A6NED2_RCCD1.pdf</t>
  </si>
  <si>
    <t>Melting_Curves/meltCurve_A6NEM2_HCFC1.pdf</t>
  </si>
  <si>
    <t>Melting_Curves/meltCurve_A6NEP9_TSPAN14.pdf</t>
  </si>
  <si>
    <t>Melting_Curves/meltCurve_A6NF31_OFD1.pdf</t>
  </si>
  <si>
    <t>Melting_Curves/meltCurve_A6NG32_CHMP1A.pdf</t>
  </si>
  <si>
    <t>Melting_Curves/meltCurve_A6NG79_PRCC.pdf</t>
  </si>
  <si>
    <t>Melting_Curves/meltCurve_A6NGC4_TLCD2.pdf</t>
  </si>
  <si>
    <t>Melting_Curves/meltCurve_A6NGJ0_DYNLT3.pdf</t>
  </si>
  <si>
    <t>Melting_Curves/meltCurve_A6NGP5_HN1L.pdf</t>
  </si>
  <si>
    <t>Melting_Curves/meltCurve_A6NGW1_YIF1A.pdf</t>
  </si>
  <si>
    <t>Melting_Curves/meltCurve_A6NHL2_2_TUBAL3.pdf</t>
  </si>
  <si>
    <t>Melting_Curves/meltCurve_A6NHX0_GATSL2.pdf</t>
  </si>
  <si>
    <t>Melting_Curves/meltCurve_A6NIH7_UNC119B.pdf</t>
  </si>
  <si>
    <t>Melting_Curves/meltCurve_A6NIR2_HSPB11.pdf</t>
  </si>
  <si>
    <t>Melting_Curves/meltCurve_A6NJ78_METTL15.pdf</t>
  </si>
  <si>
    <t>Melting_Curves/meltCurve_A6NK28_MAP2K5.pdf</t>
  </si>
  <si>
    <t>Melting_Curves/meltCurve_A6NKF9_GPR89C.pdf</t>
  </si>
  <si>
    <t>Melting_Curves/meltCurve_A6NL54_ZMYM3.pdf</t>
  </si>
  <si>
    <t>Melting_Curves/meltCurve_A6NLG9_BGN.pdf</t>
  </si>
  <si>
    <t>Melting_Curves/meltCurve_A6NLH6_CNIH4.pdf</t>
  </si>
  <si>
    <t>Melting_Curves/meltCurve_A6NMH6_SEPT8.pdf</t>
  </si>
  <si>
    <t>Melting_Curves/meltCurve_A6NML8_DIAPH2.pdf</t>
  </si>
  <si>
    <t>Melting_Curves/meltCurve_A6NN40_SHROOM1.pdf</t>
  </si>
  <si>
    <t>Melting_Curves/meltCurve_A6NN80_ANXA6.pdf</t>
  </si>
  <si>
    <t>Melting_Curves/meltCurve_A6NNI4_CD9.pdf</t>
  </si>
  <si>
    <t>Melting_Curves/meltCurve_A6QRJ0_DNASE1L1.pdf</t>
  </si>
  <si>
    <t>Melting_Curves/meltCurve_A6ZKI3_FAM127A.pdf</t>
  </si>
  <si>
    <t>Melting_Curves/meltCurve_A8K0B5_ZBTB8OS.pdf</t>
  </si>
  <si>
    <t>Melting_Curves/meltCurve_A8K7Q2_HSPA8.pdf</t>
  </si>
  <si>
    <t>Melting_Curves/meltCurve_A8MQ02_MLLT4.pdf</t>
  </si>
  <si>
    <t>Melting_Curves/meltCurve_A8MQ45_JAM2.pdf</t>
  </si>
  <si>
    <t>Melting_Curves/meltCurve_A8MSH5_RTFDC1.pdf</t>
  </si>
  <si>
    <t>Melting_Curves/meltCurve_A8MSI8_LYRM9.pdf</t>
  </si>
  <si>
    <t>Melting_Curves/meltCurve_A8MT02_SNRPB.pdf</t>
  </si>
  <si>
    <t>Melting_Curves/meltCurve_A8MTG8_ARMC8.pdf</t>
  </si>
  <si>
    <t>Melting_Curves/meltCurve_A8MTT3_hCG_1988162.pdf</t>
  </si>
  <si>
    <t>Melting_Curves/meltCurve_A8MTY9_DSCR3.pdf</t>
  </si>
  <si>
    <t>Melting_Curves/meltCurve_A8MU21_TMEM147.pdf</t>
  </si>
  <si>
    <t>Melting_Curves/meltCurve_A8MUA9_SUMO3.pdf</t>
  </si>
  <si>
    <t>Melting_Curves/meltCurve_A8MUB1_TUBA4A.pdf</t>
  </si>
  <si>
    <t>Melting_Curves/meltCurve_A8MUM1_TSSC1.pdf</t>
  </si>
  <si>
    <t>Melting_Curves/meltCurve_A8MVW0_FAM171A2.pdf</t>
  </si>
  <si>
    <t>Melting_Curves/meltCurve_A8MVZ6_BICD1.pdf</t>
  </si>
  <si>
    <t>Melting_Curves/meltCurve_A8MWK3_CDH2.pdf</t>
  </si>
  <si>
    <t>Melting_Curves/meltCurve_A8MXE8_RAI1.pdf</t>
  </si>
  <si>
    <t>Melting_Curves/meltCurve_A8MXV4_NUDT19.pdf</t>
  </si>
  <si>
    <t>Melting_Curves/meltCurve_A8MYQ9_RAB34.pdf</t>
  </si>
  <si>
    <t>Melting_Curves/meltCurve_A8MYT4_PIK3C3.pdf</t>
  </si>
  <si>
    <t>Melting_Curves/meltCurve_A8MZ54_STX1A.pdf</t>
  </si>
  <si>
    <t>Melting_Curves/meltCurve_A9UHW6_MIF4GD.pdf</t>
  </si>
  <si>
    <t>Melting_Curves/meltCurve_A9Z1X7_SRRM1.pdf</t>
  </si>
  <si>
    <t>Melting_Curves/meltCurve_B0FLL2_PFKFB2.pdf</t>
  </si>
  <si>
    <t>Melting_Curves/meltCurve_B0QY89_EIF3L.pdf</t>
  </si>
  <si>
    <t>Melting_Curves/meltCurve_B0QY95_SMCR7L.pdf</t>
  </si>
  <si>
    <t>Melting_Curves/meltCurve_B0QYI3_TBC1D22A.pdf</t>
  </si>
  <si>
    <t>Melting_Curves/meltCurve_B0QYK0_EWSR1.pdf</t>
  </si>
  <si>
    <t>Melting_Curves/meltCurve_B0QZ18_CPNE1.pdf</t>
  </si>
  <si>
    <t>Melting_Curves/meltCurve_B0QZK9_HP1BP3.pdf</t>
  </si>
  <si>
    <t>Melting_Curves/meltCurve_B0UX83_BAG6.pdf</t>
  </si>
  <si>
    <t>Melting_Curves/meltCurve_B0UXB6_ABHD16A.pdf</t>
  </si>
  <si>
    <t>Melting_Curves/meltCurve_B0V043_VARS.pdf</t>
  </si>
  <si>
    <t>Melting_Curves/meltCurve_B0V0T3_PSMB9.pdf</t>
  </si>
  <si>
    <t>Melting_Curves/meltCurve_B0YIW2_APOC3.pdf</t>
  </si>
  <si>
    <t>Melting_Curves/meltCurve_B1AH87_TSPO.pdf</t>
  </si>
  <si>
    <t>Melting_Curves/meltCurve_B1AHD1_NHP2L1.pdf</t>
  </si>
  <si>
    <t>Melting_Curves/meltCurve_B1AK13_HMGCL.pdf</t>
  </si>
  <si>
    <t>Melting_Curves/meltCurve_B1AK81_PIGK.pdf</t>
  </si>
  <si>
    <t>Melting_Curves/meltCurve_B1AKC7_RASAL2.pdf</t>
  </si>
  <si>
    <t>Melting_Curves/meltCurve_B1AKJ5_NRD1.pdf</t>
  </si>
  <si>
    <t>Melting_Curves/meltCurve_B1AKJ6_OSBPL9.pdf</t>
  </si>
  <si>
    <t>Melting_Curves/meltCurve_B1AKL4_EIF4ENIF1.pdf</t>
  </si>
  <si>
    <t>Melting_Curves/meltCurve_B1AKN3_RERE.pdf</t>
  </si>
  <si>
    <t>Melting_Curves/meltCurve_B1AKP2_TSPAN2.pdf</t>
  </si>
  <si>
    <t>Melting_Curves/meltCurve_B1AKR6_DYNLRB1.pdf</t>
  </si>
  <si>
    <t>Melting_Curves/meltCurve_B1AKT3_TMED5.pdf</t>
  </si>
  <si>
    <t>Melting_Curves/meltCurve_B1AL69_CDC37L1.pdf</t>
  </si>
  <si>
    <t>Melting_Curves/meltCurve_B1AL88_FAM155A.pdf</t>
  </si>
  <si>
    <t>Melting_Curves/meltCurve_B1ALH6_PHYH.pdf</t>
  </si>
  <si>
    <t>Melting_Curves/meltCurve_B1ALK7_ARHGEF7.pdf</t>
  </si>
  <si>
    <t>Melting_Curves/meltCurve_B1ALY0_PALM2_AKAP2.pdf</t>
  </si>
  <si>
    <t>Melting_Curves/meltCurve_B1AM21_GNAQ.pdf</t>
  </si>
  <si>
    <t>Melting_Curves/meltCurve_B1AMF0_UBE2J2.pdf</t>
  </si>
  <si>
    <t>Melting_Curves/meltCurve_B1AMS2_SEPT6.pdf</t>
  </si>
  <si>
    <t>Melting_Curves/meltCurve_B1AMU7_EXOSC1.pdf</t>
  </si>
  <si>
    <t>Melting_Curves/meltCurve_B1AMW1_CD58.pdf</t>
  </si>
  <si>
    <t>Melting_Curves/meltCurve_B1AN89_EIF4G3.pdf</t>
  </si>
  <si>
    <t>Melting_Curves/meltCurve_B1AN99_PRSS3.pdf</t>
  </si>
  <si>
    <t>Melting_Curves/meltCurve_B1ANH0_GUK1.pdf</t>
  </si>
  <si>
    <t>Melting_Curves/meltCurve_B1APM4_SOAT1.pdf</t>
  </si>
  <si>
    <t>Melting_Curves/meltCurve_B1AVU8_PSAP.pdf</t>
  </si>
  <si>
    <t>Melting_Curves/meltCurve_B1AZV3_TAP1.pdf</t>
  </si>
  <si>
    <t>Melting_Curves/meltCurve_B2WTI3_JMJD6.pdf</t>
  </si>
  <si>
    <t>Melting_Curves/meltCurve_B3KNQ0_CCDC92.pdf</t>
  </si>
  <si>
    <t>Melting_Curves/meltCurve_B3KS98_EIF3S3.pdf</t>
  </si>
  <si>
    <t>Melting_Curves/meltCurve_B3KSH1_EIF3F.pdf</t>
  </si>
  <si>
    <t>Melting_Curves/meltCurve_B3KSI9_LZTFL1.pdf</t>
  </si>
  <si>
    <t>Melting_Curves/meltCurve_B3KTR6_MXRA8.pdf</t>
  </si>
  <si>
    <t>Melting_Curves/meltCurve_B3KUB4_CA12.pdf</t>
  </si>
  <si>
    <t>Melting_Curves/meltCurve_B3KUE5_PLTP.pdf</t>
  </si>
  <si>
    <t>Melting_Curves/meltCurve_B3KUK2_SOD2.pdf</t>
  </si>
  <si>
    <t>Melting_Curves/meltCurve_B3KV95_FBXO18.pdf</t>
  </si>
  <si>
    <t>Melting_Curves/meltCurve_B3KVH8_PHF23.pdf</t>
  </si>
  <si>
    <t>Melting_Curves/meltCurve_B3KXW5_AP1G1.pdf</t>
  </si>
  <si>
    <t>Melting_Curves/meltCurve_B3KY94_CDIPT.pdf</t>
  </si>
  <si>
    <t>Melting_Curves/meltCurve_B4DDD2_DHFR.pdf</t>
  </si>
  <si>
    <t>Melting_Curves/meltCurve_B4DDF4_CNN2.pdf</t>
  </si>
  <si>
    <t>Melting_Curves/meltCurve_B4DDF9_ANXA4.pdf</t>
  </si>
  <si>
    <t>Melting_Curves/meltCurve_B4DE11_SLC35A2.pdf</t>
  </si>
  <si>
    <t>Melting_Curves/meltCurve_B4DEX5_PRNPIP.pdf</t>
  </si>
  <si>
    <t>Melting_Curves/meltCurve_B4DEZ3_NDUFA13.pdf</t>
  </si>
  <si>
    <t>Melting_Curves/meltCurve_B4DFG0_DEK.pdf</t>
  </si>
  <si>
    <t>Melting_Curves/meltCurve_B4DFZ9_PIGX.pdf</t>
  </si>
  <si>
    <t>Melting_Curves/meltCurve_B4DGU4_CTNNB1.pdf</t>
  </si>
  <si>
    <t>Melting_Curves/meltCurve_B4DGV4_RYR2.pdf</t>
  </si>
  <si>
    <t>Melting_Curves/meltCurve_B4DGX2_PIP4K2A.pdf</t>
  </si>
  <si>
    <t>Melting_Curves/meltCurve_B4DH53_MAP1S.pdf</t>
  </si>
  <si>
    <t>Melting_Curves/meltCurve_B4DHE1_RPS6KC1.pdf</t>
  </si>
  <si>
    <t>Melting_Curves/meltCurve_B4DHJ7_BNIP3.pdf</t>
  </si>
  <si>
    <t>Melting_Curves/meltCurve_B4DHL3_LRRC28.pdf</t>
  </si>
  <si>
    <t>Melting_Curves/meltCurve_B4DHW1_TMEM165.pdf</t>
  </si>
  <si>
    <t>Melting_Curves/meltCurve_B4DJA5_RAB5A.pdf</t>
  </si>
  <si>
    <t>Melting_Curves/meltCurve_B4DJP7_SNRPD3.pdf</t>
  </si>
  <si>
    <t>Melting_Curves/meltCurve_B4DJV2_CS.pdf</t>
  </si>
  <si>
    <t>Melting_Curves/meltCurve_B4DJZ1_SLC23A2.pdf</t>
  </si>
  <si>
    <t>Melting_Curves/meltCurve_B4DK95_ZYG11B.pdf</t>
  </si>
  <si>
    <t>Melting_Curves/meltCurve_B4DL14_ATP5C1.pdf</t>
  </si>
  <si>
    <t>Melting_Curves/meltCurve_B4DLE8_CRYBG3.pdf</t>
  </si>
  <si>
    <t>Melting_Curves/meltCurve_B4DLR8_NQO1.pdf</t>
  </si>
  <si>
    <t>Melting_Curves/meltCurve_B4DLT4_RPS6KB1.pdf</t>
  </si>
  <si>
    <t>Melting_Curves/meltCurve_B4DLU3_PGS1.pdf</t>
  </si>
  <si>
    <t>Melting_Curves/meltCurve_B4DP21_PTGES3.pdf</t>
  </si>
  <si>
    <t>Melting_Curves/meltCurve_B4DPY5_SNX11.pdf</t>
  </si>
  <si>
    <t>Melting_Curves/meltCurve_B4DPY8_TOX4.pdf</t>
  </si>
  <si>
    <t>Melting_Curves/meltCurve_B4DQ14_EIF2A.pdf</t>
  </si>
  <si>
    <t>Melting_Curves/meltCurve_B4DQ18_LPAR1.pdf</t>
  </si>
  <si>
    <t>Melting_Curves/meltCurve_B4DQ84_ZDHHC18.pdf</t>
  </si>
  <si>
    <t>Melting_Curves/meltCurve_B4DQJ8_PGD.pdf</t>
  </si>
  <si>
    <t>Melting_Curves/meltCurve_B4DR03_NAA40.pdf</t>
  </si>
  <si>
    <t>Melting_Curves/meltCurve_B4DR52_HIST2H2BF.pdf</t>
  </si>
  <si>
    <t>Melting_Curves/meltCurve_B4DR61_SEC61A1.pdf</t>
  </si>
  <si>
    <t>Melting_Curves/meltCurve_B4DRC4_ASB6.pdf</t>
  </si>
  <si>
    <t>Melting_Curves/meltCurve_B4DRL9_CHM.pdf</t>
  </si>
  <si>
    <t>Melting_Curves/meltCurve_B4DRV7_VDR.pdf</t>
  </si>
  <si>
    <t>Melting_Curves/meltCurve_B4DSD4_C9orf41.pdf</t>
  </si>
  <si>
    <t>Melting_Curves/meltCurve_B4DSS5_KIAA0513.pdf</t>
  </si>
  <si>
    <t>Melting_Curves/meltCurve_B4DT77_ANXA7.pdf</t>
  </si>
  <si>
    <t>Melting_Curves/meltCurve_B4DTZ6_SLC9A1.pdf</t>
  </si>
  <si>
    <t>Melting_Curves/meltCurve_B4DUS9_BPNT1.pdf</t>
  </si>
  <si>
    <t>Melting_Curves/meltCurve_B4DUV4_POFUT1.pdf</t>
  </si>
  <si>
    <t>Melting_Curves/meltCurve_B4DV96_RBKS.pdf</t>
  </si>
  <si>
    <t>Melting_Curves/meltCurve_B4DVE7_ANXA11.pdf</t>
  </si>
  <si>
    <t>Melting_Curves/meltCurve_B4DVY1_EIF3D.pdf</t>
  </si>
  <si>
    <t>Melting_Curves/meltCurve_B4DWI1_HACL1.pdf</t>
  </si>
  <si>
    <t>Melting_Curves/meltCurve_B4DWJ2_QARS.pdf</t>
  </si>
  <si>
    <t>Melting_Curves/meltCurve_B4DXZ6_FXR1.pdf</t>
  </si>
  <si>
    <t>Melting_Curves/meltCurve_B4DYB4_NUP35.pdf</t>
  </si>
  <si>
    <t>Melting_Curves/meltCurve_B4DZ23_GPR176.pdf</t>
  </si>
  <si>
    <t>Melting_Curves/meltCurve_B4E0T2_PEX5.pdf</t>
  </si>
  <si>
    <t>Melting_Curves/meltCurve_B4E1M0_MSANTD2.pdf</t>
  </si>
  <si>
    <t>Melting_Curves/meltCurve_B4E1N1_ARMC6.pdf</t>
  </si>
  <si>
    <t>Melting_Curves/meltCurve_B4E1Q4_RIOK3.pdf</t>
  </si>
  <si>
    <t>Melting_Curves/meltCurve_B4E1Q6_SLC35B3.pdf</t>
  </si>
  <si>
    <t>Melting_Curves/meltCurve_B4E1S6_SDC4.pdf</t>
  </si>
  <si>
    <t>Melting_Curves/meltCurve_B4E241_SFRS3.pdf</t>
  </si>
  <si>
    <t>Melting_Curves/meltCurve_B4E2V5_STOM.pdf</t>
  </si>
  <si>
    <t>Melting_Curves/meltCurve_B4E2W0_HADHB.pdf</t>
  </si>
  <si>
    <t>Melting_Curves/meltCurve_B4E2X3_METTL13.pdf</t>
  </si>
  <si>
    <t>Melting_Curves/meltCurve_B4E2Z0_SPARCL1.pdf</t>
  </si>
  <si>
    <t>Melting_Curves/meltCurve_B4E358_CTTN.pdf</t>
  </si>
  <si>
    <t>Melting_Curves/meltCurve_B4E3E5_DVL3.pdf</t>
  </si>
  <si>
    <t>Melting_Curves/meltCurve_B5MC53_MPV17.pdf</t>
  </si>
  <si>
    <t>Melting_Curves/meltCurve_B5MCD7_SYNGR1.pdf</t>
  </si>
  <si>
    <t>Melting_Curves/meltCurve_B5MCN7_NCOA1.pdf</t>
  </si>
  <si>
    <t>Melting_Curves/meltCurve_B5MD23_TSPAN9.pdf</t>
  </si>
  <si>
    <t>Melting_Curves/meltCurve_B5MDE0_RFT1.pdf</t>
  </si>
  <si>
    <t>Melting_Curves/meltCurve_B5MDU6_C2orf43.pdf</t>
  </si>
  <si>
    <t>Melting_Curves/meltCurve_B5MEB3_CABIN1.pdf</t>
  </si>
  <si>
    <t>Melting_Curves/meltCurve_B7WPE2_EML3.pdf</t>
  </si>
  <si>
    <t>Melting_Curves/meltCurve_B7Z1I4_NTM.pdf</t>
  </si>
  <si>
    <t>Melting_Curves/meltCurve_B7Z1J9_PDDC1.pdf</t>
  </si>
  <si>
    <t>Melting_Curves/meltCurve_B7Z254_PDIA6.pdf</t>
  </si>
  <si>
    <t>Melting_Curves/meltCurve_B7Z2B2_MFSD8.pdf</t>
  </si>
  <si>
    <t>Melting_Curves/meltCurve_B7Z2C3_PPM1F.pdf</t>
  </si>
  <si>
    <t>Melting_Curves/meltCurve_B7Z2S5_TXNRD1.pdf</t>
  </si>
  <si>
    <t>Melting_Curves/meltCurve_B7Z2Y2_COG2.pdf</t>
  </si>
  <si>
    <t>Melting_Curves/meltCurve_B7Z317_TSPAN5.pdf</t>
  </si>
  <si>
    <t>Melting_Curves/meltCurve_B7Z3I9_ALAD.pdf</t>
  </si>
  <si>
    <t>Melting_Curves/meltCurve_B7Z463_NPEPPS.pdf</t>
  </si>
  <si>
    <t>Melting_Curves/meltCurve_B7Z493_FGD4.pdf</t>
  </si>
  <si>
    <t>Melting_Curves/meltCurve_B7Z4K6_DNASE2.pdf</t>
  </si>
  <si>
    <t>Melting_Curves/meltCurve_B7Z4M2_WBP4.pdf</t>
  </si>
  <si>
    <t>Melting_Curves/meltCurve_B7Z4R5_P2RX4.pdf</t>
  </si>
  <si>
    <t>Melting_Curves/meltCurve_B7Z4W5_CCBL1.pdf</t>
  </si>
  <si>
    <t>Melting_Curves/meltCurve_B7Z589_SLC6A9.pdf</t>
  </si>
  <si>
    <t>Melting_Curves/meltCurve_B7Z5G4_STMN3.pdf</t>
  </si>
  <si>
    <t>Melting_Curves/meltCurve_B7Z5W1_F11R.pdf</t>
  </si>
  <si>
    <t>Melting_Curves/meltCurve_B7Z662_SLC27A1.pdf</t>
  </si>
  <si>
    <t>Melting_Curves/meltCurve_B7Z6B8_DECR1.pdf</t>
  </si>
  <si>
    <t>Melting_Curves/meltCurve_B7Z729_SMPDL3A.pdf</t>
  </si>
  <si>
    <t>Melting_Curves/meltCurve_B7Z779_TMEM106A.pdf</t>
  </si>
  <si>
    <t>Melting_Curves/meltCurve_B7Z815_USP7.pdf</t>
  </si>
  <si>
    <t>Melting_Curves/meltCurve_B7Z817_DHCR24.pdf</t>
  </si>
  <si>
    <t>Melting_Curves/meltCurve_B7Z831_GPRC5B.pdf</t>
  </si>
  <si>
    <t>Melting_Curves/meltCurve_B7Z9I3_ATP6AP2.pdf</t>
  </si>
  <si>
    <t>Melting_Curves/meltCurve_B7Z9S8_ATP1B1.pdf</t>
  </si>
  <si>
    <t>Melting_Curves/meltCurve_B7ZC38_SH3GLB2.pdf</t>
  </si>
  <si>
    <t>Melting_Curves/meltCurve_B7ZKK9_PPP2R5E.pdf</t>
  </si>
  <si>
    <t>Melting_Curves/meltCurve_B7ZKM0_SART3.pdf</t>
  </si>
  <si>
    <t>Melting_Curves/meltCurve_B7ZKQ9_SCARB1.pdf</t>
  </si>
  <si>
    <t>Melting_Curves/meltCurve_B7ZL88_COX18.pdf</t>
  </si>
  <si>
    <t>Melting_Curves/meltCurve_B7ZLZ2_EDEM3.pdf</t>
  </si>
  <si>
    <t>Melting_Curves/meltCurve_B7ZMI4_MPDZ.pdf</t>
  </si>
  <si>
    <t>Melting_Curves/meltCurve_B8X2Z3_RLTPR.pdf</t>
  </si>
  <si>
    <t>Melting_Curves/meltCurve_B8ZZD4_TAX1BP1.pdf</t>
  </si>
  <si>
    <t>Melting_Curves/meltCurve_B8ZZK4_RPL31.pdf</t>
  </si>
  <si>
    <t>Melting_Curves/meltCurve_B8ZZN3_STK16.pdf</t>
  </si>
  <si>
    <t>Melting_Curves/meltCurve_B8ZZN6_SUMO1.pdf</t>
  </si>
  <si>
    <t>Melting_Curves/meltCurve_B8ZZQ6_PTMA.pdf</t>
  </si>
  <si>
    <t>Melting_Curves/meltCurve_B8ZZX2_COQ10B.pdf</t>
  </si>
  <si>
    <t>Melting_Curves/meltCurve_B8ZZY2_AGFG1.pdf</t>
  </si>
  <si>
    <t>Melting_Curves/meltCurve_B9A018_USP39.pdf</t>
  </si>
  <si>
    <t>Melting_Curves/meltCurve_B9A054_RHBDD1.pdf</t>
  </si>
  <si>
    <t>Melting_Curves/meltCurve_B9A057_COA5.pdf</t>
  </si>
  <si>
    <t>Melting_Curves/meltCurve_B9A067_IMMT.pdf</t>
  </si>
  <si>
    <t>Melting_Curves/meltCurve_B9A071_TBC1D14.pdf</t>
  </si>
  <si>
    <t>Melting_Curves/meltCurve_B9EGH5_PLCB2.pdf</t>
  </si>
  <si>
    <t>Melting_Curves/meltCurve_C0H5X6_PEX7.pdf</t>
  </si>
  <si>
    <t>Melting_Curves/meltCurve_C0H5Y7_BAK1.pdf</t>
  </si>
  <si>
    <t>Melting_Curves/meltCurve_C4AMC7_WASH3P.pdf</t>
  </si>
  <si>
    <t>Melting_Curves/meltCurve_C9IYC4_C3orf18.pdf</t>
  </si>
  <si>
    <t>Melting_Curves/meltCurve_C9IYZ1_ASNSD1.pdf</t>
  </si>
  <si>
    <t>Melting_Curves/meltCurve_C9J0I9_ZC3HC1.pdf</t>
  </si>
  <si>
    <t>Melting_Curves/meltCurve_C9J0J0_CCDC126.pdf</t>
  </si>
  <si>
    <t>Melting_Curves/meltCurve_C9J0J7_PFN2.pdf</t>
  </si>
  <si>
    <t>Melting_Curves/meltCurve_C9J0K6_SRI.pdf</t>
  </si>
  <si>
    <t>Melting_Curves/meltCurve_C9J1D9_IL1RAP.pdf</t>
  </si>
  <si>
    <t>Melting_Curves/meltCurve_C9J1K8_MEGF9.pdf</t>
  </si>
  <si>
    <t>Melting_Curves/meltCurve_C9J212_UBE2F.pdf</t>
  </si>
  <si>
    <t>Melting_Curves/meltCurve_C9J2F3_PPM1F.pdf</t>
  </si>
  <si>
    <t>Melting_Curves/meltCurve_C9J2P0_UBE2E1.pdf</t>
  </si>
  <si>
    <t>Melting_Curves/meltCurve_C9J2U4_TAMM41.pdf</t>
  </si>
  <si>
    <t>Melting_Curves/meltCurve_C9J366_IQCJ_SCHIP1.pdf</t>
  </si>
  <si>
    <t>Melting_Curves/meltCurve_C9J3D2_PHC2.pdf</t>
  </si>
  <si>
    <t>Melting_Curves/meltCurve_C9J5C3_PDCD10.pdf</t>
  </si>
  <si>
    <t>Melting_Curves/meltCurve_C9J6Q8_TMEM98.pdf</t>
  </si>
  <si>
    <t>Melting_Curves/meltCurve_C9J712_PFN2.pdf</t>
  </si>
  <si>
    <t>Melting_Curves/meltCurve_C9J7I2_C16orf62.pdf</t>
  </si>
  <si>
    <t>Melting_Curves/meltCurve_C9J7K9_PLSCR1.pdf</t>
  </si>
  <si>
    <t>Melting_Curves/meltCurve_C9J8B8_HDAC10.pdf</t>
  </si>
  <si>
    <t>Melting_Curves/meltCurve_C9J8R7_GTPBP10.pdf</t>
  </si>
  <si>
    <t>Melting_Curves/meltCurve_C9J9B2_RBMS3.pdf</t>
  </si>
  <si>
    <t>Melting_Curves/meltCurve_C9J9K3_RPSA.pdf</t>
  </si>
  <si>
    <t>Melting_Curves/meltCurve_C9JA08_NMD3.pdf</t>
  </si>
  <si>
    <t>Melting_Curves/meltCurve_C9JA28_SSR3.pdf</t>
  </si>
  <si>
    <t>Melting_Curves/meltCurve_C9JAB2_SRSF7.pdf</t>
  </si>
  <si>
    <t>Melting_Curves/meltCurve_C9JAF7_SNAP29.pdf</t>
  </si>
  <si>
    <t>Melting_Curves/meltCurve_C9JB13_BSDC1.pdf</t>
  </si>
  <si>
    <t>Melting_Curves/meltCurve_C9JBB3_TFPI.pdf</t>
  </si>
  <si>
    <t>Melting_Curves/meltCurve_C9JBG5_SIDT2.pdf</t>
  </si>
  <si>
    <t>Melting_Curves/meltCurve_C9JCC6_DRAP1.pdf</t>
  </si>
  <si>
    <t>Melting_Curves/meltCurve_C9JCN8_FOSL2.pdf</t>
  </si>
  <si>
    <t>Melting_Curves/meltCurve_C9JDS9_TUBA4A.pdf</t>
  </si>
  <si>
    <t>Melting_Curves/meltCurve_C9JE12_TMUB1.pdf</t>
  </si>
  <si>
    <t>Melting_Curves/meltCurve_C9JE98_NCOR2.pdf</t>
  </si>
  <si>
    <t>Melting_Curves/meltCurve_C9JEL3_EIF4E2.pdf</t>
  </si>
  <si>
    <t>Melting_Curves/meltCurve_C9JEX3_MTMR2.pdf</t>
  </si>
  <si>
    <t>Melting_Curves/meltCurve_C9JEZ4_CDC42EP3.pdf</t>
  </si>
  <si>
    <t>Melting_Curves/meltCurve_C9JF58_OSCP1.pdf</t>
  </si>
  <si>
    <t>Melting_Curves/meltCurve_C9JFB2_YIPF1.pdf</t>
  </si>
  <si>
    <t>Melting_Curves/meltCurve_C9JFE4_GPS1.pdf</t>
  </si>
  <si>
    <t>Melting_Curves/meltCurve_C9JFK9_BAG3.pdf</t>
  </si>
  <si>
    <t>Melting_Curves/meltCurve_C9JFR7_CYCS.pdf</t>
  </si>
  <si>
    <t>Melting_Curves/meltCurve_C9JG41_ITM2C.pdf</t>
  </si>
  <si>
    <t>Melting_Curves/meltCurve_C9JG97_AAMP.pdf</t>
  </si>
  <si>
    <t>Melting_Curves/meltCurve_C9JIF9_APEH.pdf</t>
  </si>
  <si>
    <t>Melting_Curves/meltCurve_C9JJN9_VPS8.pdf</t>
  </si>
  <si>
    <t>Melting_Curves/meltCurve_C9JJP8_ITGB1.pdf</t>
  </si>
  <si>
    <t>Melting_Curves/meltCurve_C9JJU1_SLC38A5.pdf</t>
  </si>
  <si>
    <t>Melting_Curves/meltCurve_C9JJV6_MYADM.pdf</t>
  </si>
  <si>
    <t>Melting_Curves/meltCurve_C9JJX6_ARVCF.pdf</t>
  </si>
  <si>
    <t>Melting_Curves/meltCurve_C9JK10_ITGA6.pdf</t>
  </si>
  <si>
    <t>Melting_Curves/meltCurve_C9JLU1_POLR2H.pdf</t>
  </si>
  <si>
    <t>Melting_Curves/meltCurve_C9JLV4_APAF1.pdf</t>
  </si>
  <si>
    <t>Melting_Curves/meltCurve_C9JM82_SEPT5.pdf</t>
  </si>
  <si>
    <t>Melting_Curves/meltCurve_C9JN15_PPIG.pdf</t>
  </si>
  <si>
    <t>Melting_Curves/meltCurve_C9JNA8_IP6K1.pdf</t>
  </si>
  <si>
    <t>Melting_Curves/meltCurve_C9JP85_NRF1.pdf</t>
  </si>
  <si>
    <t>Melting_Curves/meltCurve_C9JPX5_STARD3NL.pdf</t>
  </si>
  <si>
    <t>Melting_Curves/meltCurve_C9JQ41_CCDC58.pdf</t>
  </si>
  <si>
    <t>Melting_Curves/meltCurve_C9JQB1_NME6.pdf</t>
  </si>
  <si>
    <t>Melting_Curves/meltCurve_C9JQD4_PPIH.pdf</t>
  </si>
  <si>
    <t>Melting_Curves/meltCurve_C9JQP8_FOXP2.pdf</t>
  </si>
  <si>
    <t>Melting_Curves/meltCurve_C9JQV3_STK11IP.pdf</t>
  </si>
  <si>
    <t>Melting_Curves/meltCurve_C9JRY4_SEC22A.pdf</t>
  </si>
  <si>
    <t>Melting_Curves/meltCurve_C9JRZ6_CHCHD3.pdf</t>
  </si>
  <si>
    <t>Melting_Curves/meltCurve_C9JSZ2_SLC46A1.pdf</t>
  </si>
  <si>
    <t>Melting_Curves/meltCurve_C9JT52_ZNF513.pdf</t>
  </si>
  <si>
    <t>Melting_Curves/meltCurve_C9JTT8_BET1.pdf</t>
  </si>
  <si>
    <t>Melting_Curves/meltCurve_C9JTX5_ACTB.pdf</t>
  </si>
  <si>
    <t>Melting_Curves/meltCurve_C9JUF0_EIF4A2.pdf</t>
  </si>
  <si>
    <t>Melting_Curves/meltCurve_C9JVN9_L2HGDH.pdf</t>
  </si>
  <si>
    <t>Melting_Curves/meltCurve_C9JXB8_RPL24.pdf</t>
  </si>
  <si>
    <t>Melting_Curves/meltCurve_C9JXK9_LPP.pdf</t>
  </si>
  <si>
    <t>Melting_Curves/meltCurve_C9JYN0_SYPL1.pdf</t>
  </si>
  <si>
    <t>Melting_Curves/meltCurve_C9JYY6_NRCAM.pdf</t>
  </si>
  <si>
    <t>Melting_Curves/meltCurve_C9JZB0_INPP5K.pdf</t>
  </si>
  <si>
    <t>Melting_Curves/meltCurve_C9JZI1_RFC4.pdf</t>
  </si>
  <si>
    <t>Melting_Curves/meltCurve_C9JZR7_ACTB.pdf</t>
  </si>
  <si>
    <t>Melting_Curves/meltCurve_C9JZY3_PCBP4.pdf</t>
  </si>
  <si>
    <t>Melting_Curves/meltCurve_C9JZY6_UBE2H.pdf</t>
  </si>
  <si>
    <t>Melting_Curves/meltCurve_C9K0J5_RAPH1.pdf</t>
  </si>
  <si>
    <t>Melting_Curves/meltCurve_D0FY33_BTN3A3.pdf</t>
  </si>
  <si>
    <t>Melting_Curves/meltCurve_D3DPN2_SDC3.pdf</t>
  </si>
  <si>
    <t>Melting_Curves/meltCurve_D3DQV9_EIF4G2.pdf</t>
  </si>
  <si>
    <t>Melting_Curves/meltCurve_D3DR31_IFIT1.pdf</t>
  </si>
  <si>
    <t>Melting_Curves/meltCurve_D3DWC4_TMEM23.pdf</t>
  </si>
  <si>
    <t>Melting_Curves/meltCurve_D3YTB1_RPL32.pdf</t>
  </si>
  <si>
    <t>Melting_Curves/meltCurve_D3YTG6_NDOR1.pdf</t>
  </si>
  <si>
    <t>Melting_Curves/meltCurve_D3YTI9_TAPBP.pdf</t>
  </si>
  <si>
    <t>Melting_Curves/meltCurve_D6R938_CAMK2D.pdf</t>
  </si>
  <si>
    <t>Melting_Curves/meltCurve_D6R9U7_POLR3G.pdf</t>
  </si>
  <si>
    <t>Melting_Curves/meltCurve_D6R9X7_ERCC6.pdf</t>
  </si>
  <si>
    <t>Melting_Curves/meltCurve_D6R9Z7_COX7C.pdf</t>
  </si>
  <si>
    <t>Melting_Curves/meltCurve_D6RA26_PLRG1.pdf</t>
  </si>
  <si>
    <t>Melting_Curves/meltCurve_D6RAB5_MFAP3L.pdf</t>
  </si>
  <si>
    <t>Melting_Curves/meltCurve_D6RB81_AMACR.pdf</t>
  </si>
  <si>
    <t>Melting_Curves/meltCurve_D6RBW1_EIF4E.pdf</t>
  </si>
  <si>
    <t>Melting_Curves/meltCurve_D6RCD0_HSD17B11.pdf</t>
  </si>
  <si>
    <t>Melting_Curves/meltCurve_D6RCM8_TNFAIP8.pdf</t>
  </si>
  <si>
    <t>Melting_Curves/meltCurve_D6RCP5_ARHGAP24.pdf</t>
  </si>
  <si>
    <t>Melting_Curves/meltCurve_D6RD47_RPS23.pdf</t>
  </si>
  <si>
    <t>Melting_Curves/meltCurve_D6RDN0_CDV3.pdf</t>
  </si>
  <si>
    <t>Melting_Curves/meltCurve_D6RDX7_EMB.pdf</t>
  </si>
  <si>
    <t>Melting_Curves/meltCurve_D6RE84_ALG13.pdf</t>
  </si>
  <si>
    <t>Melting_Curves/meltCurve_D6REB5_IDUA.pdf</t>
  </si>
  <si>
    <t>Melting_Curves/meltCurve_D6REL0_CDC42SE2.pdf</t>
  </si>
  <si>
    <t>Melting_Curves/meltCurve_D6REL4_IK.pdf</t>
  </si>
  <si>
    <t>Melting_Curves/meltCurve_D6REP5_GRAMD3.pdf</t>
  </si>
  <si>
    <t>Melting_Curves/meltCurve_D6REQ8_HEXB.pdf</t>
  </si>
  <si>
    <t>Melting_Curves/meltCurve_D6RER8_SLC38A9.pdf</t>
  </si>
  <si>
    <t>Melting_Curves/meltCurve_D6REX3_SEC31A.pdf</t>
  </si>
  <si>
    <t>Melting_Curves/meltCurve_D6REX7_SPRY1.pdf</t>
  </si>
  <si>
    <t>Melting_Curves/meltCurve_D6RF44_HNRNPD.pdf</t>
  </si>
  <si>
    <t>Melting_Curves/meltCurve_D6RF48_STX18.pdf</t>
  </si>
  <si>
    <t>Melting_Curves/meltCurve_D6RFG8_DCK.pdf</t>
  </si>
  <si>
    <t>Melting_Curves/meltCurve_D6RGD1_MYO10.pdf</t>
  </si>
  <si>
    <t>Melting_Curves/meltCurve_D6RGG3_COL12A1.pdf</t>
  </si>
  <si>
    <t>Melting_Curves/meltCurve_D6RGJ7_SLC9B2.pdf</t>
  </si>
  <si>
    <t>Melting_Curves/meltCurve_D6RH20_MRPS27.pdf</t>
  </si>
  <si>
    <t>Melting_Curves/meltCurve_D6RHG7_SERINC5.pdf</t>
  </si>
  <si>
    <t>Melting_Curves/meltCurve_D6RHI7_CCNH.pdf</t>
  </si>
  <si>
    <t>Melting_Curves/meltCurve_D6RHI9_RNASET2.pdf</t>
  </si>
  <si>
    <t>Melting_Curves/meltCurve_D6RIE3_COX7A2.pdf</t>
  </si>
  <si>
    <t>Melting_Curves/meltCurve_D6RIU2_CLDND1.pdf</t>
  </si>
  <si>
    <t>Melting_Curves/meltCurve_D6RIZ4_MFSD10.pdf</t>
  </si>
  <si>
    <t>Melting_Curves/meltCurve_D6RJG8_RFESD.pdf</t>
  </si>
  <si>
    <t>Melting_Curves/meltCurve_E2QRD0_VWA8.pdf</t>
  </si>
  <si>
    <t>Melting_Curves/meltCurve_E2QRG8_REEP5.pdf</t>
  </si>
  <si>
    <t>Melting_Curves/meltCurve_E5RG13_IMPA1.pdf</t>
  </si>
  <si>
    <t>Melting_Curves/meltCurve_E5RG17_TATDN1.pdf</t>
  </si>
  <si>
    <t>Melting_Curves/meltCurve_E5RGX5_STMN2.pdf</t>
  </si>
  <si>
    <t>Melting_Curves/meltCurve_E5RGY0_DERL1.pdf</t>
  </si>
  <si>
    <t>Melting_Curves/meltCurve_E5RH41_GTF2E2.pdf</t>
  </si>
  <si>
    <t>Melting_Curves/meltCurve_E5RHG5_SLC36A1.pdf</t>
  </si>
  <si>
    <t>Melting_Curves/meltCurve_E5RHG8_TCEB1.pdf</t>
  </si>
  <si>
    <t>Melting_Curves/meltCurve_E5RHG9_UQCRB.pdf</t>
  </si>
  <si>
    <t>Melting_Curves/meltCurve_E5RIH5_TTI2.pdf</t>
  </si>
  <si>
    <t>Melting_Curves/meltCurve_E5RIY0_TMEM55A.pdf</t>
  </si>
  <si>
    <t>Melting_Curves/meltCurve_E5RJ08_CHCHD7.pdf</t>
  </si>
  <si>
    <t>Melting_Curves/meltCurve_E5RJ29_PSD3.pdf</t>
  </si>
  <si>
    <t>Melting_Curves/meltCurve_E5RJ52_AP3M2.pdf</t>
  </si>
  <si>
    <t>Melting_Curves/meltCurve_E5RJ99_ZFAND1.pdf</t>
  </si>
  <si>
    <t>Melting_Curves/meltCurve_E5RJR5_SKP1.pdf</t>
  </si>
  <si>
    <t>Melting_Curves/meltCurve_E5RK28_SGK3.pdf</t>
  </si>
  <si>
    <t>Melting_Curves/meltCurve_E5RK82_CETN3.pdf</t>
  </si>
  <si>
    <t>Melting_Curves/meltCurve_E7EM50_PIGG.pdf</t>
  </si>
  <si>
    <t>Melting_Curves/meltCurve_E7EM64_COPS6.pdf</t>
  </si>
  <si>
    <t>Melting_Curves/meltCurve_E7EM93_NUDT12.pdf</t>
  </si>
  <si>
    <t>Melting_Curves/meltCurve_E7EMA9_ATHL1.pdf</t>
  </si>
  <si>
    <t>Melting_Curves/meltCurve_E7EMB6_DNPEP.pdf</t>
  </si>
  <si>
    <t>Melting_Curves/meltCurve_E7EMM4_ASAH1.pdf</t>
  </si>
  <si>
    <t>Melting_Curves/meltCurve_E7EN73_KIAA0319L.pdf</t>
  </si>
  <si>
    <t>Melting_Curves/meltCurve_E7ENA9_NCSTN.pdf</t>
  </si>
  <si>
    <t>Melting_Curves/meltCurve_E7ENC2_RIMS1.pdf</t>
  </si>
  <si>
    <t>Melting_Curves/meltCurve_E7ENF1_C12orf43.pdf</t>
  </si>
  <si>
    <t>Melting_Curves/meltCurve_E7ENK0_CALCOCO2.pdf</t>
  </si>
  <si>
    <t>Melting_Curves/meltCurve_E7EPC6_CD44.pdf</t>
  </si>
  <si>
    <t>Melting_Curves/meltCurve_E7EPD0_TOM1.pdf</t>
  </si>
  <si>
    <t>Melting_Curves/meltCurve_E7EPL4_PDXDC1.pdf</t>
  </si>
  <si>
    <t>Melting_Curves/meltCurve_E7EPN9_PRRC2C.pdf</t>
  </si>
  <si>
    <t>Melting_Curves/meltCurve_E7EPP7_STXBP4.pdf</t>
  </si>
  <si>
    <t>Melting_Curves/meltCurve_E7EPR3_IFI16.pdf</t>
  </si>
  <si>
    <t>Melting_Curves/meltCurve_E7EPS8_PTPRM.pdf</t>
  </si>
  <si>
    <t>Melting_Curves/meltCurve_E7EPT4_NDUFV2.pdf</t>
  </si>
  <si>
    <t>Melting_Curves/meltCurve_E7EPV7_SNCA.pdf</t>
  </si>
  <si>
    <t>Melting_Curves/meltCurve_E7EQ69_NAA50.pdf</t>
  </si>
  <si>
    <t>Melting_Curves/meltCurve_E7EQB2_LTF.pdf</t>
  </si>
  <si>
    <t>Melting_Curves/meltCurve_E7EQB3_TSEN34.pdf</t>
  </si>
  <si>
    <t>Melting_Curves/meltCurve_E7EQL8_TUBGCP6.pdf</t>
  </si>
  <si>
    <t>Melting_Curves/meltCurve_E7EQR8_YIPF3.pdf</t>
  </si>
  <si>
    <t>Melting_Curves/meltCurve_E7EQT4_ACIN1.pdf</t>
  </si>
  <si>
    <t>Melting_Curves/meltCurve_E7EQZ4_SMN1.pdf</t>
  </si>
  <si>
    <t>Melting_Curves/meltCurve_E7ER32_MKL1.pdf</t>
  </si>
  <si>
    <t>Melting_Curves/meltCurve_E7ER60_SYNJ2.pdf</t>
  </si>
  <si>
    <t>Melting_Curves/meltCurve_E7ER89_PAPSS2.pdf</t>
  </si>
  <si>
    <t>Melting_Curves/meltCurve_E7ERB7_GMIP.pdf</t>
  </si>
  <si>
    <t>Melting_Curves/meltCurve_E7ERC6_ATP2C1.pdf</t>
  </si>
  <si>
    <t>Melting_Curves/meltCurve_E7ERH1_TNS1.pdf</t>
  </si>
  <si>
    <t>Melting_Curves/meltCurve_E7ERJ0_ITSN1.pdf</t>
  </si>
  <si>
    <t>Melting_Curves/meltCurve_E7ERK9_EIF2B4.pdf</t>
  </si>
  <si>
    <t>Melting_Curves/meltCurve_E7ERL6_MAST2.pdf</t>
  </si>
  <si>
    <t>Melting_Curves/meltCurve_E7ERS3_ZC3H18.pdf</t>
  </si>
  <si>
    <t>Melting_Curves/meltCurve_E7ES21_HEPH.pdf</t>
  </si>
  <si>
    <t>Melting_Curves/meltCurve_E7ES35_TTC38.pdf</t>
  </si>
  <si>
    <t>Melting_Curves/meltCurve_E7ES43_HSPA4L.pdf</t>
  </si>
  <si>
    <t>Melting_Curves/meltCurve_E7ES96_PSEN1.pdf</t>
  </si>
  <si>
    <t>Melting_Curves/meltCurve_E7ESK6_SDC2.pdf</t>
  </si>
  <si>
    <t>Melting_Curves/meltCurve_E7ESP4_ITGA2.pdf</t>
  </si>
  <si>
    <t>Melting_Curves/meltCurve_E7ESY6_AMOTL1.pdf</t>
  </si>
  <si>
    <t>Melting_Curves/meltCurve_E7ESZ7_NDUFA10.pdf</t>
  </si>
  <si>
    <t>Melting_Curves/meltCurve_E7ET40_PLAU.pdf</t>
  </si>
  <si>
    <t>Melting_Curves/meltCurve_E7ETA6_PCM1.pdf</t>
  </si>
  <si>
    <t>Melting_Curves/meltCurve_E7ETK0_RPS24.pdf</t>
  </si>
  <si>
    <t>Melting_Curves/meltCurve_E7ETU5_RBMS1.pdf</t>
  </si>
  <si>
    <t>Melting_Curves/meltCurve_E7ETW5_RCHY1.pdf</t>
  </si>
  <si>
    <t>Melting_Curves/meltCurve_E7ETZ4_BZW2.pdf</t>
  </si>
  <si>
    <t>Melting_Curves/meltCurve_E7EU05_CD36.pdf</t>
  </si>
  <si>
    <t>Melting_Curves/meltCurve_E7EU23_GDI2.pdf</t>
  </si>
  <si>
    <t>Melting_Curves/meltCurve_E7EU96_CSNK2A1.pdf</t>
  </si>
  <si>
    <t>Melting_Curves/meltCurve_E7EUC6_NAV3.pdf</t>
  </si>
  <si>
    <t>Melting_Curves/meltCurve_E7EUD0_DKK3.pdf</t>
  </si>
  <si>
    <t>Melting_Curves/meltCurve_E7EUM5_NUP54.pdf</t>
  </si>
  <si>
    <t>Melting_Curves/meltCurve_E7EUU1_LTBP4.pdf</t>
  </si>
  <si>
    <t>Melting_Curves/meltCurve_E7EUY0_PRKDC.pdf</t>
  </si>
  <si>
    <t>Melting_Curves/meltCurve_E7EUY3_PCCB.pdf</t>
  </si>
  <si>
    <t>Melting_Curves/meltCurve_E7EV01_CAPN5.pdf</t>
  </si>
  <si>
    <t>Melting_Curves/meltCurve_E7EV05_ZFAND2B.pdf</t>
  </si>
  <si>
    <t>Melting_Curves/meltCurve_E7EVA0_MAP4.pdf</t>
  </si>
  <si>
    <t>Melting_Curves/meltCurve_E7EVC7_ATG16L1.pdf</t>
  </si>
  <si>
    <t>Melting_Curves/meltCurve_E7EVH9_HDHD1.pdf</t>
  </si>
  <si>
    <t>Melting_Curves/meltCurve_E7EVZ2_YWHAZ.pdf</t>
  </si>
  <si>
    <t>Melting_Curves/meltCurve_E7EW20_MYO6.pdf</t>
  </si>
  <si>
    <t>Melting_Curves/meltCurve_E7EW32_MON1B.pdf</t>
  </si>
  <si>
    <t>Melting_Curves/meltCurve_E7EW69_SEPT10.pdf</t>
  </si>
  <si>
    <t>Melting_Curves/meltCurve_E7EW77_ABI2.pdf</t>
  </si>
  <si>
    <t>Melting_Curves/meltCurve_E7EWC2_IQGAP2.pdf</t>
  </si>
  <si>
    <t>Melting_Curves/meltCurve_E7EWM3_ZMIZ2.pdf</t>
  </si>
  <si>
    <t>Melting_Curves/meltCurve_E7EWP0_NDUFB5.pdf</t>
  </si>
  <si>
    <t>Melting_Curves/meltCurve_E7EX01_MPP2.pdf</t>
  </si>
  <si>
    <t>Melting_Curves/meltCurve_E7EX17_EIF4B.pdf</t>
  </si>
  <si>
    <t>Melting_Curves/meltCurve_E7EX90_DCTN1.pdf</t>
  </si>
  <si>
    <t>Melting_Curves/meltCurve_E9PAR5_NCBP2.pdf</t>
  </si>
  <si>
    <t>Melting_Curves/meltCurve_E9PAU2_RAVER1.pdf</t>
  </si>
  <si>
    <t>Melting_Curves/meltCurve_E9PB09_HEATR5A.pdf</t>
  </si>
  <si>
    <t>Melting_Curves/meltCurve_E9PB61_ALYREF.pdf</t>
  </si>
  <si>
    <t>Melting_Curves/meltCurve_E9PBJ5_SDHA.pdf</t>
  </si>
  <si>
    <t>Melting_Curves/meltCurve_E9PBL8_COG1.pdf</t>
  </si>
  <si>
    <t>Melting_Curves/meltCurve_E9PBS1_PAICS.pdf</t>
  </si>
  <si>
    <t>Melting_Curves/meltCurve_E9PC15_AGK.pdf</t>
  </si>
  <si>
    <t>Melting_Curves/meltCurve_E9PC47_LIMK1.pdf</t>
  </si>
  <si>
    <t>Melting_Curves/meltCurve_E9PC74_EIF2B5.pdf</t>
  </si>
  <si>
    <t>Melting_Curves/meltCurve_E9PCH4_FNIP1.pdf</t>
  </si>
  <si>
    <t>Melting_Curves/meltCurve_E9PCJ7_UBR7.pdf</t>
  </si>
  <si>
    <t>Melting_Curves/meltCurve_E9PCW1_GOSR1.pdf</t>
  </si>
  <si>
    <t>Melting_Curves/meltCurve_E9PCY7_HNRNPH1.pdf</t>
  </si>
  <si>
    <t>Melting_Curves/meltCurve_E9PDF6_MYO1B.pdf</t>
  </si>
  <si>
    <t>Melting_Curves/meltCurve_E9PDN5_DMD.pdf</t>
  </si>
  <si>
    <t>Melting_Curves/meltCurve_E9PDX3_KIF13A.pdf</t>
  </si>
  <si>
    <t>Melting_Curves/meltCurve_E9PEE8_ITGB6.pdf</t>
  </si>
  <si>
    <t>Melting_Curves/meltCurve_E9PEH6_SGCE.pdf</t>
  </si>
  <si>
    <t>Melting_Curves/meltCurve_E9PEN8_XPO7.pdf</t>
  </si>
  <si>
    <t>Melting_Curves/meltCurve_E9PEP6_NRP1.pdf</t>
  </si>
  <si>
    <t>Melting_Curves/meltCurve_E9PER1_DIP2A.pdf</t>
  </si>
  <si>
    <t>Melting_Curves/meltCurve_E9PER6_PDPK1.pdf</t>
  </si>
  <si>
    <t>Melting_Curves/meltCurve_E9PEZ3_DIAPH1.pdf</t>
  </si>
  <si>
    <t>Melting_Curves/meltCurve_E9PF10_NUP155.pdf</t>
  </si>
  <si>
    <t>Melting_Curves/meltCurve_E9PF16_ACSF2.pdf</t>
  </si>
  <si>
    <t>Melting_Curves/meltCurve_E9PF18_HADH.pdf</t>
  </si>
  <si>
    <t>Melting_Curves/meltCurve_E9PF19_TBL2.pdf</t>
  </si>
  <si>
    <t>Melting_Curves/meltCurve_E9PF55_TNS1.pdf</t>
  </si>
  <si>
    <t>Melting_Curves/meltCurve_E9PFH7_MAPK8IP3.pdf</t>
  </si>
  <si>
    <t>Melting_Curves/meltCurve_E9PFK9_RABGEF1.pdf</t>
  </si>
  <si>
    <t>Melting_Curves/meltCurve_E9PFR3_PPP2R5D.pdf</t>
  </si>
  <si>
    <t>Melting_Curves/meltCurve_E9PG19_FCHSD2.pdf</t>
  </si>
  <si>
    <t>Melting_Curves/meltCurve_E9PG22_CEP97.pdf</t>
  </si>
  <si>
    <t>Melting_Curves/meltCurve_E9PG71_EPHA4.pdf</t>
  </si>
  <si>
    <t>Melting_Curves/meltCurve_E9PGB5_SFXN4.pdf</t>
  </si>
  <si>
    <t>Melting_Curves/meltCurve_E9PGC0_RASA1.pdf</t>
  </si>
  <si>
    <t>Melting_Curves/meltCurve_E9PGF5_TNS1.pdf</t>
  </si>
  <si>
    <t>Melting_Curves/meltCurve_E9PGN7_SERPING1.pdf</t>
  </si>
  <si>
    <t>Melting_Curves/meltCurve_E9PGT1_TSN.pdf</t>
  </si>
  <si>
    <t>Melting_Curves/meltCurve_E9PGT6_COPS8.pdf</t>
  </si>
  <si>
    <t>Melting_Curves/meltCurve_E9PH29_PRDX3.pdf</t>
  </si>
  <si>
    <t>Melting_Curves/meltCurve_E9PHG5_CYP20A1.pdf</t>
  </si>
  <si>
    <t>Melting_Curves/meltCurve_E9PHK9_TCOF1.pdf</t>
  </si>
  <si>
    <t>Melting_Curves/meltCurve_E9PHV5_SSFA2.pdf</t>
  </si>
  <si>
    <t>Melting_Curves/meltCurve_E9PHY8_MROH1.pdf</t>
  </si>
  <si>
    <t>Melting_Curves/meltCurve_E9PIE3_PRKCDBP.pdf</t>
  </si>
  <si>
    <t>Melting_Curves/meltCurve_E9PIM6_THY1.pdf</t>
  </si>
  <si>
    <t>Melting_Curves/meltCurve_E9PJ55_TCP11L1.pdf</t>
  </si>
  <si>
    <t>Melting_Curves/meltCurve_E9PJ64_PDE4DIP.pdf</t>
  </si>
  <si>
    <t>Melting_Curves/meltCurve_E9PJ81_UBXN1.pdf</t>
  </si>
  <si>
    <t>Melting_Curves/meltCurve_E9PJA2_CSF1.pdf</t>
  </si>
  <si>
    <t>Melting_Curves/meltCurve_E9PJD7_CYHR1.pdf</t>
  </si>
  <si>
    <t>Melting_Curves/meltCurve_E9PJK1_CD81.pdf</t>
  </si>
  <si>
    <t>Melting_Curves/meltCurve_E9PJK5_FAM160A2.pdf</t>
  </si>
  <si>
    <t>Melting_Curves/meltCurve_E9PK01_EEF1D.pdf</t>
  </si>
  <si>
    <t>Melting_Curves/meltCurve_E9PK67_PARP10.pdf</t>
  </si>
  <si>
    <t>Melting_Curves/meltCurve_E9PKB9_SNX19.pdf</t>
  </si>
  <si>
    <t>Melting_Curves/meltCurve_E9PKC5_AMPD3.pdf</t>
  </si>
  <si>
    <t>Melting_Curves/meltCurve_E9PKE3_HSPA8.pdf</t>
  </si>
  <si>
    <t>Melting_Curves/meltCurve_E9PKG1_PRMT1.pdf</t>
  </si>
  <si>
    <t>Melting_Curves/meltCurve_E9PKH2_SERPINH1.pdf</t>
  </si>
  <si>
    <t>Melting_Curves/meltCurve_E9PKN9_TP53I11.pdf</t>
  </si>
  <si>
    <t>Melting_Curves/meltCurve_E9PKT4_TMEM123.pdf</t>
  </si>
  <si>
    <t>Melting_Curves/meltCurve_E9PKV8_TTC9C.pdf</t>
  </si>
  <si>
    <t>Melting_Curves/meltCurve_E9PKZ0_RPL8.pdf</t>
  </si>
  <si>
    <t>Melting_Curves/meltCurve_E9PL01_SPCS2.pdf</t>
  </si>
  <si>
    <t>Melting_Curves/meltCurve_E9PL22_HYOU1.pdf</t>
  </si>
  <si>
    <t>Melting_Curves/meltCurve_E9PL33_EI24.pdf</t>
  </si>
  <si>
    <t>Melting_Curves/meltCurve_E9PLG8_GPAA1.pdf</t>
  </si>
  <si>
    <t>Melting_Curves/meltCurve_E9PLK3_NPEPPS.pdf</t>
  </si>
  <si>
    <t>Melting_Curves/meltCurve_E9PLL6_RPL27A.pdf</t>
  </si>
  <si>
    <t>Melting_Curves/meltCurve_E9PM04_DCUN1D5.pdf</t>
  </si>
  <si>
    <t>Melting_Curves/meltCurve_E9PM46_USP47.pdf</t>
  </si>
  <si>
    <t>Melting_Curves/meltCurve_E9PM92_C11orf58.pdf</t>
  </si>
  <si>
    <t>Melting_Curves/meltCurve_E9PMB9_ME3.pdf</t>
  </si>
  <si>
    <t>Melting_Curves/meltCurve_E9PME6_USF1.pdf</t>
  </si>
  <si>
    <t>Melting_Curves/meltCurve_E9PMI6_CLNS1A.pdf</t>
  </si>
  <si>
    <t>Melting_Curves/meltCurve_E9PMJ2_FAM118B.pdf</t>
  </si>
  <si>
    <t>Melting_Curves/meltCurve_E9PMP7_LMO7.pdf</t>
  </si>
  <si>
    <t>Melting_Curves/meltCurve_E9PMQ6_HSF1.pdf</t>
  </si>
  <si>
    <t>Melting_Curves/meltCurve_E9PN41_TSPAN4.pdf</t>
  </si>
  <si>
    <t>Melting_Curves/meltCurve_E9PND3_EBAG9.pdf</t>
  </si>
  <si>
    <t>Melting_Curves/meltCurve_E9PNV3_RDX.pdf</t>
  </si>
  <si>
    <t>Melting_Curves/meltCurve_E9PNX1_SERPINH1.pdf</t>
  </si>
  <si>
    <t>Melting_Curves/meltCurve_E9PPM8_DERA.pdf</t>
  </si>
  <si>
    <t>Melting_Curves/meltCurve_E9PPU0_EPPK1.pdf</t>
  </si>
  <si>
    <t>Melting_Curves/meltCurve_E9PPU6_NAGK.pdf</t>
  </si>
  <si>
    <t>Melting_Curves/meltCurve_E9PPW7_NDUFS8.pdf</t>
  </si>
  <si>
    <t>Melting_Curves/meltCurve_E9PQ91_SC5D.pdf</t>
  </si>
  <si>
    <t>Melting_Curves/meltCurve_E9PQR4_TUB.pdf</t>
  </si>
  <si>
    <t>Melting_Curves/meltCurve_E9PQW1_CARD16.pdf</t>
  </si>
  <si>
    <t>Melting_Curves/meltCurve_E9PQY2_PFDN4.pdf</t>
  </si>
  <si>
    <t>Melting_Curves/meltCurve_E9PR17_CD59.pdf</t>
  </si>
  <si>
    <t>Melting_Curves/meltCurve_E9PR30_FAU.pdf</t>
  </si>
  <si>
    <t>Melting_Curves/meltCurve_E9PR44_CRYAB.pdf</t>
  </si>
  <si>
    <t>Melting_Curves/meltCurve_E9PR54_CTSB.pdf</t>
  </si>
  <si>
    <t>Melting_Curves/meltCurve_E9PR71_UVRAG.pdf</t>
  </si>
  <si>
    <t>Melting_Curves/meltCurve_E9PR76_MAF1.pdf</t>
  </si>
  <si>
    <t>Melting_Curves/meltCurve_E9PRM7_SLC22A18.pdf</t>
  </si>
  <si>
    <t>Melting_Curves/meltCurve_E9PRR8_EIF1AD.pdf</t>
  </si>
  <si>
    <t>Melting_Curves/meltCurve_E9PRU1_EFEMP2.pdf</t>
  </si>
  <si>
    <t>Melting_Curves/meltCurve_E9PS00_FADS3.pdf</t>
  </si>
  <si>
    <t>Melting_Curves/meltCurve_E9PS17_SCYL1.pdf</t>
  </si>
  <si>
    <t>Melting_Curves/meltCurve_E9PS38_NEDD8_MDP1.pdf</t>
  </si>
  <si>
    <t>Melting_Curves/meltCurve_E9PSC1_EFEMP2.pdf</t>
  </si>
  <si>
    <t>Melting_Curves/meltCurve_E9PSI1_TM9SF1.pdf</t>
  </si>
  <si>
    <t>Melting_Curves/meltCurve_F2Z2B9_TUBGCP2.pdf</t>
  </si>
  <si>
    <t>Melting_Curves/meltCurve_F2Z2I2_PFKFB3.pdf</t>
  </si>
  <si>
    <t>Melting_Curves/meltCurve_F2Z2U8_MYH14.pdf</t>
  </si>
  <si>
    <t>Melting_Curves/meltCurve_F2Z2X4_XPO4.pdf</t>
  </si>
  <si>
    <t>Melting_Curves/meltCurve_F5GWF3_C1RL.pdf</t>
  </si>
  <si>
    <t>Melting_Curves/meltCurve_F5GWT4_WNK1.pdf</t>
  </si>
  <si>
    <t>Melting_Curves/meltCurve_F5GWU7_SMAD5.pdf</t>
  </si>
  <si>
    <t>Melting_Curves/meltCurve_F5GWX5_CHD4.pdf</t>
  </si>
  <si>
    <t>Melting_Curves/meltCurve_F5GWY5_PODXL.pdf</t>
  </si>
  <si>
    <t>Melting_Curves/meltCurve_F5GX68_DNMT1.pdf</t>
  </si>
  <si>
    <t>Melting_Curves/meltCurve_F5GXC8_SUCLA2.pdf</t>
  </si>
  <si>
    <t>Melting_Curves/meltCurve_F5GXE4_ATE1.pdf</t>
  </si>
  <si>
    <t>Melting_Curves/meltCurve_F5GXE7_LTBR.pdf</t>
  </si>
  <si>
    <t>Melting_Curves/meltCurve_F5GXI4_PTPRK.pdf</t>
  </si>
  <si>
    <t>Melting_Curves/meltCurve_F5GXK8_DNAJB11.pdf</t>
  </si>
  <si>
    <t>Melting_Curves/meltCurve_F5GXW6_BRI3.pdf</t>
  </si>
  <si>
    <t>Melting_Curves/meltCurve_F5GXX5_DAD1.pdf</t>
  </si>
  <si>
    <t>Melting_Curves/meltCurve_F5GXZ7_CCDC53.pdf</t>
  </si>
  <si>
    <t>Melting_Curves/meltCurve_F5GY20_GPNMB.pdf</t>
  </si>
  <si>
    <t>Melting_Curves/meltCurve_F5GY99_GALNT1.pdf</t>
  </si>
  <si>
    <t>Melting_Curves/meltCurve_F5GYJ5_.pdf</t>
  </si>
  <si>
    <t>Melting_Curves/meltCurve_F5GYK2_STRN4.pdf</t>
  </si>
  <si>
    <t>Melting_Curves/meltCurve_F5GYN4_OTUB1.pdf</t>
  </si>
  <si>
    <t>Melting_Curves/meltCurve_F5GYP2_DGKH.pdf</t>
  </si>
  <si>
    <t>Melting_Curves/meltCurve_F5GYQ1_ATP6V0D1.pdf</t>
  </si>
  <si>
    <t>Melting_Curves/meltCurve_F5GZ78_PXN.pdf</t>
  </si>
  <si>
    <t>Melting_Curves/meltCurve_F5GZ84_FARP2.pdf</t>
  </si>
  <si>
    <t>Melting_Curves/meltCurve_F5GZK1_EXTL2.pdf</t>
  </si>
  <si>
    <t>Melting_Curves/meltCurve_F5GZP3_TRIM59.pdf</t>
  </si>
  <si>
    <t>Melting_Curves/meltCurve_F5GZS0_DHX36.pdf</t>
  </si>
  <si>
    <t>Melting_Curves/meltCurve_F5GZS6_SLC3A2.pdf</t>
  </si>
  <si>
    <t>Melting_Curves/meltCurve_F5GZX9_FAM120B.pdf</t>
  </si>
  <si>
    <t>Melting_Curves/meltCurve_F5GZY7_GABARAPL1.pdf</t>
  </si>
  <si>
    <t>Melting_Curves/meltCurve_F5H012_TRIM21.pdf</t>
  </si>
  <si>
    <t>Melting_Curves/meltCurve_F5H0L8_SEC23IP.pdf</t>
  </si>
  <si>
    <t>Melting_Curves/meltCurve_F5H148_RRN3.pdf</t>
  </si>
  <si>
    <t>Melting_Curves/meltCurve_F5H1C6_FERMT3.pdf</t>
  </si>
  <si>
    <t>Melting_Curves/meltCurve_F5H1F3_FBLN2.pdf</t>
  </si>
  <si>
    <t>Melting_Curves/meltCurve_F5H1G9_ABI1.pdf</t>
  </si>
  <si>
    <t>Melting_Curves/meltCurve_F5H1H0_L1CAM.pdf</t>
  </si>
  <si>
    <t>Melting_Curves/meltCurve_F5H1M8_PCMTD1.pdf</t>
  </si>
  <si>
    <t>Melting_Curves/meltCurve_F5H1X8_LRBA.pdf</t>
  </si>
  <si>
    <t>Melting_Curves/meltCurve_F5H1Y4_GOPC.pdf</t>
  </si>
  <si>
    <t>Melting_Curves/meltCurve_F5H1Z6_STARD10.pdf</t>
  </si>
  <si>
    <t>Melting_Curves/meltCurve_F5H254_TMEM135.pdf</t>
  </si>
  <si>
    <t>Melting_Curves/meltCurve_F5H280_WSB2.pdf</t>
  </si>
  <si>
    <t>Melting_Curves/meltCurve_F5H2H5_ANKLE2.pdf</t>
  </si>
  <si>
    <t>Melting_Curves/meltCurve_F5H2J3_VMP1.pdf</t>
  </si>
  <si>
    <t>Melting_Curves/meltCurve_F5H2Q7_KIAA1715.pdf</t>
  </si>
  <si>
    <t>Melting_Curves/meltCurve_F5H2S7_DCTN2.pdf</t>
  </si>
  <si>
    <t>Melting_Curves/meltCurve_F5H2U2_PRPF4B.pdf</t>
  </si>
  <si>
    <t>Melting_Curves/meltCurve_F5H2X3_NRP2.pdf</t>
  </si>
  <si>
    <t>Melting_Curves/meltCurve_F5H357_RBPMS.pdf</t>
  </si>
  <si>
    <t>Melting_Curves/meltCurve_F5H365_SEC23A.pdf</t>
  </si>
  <si>
    <t>Melting_Curves/meltCurve_F5H3B6_SHROOM2.pdf</t>
  </si>
  <si>
    <t>Melting_Curves/meltCurve_F5H3M3_MANSC1.pdf</t>
  </si>
  <si>
    <t>Melting_Curves/meltCurve_F5H3Q2_TMEM117.pdf</t>
  </si>
  <si>
    <t>Melting_Curves/meltCurve_F5H3T5_COLGALT2.pdf</t>
  </si>
  <si>
    <t>Melting_Curves/meltCurve_F5H3V2_LRCH3.pdf</t>
  </si>
  <si>
    <t>Melting_Curves/meltCurve_F5H442_TSG101.pdf</t>
  </si>
  <si>
    <t>Melting_Curves/meltCurve_F5H456_RRP12.pdf</t>
  </si>
  <si>
    <t>Melting_Curves/meltCurve_F5H4G7_KPNA6.pdf</t>
  </si>
  <si>
    <t>Melting_Curves/meltCurve_F5H4H2_ATP5J2.pdf</t>
  </si>
  <si>
    <t>Melting_Curves/meltCurve_F5H4K0_WLS.pdf</t>
  </si>
  <si>
    <t>Melting_Curves/meltCurve_F5H4Q5_VPS37C.pdf</t>
  </si>
  <si>
    <t>Melting_Curves/meltCurve_F5H4R0_EVI5.pdf</t>
  </si>
  <si>
    <t>Melting_Curves/meltCurve_F5H523_KLHL42.pdf</t>
  </si>
  <si>
    <t>Melting_Curves/meltCurve_F5H533_AMPH.pdf</t>
  </si>
  <si>
    <t>Melting_Curves/meltCurve_F5H569_ATP6V0A1.pdf</t>
  </si>
  <si>
    <t>Melting_Curves/meltCurve_F5H577_BRK1.pdf</t>
  </si>
  <si>
    <t>Melting_Curves/meltCurve_F5H5A3_MAP4K3.pdf</t>
  </si>
  <si>
    <t>Melting_Curves/meltCurve_F5H5D3_TUBA1C.pdf</t>
  </si>
  <si>
    <t>Melting_Curves/meltCurve_F5H5M7_IFNGR1.pdf</t>
  </si>
  <si>
    <t>Melting_Curves/meltCurve_F5H5N0_CDC42BPA.pdf</t>
  </si>
  <si>
    <t>Melting_Curves/meltCurve_F5H5N1_NDUFS7.pdf</t>
  </si>
  <si>
    <t>Melting_Curves/meltCurve_F5H5P2_BCKDHA.pdf</t>
  </si>
  <si>
    <t>Melting_Curves/meltCurve_F5H5R8_NAT1.pdf</t>
  </si>
  <si>
    <t>Melting_Curves/meltCurve_F5H604_CLASP2.pdf</t>
  </si>
  <si>
    <t>Melting_Curves/meltCurve_F5H620_OXNAD1.pdf</t>
  </si>
  <si>
    <t>Melting_Curves/meltCurve_F5H698_LARS.pdf</t>
  </si>
  <si>
    <t>Melting_Curves/meltCurve_F5H6Z0_CDK17.pdf</t>
  </si>
  <si>
    <t>Melting_Curves/meltCurve_F5H721_WBP11.pdf</t>
  </si>
  <si>
    <t>Melting_Curves/meltCurve_F5H740_VDAC3.pdf</t>
  </si>
  <si>
    <t>Melting_Curves/meltCurve_F5H780_TXNRD1.pdf</t>
  </si>
  <si>
    <t>Melting_Curves/meltCurve_F5H7C4_MSRB3.pdf</t>
  </si>
  <si>
    <t>Melting_Curves/meltCurve_F5H7N9_MFGE8.pdf</t>
  </si>
  <si>
    <t>Melting_Curves/meltCurve_F5H801_OGDH.pdf</t>
  </si>
  <si>
    <t>Melting_Curves/meltCurve_F5H843_SLC16A7.pdf</t>
  </si>
  <si>
    <t>Melting_Curves/meltCurve_F5H860_INPP4A.pdf</t>
  </si>
  <si>
    <t>Melting_Curves/meltCurve_F5H897_TRAP1.pdf</t>
  </si>
  <si>
    <t>Melting_Curves/meltCurve_F5H8D7_XRCC1.pdf</t>
  </si>
  <si>
    <t>Melting_Curves/meltCurve_F5H8H2_MVK.pdf</t>
  </si>
  <si>
    <t>Melting_Curves/meltCurve_F5H8J3_CLPTM1.pdf</t>
  </si>
  <si>
    <t>Melting_Curves/meltCurve_F5H8J4_EIF4G3.pdf</t>
  </si>
  <si>
    <t>Melting_Curves/meltCurve_F6PQP6_EPN2.pdf</t>
  </si>
  <si>
    <t>Melting_Curves/meltCurve_F6S0T5_KDM1A.pdf</t>
  </si>
  <si>
    <t>Melting_Curves/meltCurve_F6T1Q0_PDE12.pdf</t>
  </si>
  <si>
    <t>Melting_Curves/meltCurve_F6U1F2_BAG6.pdf</t>
  </si>
  <si>
    <t>Melting_Curves/meltCurve_F6U1T9_PPP3R1.pdf</t>
  </si>
  <si>
    <t>Melting_Curves/meltCurve_F6WCX7_MAP2K7.pdf</t>
  </si>
  <si>
    <t>Melting_Curves/meltCurve_F6XY72_NME2.pdf</t>
  </si>
  <si>
    <t>Melting_Curves/meltCurve_F8VP89_EIF4B.pdf</t>
  </si>
  <si>
    <t>Melting_Curves/meltCurve_F8VP97_CNOT2.pdf</t>
  </si>
  <si>
    <t>Melting_Curves/meltCurve_F8VPD4_CAD.pdf</t>
  </si>
  <si>
    <t>Melting_Curves/meltCurve_F8VPF7_HVCN1.pdf</t>
  </si>
  <si>
    <t>Melting_Curves/meltCurve_F8VQD4_C12orf75.pdf</t>
  </si>
  <si>
    <t>Melting_Curves/meltCurve_F8VQZ7_METAP2.pdf</t>
  </si>
  <si>
    <t>Melting_Curves/meltCurve_F8VRE8_TMEM19.pdf</t>
  </si>
  <si>
    <t>Melting_Curves/meltCurve_F8VS47_NEK3.pdf</t>
  </si>
  <si>
    <t>Melting_Curves/meltCurve_F8VSL3_NFYB.pdf</t>
  </si>
  <si>
    <t>Melting_Curves/meltCurve_F8VSZ4_PLXNA1.pdf</t>
  </si>
  <si>
    <t>Melting_Curves/meltCurve_F8VU90_FKBP11.pdf</t>
  </si>
  <si>
    <t>Melting_Curves/meltCurve_F8VUJ3_POC1B_GALNT4.pdf</t>
  </si>
  <si>
    <t>Melting_Curves/meltCurve_F8VV56_CD63.pdf</t>
  </si>
  <si>
    <t>Melting_Curves/meltCurve_F8VV59_NAP1L1.pdf</t>
  </si>
  <si>
    <t>Melting_Curves/meltCurve_F8VV64_TENC1.pdf</t>
  </si>
  <si>
    <t>Melting_Curves/meltCurve_F8VVA2_DDX23.pdf</t>
  </si>
  <si>
    <t>Melting_Curves/meltCurve_F8VVA7_COPZ1.pdf</t>
  </si>
  <si>
    <t>Melting_Curves/meltCurve_F8VW41_PACS2.pdf</t>
  </si>
  <si>
    <t>Melting_Curves/meltCurve_F8VW96_CSRP2.pdf</t>
  </si>
  <si>
    <t>Melting_Curves/meltCurve_F8VWA6_MON2.pdf</t>
  </si>
  <si>
    <t>Melting_Curves/meltCurve_F8VWE0_TSPAN31.pdf</t>
  </si>
  <si>
    <t>Melting_Curves/meltCurve_F8VXC8_SMARCC2.pdf</t>
  </si>
  <si>
    <t>Melting_Curves/meltCurve_F8VXG7_SCAF11.pdf</t>
  </si>
  <si>
    <t>Melting_Curves/meltCurve_F8VXI9_GIT2.pdf</t>
  </si>
  <si>
    <t>Melting_Curves/meltCurve_F8VY35_NAP1L1.pdf</t>
  </si>
  <si>
    <t>Melting_Curves/meltCurve_F8VYN9_ARL1.pdf</t>
  </si>
  <si>
    <t>Melting_Curves/meltCurve_F8VYY5_DNAJC14.pdf</t>
  </si>
  <si>
    <t>Melting_Curves/meltCurve_F8VYZ4_COPZ1.pdf</t>
  </si>
  <si>
    <t>Melting_Curves/meltCurve_F8VZJ2_NACA.pdf</t>
  </si>
  <si>
    <t>Melting_Curves/meltCurve_F8W038_C17orf49.pdf</t>
  </si>
  <si>
    <t>Melting_Curves/meltCurve_F8W1B3_CHPT1.pdf</t>
  </si>
  <si>
    <t>Melting_Curves/meltCurve_F8W1H4_.pdf</t>
  </si>
  <si>
    <t>Melting_Curves/meltCurve_F8W1I9_ACAD10.pdf</t>
  </si>
  <si>
    <t>Melting_Curves/meltCurve_F8W1P7_SLC11A2.pdf</t>
  </si>
  <si>
    <t>Melting_Curves/meltCurve_F8W1Q3_BTD.pdf</t>
  </si>
  <si>
    <t>Melting_Curves/meltCurve_F8W1T6_RBMS2.pdf</t>
  </si>
  <si>
    <t>Melting_Curves/meltCurve_F8W6I7_HNRNPA1.pdf</t>
  </si>
  <si>
    <t>Melting_Curves/meltCurve_F8W6N8_TRIM5.pdf</t>
  </si>
  <si>
    <t>Melting_Curves/meltCurve_F8W717_EML1.pdf</t>
  </si>
  <si>
    <t>Melting_Curves/meltCurve_F8W726_UBAP2L.pdf</t>
  </si>
  <si>
    <t>Melting_Curves/meltCurve_F8W7D6_GPHN.pdf</t>
  </si>
  <si>
    <t>Melting_Curves/meltCurve_F8W7E6_SLC4A7.pdf</t>
  </si>
  <si>
    <t>Melting_Curves/meltCurve_F8W7Q4_FAM162A.pdf</t>
  </si>
  <si>
    <t>Melting_Curves/meltCurve_F8W8I6_TIA1.pdf</t>
  </si>
  <si>
    <t>Melting_Curves/meltCurve_F8W8M3_PPP1R12B.pdf</t>
  </si>
  <si>
    <t>Melting_Curves/meltCurve_F8W8M9_UNC13B.pdf</t>
  </si>
  <si>
    <t>Melting_Curves/meltCurve_F8W930_IGF2BP2.pdf</t>
  </si>
  <si>
    <t>Melting_Curves/meltCurve_F8W9B4_RFC5.pdf</t>
  </si>
  <si>
    <t>Melting_Curves/meltCurve_F8WA11_CLASP1.pdf</t>
  </si>
  <si>
    <t>Melting_Curves/meltCurve_F8WA39_MTMR1.pdf</t>
  </si>
  <si>
    <t>Melting_Curves/meltCurve_F8WAC3_UCKL1.pdf</t>
  </si>
  <si>
    <t>Melting_Curves/meltCurve_F8WAF5_NABP1.pdf</t>
  </si>
  <si>
    <t>Melting_Curves/meltCurve_F8WAT8_DENND2A.pdf</t>
  </si>
  <si>
    <t>Melting_Curves/meltCurve_F8WBK5_MRPL40.pdf</t>
  </si>
  <si>
    <t>Melting_Curves/meltCurve_F8WCD0_RNF149.pdf</t>
  </si>
  <si>
    <t>Melting_Curves/meltCurve_F8WCP6_KIF21A.pdf</t>
  </si>
  <si>
    <t>Melting_Curves/meltCurve_F8WD04_ATL1.pdf</t>
  </si>
  <si>
    <t>Melting_Curves/meltCurve_F8WDA4_PHC3.pdf</t>
  </si>
  <si>
    <t>Melting_Curves/meltCurve_F8WDZ1_PELP1.pdf</t>
  </si>
  <si>
    <t>Melting_Curves/meltCurve_F8WE88_MYO5A.pdf</t>
  </si>
  <si>
    <t>Melting_Curves/meltCurve_F8WE91_DNMT3A.pdf</t>
  </si>
  <si>
    <t>Melting_Curves/meltCurve_F8WEC0_MMADHC.pdf</t>
  </si>
  <si>
    <t>Melting_Curves/meltCurve_F8WF48_SEC62.pdf</t>
  </si>
  <si>
    <t>Melting_Curves/meltCurve_F8WJN3_CPSF6.pdf</t>
  </si>
  <si>
    <t>Melting_Curves/meltCurve_G3V0I5_NDUFV1.pdf</t>
  </si>
  <si>
    <t>Melting_Curves/meltCurve_G3V0I6_OTUD4.pdf</t>
  </si>
  <si>
    <t>Melting_Curves/meltCurve_G3V120_FAM91A1.pdf</t>
  </si>
  <si>
    <t>Melting_Curves/meltCurve_G3V169_CASP1.pdf</t>
  </si>
  <si>
    <t>Melting_Curves/meltCurve_G3V1A6_GSDMD.pdf</t>
  </si>
  <si>
    <t>Melting_Curves/meltCurve_G3V1B5_DSCAML1.pdf</t>
  </si>
  <si>
    <t>Melting_Curves/meltCurve_G3V1K3_PON2.pdf</t>
  </si>
  <si>
    <t>Melting_Curves/meltCurve_G3V1L9_TJP1.pdf</t>
  </si>
  <si>
    <t>Melting_Curves/meltCurve_G3V1N2_HBA2.pdf</t>
  </si>
  <si>
    <t>Melting_Curves/meltCurve_G3V1P3_LOH12CR1.pdf</t>
  </si>
  <si>
    <t>Melting_Curves/meltCurve_G3V1R3_ZEB1.pdf</t>
  </si>
  <si>
    <t>Melting_Curves/meltCurve_G3V1R9_ISYNA1.pdf</t>
  </si>
  <si>
    <t>Melting_Curves/meltCurve_G3V1T4_NUP107.pdf</t>
  </si>
  <si>
    <t>Melting_Curves/meltCurve_G3V1U0_ATF7IP.pdf</t>
  </si>
  <si>
    <t>Melting_Curves/meltCurve_G3V203_RPL18.pdf</t>
  </si>
  <si>
    <t>Melting_Curves/meltCurve_G3V2F7_TMEM189.pdf</t>
  </si>
  <si>
    <t>Melting_Curves/meltCurve_G3V2U7_ACYP1.pdf</t>
  </si>
  <si>
    <t>Melting_Curves/meltCurve_G3V3D2_SPATA7.pdf</t>
  </si>
  <si>
    <t>Melting_Curves/meltCurve_G3V3G9_DCAF8.pdf</t>
  </si>
  <si>
    <t>Melting_Curves/meltCurve_G3V3R7_ATXN3.pdf</t>
  </si>
  <si>
    <t>Melting_Curves/meltCurve_G3V416_SIX4.pdf</t>
  </si>
  <si>
    <t>Melting_Curves/meltCurve_G3V4K3_VIPAS39.pdf</t>
  </si>
  <si>
    <t>Melting_Curves/meltCurve_G3V4P7_AP4S1.pdf</t>
  </si>
  <si>
    <t>Melting_Curves/meltCurve_G3V4U0_FBLN5.pdf</t>
  </si>
  <si>
    <t>Melting_Curves/meltCurve_G3V511_LTBP2.pdf</t>
  </si>
  <si>
    <t>Melting_Curves/meltCurve_G3V583_FAM177A1.pdf</t>
  </si>
  <si>
    <t>Melting_Curves/meltCurve_G3V599_CTAGE5.pdf</t>
  </si>
  <si>
    <t>Melting_Curves/meltCurve_G3V5I3_SERPINA3.pdf</t>
  </si>
  <si>
    <t>Melting_Curves/meltCurve_G3V5N8_ZFYVE1.pdf</t>
  </si>
  <si>
    <t>Melting_Curves/meltCurve_G3V5T0_GSTZ1.pdf</t>
  </si>
  <si>
    <t>Melting_Curves/meltCurve_G3V5T9_CDK2.pdf</t>
  </si>
  <si>
    <t>Melting_Curves/meltCurve_G3V5W1_WARS.pdf</t>
  </si>
  <si>
    <t>Melting_Curves/meltCurve_G3V5Z7_PSMA6.pdf</t>
  </si>
  <si>
    <t>Melting_Curves/meltCurve_G3XA81_TMEM48.pdf</t>
  </si>
  <si>
    <t>Melting_Curves/meltCurve_G3XAA0_ARID1B.pdf</t>
  </si>
  <si>
    <t>Melting_Curves/meltCurve_G3XAH6_PAPOLA.pdf</t>
  </si>
  <si>
    <t>Melting_Curves/meltCurve_G3XAI2_LAMB1.pdf</t>
  </si>
  <si>
    <t>Melting_Curves/meltCurve_G3XAN8_TIMM8B.pdf</t>
  </si>
  <si>
    <t>Melting_Curves/meltCurve_G3XAP3_ABCB8.pdf</t>
  </si>
  <si>
    <t>Melting_Curves/meltCurve_G3XAP6_COMP.pdf</t>
  </si>
  <si>
    <t>Melting_Curves/meltCurve_G5E972_TMPO.pdf</t>
  </si>
  <si>
    <t>Melting_Curves/meltCurve_G5E994_GPR107.pdf</t>
  </si>
  <si>
    <t>Melting_Curves/meltCurve_G5E9A6_USP11.pdf</t>
  </si>
  <si>
    <t>Melting_Curves/meltCurve_G5E9C8_SOS1.pdf</t>
  </si>
  <si>
    <t>Melting_Curves/meltCurve_G5E9P3_NKIRAS1.pdf</t>
  </si>
  <si>
    <t>Melting_Curves/meltCurve_G5EA30_CELF1.pdf</t>
  </si>
  <si>
    <t>Melting_Curves/meltCurve_G5EA37_WIPI1.pdf</t>
  </si>
  <si>
    <t>Melting_Curves/meltCurve_G5EA42_TMOD2.pdf</t>
  </si>
  <si>
    <t>Melting_Curves/meltCurve_G5EA52_PDIA3.pdf</t>
  </si>
  <si>
    <t>Melting_Curves/meltCurve_G8JL86_COBLL1.pdf</t>
  </si>
  <si>
    <t>Melting_Curves/meltCurve_G8JLA2_MYL6.pdf</t>
  </si>
  <si>
    <t>Melting_Curves/meltCurve_G8JLB3_PUS1.pdf</t>
  </si>
  <si>
    <t>Melting_Curves/meltCurve_G8JLI5_WDR45.pdf</t>
  </si>
  <si>
    <t>Melting_Curves/meltCurve_G8JLI6_LEPREL2.pdf</t>
  </si>
  <si>
    <t>Melting_Curves/meltCurve_G8JLK4_TACC1.pdf</t>
  </si>
  <si>
    <t>Melting_Curves/meltCurve_G8JLL2_PPT2.pdf</t>
  </si>
  <si>
    <t>Melting_Curves/meltCurve_G8JLL7_MVB12B.pdf</t>
  </si>
  <si>
    <t>Melting_Curves/meltCurve_G8JLM0_PRKAG2.pdf</t>
  </si>
  <si>
    <t>Melting_Curves/meltCurve_H0UI80_TH1L.pdf</t>
  </si>
  <si>
    <t>Melting_Curves/meltCurve_H0Y2M6_CLCN7.pdf</t>
  </si>
  <si>
    <t>Melting_Curves/meltCurve_H0Y360_AMPD2.pdf</t>
  </si>
  <si>
    <t>Melting_Curves/meltCurve_H0Y4G9_MYD88.pdf</t>
  </si>
  <si>
    <t>Melting_Curves/meltCurve_H0Y4Y2_NAPEPLD.pdf</t>
  </si>
  <si>
    <t>Melting_Curves/meltCurve_H0Y507_SH3PXD2A.pdf</t>
  </si>
  <si>
    <t>Melting_Curves/meltCurve_H0Y547_ATP11A.pdf</t>
  </si>
  <si>
    <t>Melting_Curves/meltCurve_H0Y589_PHF8.pdf</t>
  </si>
  <si>
    <t>Melting_Curves/meltCurve_H0Y599_DOCK4.pdf</t>
  </si>
  <si>
    <t>Melting_Curves/meltCurve_H0Y5A1_PTGDS.pdf</t>
  </si>
  <si>
    <t>Melting_Curves/meltCurve_H0Y5B0_EPB41L2.pdf</t>
  </si>
  <si>
    <t>Melting_Curves/meltCurve_H0Y5C2_ATE1.pdf</t>
  </si>
  <si>
    <t>Melting_Curves/meltCurve_H0Y5Y0_PREP.pdf</t>
  </si>
  <si>
    <t>Melting_Curves/meltCurve_H0Y614_UFM1.pdf</t>
  </si>
  <si>
    <t>Melting_Curves/meltCurve_H0Y6A0_ARFGAP3.pdf</t>
  </si>
  <si>
    <t>Melting_Curves/meltCurve_H0Y6C3_PYCRL.pdf</t>
  </si>
  <si>
    <t>Melting_Curves/meltCurve_H0Y6J0_NME4.pdf</t>
  </si>
  <si>
    <t>Melting_Curves/meltCurve_H0Y6K5_SP3.pdf</t>
  </si>
  <si>
    <t>Melting_Curves/meltCurve_H0Y7A7_CALM2.pdf</t>
  </si>
  <si>
    <t>Melting_Curves/meltCurve_H0Y7U4_THOC2.pdf</t>
  </si>
  <si>
    <t>Melting_Curves/meltCurve_H0Y7X5_PLXNB2.pdf</t>
  </si>
  <si>
    <t>Melting_Curves/meltCurve_H0Y860_STIM2.pdf</t>
  </si>
  <si>
    <t>Melting_Curves/meltCurve_H0Y870_TMEM222.pdf</t>
  </si>
  <si>
    <t>Melting_Curves/meltCurve_H0Y8E6_MCM2.pdf</t>
  </si>
  <si>
    <t>Melting_Curves/meltCurve_H0Y8H1_CHIC2.pdf</t>
  </si>
  <si>
    <t>Melting_Curves/meltCurve_H0YA20_DGKQ.pdf</t>
  </si>
  <si>
    <t>Melting_Curves/meltCurve_H0YA52_PCBD2.pdf</t>
  </si>
  <si>
    <t>Melting_Curves/meltCurve_H0YAE0_C5orf24.pdf</t>
  </si>
  <si>
    <t>Melting_Curves/meltCurve_H0YAJ5_APBB2.pdf</t>
  </si>
  <si>
    <t>Melting_Curves/meltCurve_H0YAN8_ARHGEF10.pdf</t>
  </si>
  <si>
    <t>Melting_Curves/meltCurve_H0YAX0_ZDHHC14.pdf</t>
  </si>
  <si>
    <t>Melting_Curves/meltCurve_H0YB73_UBE2W.pdf</t>
  </si>
  <si>
    <t>Melting_Curves/meltCurve_H0YBC7_BNIP3L.pdf</t>
  </si>
  <si>
    <t>Melting_Curves/meltCurve_H0YBI6_TXNRD3.pdf</t>
  </si>
  <si>
    <t>Melting_Curves/meltCurve_H0YBP1_PTK2.pdf</t>
  </si>
  <si>
    <t>Melting_Curves/meltCurve_H0YBZ4_MTFR1.pdf</t>
  </si>
  <si>
    <t>Melting_Curves/meltCurve_H0YC66_ADAM19.pdf</t>
  </si>
  <si>
    <t>Melting_Curves/meltCurve_H0YCK3_ADAR.pdf</t>
  </si>
  <si>
    <t>Melting_Curves/meltCurve_H0YD93_RUFY2.pdf</t>
  </si>
  <si>
    <t>Melting_Curves/meltCurve_H0YDR5_SIGIRR.pdf</t>
  </si>
  <si>
    <t>Melting_Curves/meltCurve_H0YDS0_UBQLN1.pdf</t>
  </si>
  <si>
    <t>Melting_Curves/meltCurve_H0YDT0_REPS1.pdf</t>
  </si>
  <si>
    <t>Melting_Curves/meltCurve_H0YDU5_PPP1R16A.pdf</t>
  </si>
  <si>
    <t>Melting_Curves/meltCurve_H0YDU8_PPP5C.pdf</t>
  </si>
  <si>
    <t>Melting_Curves/meltCurve_H0YEB6_SSSCA1.pdf</t>
  </si>
  <si>
    <t>Melting_Curves/meltCurve_H0YEF3_RNASEH2C.pdf</t>
  </si>
  <si>
    <t>Melting_Curves/meltCurve_H0YEN5_RPS2.pdf</t>
  </si>
  <si>
    <t>Melting_Curves/meltCurve_H0YEX6_MAPK3.pdf</t>
  </si>
  <si>
    <t>Melting_Curves/meltCurve_H0YG20_MAN1B1.pdf</t>
  </si>
  <si>
    <t>Melting_Curves/meltCurve_H0YGA7_CADM1.pdf</t>
  </si>
  <si>
    <t>Melting_Curves/meltCurve_H0YGR4_REXO2.pdf</t>
  </si>
  <si>
    <t>Melting_Curves/meltCurve_H0YGX7_ARHGDIB.pdf</t>
  </si>
  <si>
    <t>Melting_Curves/meltCurve_H0YHQ9_ARHGAP23.pdf</t>
  </si>
  <si>
    <t>Melting_Curves/meltCurve_H0YI08_MRVI1.pdf</t>
  </si>
  <si>
    <t>Melting_Curves/meltCurve_H0YI09_METTL7A.pdf</t>
  </si>
  <si>
    <t>Melting_Curves/meltCurve_H0YIV9_.pdf</t>
  </si>
  <si>
    <t>Melting_Curves/meltCurve_H0YJ34_FERMT2.pdf</t>
  </si>
  <si>
    <t>Melting_Curves/meltCurve_H0YJE0_CCDC85C.pdf</t>
  </si>
  <si>
    <t>Melting_Curves/meltCurve_H0YK61_EMC4.pdf</t>
  </si>
  <si>
    <t>Melting_Curves/meltCurve_H0YKW5_C15orf48.pdf</t>
  </si>
  <si>
    <t>Melting_Curves/meltCurve_H0YL33_ANXA2.pdf</t>
  </si>
  <si>
    <t>Melting_Curves/meltCurve_H0YLH9_IL16.pdf</t>
  </si>
  <si>
    <t>Melting_Curves/meltCurve_H0YMB3_GMPR2.pdf</t>
  </si>
  <si>
    <t>Melting_Curves/meltCurve_H0YMF4_RPL28.pdf</t>
  </si>
  <si>
    <t>Melting_Curves/meltCurve_H0YMG7_ALDH1A2.pdf</t>
  </si>
  <si>
    <t>Melting_Curves/meltCurve_H0YN78_C15orf57.pdf</t>
  </si>
  <si>
    <t>Melting_Curves/meltCurve_H0YNG3_SEC11A.pdf</t>
  </si>
  <si>
    <t>Melting_Curves/meltCurve_H0YNH5_DPH6.pdf</t>
  </si>
  <si>
    <t>Melting_Curves/meltCurve_H0YNH8_UACA.pdf</t>
  </si>
  <si>
    <t>Melting_Curves/meltCurve_H3BLU2_LSAMP.pdf</t>
  </si>
  <si>
    <t>Melting_Curves/meltCurve_H3BLV0_CD55.pdf</t>
  </si>
  <si>
    <t>Melting_Curves/meltCurve_H3BLZ2_DBNDD1.pdf</t>
  </si>
  <si>
    <t>Melting_Curves/meltCurve_H3BLZ8_DDX17.pdf</t>
  </si>
  <si>
    <t>Melting_Curves/meltCurve_H3BM14_NUB1.pdf</t>
  </si>
  <si>
    <t>Melting_Curves/meltCurve_H3BM67_NOL3.pdf</t>
  </si>
  <si>
    <t>Melting_Curves/meltCurve_H3BM91_COMMD4.pdf</t>
  </si>
  <si>
    <t>Melting_Curves/meltCurve_H3BMA2_SIN3A.pdf</t>
  </si>
  <si>
    <t>Melting_Curves/meltCurve_H3BMF4_SPNS1.pdf</t>
  </si>
  <si>
    <t>Melting_Curves/meltCurve_H3BML8_TMEM219.pdf</t>
  </si>
  <si>
    <t>Melting_Curves/meltCurve_H3BMQ0_TSC2.pdf</t>
  </si>
  <si>
    <t>Melting_Curves/meltCurve_H3BND3_NUDT21.pdf</t>
  </si>
  <si>
    <t>Melting_Curves/meltCurve_H3BNE3_BLOC1S6.pdf</t>
  </si>
  <si>
    <t>Melting_Curves/meltCurve_H3BNU0_PRICKLE2.pdf</t>
  </si>
  <si>
    <t>Melting_Curves/meltCurve_H3BNU9_CARHSP1.pdf</t>
  </si>
  <si>
    <t>Melting_Curves/meltCurve_H3BP13_TRAPPC2L.pdf</t>
  </si>
  <si>
    <t>Melting_Curves/meltCurve_H3BP20_HEXA.pdf</t>
  </si>
  <si>
    <t>Melting_Curves/meltCurve_H3BP28_COQ7.pdf</t>
  </si>
  <si>
    <t>Melting_Curves/meltCurve_H3BP77_TK2.pdf</t>
  </si>
  <si>
    <t>Melting_Curves/meltCurve_H3BPC4_UBE2I.pdf</t>
  </si>
  <si>
    <t>Melting_Curves/meltCurve_H3BPE7_FUS.pdf</t>
  </si>
  <si>
    <t>Melting_Curves/meltCurve_H3BPG5_RNPS1.pdf</t>
  </si>
  <si>
    <t>Melting_Curves/meltCurve_H3BPK6_ORAOV1.pdf</t>
  </si>
  <si>
    <t>Melting_Curves/meltCurve_H3BPS8_ALDOA.pdf</t>
  </si>
  <si>
    <t>Melting_Curves/meltCurve_H3BQ37_EDC3.pdf</t>
  </si>
  <si>
    <t>Melting_Curves/meltCurve_H3BQ52_ARPP19.pdf</t>
  </si>
  <si>
    <t>Melting_Curves/meltCurve_H3BQA0_SNAPC5.pdf</t>
  </si>
  <si>
    <t>Melting_Curves/meltCurve_H3BQK0_DDX19B.pdf</t>
  </si>
  <si>
    <t>Melting_Curves/meltCurve_H3BQX6_MT3.pdf</t>
  </si>
  <si>
    <t>Melting_Curves/meltCurve_H3BQZ7_hCG_2044799.pdf</t>
  </si>
  <si>
    <t>Melting_Curves/meltCurve_H3BR94_DCTN5.pdf</t>
  </si>
  <si>
    <t>Melting_Curves/meltCurve_H3BRD1_UBE2I.pdf</t>
  </si>
  <si>
    <t>Melting_Curves/meltCurve_H3BRF9_ZFYVE19.pdf</t>
  </si>
  <si>
    <t>Melting_Curves/meltCurve_H3BRG4_UQCRC2.pdf</t>
  </si>
  <si>
    <t>Melting_Curves/meltCurve_H3BRL3_UBFD1.pdf</t>
  </si>
  <si>
    <t>Melting_Curves/meltCurve_H3BRN4_ABAT.pdf</t>
  </si>
  <si>
    <t>Melting_Curves/meltCurve_H3BRU1_FAM219B.pdf</t>
  </si>
  <si>
    <t>Melting_Curves/meltCurve_H3BRV0_EIF3C.pdf</t>
  </si>
  <si>
    <t>Melting_Curves/meltCurve_H3BRY6_VWA9.pdf</t>
  </si>
  <si>
    <t>Melting_Curves/meltCurve_H3BSM7_C16orf58.pdf</t>
  </si>
  <si>
    <t>Melting_Curves/meltCurve_H3BSS5_KCTD5.pdf</t>
  </si>
  <si>
    <t>Melting_Curves/meltCurve_H3BSW6_CTU2.pdf</t>
  </si>
  <si>
    <t>Melting_Curves/meltCurve_H3BTF5_METTL22.pdf</t>
  </si>
  <si>
    <t>Melting_Curves/meltCurve_H3BTH4_ADPGK.pdf</t>
  </si>
  <si>
    <t>Melting_Curves/meltCurve_H3BTL1_MAP1LC3B.pdf</t>
  </si>
  <si>
    <t>Melting_Curves/meltCurve_H3BTN5_PKM.pdf</t>
  </si>
  <si>
    <t>Melting_Curves/meltCurve_H3BTX0_.pdf</t>
  </si>
  <si>
    <t>Melting_Curves/meltCurve_H3BTX7_RNF166.pdf</t>
  </si>
  <si>
    <t>Melting_Curves/meltCurve_H3BU49_ARL2BP.pdf</t>
  </si>
  <si>
    <t>Melting_Curves/meltCurve_H3BUQ2_OGFOD1.pdf</t>
  </si>
  <si>
    <t>Melting_Curves/meltCurve_H3BUR4_NOB1.pdf</t>
  </si>
  <si>
    <t>Melting_Curves/meltCurve_H3BUU9_CDH11.pdf</t>
  </si>
  <si>
    <t>Melting_Curves/meltCurve_H3BUW8_LONP2.pdf</t>
  </si>
  <si>
    <t>Melting_Curves/meltCurve_H3BUY6_C16orf45.pdf</t>
  </si>
  <si>
    <t>Melting_Curves/meltCurve_H3BVF7_TMEM62.pdf</t>
  </si>
  <si>
    <t>Melting_Curves/meltCurve_H6UMI1_GABARAP.pdf</t>
  </si>
  <si>
    <t>Melting_Curves/meltCurve_H7BXD8_LGALS8.pdf</t>
  </si>
  <si>
    <t>Melting_Curves/meltCurve_H7BXH2_PPP6R3.pdf</t>
  </si>
  <si>
    <t>Melting_Curves/meltCurve_H7BXI1_ESYT2.pdf</t>
  </si>
  <si>
    <t>Melting_Curves/meltCurve_H7BXI5_ERGIC3.pdf</t>
  </si>
  <si>
    <t>Melting_Curves/meltCurve_H7BXP5_TPRN.pdf</t>
  </si>
  <si>
    <t>Melting_Curves/meltCurve_H7BXW7_MPC1.pdf</t>
  </si>
  <si>
    <t>Melting_Curves/meltCurve_H7BY58_PCMT1.pdf</t>
  </si>
  <si>
    <t>Melting_Curves/meltCurve_H7BY82_COL5A1.pdf</t>
  </si>
  <si>
    <t>Melting_Curves/meltCurve_H7BY84_GTF3C5.pdf</t>
  </si>
  <si>
    <t>Melting_Curves/meltCurve_H7BYE5_WRB.pdf</t>
  </si>
  <si>
    <t>Melting_Curves/meltCurve_H7BYP4_SP140L.pdf</t>
  </si>
  <si>
    <t>Melting_Curves/meltCurve_H7BYV1_IFITM2.pdf</t>
  </si>
  <si>
    <t>Melting_Curves/meltCurve_H7BZ94_P4HB.pdf</t>
  </si>
  <si>
    <t>Melting_Curves/meltCurve_H7BZJ3_PDIA3.pdf</t>
  </si>
  <si>
    <t>Melting_Curves/meltCurve_H7BZQ3_OTUD5.pdf</t>
  </si>
  <si>
    <t>Melting_Curves/meltCurve_H7BZT4_.pdf</t>
  </si>
  <si>
    <t>Melting_Curves/meltCurve_H7C0G7_NHEJ1.pdf</t>
  </si>
  <si>
    <t>Melting_Curves/meltCurve_H7C0Z5_IL10RB.pdf</t>
  </si>
  <si>
    <t>Melting_Curves/meltCurve_H7C107_IQSEC1.pdf</t>
  </si>
  <si>
    <t>Melting_Curves/meltCurve_H7C128_BRD8.pdf</t>
  </si>
  <si>
    <t>Melting_Curves/meltCurve_H7C137_RANBP1.pdf</t>
  </si>
  <si>
    <t>Melting_Curves/meltCurve_H7C173_MZT2B.pdf</t>
  </si>
  <si>
    <t>Melting_Curves/meltCurve_H7C1E4_AP1S1.pdf</t>
  </si>
  <si>
    <t>Melting_Curves/meltCurve_H7C1G1_TMEM87B.pdf</t>
  </si>
  <si>
    <t>Melting_Curves/meltCurve_H7C1Q1_.pdf</t>
  </si>
  <si>
    <t>Melting_Curves/meltCurve_H7C1U3_CC2D1B.pdf</t>
  </si>
  <si>
    <t>Melting_Curves/meltCurve_H7C1U8_APOO.pdf</t>
  </si>
  <si>
    <t>Melting_Curves/meltCurve_H7C224_IRAK1.pdf</t>
  </si>
  <si>
    <t>Melting_Curves/meltCurve_H7C347_PPM1N.pdf</t>
  </si>
  <si>
    <t>Melting_Curves/meltCurve_H7C3D8_CMC1.pdf</t>
  </si>
  <si>
    <t>Melting_Curves/meltCurve_H7C3K0_ELN.pdf</t>
  </si>
  <si>
    <t>Melting_Curves/meltCurve_H7C3T2_ATG2A.pdf</t>
  </si>
  <si>
    <t>Melting_Curves/meltCurve_H7C3Z2_FLVCR1.pdf</t>
  </si>
  <si>
    <t>Melting_Curves/meltCurve_H7C417_.pdf</t>
  </si>
  <si>
    <t>Melting_Curves/meltCurve_H7C4B9_MDFIC.pdf</t>
  </si>
  <si>
    <t>Melting_Curves/meltCurve_H7C4T5_MBNL1.pdf</t>
  </si>
  <si>
    <t>Melting_Curves/meltCurve_H7C585_FXN.pdf</t>
  </si>
  <si>
    <t>Melting_Curves/meltCurve_H7C5E4_XRN1.pdf</t>
  </si>
  <si>
    <t>Melting_Curves/meltCurve_H7C5G1_IAH1.pdf</t>
  </si>
  <si>
    <t>Melting_Curves/meltCurve_H7C5H4_GPM6B.pdf</t>
  </si>
  <si>
    <t>Melting_Curves/meltCurve_H9KV44_EFR3A.pdf</t>
  </si>
  <si>
    <t>Melting_Curves/meltCurve_H9KV50_SEPN1.pdf</t>
  </si>
  <si>
    <t>Melting_Curves/meltCurve_H9KV65_SGIP1.pdf</t>
  </si>
  <si>
    <t>Melting_Curves/meltCurve_H9KVB8_MICU1.pdf</t>
  </si>
  <si>
    <t>Melting_Curves/meltCurve_H9KVD4_MECOM.pdf</t>
  </si>
  <si>
    <t>Melting_Curves/meltCurve_I3L097_.pdf</t>
  </si>
  <si>
    <t>Melting_Curves/meltCurve_I3L0A4_WASH6P.pdf</t>
  </si>
  <si>
    <t>Melting_Curves/meltCurve_I3L0K1_GOSR2.pdf</t>
  </si>
  <si>
    <t>Melting_Curves/meltCurve_I3L0K7_TRAP1.pdf</t>
  </si>
  <si>
    <t>Melting_Curves/meltCurve_I3L0L6_RNF167.pdf</t>
  </si>
  <si>
    <t>Melting_Curves/meltCurve_I3L0N3_NSF.pdf</t>
  </si>
  <si>
    <t>Melting_Curves/meltCurve_I3L172_FAM195A.pdf</t>
  </si>
  <si>
    <t>Melting_Curves/meltCurve_I3L1D5_ALOX15B.pdf</t>
  </si>
  <si>
    <t>Melting_Curves/meltCurve_I3L1K6_MYL4.pdf</t>
  </si>
  <si>
    <t>Melting_Curves/meltCurve_I3L1P8_SLC25A11.pdf</t>
  </si>
  <si>
    <t>Melting_Curves/meltCurve_I3L1Q3_ELP5.pdf</t>
  </si>
  <si>
    <t>Melting_Curves/meltCurve_I3L2B0_CLUH.pdf</t>
  </si>
  <si>
    <t>Melting_Curves/meltCurve_I3L2N2_DVL2.pdf</t>
  </si>
  <si>
    <t>Melting_Curves/meltCurve_I3L354_RUNX2.pdf</t>
  </si>
  <si>
    <t>Melting_Curves/meltCurve_I3L367_TOM1L1.pdf</t>
  </si>
  <si>
    <t>Melting_Curves/meltCurve_I3L397_EIF5A.pdf</t>
  </si>
  <si>
    <t>Melting_Curves/meltCurve_I3L448_ATPAF1.pdf</t>
  </si>
  <si>
    <t>Melting_Curves/meltCurve_I3L4Q0_FAM195B.pdf</t>
  </si>
  <si>
    <t>Melting_Curves/meltCurve_I3L4V0_LSMD1.pdf</t>
  </si>
  <si>
    <t>Melting_Curves/meltCurve_I3L4X3_NFKBIB.pdf</t>
  </si>
  <si>
    <t>Melting_Curves/meltCurve_I3NI03_P4HB.pdf</t>
  </si>
  <si>
    <t>Melting_Curves/meltCurve_I3NI23_TMEM159.pdf</t>
  </si>
  <si>
    <t>Melting_Curves/meltCurve_I3NI25_FOPNL.pdf</t>
  </si>
  <si>
    <t>Melting_Curves/meltCurve_I6L894_ANK2.pdf</t>
  </si>
  <si>
    <t>Melting_Curves/meltCurve_I6L8B7_FABP5.pdf</t>
  </si>
  <si>
    <t>Melting_Curves/meltCurve_J3KMW8_CACTIN.pdf</t>
  </si>
  <si>
    <t>Melting_Curves/meltCurve_J3KMY5_NPC2.pdf</t>
  </si>
  <si>
    <t>Melting_Curves/meltCurve_J3KMZ9_LDLR.pdf</t>
  </si>
  <si>
    <t>Melting_Curves/meltCurve_J3KN10_PI4KA.pdf</t>
  </si>
  <si>
    <t>Melting_Curves/meltCurve_J3KN16_KIAA0368.pdf</t>
  </si>
  <si>
    <t>Melting_Curves/meltCurve_J3KN29_PSMD9.pdf</t>
  </si>
  <si>
    <t>Melting_Curves/meltCurve_J3KN36_NOMO3.pdf</t>
  </si>
  <si>
    <t>Melting_Curves/meltCurve_J3KN56_CHFR.pdf</t>
  </si>
  <si>
    <t>Melting_Curves/meltCurve_J3KN59_BNIP2.pdf</t>
  </si>
  <si>
    <t>Melting_Curves/meltCurve_J3KN69_NCEH1.pdf</t>
  </si>
  <si>
    <t>Melting_Curves/meltCurve_J3KN75_TBC1D8B.pdf</t>
  </si>
  <si>
    <t>Melting_Curves/meltCurve_J3KND3_MYL6.pdf</t>
  </si>
  <si>
    <t>Melting_Curves/meltCurve_J3KNF4_CCS.pdf</t>
  </si>
  <si>
    <t>Melting_Curves/meltCurve_J3KNF5_CEP290.pdf</t>
  </si>
  <si>
    <t>Melting_Curves/meltCurve_J3KNF6_RGMB.pdf</t>
  </si>
  <si>
    <t>Melting_Curves/meltCurve_J3KNF8_CYB5B.pdf</t>
  </si>
  <si>
    <t>Melting_Curves/meltCurve_J3KNI1_COG4.pdf</t>
  </si>
  <si>
    <t>Melting_Curves/meltCurve_J3KNL3_CHID1.pdf</t>
  </si>
  <si>
    <t>Melting_Curves/meltCurve_J3KNL6_SEC16A.pdf</t>
  </si>
  <si>
    <t>Melting_Curves/meltCurve_J3KNL7_FAM63B.pdf</t>
  </si>
  <si>
    <t>Melting_Curves/meltCurve_J3KNM9_FBXL7.pdf</t>
  </si>
  <si>
    <t>Melting_Curves/meltCurve_J3KNN7_BRAP.pdf</t>
  </si>
  <si>
    <t>Melting_Curves/meltCurve_J3KNQ4_PARVA.pdf</t>
  </si>
  <si>
    <t>Melting_Curves/meltCurve_J3KNT4_FGFR1.pdf</t>
  </si>
  <si>
    <t>Melting_Curves/meltCurve_J3KNW4_FHL2.pdf</t>
  </si>
  <si>
    <t>Melting_Curves/meltCurve_J3KNX9_MYO18A.pdf</t>
  </si>
  <si>
    <t>Melting_Curves/meltCurve_J3KP15_SRSF2.pdf</t>
  </si>
  <si>
    <t>Melting_Curves/meltCurve_J3KP19_SIPA1L1.pdf</t>
  </si>
  <si>
    <t>Melting_Curves/meltCurve_J3KP22_PTPRA.pdf</t>
  </si>
  <si>
    <t>Melting_Curves/meltCurve_J3KP26_ANKRD46.pdf</t>
  </si>
  <si>
    <t>Melting_Curves/meltCurve_J3KP29_NUP98.pdf</t>
  </si>
  <si>
    <t>Melting_Curves/meltCurve_J3KP75_PHACTR2.pdf</t>
  </si>
  <si>
    <t>Melting_Curves/meltCurve_J3KPA2_TM2D1.pdf</t>
  </si>
  <si>
    <t>Melting_Curves/meltCurve_J3KPC8_SIK3.pdf</t>
  </si>
  <si>
    <t>Melting_Curves/meltCurve_J3KPF9_KIF3A.pdf</t>
  </si>
  <si>
    <t>Melting_Curves/meltCurve_J3KPG9_CSAD.pdf</t>
  </si>
  <si>
    <t>Melting_Curves/meltCurve_J3KPJ3_CAMKK1.pdf</t>
  </si>
  <si>
    <t>Melting_Curves/meltCurve_J3KPK1_SYNJ1.pdf</t>
  </si>
  <si>
    <t>Melting_Curves/meltCurve_J3KPP4_LUC7L3.pdf</t>
  </si>
  <si>
    <t>Melting_Curves/meltCurve_J3KPT4_TRABD.pdf</t>
  </si>
  <si>
    <t>Melting_Curves/meltCurve_J3KPV7_MPST.pdf</t>
  </si>
  <si>
    <t>Melting_Curves/meltCurve_J3KPW7_HDAC2.pdf</t>
  </si>
  <si>
    <t>Melting_Curves/meltCurve_J3KPX7_PHB2.pdf</t>
  </si>
  <si>
    <t>Melting_Curves/meltCurve_J3KPX8_MAP1A.pdf</t>
  </si>
  <si>
    <t>Melting_Curves/meltCurve_J3KPY9_ANTXR2.pdf</t>
  </si>
  <si>
    <t>Melting_Curves/meltCurve_J3KQ06_TMEM45A.pdf</t>
  </si>
  <si>
    <t>Melting_Curves/meltCurve_J3KQ32_OLA1.pdf</t>
  </si>
  <si>
    <t>Melting_Curves/meltCurve_J3KQ48_PTRH2.pdf</t>
  </si>
  <si>
    <t>Melting_Curves/meltCurve_J3KQ88_C6orf203.pdf</t>
  </si>
  <si>
    <t>Melting_Curves/meltCurve_J3KQ98_PPP1R37.pdf</t>
  </si>
  <si>
    <t>Melting_Curves/meltCurve_J3KQB0_THUMPD1.pdf</t>
  </si>
  <si>
    <t>Melting_Curves/meltCurve_J3KQC3_SHANK2.pdf</t>
  </si>
  <si>
    <t>Melting_Curves/meltCurve_J3KQD0_FAM213B.pdf</t>
  </si>
  <si>
    <t>Melting_Curves/meltCurve_J3KQE5_RAN.pdf</t>
  </si>
  <si>
    <t>Melting_Curves/meltCurve_J3KQG4_GBA.pdf</t>
  </si>
  <si>
    <t>Melting_Curves/meltCurve_J3KQJ1_SUMF2.pdf</t>
  </si>
  <si>
    <t>Melting_Curves/meltCurve_J3KQL8_APOL2.pdf</t>
  </si>
  <si>
    <t>Melting_Curves/meltCurve_J3KQR7_CEP170B.pdf</t>
  </si>
  <si>
    <t>Melting_Curves/meltCurve_J3KQS6_BABAM1.pdf</t>
  </si>
  <si>
    <t>Melting_Curves/meltCurve_J3KQV0_CDKN1A.pdf</t>
  </si>
  <si>
    <t>Melting_Curves/meltCurve_J3KR35_CCDC12.pdf</t>
  </si>
  <si>
    <t>Melting_Curves/meltCurve_J3KR58_SEPHS2.pdf</t>
  </si>
  <si>
    <t>Melting_Curves/meltCurve_J3KR88_CORIN.pdf</t>
  </si>
  <si>
    <t>Melting_Curves/meltCurve_J3KR97_TBCD.pdf</t>
  </si>
  <si>
    <t>Melting_Curves/meltCurve_J3KRP6_SS18.pdf</t>
  </si>
  <si>
    <t>Melting_Curves/meltCurve_J3KS05_CBX1.pdf</t>
  </si>
  <si>
    <t>Melting_Curves/meltCurve_J3KSL8_TRAPPC8.pdf</t>
  </si>
  <si>
    <t>Melting_Curves/meltCurve_J3KSS7_GGA3.pdf</t>
  </si>
  <si>
    <t>Melting_Curves/meltCurve_J3KT10_NUP85.pdf</t>
  </si>
  <si>
    <t>Melting_Curves/meltCurve_J3KTA4_DDX5.pdf</t>
  </si>
  <si>
    <t>Melting_Curves/meltCurve_J3KTL2_SRSF1.pdf</t>
  </si>
  <si>
    <t>Melting_Curves/meltCurve_J3QK89_CHERP.pdf</t>
  </si>
  <si>
    <t>Melting_Curves/meltCurve_J3QKR3_PSMB3.pdf</t>
  </si>
  <si>
    <t>Melting_Curves/meltCurve_J3QKS7_SMARCE1.pdf</t>
  </si>
  <si>
    <t>Melting_Curves/meltCurve_J3QL56_SCO1.pdf</t>
  </si>
  <si>
    <t>Melting_Curves/meltCurve_J3QL71_SCRN2.pdf</t>
  </si>
  <si>
    <t>Melting_Curves/meltCurve_J3QLE5_SNRPN.pdf</t>
  </si>
  <si>
    <t>Melting_Curves/meltCurve_J3QLU9_ERBB2.pdf</t>
  </si>
  <si>
    <t>Melting_Curves/meltCurve_J3QQJ0_SAP30BP.pdf</t>
  </si>
  <si>
    <t>Melting_Curves/meltCurve_J3QQN7_GDPD1.pdf</t>
  </si>
  <si>
    <t>Melting_Curves/meltCurve_J3QQT2_RPL17.pdf</t>
  </si>
  <si>
    <t>Melting_Curves/meltCurve_J3QR07_YTHDC1.pdf</t>
  </si>
  <si>
    <t>Melting_Curves/meltCurve_J3QR29_CDK11B.pdf</t>
  </si>
  <si>
    <t>Melting_Curves/meltCurve_J3QR64_EIF4A1.pdf</t>
  </si>
  <si>
    <t>Melting_Curves/meltCurve_J3QRC3_NAT9.pdf</t>
  </si>
  <si>
    <t>Melting_Curves/meltCurve_J3QRD1_ALDH3A2.pdf</t>
  </si>
  <si>
    <t>Melting_Curves/meltCurve_J3QRL9_DSC3.pdf</t>
  </si>
  <si>
    <t>Melting_Curves/meltCurve_J3QRS3_MYL12A.pdf</t>
  </si>
  <si>
    <t>Melting_Curves/meltCurve_J3QRS9_ZNF207.pdf</t>
  </si>
  <si>
    <t>Melting_Curves/meltCurve_J3QRU1_YES1.pdf</t>
  </si>
  <si>
    <t>Melting_Curves/meltCurve_J3QRU4_VAMP2.pdf</t>
  </si>
  <si>
    <t>Melting_Curves/meltCurve_J3QRX6_COPRS.pdf</t>
  </si>
  <si>
    <t>Melting_Curves/meltCurve_J3QS47_CYB561.pdf</t>
  </si>
  <si>
    <t>Melting_Curves/meltCurve_J3QS68_RNF135.pdf</t>
  </si>
  <si>
    <t>Melting_Curves/meltCurve_J3QS74_SKA2.pdf</t>
  </si>
  <si>
    <t>Melting_Curves/meltCurve_J3QSW1_SAMD4A.pdf</t>
  </si>
  <si>
    <t>Melting_Curves/meltCurve_J3QSY4_NHP2.pdf</t>
  </si>
  <si>
    <t>Melting_Curves/meltCurve_J3QT34_MAST4.pdf</t>
  </si>
  <si>
    <t>Melting_Curves/meltCurve_J3QTA2_BAG1.pdf</t>
  </si>
  <si>
    <t>Melting_Curves/meltCurve_J3QTA6_CHCHD6.pdf</t>
  </si>
  <si>
    <t>Melting_Curves/meltCurve_J9JID7_LMNB2.pdf</t>
  </si>
  <si>
    <t>Melting_Curves/meltCurve_J9JIE6_TMCO1.pdf</t>
  </si>
  <si>
    <t>Melting_Curves/meltCurve_J9JIE9_HYI.pdf</t>
  </si>
  <si>
    <t>Melting_Curves/meltCurve_J9JIG6_ARSG.pdf</t>
  </si>
  <si>
    <t>Melting_Curves/meltCurve_K4DI92_RWDD4.pdf</t>
  </si>
  <si>
    <t>Melting_Curves/meltCurve_K4DI93_CUL4B.pdf</t>
  </si>
  <si>
    <t>Melting_Curves/meltCurve_K7EID0_MLX.pdf</t>
  </si>
  <si>
    <t>Melting_Curves/meltCurve_K7EIE9_PTPN2.pdf</t>
  </si>
  <si>
    <t>Melting_Curves/meltCurve_K7EIG1_CLUH.pdf</t>
  </si>
  <si>
    <t>Melting_Curves/meltCurve_K7EIP7_YIPF2.pdf</t>
  </si>
  <si>
    <t>Melting_Curves/meltCurve_K7EIU8_SMAD4.pdf</t>
  </si>
  <si>
    <t>Melting_Curves/meltCurve_K7EJ78_RPS15.pdf</t>
  </si>
  <si>
    <t>Melting_Curves/meltCurve_K7EJH0_SPC24.pdf</t>
  </si>
  <si>
    <t>Melting_Curves/meltCurve_K7EJL1_AP1M1.pdf</t>
  </si>
  <si>
    <t>Melting_Curves/meltCurve_K7EK00_FAM210A.pdf</t>
  </si>
  <si>
    <t>Melting_Curves/meltCurve_K7EK07_H3F3B.pdf</t>
  </si>
  <si>
    <t>Melting_Curves/meltCurve_K7EK35_STAT5A.pdf</t>
  </si>
  <si>
    <t>Melting_Curves/meltCurve_K7EKE6_LONP1.pdf</t>
  </si>
  <si>
    <t>Melting_Curves/meltCurve_K7EKI8_PPL.pdf</t>
  </si>
  <si>
    <t>Melting_Curves/meltCurve_K7EKP8_ACOT7.pdf</t>
  </si>
  <si>
    <t>Melting_Curves/meltCurve_K7EKW3_TMUB2.pdf</t>
  </si>
  <si>
    <t>Melting_Curves/meltCurve_K7EL21_CAPS.pdf</t>
  </si>
  <si>
    <t>Melting_Curves/meltCurve_K7EL68_CDC37.pdf</t>
  </si>
  <si>
    <t>Melting_Curves/meltCurve_K7ELL7_PRKCSH.pdf</t>
  </si>
  <si>
    <t>Melting_Curves/meltCurve_K7ELY2_STX10.pdf</t>
  </si>
  <si>
    <t>Melting_Curves/meltCurve_K7EM02_KATNAL2.pdf</t>
  </si>
  <si>
    <t>Melting_Curves/meltCurve_K7EM09_TMEM205.pdf</t>
  </si>
  <si>
    <t>Melting_Curves/meltCurve_K7EM38_ACTG1.pdf</t>
  </si>
  <si>
    <t>Melting_Curves/meltCurve_K7EM88_UBALD1.pdf</t>
  </si>
  <si>
    <t>Melting_Curves/meltCurve_K7EMM8_GLYR1.pdf</t>
  </si>
  <si>
    <t>Melting_Curves/meltCurve_K7EN05_ELOF1.pdf</t>
  </si>
  <si>
    <t>Melting_Curves/meltCurve_K7EN08_NFIX.pdf</t>
  </si>
  <si>
    <t>Melting_Curves/meltCurve_K7ENL9_C18orf8.pdf</t>
  </si>
  <si>
    <t>Melting_Curves/meltCurve_K7ENR1_ELK1.pdf</t>
  </si>
  <si>
    <t>Melting_Curves/meltCurve_K7ENR6_PSMG2.pdf</t>
  </si>
  <si>
    <t>Melting_Curves/meltCurve_K7EP32_UBXN6.pdf</t>
  </si>
  <si>
    <t>Melting_Curves/meltCurve_K7EPJ5_MGRN1.pdf</t>
  </si>
  <si>
    <t>Melting_Curves/meltCurve_K7EQG1_QPCTL.pdf</t>
  </si>
  <si>
    <t>Melting_Curves/meltCurve_K7EQG4_FXYD1.pdf</t>
  </si>
  <si>
    <t>Melting_Curves/meltCurve_K7EQW8_TPM4.pdf</t>
  </si>
  <si>
    <t>Melting_Curves/meltCurve_K7ER00_FARSA.pdf</t>
  </si>
  <si>
    <t>Melting_Curves/meltCurve_K7ER08_RBM42.pdf</t>
  </si>
  <si>
    <t>Melting_Curves/meltCurve_K7ERF1_EIF3K.pdf</t>
  </si>
  <si>
    <t>Melting_Curves/meltCurve_K7ES02_BLMH.pdf</t>
  </si>
  <si>
    <t>Melting_Curves/meltCurve_K7ES54_FSTL3.pdf</t>
  </si>
  <si>
    <t>Melting_Curves/meltCurve_K7ESE6_G6PC3.pdf</t>
  </si>
  <si>
    <t>Melting_Curves/meltCurve_K7ESM5_TUBB6.pdf</t>
  </si>
  <si>
    <t>Melting_Curves/meltCurve_K7ESP4_DCAKD.pdf</t>
  </si>
  <si>
    <t>Melting_Curves/meltCurve_M0QWZ7_SARS2.pdf</t>
  </si>
  <si>
    <t>Melting_Curves/meltCurve_M0QX35_PAF1.pdf</t>
  </si>
  <si>
    <t>Melting_Curves/meltCurve_M0QXC8_IRF3.pdf</t>
  </si>
  <si>
    <t>Melting_Curves/meltCurve_M0QXX4_KPTN.pdf</t>
  </si>
  <si>
    <t>Melting_Curves/meltCurve_M0QXZ5_ZNF428.pdf</t>
  </si>
  <si>
    <t>Melting_Curves/meltCurve_M0QY17_BABAM1.pdf</t>
  </si>
  <si>
    <t>Melting_Curves/meltCurve_M0QY77_KXD1.pdf</t>
  </si>
  <si>
    <t>Melting_Curves/meltCurve_M0QY97_ZC3H4.pdf</t>
  </si>
  <si>
    <t>Melting_Curves/meltCurve_M0QYM7_TUBB4A.pdf</t>
  </si>
  <si>
    <t>Melting_Curves/meltCurve_M0QYS1_RPL13A.pdf</t>
  </si>
  <si>
    <t>Melting_Curves/meltCurve_M0QZ22_SAMD4B.pdf</t>
  </si>
  <si>
    <t>Melting_Curves/meltCurve_M0QZL8_JOSD2.pdf</t>
  </si>
  <si>
    <t>Melting_Curves/meltCurve_M0R042_TUBB4A.pdf</t>
  </si>
  <si>
    <t>Melting_Curves/meltCurve_M0R0F0_RPS5.pdf</t>
  </si>
  <si>
    <t>Melting_Curves/meltCurve_M0R0N4_AP2S1.pdf</t>
  </si>
  <si>
    <t>Melting_Curves/meltCurve_M0R150_.pdf</t>
  </si>
  <si>
    <t>Melting_Curves/meltCurve_M0R154_ESM1.pdf</t>
  </si>
  <si>
    <t>Melting_Curves/meltCurve_M0R2A0_EMC10.pdf</t>
  </si>
  <si>
    <t>Melting_Curves/meltCurve_M0R2V8_AKT1S1.pdf</t>
  </si>
  <si>
    <t>Melting_Curves/meltCurve_M0R300_MYO9B.pdf</t>
  </si>
  <si>
    <t>Melting_Curves/meltCurve_M0R333_DMPK.pdf</t>
  </si>
  <si>
    <t>Melting_Curves/meltCurve_M0R366_FSD1.pdf</t>
  </si>
  <si>
    <t>Melting_Curves/meltCurve_M0R3D4_RABAC1.pdf</t>
  </si>
  <si>
    <t>Melting_Curves/meltCurve_O00116_AGPS.pdf</t>
  </si>
  <si>
    <t>Melting_Curves/meltCurve_O00124_3_UBXN8.pdf</t>
  </si>
  <si>
    <t>Melting_Curves/meltCurve_O00139_2_KIF2A.pdf</t>
  </si>
  <si>
    <t>Melting_Curves/meltCurve_O00148_DDX39A.pdf</t>
  </si>
  <si>
    <t>Melting_Curves/meltCurve_O00151_PDLIM1.pdf</t>
  </si>
  <si>
    <t>Melting_Curves/meltCurve_O00154_4_ACOT7.pdf</t>
  </si>
  <si>
    <t>Melting_Curves/meltCurve_O00161_SNAP23.pdf</t>
  </si>
  <si>
    <t>Melting_Curves/meltCurve_O00170_AIP.pdf</t>
  </si>
  <si>
    <t>Melting_Curves/meltCurve_O00178_GTPBP1.pdf</t>
  </si>
  <si>
    <t>Melting_Curves/meltCurve_O00186_STXBP3.pdf</t>
  </si>
  <si>
    <t>Melting_Curves/meltCurve_O00203_AP3B1.pdf</t>
  </si>
  <si>
    <t>Melting_Curves/meltCurve_O00213_2_APBB1.pdf</t>
  </si>
  <si>
    <t>Melting_Curves/meltCurve_O00220_TNFRSF10A.pdf</t>
  </si>
  <si>
    <t>Melting_Curves/meltCurve_O00221_NFKBIE.pdf</t>
  </si>
  <si>
    <t>Melting_Curves/meltCurve_O00231_PSMD11.pdf</t>
  </si>
  <si>
    <t>Melting_Curves/meltCurve_O00232_PSMD12.pdf</t>
  </si>
  <si>
    <t>Melting_Curves/meltCurve_O00244_ATOX1.pdf</t>
  </si>
  <si>
    <t>Melting_Curves/meltCurve_O00264_PGRMC1.pdf</t>
  </si>
  <si>
    <t>Melting_Curves/meltCurve_O00267_2_SUPT5H.pdf</t>
  </si>
  <si>
    <t>Melting_Curves/meltCurve_O00273_DFFA.pdf</t>
  </si>
  <si>
    <t>Melting_Curves/meltCurve_O00273_2_DFFA.pdf</t>
  </si>
  <si>
    <t>Melting_Curves/meltCurve_O00291_HIP1.pdf</t>
  </si>
  <si>
    <t>Melting_Curves/meltCurve_O00299_CLIC1.pdf</t>
  </si>
  <si>
    <t>Melting_Curves/meltCurve_O00300_TNFRSF11B.pdf</t>
  </si>
  <si>
    <t>Melting_Curves/meltCurve_O00308_2_WWP2.pdf</t>
  </si>
  <si>
    <t>Melting_Curves/meltCurve_O00330_PDHX.pdf</t>
  </si>
  <si>
    <t>Melting_Curves/meltCurve_O00391_QSOX1.pdf</t>
  </si>
  <si>
    <t>Melting_Curves/meltCurve_O00399_DCTN6.pdf</t>
  </si>
  <si>
    <t>Melting_Curves/meltCurve_O00400_SLC33A1.pdf</t>
  </si>
  <si>
    <t>Melting_Curves/meltCurve_O00401_WASL.pdf</t>
  </si>
  <si>
    <t>Melting_Curves/meltCurve_O00410_IPO5.pdf</t>
  </si>
  <si>
    <t>Melting_Curves/meltCurve_O00418_EEF2K.pdf</t>
  </si>
  <si>
    <t>Melting_Curves/meltCurve_O00422_SAP18.pdf</t>
  </si>
  <si>
    <t>Melting_Curves/meltCurve_O00425_IGF2BP3.pdf</t>
  </si>
  <si>
    <t>Melting_Curves/meltCurve_O00429_DNM1L.pdf</t>
  </si>
  <si>
    <t>Melting_Curves/meltCurve_O00429_4_DNM1L.pdf</t>
  </si>
  <si>
    <t>Melting_Curves/meltCurve_O00442_RTCA.pdf</t>
  </si>
  <si>
    <t>Melting_Curves/meltCurve_O00459_PIK3R2.pdf</t>
  </si>
  <si>
    <t>Melting_Curves/meltCurve_O00461_GOLIM4.pdf</t>
  </si>
  <si>
    <t>Melting_Curves/meltCurve_O00462_MANBA.pdf</t>
  </si>
  <si>
    <t>Melting_Curves/meltCurve_O00469_2_PLOD2.pdf</t>
  </si>
  <si>
    <t>Melting_Curves/meltCurve_O00471_EXOC5.pdf</t>
  </si>
  <si>
    <t>Melting_Curves/meltCurve_O00479_HMGN4.pdf</t>
  </si>
  <si>
    <t>Melting_Curves/meltCurve_O00483_NDUFA4.pdf</t>
  </si>
  <si>
    <t>Melting_Curves/meltCurve_O00487_PSMD14.pdf</t>
  </si>
  <si>
    <t>Melting_Curves/meltCurve_O00488_ZNF593.pdf</t>
  </si>
  <si>
    <t>Melting_Curves/meltCurve_O00499_6_BIN1.pdf</t>
  </si>
  <si>
    <t>Melting_Curves/meltCurve_O00505_KPNA3.pdf</t>
  </si>
  <si>
    <t>Melting_Curves/meltCurve_O00506_STK25.pdf</t>
  </si>
  <si>
    <t>Melting_Curves/meltCurve_O00534_VWA5A.pdf</t>
  </si>
  <si>
    <t>Melting_Curves/meltCurve_O00560_SDCBP.pdf</t>
  </si>
  <si>
    <t>Melting_Curves/meltCurve_O00571_DDX3X.pdf</t>
  </si>
  <si>
    <t>Melting_Curves/meltCurve_O00622_CYR61.pdf</t>
  </si>
  <si>
    <t>Melting_Curves/meltCurve_O00625_PIR.pdf</t>
  </si>
  <si>
    <t>Melting_Curves/meltCurve_O00629_KPNA4.pdf</t>
  </si>
  <si>
    <t>Melting_Curves/meltCurve_O00635_TRIM38.pdf</t>
  </si>
  <si>
    <t>Melting_Curves/meltCurve_O00743_PPP6C.pdf</t>
  </si>
  <si>
    <t>Melting_Curves/meltCurve_O00748_CES2.pdf</t>
  </si>
  <si>
    <t>Melting_Curves/meltCurve_O00754_2_MAN2B1.pdf</t>
  </si>
  <si>
    <t>Melting_Curves/meltCurve_O00764_PDXK.pdf</t>
  </si>
  <si>
    <t>Melting_Curves/meltCurve_O14495_PPAP2B.pdf</t>
  </si>
  <si>
    <t>Melting_Curves/meltCurve_O14497_ARID1A.pdf</t>
  </si>
  <si>
    <t>Melting_Curves/meltCurve_O14498_ISLR.pdf</t>
  </si>
  <si>
    <t>Melting_Curves/meltCurve_O14519_2_CDK2AP1.pdf</t>
  </si>
  <si>
    <t>Melting_Curves/meltCurve_O14523_C2CD2L.pdf</t>
  </si>
  <si>
    <t>Melting_Curves/meltCurve_O14524_2_TMEM194A.pdf</t>
  </si>
  <si>
    <t>Melting_Curves/meltCurve_O14545_TRAFD1.pdf</t>
  </si>
  <si>
    <t>Melting_Curves/meltCurve_O14548_COX7A2L.pdf</t>
  </si>
  <si>
    <t>Melting_Curves/meltCurve_O14558_HSPB6.pdf</t>
  </si>
  <si>
    <t>Melting_Curves/meltCurve_O14561_NDUFAB1.pdf</t>
  </si>
  <si>
    <t>Melting_Curves/meltCurve_O14569_CYB561D2.pdf</t>
  </si>
  <si>
    <t>Melting_Curves/meltCurve_O14579_COPE.pdf</t>
  </si>
  <si>
    <t>Melting_Curves/meltCurve_O14613_CDC42EP2.pdf</t>
  </si>
  <si>
    <t>Melting_Curves/meltCurve_O14617_4_AP3D1.pdf</t>
  </si>
  <si>
    <t>Melting_Curves/meltCurve_O14640_2_DVL1.pdf</t>
  </si>
  <si>
    <t>Melting_Curves/meltCurve_O14656_TOR1A.pdf</t>
  </si>
  <si>
    <t>Melting_Curves/meltCurve_O14657_TOR1B.pdf</t>
  </si>
  <si>
    <t>Melting_Curves/meltCurve_O14662_2_STX16.pdf</t>
  </si>
  <si>
    <t>Melting_Curves/meltCurve_O14672_ADAM10.pdf</t>
  </si>
  <si>
    <t>Melting_Curves/meltCurve_O14732_2_IMPA2.pdf</t>
  </si>
  <si>
    <t>Melting_Curves/meltCurve_O14734_ACOT8.pdf</t>
  </si>
  <si>
    <t>Melting_Curves/meltCurve_O14737_PDCD5.pdf</t>
  </si>
  <si>
    <t>Melting_Curves/meltCurve_O14744_PRMT5.pdf</t>
  </si>
  <si>
    <t>Melting_Curves/meltCurve_O14745_SLC9A3R1.pdf</t>
  </si>
  <si>
    <t>Melting_Curves/meltCurve_O14763_2_TNFRSF10B.pdf</t>
  </si>
  <si>
    <t>Melting_Curves/meltCurve_O14772_FPGT.pdf</t>
  </si>
  <si>
    <t>Melting_Curves/meltCurve_O14773_TPP1.pdf</t>
  </si>
  <si>
    <t>Melting_Curves/meltCurve_O14776_2_TCERG1.pdf</t>
  </si>
  <si>
    <t>Melting_Curves/meltCurve_O14787_2_TNPO2.pdf</t>
  </si>
  <si>
    <t>Melting_Curves/meltCurve_O14807_MRAS.pdf</t>
  </si>
  <si>
    <t>Melting_Curves/meltCurve_O14818_PSMA7.pdf</t>
  </si>
  <si>
    <t>Melting_Curves/meltCurve_O14828_SCAMP3.pdf</t>
  </si>
  <si>
    <t>Melting_Curves/meltCurve_O14841_OPLAH.pdf</t>
  </si>
  <si>
    <t>Melting_Curves/meltCurve_O14867_BACH1.pdf</t>
  </si>
  <si>
    <t>Melting_Curves/meltCurve_O14879_IFIT3.pdf</t>
  </si>
  <si>
    <t>Melting_Curves/meltCurve_O14907_TAX1BP3.pdf</t>
  </si>
  <si>
    <t>Melting_Curves/meltCurve_O14908_GIPC1.pdf</t>
  </si>
  <si>
    <t>Melting_Curves/meltCurve_O14910_LIN7A.pdf</t>
  </si>
  <si>
    <t>Melting_Curves/meltCurve_O14920_IKBKB.pdf</t>
  </si>
  <si>
    <t>Melting_Curves/meltCurve_O14925_TIMM23.pdf</t>
  </si>
  <si>
    <t>Melting_Curves/meltCurve_O14929_HAT1.pdf</t>
  </si>
  <si>
    <t>Melting_Curves/meltCurve_O14933_UBE2L6.pdf</t>
  </si>
  <si>
    <t>Melting_Curves/meltCurve_O14936_3_CASK.pdf</t>
  </si>
  <si>
    <t>Melting_Curves/meltCurve_O14949_UQCRQ.pdf</t>
  </si>
  <si>
    <t>Melting_Curves/meltCurve_O14964_HGS.pdf</t>
  </si>
  <si>
    <t>Melting_Curves/meltCurve_O14966_RAB7L1.pdf</t>
  </si>
  <si>
    <t>Melting_Curves/meltCurve_O14967_CLGN.pdf</t>
  </si>
  <si>
    <t>Melting_Curves/meltCurve_O14974_PPP1R12A.pdf</t>
  </si>
  <si>
    <t>Melting_Curves/meltCurve_O14976_GAK.pdf</t>
  </si>
  <si>
    <t>Melting_Curves/meltCurve_O14979_HNRPDL.pdf</t>
  </si>
  <si>
    <t>Melting_Curves/meltCurve_O14980_XPO1.pdf</t>
  </si>
  <si>
    <t>Melting_Curves/meltCurve_O15027_5_SEC16A.pdf</t>
  </si>
  <si>
    <t>Melting_Curves/meltCurve_O15031_PLXNB2.pdf</t>
  </si>
  <si>
    <t>Melting_Curves/meltCurve_O15040_TECPR2.pdf</t>
  </si>
  <si>
    <t>Melting_Curves/meltCurve_O15061_SYNM.pdf</t>
  </si>
  <si>
    <t>Melting_Curves/meltCurve_O15063_KIAA0355.pdf</t>
  </si>
  <si>
    <t>Melting_Curves/meltCurve_O15066_KIF3B.pdf</t>
  </si>
  <si>
    <t>Melting_Curves/meltCurve_O15067_PFAS.pdf</t>
  </si>
  <si>
    <t>Melting_Curves/meltCurve_O15069_NACAD.pdf</t>
  </si>
  <si>
    <t>Melting_Curves/meltCurve_O15085_ARHGEF11.pdf</t>
  </si>
  <si>
    <t>Melting_Curves/meltCurve_O15116_LSM1.pdf</t>
  </si>
  <si>
    <t>Melting_Curves/meltCurve_O15118_NPC1.pdf</t>
  </si>
  <si>
    <t>Melting_Curves/meltCurve_O15121_DEGS1.pdf</t>
  </si>
  <si>
    <t>Melting_Curves/meltCurve_O15126_SCAMP1.pdf</t>
  </si>
  <si>
    <t>Melting_Curves/meltCurve_O15127_SCAMP2.pdf</t>
  </si>
  <si>
    <t>Melting_Curves/meltCurve_O15143_ARPC1B.pdf</t>
  </si>
  <si>
    <t>Melting_Curves/meltCurve_O15144_ARPC2.pdf</t>
  </si>
  <si>
    <t>Melting_Curves/meltCurve_O15145_ARPC3.pdf</t>
  </si>
  <si>
    <t>Melting_Curves/meltCurve_O15155_BET1.pdf</t>
  </si>
  <si>
    <t>Melting_Curves/meltCurve_O15160_POLR1C.pdf</t>
  </si>
  <si>
    <t>Melting_Curves/meltCurve_O15173_PGRMC2.pdf</t>
  </si>
  <si>
    <t>Melting_Curves/meltCurve_O15211_RGL2.pdf</t>
  </si>
  <si>
    <t>Melting_Curves/meltCurve_O15212_PFDN6.pdf</t>
  </si>
  <si>
    <t>Melting_Curves/meltCurve_O15228_GNPAT.pdf</t>
  </si>
  <si>
    <t>Melting_Curves/meltCurve_O15234_CASC3.pdf</t>
  </si>
  <si>
    <t>Melting_Curves/meltCurve_O15240_VGF.pdf</t>
  </si>
  <si>
    <t>Melting_Curves/meltCurve_O15247_CLIC2.pdf</t>
  </si>
  <si>
    <t>Melting_Curves/meltCurve_O15254_2_ACOX3.pdf</t>
  </si>
  <si>
    <t>Melting_Curves/meltCurve_O15258_RER1.pdf</t>
  </si>
  <si>
    <t>Melting_Curves/meltCurve_O15269_SPTLC1.pdf</t>
  </si>
  <si>
    <t>Melting_Curves/meltCurve_O15270_SPTLC2.pdf</t>
  </si>
  <si>
    <t>Melting_Curves/meltCurve_O15294_3_OGT.pdf</t>
  </si>
  <si>
    <t>Melting_Curves/meltCurve_O15305_PMM2.pdf</t>
  </si>
  <si>
    <t>Melting_Curves/meltCurve_O15327_INPP4B.pdf</t>
  </si>
  <si>
    <t>Melting_Curves/meltCurve_O15344_MID1.pdf</t>
  </si>
  <si>
    <t>Melting_Curves/meltCurve_O15347_HMGB3.pdf</t>
  </si>
  <si>
    <t>Melting_Curves/meltCurve_O15355_PPM1G.pdf</t>
  </si>
  <si>
    <t>Melting_Curves/meltCurve_O15357_INPPL1.pdf</t>
  </si>
  <si>
    <t>Melting_Curves/meltCurve_O15382_BCAT2.pdf</t>
  </si>
  <si>
    <t>Melting_Curves/meltCurve_O15394_NCAM2.pdf</t>
  </si>
  <si>
    <t>Melting_Curves/meltCurve_O15397_IPO8.pdf</t>
  </si>
  <si>
    <t>Melting_Curves/meltCurve_O15400_2_STX7.pdf</t>
  </si>
  <si>
    <t>Melting_Curves/meltCurve_O15403_SLC16A6.pdf</t>
  </si>
  <si>
    <t>Melting_Curves/meltCurve_O15427_SLC16A3.pdf</t>
  </si>
  <si>
    <t>Melting_Curves/meltCurve_O15431_SLC31A1.pdf</t>
  </si>
  <si>
    <t>Melting_Curves/meltCurve_O15439_2_ABCC4.pdf</t>
  </si>
  <si>
    <t>Melting_Curves/meltCurve_O15446_CD3EAP.pdf</t>
  </si>
  <si>
    <t>Melting_Curves/meltCurve_O15460_2_P4HA2.pdf</t>
  </si>
  <si>
    <t>Melting_Curves/meltCurve_O15498_YKT6.pdf</t>
  </si>
  <si>
    <t>Melting_Curves/meltCurve_O15511_ARPC5.pdf</t>
  </si>
  <si>
    <t>Melting_Curves/meltCurve_O15514_POLR2D.pdf</t>
  </si>
  <si>
    <t>Melting_Curves/meltCurve_O15522_NKX2_8.pdf</t>
  </si>
  <si>
    <t>Melting_Curves/meltCurve_O15541_RNF113A.pdf</t>
  </si>
  <si>
    <t>Melting_Curves/meltCurve_O43143_DHX15.pdf</t>
  </si>
  <si>
    <t>Melting_Curves/meltCurve_O43148_RNMT.pdf</t>
  </si>
  <si>
    <t>Melting_Curves/meltCurve_O43150_ASAP2.pdf</t>
  </si>
  <si>
    <t>Melting_Curves/meltCurve_O43155_FLRT2.pdf</t>
  </si>
  <si>
    <t>Melting_Curves/meltCurve_O43157_2_PLXNB1.pdf</t>
  </si>
  <si>
    <t>Melting_Curves/meltCurve_O43164_2_PJA2.pdf</t>
  </si>
  <si>
    <t>Melting_Curves/meltCurve_O43175_PHGDH.pdf</t>
  </si>
  <si>
    <t>Melting_Curves/meltCurve_O43181_NDUFS4.pdf</t>
  </si>
  <si>
    <t>Melting_Curves/meltCurve_O43182_4_ARHGAP6.pdf</t>
  </si>
  <si>
    <t>Melting_Curves/meltCurve_O43237_DYNC1LI2.pdf</t>
  </si>
  <si>
    <t>Melting_Curves/meltCurve_O43242_PSMD3.pdf</t>
  </si>
  <si>
    <t>Melting_Curves/meltCurve_O43252_PAPSS1.pdf</t>
  </si>
  <si>
    <t>Melting_Curves/meltCurve_O43264_ZW10.pdf</t>
  </si>
  <si>
    <t>Melting_Curves/meltCurve_O43281_EFS.pdf</t>
  </si>
  <si>
    <t>Melting_Curves/meltCurve_O43290_SART1.pdf</t>
  </si>
  <si>
    <t>Melting_Curves/meltCurve_O43293_DAPK3.pdf</t>
  </si>
  <si>
    <t>Melting_Curves/meltCurve_O43294_2_TGFB1I1.pdf</t>
  </si>
  <si>
    <t>Melting_Curves/meltCurve_O43299_AP5Z1.pdf</t>
  </si>
  <si>
    <t>Melting_Curves/meltCurve_O43301_HSPA12A.pdf</t>
  </si>
  <si>
    <t>Melting_Curves/meltCurve_O43310_CTIF.pdf</t>
  </si>
  <si>
    <t>Melting_Curves/meltCurve_O43314_2_PPIP5K2.pdf</t>
  </si>
  <si>
    <t>Melting_Curves/meltCurve_O43318_2_MAP3K7.pdf</t>
  </si>
  <si>
    <t>Melting_Curves/meltCurve_O43325_LYRM1.pdf</t>
  </si>
  <si>
    <t>Melting_Curves/meltCurve_O43353_RIPK2.pdf</t>
  </si>
  <si>
    <t>Melting_Curves/meltCurve_O43395_PRPF3.pdf</t>
  </si>
  <si>
    <t>Melting_Curves/meltCurve_O43396_TXNL1.pdf</t>
  </si>
  <si>
    <t>Melting_Curves/meltCurve_O43399_TPD52L2.pdf</t>
  </si>
  <si>
    <t>Melting_Curves/meltCurve_O43399_2_TPD52L2.pdf</t>
  </si>
  <si>
    <t>Melting_Curves/meltCurve_O43402_EMC8.pdf</t>
  </si>
  <si>
    <t>Melting_Curves/meltCurve_O43464_3_HTRA2.pdf</t>
  </si>
  <si>
    <t>Melting_Curves/meltCurve_O43488_AKR7A2.pdf</t>
  </si>
  <si>
    <t>Melting_Curves/meltCurve_O43493_2_TGOLN2.pdf</t>
  </si>
  <si>
    <t>Melting_Curves/meltCurve_O43504_LAMTOR5.pdf</t>
  </si>
  <si>
    <t>Melting_Curves/meltCurve_O43505_B3GNT1.pdf</t>
  </si>
  <si>
    <t>Melting_Curves/meltCurve_O43516_WIPF1.pdf</t>
  </si>
  <si>
    <t>Melting_Curves/meltCurve_O43520_ATP8B1.pdf</t>
  </si>
  <si>
    <t>Melting_Curves/meltCurve_O43524_FOXO3.pdf</t>
  </si>
  <si>
    <t>Melting_Curves/meltCurve_O43567_RNF13.pdf</t>
  </si>
  <si>
    <t>Melting_Curves/meltCurve_O43583_DENR.pdf</t>
  </si>
  <si>
    <t>Melting_Curves/meltCurve_O43592_XPOT.pdf</t>
  </si>
  <si>
    <t>Melting_Curves/meltCurve_O43598_DNPH1.pdf</t>
  </si>
  <si>
    <t>Melting_Curves/meltCurve_O43615_TIMM44.pdf</t>
  </si>
  <si>
    <t>Melting_Curves/meltCurve_O43617_TRAPPC3.pdf</t>
  </si>
  <si>
    <t>Melting_Curves/meltCurve_O43633_CHMP2A.pdf</t>
  </si>
  <si>
    <t>Melting_Curves/meltCurve_O43639_NCK2.pdf</t>
  </si>
  <si>
    <t>Melting_Curves/meltCurve_O43657_TSPAN6.pdf</t>
  </si>
  <si>
    <t>Melting_Curves/meltCurve_O43665_2_RGS10.pdf</t>
  </si>
  <si>
    <t>Melting_Curves/meltCurve_O43676_NDUFB3.pdf</t>
  </si>
  <si>
    <t>Melting_Curves/meltCurve_O43678_NDUFA2.pdf</t>
  </si>
  <si>
    <t>Melting_Curves/meltCurve_O43681_ASNA1.pdf</t>
  </si>
  <si>
    <t>Melting_Curves/meltCurve_O43684_BUB3.pdf</t>
  </si>
  <si>
    <t>Melting_Curves/meltCurve_O43707_ACTN4.pdf</t>
  </si>
  <si>
    <t>Melting_Curves/meltCurve_O43709_WBSCR22.pdf</t>
  </si>
  <si>
    <t>Melting_Curves/meltCurve_O43715_TRIAP1.pdf</t>
  </si>
  <si>
    <t>Melting_Curves/meltCurve_O43719_HTATSF1.pdf</t>
  </si>
  <si>
    <t>Melting_Curves/meltCurve_O43739_2_CYTH3.pdf</t>
  </si>
  <si>
    <t>Melting_Curves/meltCurve_O43752_STX6.pdf</t>
  </si>
  <si>
    <t>Melting_Curves/meltCurve_O43760_SYNGR2.pdf</t>
  </si>
  <si>
    <t>Melting_Curves/meltCurve_O43765_SGTA.pdf</t>
  </si>
  <si>
    <t>Melting_Curves/meltCurve_O43768_2_ENSA.pdf</t>
  </si>
  <si>
    <t>Melting_Curves/meltCurve_O43772_SLC25A20.pdf</t>
  </si>
  <si>
    <t>Melting_Curves/meltCurve_O43776_NARS.pdf</t>
  </si>
  <si>
    <t>Melting_Curves/meltCurve_O43805_SSNA1.pdf</t>
  </si>
  <si>
    <t>Melting_Curves/meltCurve_O43813_LANCL1.pdf</t>
  </si>
  <si>
    <t>Melting_Curves/meltCurve_O43818_RRP9.pdf</t>
  </si>
  <si>
    <t>Melting_Curves/meltCurve_O43819_SCO2.pdf</t>
  </si>
  <si>
    <t>Melting_Curves/meltCurve_O43820_4_HYAL3.pdf</t>
  </si>
  <si>
    <t>Melting_Curves/meltCurve_O43837_IDH3B.pdf</t>
  </si>
  <si>
    <t>Melting_Curves/meltCurve_O43852_CALU.pdf</t>
  </si>
  <si>
    <t>Melting_Curves/meltCurve_O43852_2_CALU.pdf</t>
  </si>
  <si>
    <t>Melting_Curves/meltCurve_O43854_2_EDIL3.pdf</t>
  </si>
  <si>
    <t>Melting_Curves/meltCurve_O43865_AHCYL1.pdf</t>
  </si>
  <si>
    <t>Melting_Curves/meltCurve_O43896_KIF1C.pdf</t>
  </si>
  <si>
    <t>Melting_Curves/meltCurve_O43920_NDUFS5.pdf</t>
  </si>
  <si>
    <t>Melting_Curves/meltCurve_O43924_PDE6D.pdf</t>
  </si>
  <si>
    <t>Melting_Curves/meltCurve_O60218_AKR1B10.pdf</t>
  </si>
  <si>
    <t>Melting_Curves/meltCurve_O60220_TIMM8A.pdf</t>
  </si>
  <si>
    <t>Melting_Curves/meltCurve_O60234_GMFG.pdf</t>
  </si>
  <si>
    <t>Melting_Curves/meltCurve_O60239_SH3BP5.pdf</t>
  </si>
  <si>
    <t>Melting_Curves/meltCurve_O60256_PRPSAP2.pdf</t>
  </si>
  <si>
    <t>Melting_Curves/meltCurve_O60271_4_SPAG9.pdf</t>
  </si>
  <si>
    <t>Melting_Curves/meltCurve_O60271_9_SPAG9.pdf</t>
  </si>
  <si>
    <t>Melting_Curves/meltCurve_O60279_SUSD5.pdf</t>
  </si>
  <si>
    <t>Melting_Curves/meltCurve_O60292_SIPA1L3.pdf</t>
  </si>
  <si>
    <t>Melting_Curves/meltCurve_O60294_LCMT2.pdf</t>
  </si>
  <si>
    <t>Melting_Curves/meltCurve_O60313_2_OPA1.pdf</t>
  </si>
  <si>
    <t>Melting_Curves/meltCurve_O60331_4_PIP5K1C.pdf</t>
  </si>
  <si>
    <t>Melting_Curves/meltCurve_O60343_2_TBC1D4.pdf</t>
  </si>
  <si>
    <t>Melting_Curves/meltCurve_O60344_4_ECE2.pdf</t>
  </si>
  <si>
    <t>Melting_Curves/meltCurve_O60347_TBC1D12.pdf</t>
  </si>
  <si>
    <t>Melting_Curves/meltCurve_O60353_2_FZD6.pdf</t>
  </si>
  <si>
    <t>Melting_Curves/meltCurve_O60427_FADS1.pdf</t>
  </si>
  <si>
    <t>Melting_Curves/meltCurve_O60443_DFNA5.pdf</t>
  </si>
  <si>
    <t>Melting_Curves/meltCurve_O60449_3_LY75.pdf</t>
  </si>
  <si>
    <t>Melting_Curves/meltCurve_O60476_MAN1A2.pdf</t>
  </si>
  <si>
    <t>Melting_Curves/meltCurve_O60488_2_ACSL4.pdf</t>
  </si>
  <si>
    <t>Melting_Curves/meltCurve_O60493_SNX3.pdf</t>
  </si>
  <si>
    <t>Melting_Curves/meltCurve_O60502_MGEA5.pdf</t>
  </si>
  <si>
    <t>Melting_Curves/meltCurve_O60503_ADCY9.pdf</t>
  </si>
  <si>
    <t>Melting_Curves/meltCurve_O60504_2_SORBS3.pdf</t>
  </si>
  <si>
    <t>Melting_Curves/meltCurve_O60506_4_SYNCRIP.pdf</t>
  </si>
  <si>
    <t>Melting_Curves/meltCurve_O60507_TPST1.pdf</t>
  </si>
  <si>
    <t>Melting_Curves/meltCurve_O60513_B4GALT4.pdf</t>
  </si>
  <si>
    <t>Melting_Curves/meltCurve_O60518_RANBP6.pdf</t>
  </si>
  <si>
    <t>Melting_Curves/meltCurve_O60547_2_GMDS.pdf</t>
  </si>
  <si>
    <t>Melting_Curves/meltCurve_O60551_NMT2.pdf</t>
  </si>
  <si>
    <t>Melting_Curves/meltCurve_O60568_PLOD3.pdf</t>
  </si>
  <si>
    <t>Melting_Curves/meltCurve_O60613_SEP15.pdf</t>
  </si>
  <si>
    <t>Melting_Curves/meltCurve_O60637_3_TSPAN3.pdf</t>
  </si>
  <si>
    <t>Melting_Curves/meltCurve_O60645_2_EXOC3.pdf</t>
  </si>
  <si>
    <t>Melting_Curves/meltCurve_O60664_2_PLIN3.pdf</t>
  </si>
  <si>
    <t>Melting_Curves/meltCurve_O60664_3_PLIN3.pdf</t>
  </si>
  <si>
    <t>Melting_Curves/meltCurve_O60671_RAD1.pdf</t>
  </si>
  <si>
    <t>Melting_Curves/meltCurve_O60678_PRMT3.pdf</t>
  </si>
  <si>
    <t>Melting_Curves/meltCurve_O60701_UGDH.pdf</t>
  </si>
  <si>
    <t>Melting_Curves/meltCurve_O60704_TPST2.pdf</t>
  </si>
  <si>
    <t>Melting_Curves/meltCurve_O60711_LPXN.pdf</t>
  </si>
  <si>
    <t>Melting_Curves/meltCurve_O60716_5_CTNND1.pdf</t>
  </si>
  <si>
    <t>Melting_Curves/meltCurve_O60725_ICMT.pdf</t>
  </si>
  <si>
    <t>Melting_Curves/meltCurve_O60749_SNX2.pdf</t>
  </si>
  <si>
    <t>Melting_Curves/meltCurve_O60763_USO1.pdf</t>
  </si>
  <si>
    <t>Melting_Curves/meltCurve_O60826_CCDC22.pdf</t>
  </si>
  <si>
    <t>Melting_Curves/meltCurve_O60828_PQBP1.pdf</t>
  </si>
  <si>
    <t>Melting_Curves/meltCurve_O60830_TIMM17B.pdf</t>
  </si>
  <si>
    <t>Melting_Curves/meltCurve_O60831_PRAF2.pdf</t>
  </si>
  <si>
    <t>Melting_Curves/meltCurve_O60841_EIF5B.pdf</t>
  </si>
  <si>
    <t>Melting_Curves/meltCurve_O60869_EDF1.pdf</t>
  </si>
  <si>
    <t>Melting_Curves/meltCurve_O60884_DNAJA2.pdf</t>
  </si>
  <si>
    <t>Melting_Curves/meltCurve_O60885_BRD4.pdf</t>
  </si>
  <si>
    <t>Melting_Curves/meltCurve_O60888_3_CUTA.pdf</t>
  </si>
  <si>
    <t>Melting_Curves/meltCurve_O60906_SMPD2.pdf</t>
  </si>
  <si>
    <t>Melting_Curves/meltCurve_O60925_PFDN1.pdf</t>
  </si>
  <si>
    <t>Melting_Curves/meltCurve_O60927_PPP1R11.pdf</t>
  </si>
  <si>
    <t>Melting_Curves/meltCurve_O60934_NBN.pdf</t>
  </si>
  <si>
    <t>Melting_Curves/meltCurve_O75027_ABCB7.pdf</t>
  </si>
  <si>
    <t>Melting_Curves/meltCurve_O75044_SRGAP2.pdf</t>
  </si>
  <si>
    <t>Melting_Curves/meltCurve_O75063_FAM20B.pdf</t>
  </si>
  <si>
    <t>Melting_Curves/meltCurve_O75071_EFCAB14.pdf</t>
  </si>
  <si>
    <t>Melting_Curves/meltCurve_O75083_WDR1.pdf</t>
  </si>
  <si>
    <t>Melting_Curves/meltCurve_O75084_FZD7.pdf</t>
  </si>
  <si>
    <t>Melting_Curves/meltCurve_O75095_2_MEGF6.pdf</t>
  </si>
  <si>
    <t>Melting_Curves/meltCurve_O75110_ATP9A.pdf</t>
  </si>
  <si>
    <t>Melting_Curves/meltCurve_O75113_N4BP1.pdf</t>
  </si>
  <si>
    <t>Melting_Curves/meltCurve_O75116_ROCK2.pdf</t>
  </si>
  <si>
    <t>Melting_Curves/meltCurve_O75131_CPNE3.pdf</t>
  </si>
  <si>
    <t>Melting_Curves/meltCurve_O75143_2_ATG13.pdf</t>
  </si>
  <si>
    <t>Melting_Curves/meltCurve_O75146_HIP1R.pdf</t>
  </si>
  <si>
    <t>Melting_Curves/meltCurve_O75155_CAND2.pdf</t>
  </si>
  <si>
    <t>Melting_Curves/meltCurve_O75157_2_TSC22D2.pdf</t>
  </si>
  <si>
    <t>Melting_Curves/meltCurve_O75165_DNAJC13.pdf</t>
  </si>
  <si>
    <t>Melting_Curves/meltCurve_O75170_4_PPP6R2.pdf</t>
  </si>
  <si>
    <t>Melting_Curves/meltCurve_O75175_2_CNOT3.pdf</t>
  </si>
  <si>
    <t>Melting_Curves/meltCurve_O75179_2_ANKRD17.pdf</t>
  </si>
  <si>
    <t>Melting_Curves/meltCurve_O75191_XYLB.pdf</t>
  </si>
  <si>
    <t>Melting_Curves/meltCurve_O75208_COQ9.pdf</t>
  </si>
  <si>
    <t>Melting_Curves/meltCurve_O75223_GGCT.pdf</t>
  </si>
  <si>
    <t>Melting_Curves/meltCurve_O75298_2_RTN2.pdf</t>
  </si>
  <si>
    <t>Melting_Curves/meltCurve_O75306_2_NDUFS2.pdf</t>
  </si>
  <si>
    <t>Melting_Curves/meltCurve_O75312_ZNF259.pdf</t>
  </si>
  <si>
    <t>Melting_Curves/meltCurve_O75323_GBAS.pdf</t>
  </si>
  <si>
    <t>Melting_Curves/meltCurve_O75324_SNN.pdf</t>
  </si>
  <si>
    <t>Melting_Curves/meltCurve_O75326_SEMA7A.pdf</t>
  </si>
  <si>
    <t>Melting_Curves/meltCurve_O75347_TBCA.pdf</t>
  </si>
  <si>
    <t>Melting_Curves/meltCurve_O75348_ATP6V1G1.pdf</t>
  </si>
  <si>
    <t>Melting_Curves/meltCurve_O75351_VPS4B.pdf</t>
  </si>
  <si>
    <t>Melting_Curves/meltCurve_O75356_ENTPD5.pdf</t>
  </si>
  <si>
    <t>Melting_Curves/meltCurve_O75368_SH3BGRL.pdf</t>
  </si>
  <si>
    <t>Melting_Curves/meltCurve_O75369_8_FLNB.pdf</t>
  </si>
  <si>
    <t>Melting_Curves/meltCurve_O75376_2_NCOR1.pdf</t>
  </si>
  <si>
    <t>Melting_Curves/meltCurve_O75379_VAMP4.pdf</t>
  </si>
  <si>
    <t>Melting_Curves/meltCurve_O75380_NDUFS6.pdf</t>
  </si>
  <si>
    <t>Melting_Curves/meltCurve_O75381_2_PEX14.pdf</t>
  </si>
  <si>
    <t>Melting_Curves/meltCurve_O75391_SPAG7.pdf</t>
  </si>
  <si>
    <t>Melting_Curves/meltCurve_O75396_SEC22B.pdf</t>
  </si>
  <si>
    <t>Melting_Curves/meltCurve_O75400_2_PRPF40A.pdf</t>
  </si>
  <si>
    <t>Melting_Curves/meltCurve_O75427_LRCH4.pdf</t>
  </si>
  <si>
    <t>Melting_Curves/meltCurve_O75436_VPS26A.pdf</t>
  </si>
  <si>
    <t>Melting_Curves/meltCurve_O75438_NDUFB1.pdf</t>
  </si>
  <si>
    <t>Melting_Curves/meltCurve_O75439_PMPCB.pdf</t>
  </si>
  <si>
    <t>Melting_Curves/meltCurve_O75449_KATNA1.pdf</t>
  </si>
  <si>
    <t>Melting_Curves/meltCurve_O75475_PSIP1.pdf</t>
  </si>
  <si>
    <t>Melting_Curves/meltCurve_O75477_ERLIN1.pdf</t>
  </si>
  <si>
    <t>Melting_Curves/meltCurve_O75489_NDUFS3.pdf</t>
  </si>
  <si>
    <t>Melting_Curves/meltCurve_O75503_CLN5.pdf</t>
  </si>
  <si>
    <t>Melting_Curves/meltCurve_O75506_HSBP1.pdf</t>
  </si>
  <si>
    <t>Melting_Curves/meltCurve_O75521_2_ECI2.pdf</t>
  </si>
  <si>
    <t>Melting_Curves/meltCurve_O75531_BANF1.pdf</t>
  </si>
  <si>
    <t>Melting_Curves/meltCurve_O75533_SF3B1.pdf</t>
  </si>
  <si>
    <t>Melting_Curves/meltCurve_O75534_CSDE1.pdf</t>
  </si>
  <si>
    <t>Melting_Curves/meltCurve_O75600_GCAT.pdf</t>
  </si>
  <si>
    <t>Melting_Curves/meltCurve_O75607_NPM3.pdf</t>
  </si>
  <si>
    <t>Melting_Curves/meltCurve_O75608_2_LYPLA1.pdf</t>
  </si>
  <si>
    <t>Melting_Curves/meltCurve_O75635_2_SERPINB7.pdf</t>
  </si>
  <si>
    <t>Melting_Curves/meltCurve_O75648_TRMU.pdf</t>
  </si>
  <si>
    <t>Melting_Curves/meltCurve_O75663_TIPRL.pdf</t>
  </si>
  <si>
    <t>Melting_Curves/meltCurve_O75688_PPM1B.pdf</t>
  </si>
  <si>
    <t>Melting_Curves/meltCurve_O75689_ADAP1.pdf</t>
  </si>
  <si>
    <t>Melting_Curves/meltCurve_O75695_RP2.pdf</t>
  </si>
  <si>
    <t>Melting_Curves/meltCurve_O75718_CRTAP.pdf</t>
  </si>
  <si>
    <t>Melting_Curves/meltCurve_O75746_SLC25A12.pdf</t>
  </si>
  <si>
    <t>Melting_Curves/meltCurve_O75781_PALM.pdf</t>
  </si>
  <si>
    <t>Melting_Curves/meltCurve_O75792_RNASEH2A.pdf</t>
  </si>
  <si>
    <t>Melting_Curves/meltCurve_O75794_CDC123.pdf</t>
  </si>
  <si>
    <t>Melting_Curves/meltCurve_O75815_3_BCAR3.pdf</t>
  </si>
  <si>
    <t>Melting_Curves/meltCurve_O75818_2_RPP40.pdf</t>
  </si>
  <si>
    <t>Melting_Curves/meltCurve_O75821_EIF3G.pdf</t>
  </si>
  <si>
    <t>Melting_Curves/meltCurve_O75822_EIF3J.pdf</t>
  </si>
  <si>
    <t>Melting_Curves/meltCurve_O75828_CBR3.pdf</t>
  </si>
  <si>
    <t>Melting_Curves/meltCurve_O75832_PSMD10.pdf</t>
  </si>
  <si>
    <t>Melting_Curves/meltCurve_O75844_ZMPSTE24.pdf</t>
  </si>
  <si>
    <t>Melting_Curves/meltCurve_O75874_IDH1.pdf</t>
  </si>
  <si>
    <t>Melting_Curves/meltCurve_O75882_ATRN.pdf</t>
  </si>
  <si>
    <t>Melting_Curves/meltCurve_O75884_RBBP9.pdf</t>
  </si>
  <si>
    <t>Melting_Curves/meltCurve_O75886_STAM2.pdf</t>
  </si>
  <si>
    <t>Melting_Curves/meltCurve_O75891_ALDH1L1.pdf</t>
  </si>
  <si>
    <t>Melting_Curves/meltCurve_O75896_TUSC2.pdf</t>
  </si>
  <si>
    <t>Melting_Curves/meltCurve_O75911_DHRS3.pdf</t>
  </si>
  <si>
    <t>Melting_Curves/meltCurve_O75914_2_PAK3.pdf</t>
  </si>
  <si>
    <t>Melting_Curves/meltCurve_O75915_ARL6IP5.pdf</t>
  </si>
  <si>
    <t>Melting_Curves/meltCurve_O75934_BCAS2.pdf</t>
  </si>
  <si>
    <t>Melting_Curves/meltCurve_O75935_DCTN3.pdf</t>
  </si>
  <si>
    <t>Melting_Curves/meltCurve_O75937_DNAJC8.pdf</t>
  </si>
  <si>
    <t>Melting_Curves/meltCurve_O75940_SMNDC1.pdf</t>
  </si>
  <si>
    <t>Melting_Curves/meltCurve_O75947_ATP5H.pdf</t>
  </si>
  <si>
    <t>Melting_Curves/meltCurve_O75955_FLOT1.pdf</t>
  </si>
  <si>
    <t>Melting_Curves/meltCurve_O75962_4_TRIO.pdf</t>
  </si>
  <si>
    <t>Melting_Curves/meltCurve_O75964_ATP5L.pdf</t>
  </si>
  <si>
    <t>Melting_Curves/meltCurve_O75976_CPD.pdf</t>
  </si>
  <si>
    <t>Melting_Curves/meltCurve_O76003_GLRX3.pdf</t>
  </si>
  <si>
    <t>Melting_Curves/meltCurve_O76024_WFS1.pdf</t>
  </si>
  <si>
    <t>Melting_Curves/meltCurve_O76031_CLPX.pdf</t>
  </si>
  <si>
    <t>Melting_Curves/meltCurve_O76054_SEC14L2.pdf</t>
  </si>
  <si>
    <t>Melting_Curves/meltCurve_O76061_STC2.pdf</t>
  </si>
  <si>
    <t>Melting_Curves/meltCurve_O76070_SNCG.pdf</t>
  </si>
  <si>
    <t>Melting_Curves/meltCurve_O76071_CIAO1.pdf</t>
  </si>
  <si>
    <t>Melting_Curves/meltCurve_O76074_PDE5A.pdf</t>
  </si>
  <si>
    <t>Melting_Curves/meltCurve_O76075_DFFB.pdf</t>
  </si>
  <si>
    <t>Melting_Curves/meltCurve_O76080_ZFAND5.pdf</t>
  </si>
  <si>
    <t>Melting_Curves/meltCurve_O76094_SRP72.pdf</t>
  </si>
  <si>
    <t>Melting_Curves/meltCurve_O76095_2_JTB.pdf</t>
  </si>
  <si>
    <t>Melting_Curves/meltCurve_O94760_DDAH1.pdf</t>
  </si>
  <si>
    <t>Melting_Curves/meltCurve_O94763_URI1.pdf</t>
  </si>
  <si>
    <t>Melting_Curves/meltCurve_O94766_B3GAT3.pdf</t>
  </si>
  <si>
    <t>Melting_Curves/meltCurve_O94804_STK10.pdf</t>
  </si>
  <si>
    <t>Melting_Curves/meltCurve_O94819_KBTBD11.pdf</t>
  </si>
  <si>
    <t>Melting_Curves/meltCurve_O94826_TOMM70A.pdf</t>
  </si>
  <si>
    <t>Melting_Curves/meltCurve_O94829_IPO13.pdf</t>
  </si>
  <si>
    <t>Melting_Curves/meltCurve_O94830_DDHD2.pdf</t>
  </si>
  <si>
    <t>Melting_Curves/meltCurve_O94832_MYO1D.pdf</t>
  </si>
  <si>
    <t>Melting_Curves/meltCurve_O94851_5_MICAL2.pdf</t>
  </si>
  <si>
    <t>Melting_Curves/meltCurve_O94854_2_KIAA0754.pdf</t>
  </si>
  <si>
    <t>Melting_Curves/meltCurve_O94855_SEC24D.pdf</t>
  </si>
  <si>
    <t>Melting_Curves/meltCurve_O94856_9_NFASC.pdf</t>
  </si>
  <si>
    <t>Melting_Curves/meltCurve_O94874_UFL1.pdf</t>
  </si>
  <si>
    <t>Melting_Curves/meltCurve_O94876_TMCC1.pdf</t>
  </si>
  <si>
    <t>Melting_Curves/meltCurve_O94885_SASH1.pdf</t>
  </si>
  <si>
    <t>Melting_Curves/meltCurve_O94888_UBXN7.pdf</t>
  </si>
  <si>
    <t>Melting_Curves/meltCurve_O94889_KLHL18.pdf</t>
  </si>
  <si>
    <t>Melting_Curves/meltCurve_O94903_PROSC.pdf</t>
  </si>
  <si>
    <t>Melting_Curves/meltCurve_O94905_ERLIN2.pdf</t>
  </si>
  <si>
    <t>Melting_Curves/meltCurve_O94919_ENDOD1.pdf</t>
  </si>
  <si>
    <t>Melting_Curves/meltCurve_O94921_CDK14.pdf</t>
  </si>
  <si>
    <t>Melting_Curves/meltCurve_O94966_7_USP19.pdf</t>
  </si>
  <si>
    <t>Melting_Curves/meltCurve_O94967_2_WDR47.pdf</t>
  </si>
  <si>
    <t>Melting_Curves/meltCurve_O94973_AP2A2.pdf</t>
  </si>
  <si>
    <t>Melting_Curves/meltCurve_O94992_HEXIM1.pdf</t>
  </si>
  <si>
    <t>Melting_Curves/meltCurve_O95050_2_INMT.pdf</t>
  </si>
  <si>
    <t>Melting_Curves/meltCurve_O95057_DIRAS1.pdf</t>
  </si>
  <si>
    <t>Melting_Curves/meltCurve_O95084_PRSS23.pdf</t>
  </si>
  <si>
    <t>Melting_Curves/meltCurve_O95104_2_SCAF4.pdf</t>
  </si>
  <si>
    <t>Melting_Curves/meltCurve_O95136_S1PR2.pdf</t>
  </si>
  <si>
    <t>Melting_Curves/meltCurve_O95139_NDUFB6.pdf</t>
  </si>
  <si>
    <t>Melting_Curves/meltCurve_O95140_MFN2.pdf</t>
  </si>
  <si>
    <t>Melting_Curves/meltCurve_O95155_2_UBE4B.pdf</t>
  </si>
  <si>
    <t>Melting_Curves/meltCurve_O95159_ZFPL1.pdf</t>
  </si>
  <si>
    <t>Melting_Curves/meltCurve_O95167_NDUFA3.pdf</t>
  </si>
  <si>
    <t>Melting_Curves/meltCurve_O95183_VAMP5.pdf</t>
  </si>
  <si>
    <t>Melting_Curves/meltCurve_O95197_2_RTN3.pdf</t>
  </si>
  <si>
    <t>Melting_Curves/meltCurve_O95202_LETM1.pdf</t>
  </si>
  <si>
    <t>Melting_Curves/meltCurve_O95205_MBLL.pdf</t>
  </si>
  <si>
    <t>Melting_Curves/meltCurve_O95210_STBD1.pdf</t>
  </si>
  <si>
    <t>Melting_Curves/meltCurve_O95218_2_ZRANB2.pdf</t>
  </si>
  <si>
    <t>Melting_Curves/meltCurve_O95219_SNX4.pdf</t>
  </si>
  <si>
    <t>Melting_Curves/meltCurve_O95231_VENTX.pdf</t>
  </si>
  <si>
    <t>Melting_Curves/meltCurve_O95273_CCNDBP1.pdf</t>
  </si>
  <si>
    <t>Melting_Curves/meltCurve_O95292_VAPB.pdf</t>
  </si>
  <si>
    <t>Melting_Curves/meltCurve_O95295_SNAPIN.pdf</t>
  </si>
  <si>
    <t>Melting_Curves/meltCurve_O95297_2_MPZL1.pdf</t>
  </si>
  <si>
    <t>Melting_Curves/meltCurve_O95298_2_NDUFC2.pdf</t>
  </si>
  <si>
    <t>Melting_Curves/meltCurve_O95302_FKBP9.pdf</t>
  </si>
  <si>
    <t>Melting_Curves/meltCurve_O95336_PGLS.pdf</t>
  </si>
  <si>
    <t>Melting_Curves/meltCurve_O95352_ATG7.pdf</t>
  </si>
  <si>
    <t>Melting_Curves/meltCurve_O95361_TRIM16.pdf</t>
  </si>
  <si>
    <t>Melting_Curves/meltCurve_O95363_FARS2.pdf</t>
  </si>
  <si>
    <t>Melting_Curves/meltCurve_O95372_LYPLA2.pdf</t>
  </si>
  <si>
    <t>Melting_Curves/meltCurve_O95373_IPO7.pdf</t>
  </si>
  <si>
    <t>Melting_Curves/meltCurve_O95376_ARIH2.pdf</t>
  </si>
  <si>
    <t>Melting_Curves/meltCurve_O95394_3_PGM3.pdf</t>
  </si>
  <si>
    <t>Melting_Curves/meltCurve_O95396_MOCS3.pdf</t>
  </si>
  <si>
    <t>Melting_Curves/meltCurve_O95400_CD2BP2.pdf</t>
  </si>
  <si>
    <t>Melting_Curves/meltCurve_O95405_ZFYVE9.pdf</t>
  </si>
  <si>
    <t>Melting_Curves/meltCurve_O95425_SVIL.pdf</t>
  </si>
  <si>
    <t>Melting_Curves/meltCurve_O95429_2_BAG4.pdf</t>
  </si>
  <si>
    <t>Melting_Curves/meltCurve_O95433_AHSA1.pdf</t>
  </si>
  <si>
    <t>Melting_Curves/meltCurve_O95453_2_PARN.pdf</t>
  </si>
  <si>
    <t>Melting_Curves/meltCurve_O95455_TGDS.pdf</t>
  </si>
  <si>
    <t>Melting_Curves/meltCurve_O95456_PSMG1.pdf</t>
  </si>
  <si>
    <t>Melting_Curves/meltCurve_O95486_SEC24A.pdf</t>
  </si>
  <si>
    <t>Melting_Curves/meltCurve_O95487_2_SEC24B.pdf</t>
  </si>
  <si>
    <t>Melting_Curves/meltCurve_O95528_SLC2A10.pdf</t>
  </si>
  <si>
    <t>Melting_Curves/meltCurve_O95544_NADK.pdf</t>
  </si>
  <si>
    <t>Melting_Curves/meltCurve_O95551_TDP2.pdf</t>
  </si>
  <si>
    <t>Melting_Curves/meltCurve_O95571_ETHE1.pdf</t>
  </si>
  <si>
    <t>Melting_Curves/meltCurve_O95573_ACSL3.pdf</t>
  </si>
  <si>
    <t>Melting_Curves/meltCurve_O95628_3_CNOT4.pdf</t>
  </si>
  <si>
    <t>Melting_Curves/meltCurve_O95630_STAMBP.pdf</t>
  </si>
  <si>
    <t>Melting_Curves/meltCurve_O95671_2_ASMTL.pdf</t>
  </si>
  <si>
    <t>Melting_Curves/meltCurve_O95674_CDS2.pdf</t>
  </si>
  <si>
    <t>Melting_Curves/meltCurve_O95684_FGFR1OP.pdf</t>
  </si>
  <si>
    <t>Melting_Curves/meltCurve_O95716_RAB3D.pdf</t>
  </si>
  <si>
    <t>Melting_Curves/meltCurve_O95721_SNAP29.pdf</t>
  </si>
  <si>
    <t>Melting_Curves/meltCurve_O95747_OXSR1.pdf</t>
  </si>
  <si>
    <t>Melting_Curves/meltCurve_O95749_GGPS1.pdf</t>
  </si>
  <si>
    <t>Melting_Curves/meltCurve_O95777_NAA38.pdf</t>
  </si>
  <si>
    <t>Melting_Curves/meltCurve_O95782_2_AP2A1.pdf</t>
  </si>
  <si>
    <t>Melting_Curves/meltCurve_O95786_DDX58.pdf</t>
  </si>
  <si>
    <t>Melting_Curves/meltCurve_O95801_TTC4.pdf</t>
  </si>
  <si>
    <t>Melting_Curves/meltCurve_O95807_TMEM50A.pdf</t>
  </si>
  <si>
    <t>Melting_Curves/meltCurve_O95810_SDPR.pdf</t>
  </si>
  <si>
    <t>Melting_Curves/meltCurve_O95816_BAG2.pdf</t>
  </si>
  <si>
    <t>Melting_Curves/meltCurve_O95817_BAG3.pdf</t>
  </si>
  <si>
    <t>Melting_Curves/meltCurve_O95825_CRYZL1.pdf</t>
  </si>
  <si>
    <t>Melting_Curves/meltCurve_O95831_3_AIFM1.pdf</t>
  </si>
  <si>
    <t>Melting_Curves/meltCurve_O95833_CLIC3.pdf</t>
  </si>
  <si>
    <t>Melting_Curves/meltCurve_O95834_EML2.pdf</t>
  </si>
  <si>
    <t>Melting_Curves/meltCurve_O95837_GNA14.pdf</t>
  </si>
  <si>
    <t>Melting_Curves/meltCurve_O95848_NUDT14.pdf</t>
  </si>
  <si>
    <t>Melting_Curves/meltCurve_O95857_TSPAN13.pdf</t>
  </si>
  <si>
    <t>Melting_Curves/meltCurve_O95864_FADS2.pdf</t>
  </si>
  <si>
    <t>Melting_Curves/meltCurve_O95865_DDAH2.pdf</t>
  </si>
  <si>
    <t>Melting_Curves/meltCurve_O95873_C6orf47.pdf</t>
  </si>
  <si>
    <t>Melting_Curves/meltCurve_O95881_TXNDC12.pdf</t>
  </si>
  <si>
    <t>Melting_Curves/meltCurve_O95905_ECD.pdf</t>
  </si>
  <si>
    <t>Melting_Curves/meltCurve_O95926_SYF2.pdf</t>
  </si>
  <si>
    <t>Melting_Curves/meltCurve_O95965_ITGBL1.pdf</t>
  </si>
  <si>
    <t>Melting_Curves/meltCurve_O95980_RECK.pdf</t>
  </si>
  <si>
    <t>Melting_Curves/meltCurve_O95989_NUDT3.pdf</t>
  </si>
  <si>
    <t>Melting_Curves/meltCurve_O95999_BCL10.pdf</t>
  </si>
  <si>
    <t>Melting_Curves/meltCurve_O96000_NDUFB10.pdf</t>
  </si>
  <si>
    <t>Melting_Curves/meltCurve_O96007_MOCS2.pdf</t>
  </si>
  <si>
    <t>Melting_Curves/meltCurve_O96008_TOMM40.pdf</t>
  </si>
  <si>
    <t>Melting_Curves/meltCurve_O96011_PEX11B.pdf</t>
  </si>
  <si>
    <t>Melting_Curves/meltCurve_O96013_PAK4.pdf</t>
  </si>
  <si>
    <t>Melting_Curves/meltCurve_O96017_CHEK2.pdf</t>
  </si>
  <si>
    <t>Melting_Curves/meltCurve_O96019_ACTL6A.pdf</t>
  </si>
  <si>
    <t>Melting_Curves/meltCurve_O96033_MOCS2.pdf</t>
  </si>
  <si>
    <t>Melting_Curves/meltCurve_P00167_2_CYB5A.pdf</t>
  </si>
  <si>
    <t>Melting_Curves/meltCurve_P00325_ADH1B.pdf</t>
  </si>
  <si>
    <t>Melting_Curves/meltCurve_P00338_LDHA.pdf</t>
  </si>
  <si>
    <t>Melting_Curves/meltCurve_P00352_ALDH1A1.pdf</t>
  </si>
  <si>
    <t>Melting_Curves/meltCurve_P00367_GLUD1.pdf</t>
  </si>
  <si>
    <t>Melting_Curves/meltCurve_P00387_2_CYB5R3.pdf</t>
  </si>
  <si>
    <t>Melting_Curves/meltCurve_P00390_2_GSR.pdf</t>
  </si>
  <si>
    <t>Melting_Curves/meltCurve_P00403_MT_CO2.pdf</t>
  </si>
  <si>
    <t>Melting_Curves/meltCurve_P00441_SOD1.pdf</t>
  </si>
  <si>
    <t>Melting_Curves/meltCurve_P00491_PNP.pdf</t>
  </si>
  <si>
    <t>Melting_Curves/meltCurve_P00492_HPRT1.pdf</t>
  </si>
  <si>
    <t>Melting_Curves/meltCurve_P00505_GOT2.pdf</t>
  </si>
  <si>
    <t>Melting_Curves/meltCurve_P00519_ABL1.pdf</t>
  </si>
  <si>
    <t>Melting_Curves/meltCurve_P00533_EGFR.pdf</t>
  </si>
  <si>
    <t>Melting_Curves/meltCurve_P00558_PGK1.pdf</t>
  </si>
  <si>
    <t>Melting_Curves/meltCurve_P00736_C1R.pdf</t>
  </si>
  <si>
    <t>Melting_Curves/meltCurve_P00738_HP.pdf</t>
  </si>
  <si>
    <t>Melting_Curves/meltCurve_P00813_ADA.pdf</t>
  </si>
  <si>
    <t>Melting_Curves/meltCurve_P00966_ASS1.pdf</t>
  </si>
  <si>
    <t>Melting_Curves/meltCurve_P01023_A2M.pdf</t>
  </si>
  <si>
    <t>Melting_Curves/meltCurve_P01024_C3.pdf</t>
  </si>
  <si>
    <t>Melting_Curves/meltCurve_P01034_CST3.pdf</t>
  </si>
  <si>
    <t>Melting_Curves/meltCurve_P01111_NRAS.pdf</t>
  </si>
  <si>
    <t>Melting_Curves/meltCurve_P01112_HRAS.pdf</t>
  </si>
  <si>
    <t>Melting_Curves/meltCurve_P01116_2_KRAS.pdf</t>
  </si>
  <si>
    <t>Melting_Curves/meltCurve_P01137_TGFB1.pdf</t>
  </si>
  <si>
    <t>Melting_Curves/meltCurve_P02008_HBZ.pdf</t>
  </si>
  <si>
    <t>Melting_Curves/meltCurve_P02452_COL1A1.pdf</t>
  </si>
  <si>
    <t>Melting_Curves/meltCurve_P02458_COL2A1.pdf</t>
  </si>
  <si>
    <t>Melting_Curves/meltCurve_P02461_COL3A1.pdf</t>
  </si>
  <si>
    <t>Melting_Curves/meltCurve_P02462_2_COL4A1.pdf</t>
  </si>
  <si>
    <t>Melting_Curves/meltCurve_P02545_LMNA.pdf</t>
  </si>
  <si>
    <t>Melting_Curves/meltCurve_P02649_APOE.pdf</t>
  </si>
  <si>
    <t>Melting_Curves/meltCurve_P02652_APOA2.pdf</t>
  </si>
  <si>
    <t>Melting_Curves/meltCurve_P02751_17_FN1.pdf</t>
  </si>
  <si>
    <t>Melting_Curves/meltCurve_P02786_TFRC.pdf</t>
  </si>
  <si>
    <t>Melting_Curves/meltCurve_P02787_TF.pdf</t>
  </si>
  <si>
    <t>Melting_Curves/meltCurve_P02790_HPX.pdf</t>
  </si>
  <si>
    <t>Melting_Curves/meltCurve_P02792_FTL.pdf</t>
  </si>
  <si>
    <t>Melting_Curves/meltCurve_P02794_FTH1.pdf</t>
  </si>
  <si>
    <t>Melting_Curves/meltCurve_P02795_MT2A.pdf</t>
  </si>
  <si>
    <t>Melting_Curves/meltCurve_P03928_MT_ATP8.pdf</t>
  </si>
  <si>
    <t>Melting_Curves/meltCurve_P04040_CAT.pdf</t>
  </si>
  <si>
    <t>Melting_Curves/meltCurve_P04066_FUCA1.pdf</t>
  </si>
  <si>
    <t>Melting_Curves/meltCurve_P04075_ALDOA.pdf</t>
  </si>
  <si>
    <t>Melting_Curves/meltCurve_P04080_CSTB.pdf</t>
  </si>
  <si>
    <t>Melting_Curves/meltCurve_P04083_ANXA1.pdf</t>
  </si>
  <si>
    <t>Melting_Curves/meltCurve_P04150_7_NR3C1.pdf</t>
  </si>
  <si>
    <t>Melting_Curves/meltCurve_P04181_OAT.pdf</t>
  </si>
  <si>
    <t>Melting_Curves/meltCurve_P04217_A1BG.pdf</t>
  </si>
  <si>
    <t>Melting_Curves/meltCurve_P04350_TUBB4A.pdf</t>
  </si>
  <si>
    <t>Melting_Curves/meltCurve_P04406_GAPDH.pdf</t>
  </si>
  <si>
    <t>Melting_Curves/meltCurve_P04406_2_GAPDH.pdf</t>
  </si>
  <si>
    <t>Melting_Curves/meltCurve_P04424_ASL.pdf</t>
  </si>
  <si>
    <t>Melting_Curves/meltCurve_P04632_CAPNS1.pdf</t>
  </si>
  <si>
    <t>Melting_Curves/meltCurve_P04731_MT1A.pdf</t>
  </si>
  <si>
    <t>Melting_Curves/meltCurve_P04792_HSPB1.pdf</t>
  </si>
  <si>
    <t>Melting_Curves/meltCurve_P04843_RPN1.pdf</t>
  </si>
  <si>
    <t>Melting_Curves/meltCurve_P04844_2_RPN2.pdf</t>
  </si>
  <si>
    <t>Melting_Curves/meltCurve_P04899_GNAI2.pdf</t>
  </si>
  <si>
    <t>Melting_Curves/meltCurve_P04921_2_GYPC.pdf</t>
  </si>
  <si>
    <t>Melting_Curves/meltCurve_P05023_4_ATP1A1.pdf</t>
  </si>
  <si>
    <t>Melting_Curves/meltCurve_P05067_7_APP.pdf</t>
  </si>
  <si>
    <t>Melting_Curves/meltCurve_P05090_APOD.pdf</t>
  </si>
  <si>
    <t>Melting_Curves/meltCurve_P05091_ALDH2.pdf</t>
  </si>
  <si>
    <t>Melting_Curves/meltCurve_P05106_ITGB3.pdf</t>
  </si>
  <si>
    <t>Melting_Curves/meltCurve_P05114_HMGN1.pdf</t>
  </si>
  <si>
    <t>Melting_Curves/meltCurve_P05120_SERPINB2.pdf</t>
  </si>
  <si>
    <t>Melting_Curves/meltCurve_P05121_SERPINE1.pdf</t>
  </si>
  <si>
    <t>Melting_Curves/meltCurve_P05141_SLC25A5.pdf</t>
  </si>
  <si>
    <t>Melting_Curves/meltCurve_P05161_ISG15.pdf</t>
  </si>
  <si>
    <t>Melting_Curves/meltCurve_P05186_ALPL.pdf</t>
  </si>
  <si>
    <t>Melting_Curves/meltCurve_P05198_EIF2S1.pdf</t>
  </si>
  <si>
    <t>Melting_Curves/meltCurve_P05204_HMGN2.pdf</t>
  </si>
  <si>
    <t>Melting_Curves/meltCurve_P05230_FGF1.pdf</t>
  </si>
  <si>
    <t>Melting_Curves/meltCurve_P05362_ICAM1.pdf</t>
  </si>
  <si>
    <t>Melting_Curves/meltCurve_P05386_RPLP1.pdf</t>
  </si>
  <si>
    <t>Melting_Curves/meltCurve_P05387_RPLP2.pdf</t>
  </si>
  <si>
    <t>Melting_Curves/meltCurve_P05388_RPLP0.pdf</t>
  </si>
  <si>
    <t>Melting_Curves/meltCurve_P05412_JUN.pdf</t>
  </si>
  <si>
    <t>Melting_Curves/meltCurve_P05413_FABP3.pdf</t>
  </si>
  <si>
    <t>Melting_Curves/meltCurve_P05455_SSB.pdf</t>
  </si>
  <si>
    <t>Melting_Curves/meltCurve_P05556_ITGB1.pdf</t>
  </si>
  <si>
    <t>Melting_Curves/meltCurve_P05997_COL5A2.pdf</t>
  </si>
  <si>
    <t>Melting_Curves/meltCurve_P06132_UROD.pdf</t>
  </si>
  <si>
    <t>Melting_Curves/meltCurve_P06241_FYN.pdf</t>
  </si>
  <si>
    <t>Melting_Curves/meltCurve_P06280_GLA.pdf</t>
  </si>
  <si>
    <t>Melting_Curves/meltCurve_P06396_2_GSN.pdf</t>
  </si>
  <si>
    <t>Melting_Curves/meltCurve_P06396_3_GSN.pdf</t>
  </si>
  <si>
    <t>Melting_Curves/meltCurve_P06576_ATP5B.pdf</t>
  </si>
  <si>
    <t>Melting_Curves/meltCurve_P06733_ENO1.pdf</t>
  </si>
  <si>
    <t>Melting_Curves/meltCurve_P06737_2_PYGL.pdf</t>
  </si>
  <si>
    <t>Melting_Curves/meltCurve_P06744_GPI.pdf</t>
  </si>
  <si>
    <t>Melting_Curves/meltCurve_P06748_NPM1.pdf</t>
  </si>
  <si>
    <t>Melting_Curves/meltCurve_P06756_2_ITGAV.pdf</t>
  </si>
  <si>
    <t>Melting_Curves/meltCurve_P06756_3_ITGAV.pdf</t>
  </si>
  <si>
    <t>Melting_Curves/meltCurve_P07093_2_SERPINE2.pdf</t>
  </si>
  <si>
    <t>Melting_Curves/meltCurve_P07099_EPHX1.pdf</t>
  </si>
  <si>
    <t>Melting_Curves/meltCurve_P07108_DBI.pdf</t>
  </si>
  <si>
    <t>Melting_Curves/meltCurve_P07195_LDHB.pdf</t>
  </si>
  <si>
    <t>Melting_Curves/meltCurve_P07203_GPX1.pdf</t>
  </si>
  <si>
    <t>Melting_Curves/meltCurve_P07205_PGK2.pdf</t>
  </si>
  <si>
    <t>Melting_Curves/meltCurve_P07237_P4HB.pdf</t>
  </si>
  <si>
    <t>Melting_Curves/meltCurve_P07305_2_H1F0.pdf</t>
  </si>
  <si>
    <t>Melting_Curves/meltCurve_P07339_CTSD.pdf</t>
  </si>
  <si>
    <t>Melting_Curves/meltCurve_P07355_ANXA2.pdf</t>
  </si>
  <si>
    <t>Melting_Curves/meltCurve_P07384_CAPN1.pdf</t>
  </si>
  <si>
    <t>Melting_Curves/meltCurve_P07476_IVL.pdf</t>
  </si>
  <si>
    <t>Melting_Curves/meltCurve_P07585_DCN.pdf</t>
  </si>
  <si>
    <t>Melting_Curves/meltCurve_P07686_HEXB.pdf</t>
  </si>
  <si>
    <t>Melting_Curves/meltCurve_P07711_CTSL1.pdf</t>
  </si>
  <si>
    <t>Melting_Curves/meltCurve_P07737_PFN1.pdf</t>
  </si>
  <si>
    <t>Melting_Curves/meltCurve_P07738_BPGM.pdf</t>
  </si>
  <si>
    <t>Melting_Curves/meltCurve_P07741_APRT.pdf</t>
  </si>
  <si>
    <t>Melting_Curves/meltCurve_P07814_EPRS.pdf</t>
  </si>
  <si>
    <t>Melting_Curves/meltCurve_P07858_CTSB.pdf</t>
  </si>
  <si>
    <t>Melting_Curves/meltCurve_P07900_HSP90AA1.pdf</t>
  </si>
  <si>
    <t>Melting_Curves/meltCurve_P07902_GALT.pdf</t>
  </si>
  <si>
    <t>Melting_Curves/meltCurve_P07919_UQCRH.pdf</t>
  </si>
  <si>
    <t>Melting_Curves/meltCurve_P07954_2_FH.pdf</t>
  </si>
  <si>
    <t>Melting_Curves/meltCurve_P07992_2_ERCC1.pdf</t>
  </si>
  <si>
    <t>Melting_Curves/meltCurve_P07996_THBS1.pdf</t>
  </si>
  <si>
    <t>Melting_Curves/meltCurve_P08047_SP1.pdf</t>
  </si>
  <si>
    <t>Melting_Curves/meltCurve_P08107_HSPA1A.pdf</t>
  </si>
  <si>
    <t>Melting_Curves/meltCurve_P08123_COL1A2.pdf</t>
  </si>
  <si>
    <t>Melting_Curves/meltCurve_P08133_ANXA6.pdf</t>
  </si>
  <si>
    <t>Melting_Curves/meltCurve_P08237_PFKM.pdf</t>
  </si>
  <si>
    <t>Melting_Curves/meltCurve_P08238_HSP90AB1.pdf</t>
  </si>
  <si>
    <t>Melting_Curves/meltCurve_P08240_SRPR.pdf</t>
  </si>
  <si>
    <t>Melting_Curves/meltCurve_P08243_2_ASNS.pdf</t>
  </si>
  <si>
    <t>Melting_Curves/meltCurve_P08253_MMP2.pdf</t>
  </si>
  <si>
    <t>Melting_Curves/meltCurve_P08294_SOD3.pdf</t>
  </si>
  <si>
    <t>Melting_Curves/meltCurve_P08397_2_HMBS.pdf</t>
  </si>
  <si>
    <t>Melting_Curves/meltCurve_P08473_MME.pdf</t>
  </si>
  <si>
    <t>Melting_Curves/meltCurve_P08476_INHBA.pdf</t>
  </si>
  <si>
    <t>Melting_Curves/meltCurve_P08559_3_PDHA1.pdf</t>
  </si>
  <si>
    <t>Melting_Curves/meltCurve_P08572_COL4A2.pdf</t>
  </si>
  <si>
    <t>Melting_Curves/meltCurve_P08574_CYC1.pdf</t>
  </si>
  <si>
    <t>Melting_Curves/meltCurve_P08582_MFI2.pdf</t>
  </si>
  <si>
    <t>Melting_Curves/meltCurve_P08590_MYL3.pdf</t>
  </si>
  <si>
    <t>Melting_Curves/meltCurve_P08603_CFH.pdf</t>
  </si>
  <si>
    <t>Melting_Curves/meltCurve_P08621_2_SNRNP70.pdf</t>
  </si>
  <si>
    <t>Melting_Curves/meltCurve_P08648_ITGA5.pdf</t>
  </si>
  <si>
    <t>Melting_Curves/meltCurve_P08651_2_NFIC.pdf</t>
  </si>
  <si>
    <t>Melting_Curves/meltCurve_P08670_VIM.pdf</t>
  </si>
  <si>
    <t>Melting_Curves/meltCurve_P08754_GNAI3.pdf</t>
  </si>
  <si>
    <t>Melting_Curves/meltCurve_P08758_ANXA5.pdf</t>
  </si>
  <si>
    <t>Melting_Curves/meltCurve_P08842_STS.pdf</t>
  </si>
  <si>
    <t>Melting_Curves/meltCurve_P09012_SNRPA.pdf</t>
  </si>
  <si>
    <t>Melting_Curves/meltCurve_P09038_2_FGF2.pdf</t>
  </si>
  <si>
    <t>Melting_Curves/meltCurve_P09104_ENO2.pdf</t>
  </si>
  <si>
    <t>Melting_Curves/meltCurve_P09110_ACAA1.pdf</t>
  </si>
  <si>
    <t>Melting_Curves/meltCurve_P09132_SRP19.pdf</t>
  </si>
  <si>
    <t>Melting_Curves/meltCurve_P09211_GSTP1.pdf</t>
  </si>
  <si>
    <t>Melting_Curves/meltCurve_P09234_SNRPC.pdf</t>
  </si>
  <si>
    <t>Melting_Curves/meltCurve_P09382_LGALS1.pdf</t>
  </si>
  <si>
    <t>Melting_Curves/meltCurve_P09417_QDPR.pdf</t>
  </si>
  <si>
    <t>Melting_Curves/meltCurve_P09429_HMGB1.pdf</t>
  </si>
  <si>
    <t>Melting_Curves/meltCurve_P09486_SPARC.pdf</t>
  </si>
  <si>
    <t>Melting_Curves/meltCurve_P09496_2_CLTA.pdf</t>
  </si>
  <si>
    <t>Melting_Curves/meltCurve_P09497_2_CLTB.pdf</t>
  </si>
  <si>
    <t>Melting_Curves/meltCurve_P09525_ANXA4.pdf</t>
  </si>
  <si>
    <t>Melting_Curves/meltCurve_P09543_2_CNP.pdf</t>
  </si>
  <si>
    <t>Melting_Curves/meltCurve_P09601_HMOX1.pdf</t>
  </si>
  <si>
    <t>Melting_Curves/meltCurve_P09619_PDGFRB.pdf</t>
  </si>
  <si>
    <t>Melting_Curves/meltCurve_P09622_DLD.pdf</t>
  </si>
  <si>
    <t>Melting_Curves/meltCurve_P09661_SNRPA1.pdf</t>
  </si>
  <si>
    <t>Melting_Curves/meltCurve_P09668_CTSH.pdf</t>
  </si>
  <si>
    <t>Melting_Curves/meltCurve_P09669_COX6C.pdf</t>
  </si>
  <si>
    <t>Melting_Curves/meltCurve_P09874_PARP1.pdf</t>
  </si>
  <si>
    <t>Melting_Curves/meltCurve_P09917_2_ALOX5.pdf</t>
  </si>
  <si>
    <t>Melting_Curves/meltCurve_P09936_UCHL1.pdf</t>
  </si>
  <si>
    <t>Melting_Curves/meltCurve_P09960_LTA4H.pdf</t>
  </si>
  <si>
    <t>Melting_Curves/meltCurve_P09972_ALDOC.pdf</t>
  </si>
  <si>
    <t>Melting_Curves/meltCurve_P0C7P0_CISD3.pdf</t>
  </si>
  <si>
    <t>Melting_Curves/meltCurve_P0C7T5_ATXN1L.pdf</t>
  </si>
  <si>
    <t>Melting_Curves/meltCurve_P0CAP2_POLR2M.pdf</t>
  </si>
  <si>
    <t>Melting_Curves/meltCurve_P0CG12_CHTF8.pdf</t>
  </si>
  <si>
    <t>Melting_Curves/meltCurve_P0CG35_TMSB15B.pdf</t>
  </si>
  <si>
    <t>Melting_Curves/meltCurve_P0CW22_RPS17L.pdf</t>
  </si>
  <si>
    <t>Melting_Curves/meltCurve_P0DJ93_SMIM13.pdf</t>
  </si>
  <si>
    <t>Melting_Curves/meltCurve_P10109_FDX1.pdf</t>
  </si>
  <si>
    <t>Melting_Curves/meltCurve_P10114_RAP2A.pdf</t>
  </si>
  <si>
    <t>Melting_Curves/meltCurve_P10124_SRGN.pdf</t>
  </si>
  <si>
    <t>Melting_Curves/meltCurve_P10155_TROVE2.pdf</t>
  </si>
  <si>
    <t>Melting_Curves/meltCurve_P10176_COX8A.pdf</t>
  </si>
  <si>
    <t>Melting_Curves/meltCurve_P10253_GAA.pdf</t>
  </si>
  <si>
    <t>Melting_Curves/meltCurve_P10301_RRAS.pdf</t>
  </si>
  <si>
    <t>Melting_Curves/meltCurve_P10398_ARAF.pdf</t>
  </si>
  <si>
    <t>Melting_Curves/meltCurve_P10515_DLAT.pdf</t>
  </si>
  <si>
    <t>Melting_Curves/meltCurve_P10586_2_PTPRF.pdf</t>
  </si>
  <si>
    <t>Melting_Curves/meltCurve_P10599_TXN.pdf</t>
  </si>
  <si>
    <t>Melting_Curves/meltCurve_P10606_COX5B.pdf</t>
  </si>
  <si>
    <t>Melting_Curves/meltCurve_P10619_CTSA.pdf</t>
  </si>
  <si>
    <t>Melting_Curves/meltCurve_P10620_MGST1.pdf</t>
  </si>
  <si>
    <t>Melting_Curves/meltCurve_P10636_MAPT.pdf</t>
  </si>
  <si>
    <t>Melting_Curves/meltCurve_P10644_PRKAR1A.pdf</t>
  </si>
  <si>
    <t>Melting_Curves/meltCurve_P10746_UROS.pdf</t>
  </si>
  <si>
    <t>Melting_Curves/meltCurve_P10768_ESD.pdf</t>
  </si>
  <si>
    <t>Melting_Curves/meltCurve_P10809_HSPD1.pdf</t>
  </si>
  <si>
    <t>Melting_Curves/meltCurve_P10909_4_CLU.pdf</t>
  </si>
  <si>
    <t>Melting_Curves/meltCurve_P10915_HAPLN1.pdf</t>
  </si>
  <si>
    <t>Melting_Curves/meltCurve_P11021_HSPA5.pdf</t>
  </si>
  <si>
    <t>Melting_Curves/meltCurve_P11047_LAMC1.pdf</t>
  </si>
  <si>
    <t>Melting_Curves/meltCurve_P11117_ACP2.pdf</t>
  </si>
  <si>
    <t>Melting_Curves/meltCurve_P11137_3_MAP2.pdf</t>
  </si>
  <si>
    <t>Melting_Curves/meltCurve_P11137_4_MAP2.pdf</t>
  </si>
  <si>
    <t>Melting_Curves/meltCurve_P11142_HSPA8.pdf</t>
  </si>
  <si>
    <t>Melting_Curves/meltCurve_P11161_2_EGR2.pdf</t>
  </si>
  <si>
    <t>Melting_Curves/meltCurve_P11166_SLC2A1.pdf</t>
  </si>
  <si>
    <t>Melting_Curves/meltCurve_P11169_SLC2A3.pdf</t>
  </si>
  <si>
    <t>Melting_Curves/meltCurve_P11172_UMPS.pdf</t>
  </si>
  <si>
    <t>Melting_Curves/meltCurve_P11177_2_PDHB.pdf</t>
  </si>
  <si>
    <t>Melting_Curves/meltCurve_P11182_DBT.pdf</t>
  </si>
  <si>
    <t>Melting_Curves/meltCurve_P11216_PYGB.pdf</t>
  </si>
  <si>
    <t>Melting_Curves/meltCurve_P11233_RALA.pdf</t>
  </si>
  <si>
    <t>Melting_Curves/meltCurve_P11234_RALB.pdf</t>
  </si>
  <si>
    <t>Melting_Curves/meltCurve_P11274_2_BCR.pdf</t>
  </si>
  <si>
    <t>Melting_Curves/meltCurve_P11279_LAMP1.pdf</t>
  </si>
  <si>
    <t>Melting_Curves/meltCurve_P11413_G6PD.pdf</t>
  </si>
  <si>
    <t>Melting_Curves/meltCurve_P11441_UBL4A.pdf</t>
  </si>
  <si>
    <t>Melting_Curves/meltCurve_P11498_PC.pdf</t>
  </si>
  <si>
    <t>Melting_Curves/meltCurve_P11586_MTHFD1.pdf</t>
  </si>
  <si>
    <t>Melting_Curves/meltCurve_P11717_IGF2R.pdf</t>
  </si>
  <si>
    <t>Melting_Curves/meltCurve_P11766_ADH5.pdf</t>
  </si>
  <si>
    <t>Melting_Curves/meltCurve_P11802_CDK4.pdf</t>
  </si>
  <si>
    <t>Melting_Curves/meltCurve_P11831_SRF.pdf</t>
  </si>
  <si>
    <t>Melting_Curves/meltCurve_P11908_PRPS2.pdf</t>
  </si>
  <si>
    <t>Melting_Curves/meltCurve_P11940_2_PABPC1.pdf</t>
  </si>
  <si>
    <t>Melting_Curves/meltCurve_P12004_PCNA.pdf</t>
  </si>
  <si>
    <t>Melting_Curves/meltCurve_P12081_HARS.pdf</t>
  </si>
  <si>
    <t>Melting_Curves/meltCurve_P12107_3_COL11A1.pdf</t>
  </si>
  <si>
    <t>Melting_Curves/meltCurve_P12109_COL6A1.pdf</t>
  </si>
  <si>
    <t>Melting_Curves/meltCurve_P12110_COL6A2.pdf</t>
  </si>
  <si>
    <t>Melting_Curves/meltCurve_P12110_2_COL6A2.pdf</t>
  </si>
  <si>
    <t>Melting_Curves/meltCurve_P12111_COL6A3.pdf</t>
  </si>
  <si>
    <t>Melting_Curves/meltCurve_P12236_SLC25A6.pdf</t>
  </si>
  <si>
    <t>Melting_Curves/meltCurve_P12268_IMPDH2.pdf</t>
  </si>
  <si>
    <t>Melting_Curves/meltCurve_P12270_TPR.pdf</t>
  </si>
  <si>
    <t>Melting_Curves/meltCurve_P12277_CKB.pdf</t>
  </si>
  <si>
    <t>Melting_Curves/meltCurve_P12429_ANXA3.pdf</t>
  </si>
  <si>
    <t>Melting_Curves/meltCurve_P12532_CKMT1A.pdf</t>
  </si>
  <si>
    <t>Melting_Curves/meltCurve_P12814_2_ACTN1.pdf</t>
  </si>
  <si>
    <t>Melting_Curves/meltCurve_P12821_2_ACE.pdf</t>
  </si>
  <si>
    <t>Melting_Curves/meltCurve_P12931_SRC.pdf</t>
  </si>
  <si>
    <t>Melting_Curves/meltCurve_P12955_PEPD.pdf</t>
  </si>
  <si>
    <t>Melting_Curves/meltCurve_P12956_XRCC6.pdf</t>
  </si>
  <si>
    <t>Melting_Curves/meltCurve_P13010_XRCC5.pdf</t>
  </si>
  <si>
    <t>Melting_Curves/meltCurve_P13073_COX4I1.pdf</t>
  </si>
  <si>
    <t>Melting_Curves/meltCurve_P13196_ALAS1.pdf</t>
  </si>
  <si>
    <t>Melting_Curves/meltCurve_P13284_IFI30.pdf</t>
  </si>
  <si>
    <t>Melting_Curves/meltCurve_P13489_RNH1.pdf</t>
  </si>
  <si>
    <t>Melting_Curves/meltCurve_P13611_VCAN.pdf</t>
  </si>
  <si>
    <t>Melting_Curves/meltCurve_P13612_ITGA4.pdf</t>
  </si>
  <si>
    <t>Melting_Curves/meltCurve_P13639_EEF2.pdf</t>
  </si>
  <si>
    <t>Melting_Curves/meltCurve_P13667_PDIA4.pdf</t>
  </si>
  <si>
    <t>Melting_Curves/meltCurve_P13674_P4HA1.pdf</t>
  </si>
  <si>
    <t>Melting_Curves/meltCurve_P13674_2_P4HA1.pdf</t>
  </si>
  <si>
    <t>Melting_Curves/meltCurve_P13693_TPT1.pdf</t>
  </si>
  <si>
    <t>Melting_Curves/meltCurve_P13726_F3.pdf</t>
  </si>
  <si>
    <t>Melting_Curves/meltCurve_P13746_2_HLA_A.pdf</t>
  </si>
  <si>
    <t>Melting_Curves/meltCurve_P13797_PLS3.pdf</t>
  </si>
  <si>
    <t>Melting_Curves/meltCurve_P13804_ETFA.pdf</t>
  </si>
  <si>
    <t>Melting_Curves/meltCurve_P13861_PRKAR2A.pdf</t>
  </si>
  <si>
    <t>Melting_Curves/meltCurve_P13929_2_ENO3.pdf</t>
  </si>
  <si>
    <t>Melting_Curves/meltCurve_P13984_GTF2F2.pdf</t>
  </si>
  <si>
    <t>Melting_Curves/meltCurve_P13995_MTHFD2.pdf</t>
  </si>
  <si>
    <t>Melting_Curves/meltCurve_P14174_MIF.pdf</t>
  </si>
  <si>
    <t>Melting_Curves/meltCurve_P14209_3_CD99.pdf</t>
  </si>
  <si>
    <t>Melting_Curves/meltCurve_P14324_2_FDPS.pdf</t>
  </si>
  <si>
    <t>Melting_Curves/meltCurve_P14384_CPM.pdf</t>
  </si>
  <si>
    <t>Melting_Curves/meltCurve_P14550_AKR1A1.pdf</t>
  </si>
  <si>
    <t>Melting_Curves/meltCurve_P14618_PKM.pdf</t>
  </si>
  <si>
    <t>Melting_Curves/meltCurve_P14621_ACYP2.pdf</t>
  </si>
  <si>
    <t>Melting_Curves/meltCurve_P14625_HSP90B1.pdf</t>
  </si>
  <si>
    <t>Melting_Curves/meltCurve_P14649_MYL6B.pdf</t>
  </si>
  <si>
    <t>Melting_Curves/meltCurve_P14735_IDE.pdf</t>
  </si>
  <si>
    <t>Melting_Curves/meltCurve_P14854_COX6B1.pdf</t>
  </si>
  <si>
    <t>Melting_Curves/meltCurve_P14866_HNRNPL.pdf</t>
  </si>
  <si>
    <t>Melting_Curves/meltCurve_P14868_DARS.pdf</t>
  </si>
  <si>
    <t>Melting_Curves/meltCurve_P14923_JUP.pdf</t>
  </si>
  <si>
    <t>Melting_Curves/meltCurve_P14927_UQCRB.pdf</t>
  </si>
  <si>
    <t>Melting_Curves/meltCurve_P15056_BRAF.pdf</t>
  </si>
  <si>
    <t>Melting_Curves/meltCurve_P15090_FABP4.pdf</t>
  </si>
  <si>
    <t>Melting_Curves/meltCurve_P15104_GLUL.pdf</t>
  </si>
  <si>
    <t>Melting_Curves/meltCurve_P15121_AKR1B1.pdf</t>
  </si>
  <si>
    <t>Melting_Curves/meltCurve_P15144_ANPEP.pdf</t>
  </si>
  <si>
    <t>Melting_Curves/meltCurve_P15151_3_PVR.pdf</t>
  </si>
  <si>
    <t>Melting_Curves/meltCurve_P15170_2_GSPT1.pdf</t>
  </si>
  <si>
    <t>Melting_Curves/meltCurve_P15289_ARSA.pdf</t>
  </si>
  <si>
    <t>Melting_Curves/meltCurve_P15289_2_ARSA.pdf</t>
  </si>
  <si>
    <t>Melting_Curves/meltCurve_P15291_2_B4GALT1.pdf</t>
  </si>
  <si>
    <t>Melting_Curves/meltCurve_P15311_EZR.pdf</t>
  </si>
  <si>
    <t>Melting_Curves/meltCurve_P15374_UCHL3.pdf</t>
  </si>
  <si>
    <t>Melting_Curves/meltCurve_P15407_FOSL1.pdf</t>
  </si>
  <si>
    <t>Melting_Curves/meltCurve_P15529_15_CD46.pdf</t>
  </si>
  <si>
    <t>Melting_Curves/meltCurve_P15529_7_CD46.pdf</t>
  </si>
  <si>
    <t>Melting_Curves/meltCurve_P15531_NME1.pdf</t>
  </si>
  <si>
    <t>Melting_Curves/meltCurve_P15586_GNS.pdf</t>
  </si>
  <si>
    <t>Melting_Curves/meltCurve_P15848_ARSB.pdf</t>
  </si>
  <si>
    <t>Melting_Curves/meltCurve_P15882_CHN1.pdf</t>
  </si>
  <si>
    <t>Melting_Curves/meltCurve_P15927_RPA2.pdf</t>
  </si>
  <si>
    <t>Melting_Curves/meltCurve_P16035_TIMP2.pdf</t>
  </si>
  <si>
    <t>Melting_Curves/meltCurve_P16152_CBR1.pdf</t>
  </si>
  <si>
    <t>Melting_Curves/meltCurve_P16219_ACADS.pdf</t>
  </si>
  <si>
    <t>Melting_Curves/meltCurve_P16220_2_CREB1.pdf</t>
  </si>
  <si>
    <t>Melting_Curves/meltCurve_P16234_PDGFRA.pdf</t>
  </si>
  <si>
    <t>Melting_Curves/meltCurve_P16260_SLC25A16.pdf</t>
  </si>
  <si>
    <t>Melting_Curves/meltCurve_P16278_3_GLB1.pdf</t>
  </si>
  <si>
    <t>Melting_Curves/meltCurve_P16298_PPP3CB.pdf</t>
  </si>
  <si>
    <t>Melting_Curves/meltCurve_P16333_NCK1.pdf</t>
  </si>
  <si>
    <t>Melting_Curves/meltCurve_P16383_GCFC2.pdf</t>
  </si>
  <si>
    <t>Melting_Curves/meltCurve_P16401_HIST1H1B.pdf</t>
  </si>
  <si>
    <t>Melting_Curves/meltCurve_P16403_HIST1H1C.pdf</t>
  </si>
  <si>
    <t>Melting_Curves/meltCurve_P16435_POR.pdf</t>
  </si>
  <si>
    <t>Melting_Curves/meltCurve_P16455_MGMT.pdf</t>
  </si>
  <si>
    <t>Melting_Curves/meltCurve_P16591_3_FER.pdf</t>
  </si>
  <si>
    <t>Melting_Curves/meltCurve_P16615_ATP2A2.pdf</t>
  </si>
  <si>
    <t>Melting_Curves/meltCurve_P16870_2_CPE.pdf</t>
  </si>
  <si>
    <t>Melting_Curves/meltCurve_P16930_FAH.pdf</t>
  </si>
  <si>
    <t>Melting_Curves/meltCurve_P16949_STMN1.pdf</t>
  </si>
  <si>
    <t>Melting_Curves/meltCurve_P16989_YBX3.pdf</t>
  </si>
  <si>
    <t>Melting_Curves/meltCurve_P16989_2_YBX3.pdf</t>
  </si>
  <si>
    <t>Melting_Curves/meltCurve_P17050_NAGA.pdf</t>
  </si>
  <si>
    <t>Melting_Curves/meltCurve_P17066_HSPA6.pdf</t>
  </si>
  <si>
    <t>Melting_Curves/meltCurve_P17096_2_HMGA1.pdf</t>
  </si>
  <si>
    <t>Melting_Curves/meltCurve_P17152_TMEM11.pdf</t>
  </si>
  <si>
    <t>Melting_Curves/meltCurve_P17174_GOT1.pdf</t>
  </si>
  <si>
    <t>Melting_Curves/meltCurve_P17252_PRKCA.pdf</t>
  </si>
  <si>
    <t>Melting_Curves/meltCurve_P17275_JUNB.pdf</t>
  </si>
  <si>
    <t>Melting_Curves/meltCurve_P17301_ITGA2.pdf</t>
  </si>
  <si>
    <t>Melting_Curves/meltCurve_P17302_GJA1.pdf</t>
  </si>
  <si>
    <t>Melting_Curves/meltCurve_P17342_2_NPR3.pdf</t>
  </si>
  <si>
    <t>Melting_Curves/meltCurve_P17405_4_SMPD1.pdf</t>
  </si>
  <si>
    <t>Melting_Curves/meltCurve_P17535_JUND.pdf</t>
  </si>
  <si>
    <t>Melting_Curves/meltCurve_P17612_PRKACA.pdf</t>
  </si>
  <si>
    <t>Melting_Curves/meltCurve_P17655_CAPN2.pdf</t>
  </si>
  <si>
    <t>Melting_Curves/meltCurve_P17661_DES.pdf</t>
  </si>
  <si>
    <t>Melting_Curves/meltCurve_P17812_CTPS1.pdf</t>
  </si>
  <si>
    <t>Melting_Curves/meltCurve_P17813_2_ENG.pdf</t>
  </si>
  <si>
    <t>Melting_Curves/meltCurve_P17858_PFKL.pdf</t>
  </si>
  <si>
    <t>Melting_Curves/meltCurve_P17900_GM2A.pdf</t>
  </si>
  <si>
    <t>Melting_Curves/meltCurve_P17931_LGALS3.pdf</t>
  </si>
  <si>
    <t>Melting_Curves/meltCurve_P17936_IGFBP3.pdf</t>
  </si>
  <si>
    <t>Melting_Curves/meltCurve_P17987_TCP1.pdf</t>
  </si>
  <si>
    <t>Melting_Curves/meltCurve_P18031_PTPN1.pdf</t>
  </si>
  <si>
    <t>Melting_Curves/meltCurve_P18065_IGFBP2.pdf</t>
  </si>
  <si>
    <t>Melting_Curves/meltCurve_P18084_ITGB5.pdf</t>
  </si>
  <si>
    <t>Melting_Curves/meltCurve_P18085_ARF4.pdf</t>
  </si>
  <si>
    <t>Melting_Curves/meltCurve_P18124_RPL7.pdf</t>
  </si>
  <si>
    <t>Melting_Curves/meltCurve_P18146_EGR1.pdf</t>
  </si>
  <si>
    <t>Melting_Curves/meltCurve_P18615_NELFE.pdf</t>
  </si>
  <si>
    <t>Melting_Curves/meltCurve_P18669_PGAM1.pdf</t>
  </si>
  <si>
    <t>Melting_Curves/meltCurve_P18754_RCC1.pdf</t>
  </si>
  <si>
    <t>Melting_Curves/meltCurve_P18827_SDC1.pdf</t>
  </si>
  <si>
    <t>Melting_Curves/meltCurve_P18846_ATF1.pdf</t>
  </si>
  <si>
    <t>Melting_Curves/meltCurve_P18859_ATP5J.pdf</t>
  </si>
  <si>
    <t>Melting_Curves/meltCurve_P19021_PAM.pdf</t>
  </si>
  <si>
    <t>Melting_Curves/meltCurve_P19338_NCL.pdf</t>
  </si>
  <si>
    <t>Melting_Curves/meltCurve_P19367_HK1.pdf</t>
  </si>
  <si>
    <t>Melting_Curves/meltCurve_P19388_POLR2E.pdf</t>
  </si>
  <si>
    <t>Melting_Curves/meltCurve_P19532_TFE3.pdf</t>
  </si>
  <si>
    <t>Melting_Curves/meltCurve_P19623_SRM.pdf</t>
  </si>
  <si>
    <t>Melting_Curves/meltCurve_P19784_CSNK2A2.pdf</t>
  </si>
  <si>
    <t>Melting_Curves/meltCurve_P19838_NFKB1.pdf</t>
  </si>
  <si>
    <t>Melting_Curves/meltCurve_P19883_2_FST.pdf</t>
  </si>
  <si>
    <t>Melting_Curves/meltCurve_P19971_TYMP.pdf</t>
  </si>
  <si>
    <t>Melting_Curves/meltCurve_P20020_6_ATP2B1.pdf</t>
  </si>
  <si>
    <t>Melting_Curves/meltCurve_P20042_EIF2S2.pdf</t>
  </si>
  <si>
    <t>Melting_Curves/meltCurve_P20290_BTF3.pdf</t>
  </si>
  <si>
    <t>Melting_Curves/meltCurve_P20290_2_BTF3.pdf</t>
  </si>
  <si>
    <t>Melting_Curves/meltCurve_P20336_RAB3A.pdf</t>
  </si>
  <si>
    <t>Melting_Curves/meltCurve_P20337_RAB3B.pdf</t>
  </si>
  <si>
    <t>Melting_Curves/meltCurve_P20338_RAB4A.pdf</t>
  </si>
  <si>
    <t>Melting_Curves/meltCurve_P20340_2_RAB6A.pdf</t>
  </si>
  <si>
    <t>Melting_Curves/meltCurve_P20591_MX1.pdf</t>
  </si>
  <si>
    <t>Melting_Curves/meltCurve_P20618_PSMB1.pdf</t>
  </si>
  <si>
    <t>Melting_Curves/meltCurve_P20645_M6PR.pdf</t>
  </si>
  <si>
    <t>Melting_Curves/meltCurve_P20674_COX5A.pdf</t>
  </si>
  <si>
    <t>Melting_Curves/meltCurve_P20700_LMNB1.pdf</t>
  </si>
  <si>
    <t>Melting_Curves/meltCurve_P20719_HOXA5.pdf</t>
  </si>
  <si>
    <t>Melting_Curves/meltCurve_P20908_COL5A1.pdf</t>
  </si>
  <si>
    <t>Melting_Curves/meltCurve_P20933_AGA.pdf</t>
  </si>
  <si>
    <t>Melting_Curves/meltCurve_P20962_PTMS.pdf</t>
  </si>
  <si>
    <t>Melting_Curves/meltCurve_P21266_GSTM3.pdf</t>
  </si>
  <si>
    <t>Melting_Curves/meltCurve_P21281_ATP6V1B2.pdf</t>
  </si>
  <si>
    <t>Melting_Curves/meltCurve_P21283_ATP6V1C1.pdf</t>
  </si>
  <si>
    <t>Melting_Curves/meltCurve_P21291_CSRP1.pdf</t>
  </si>
  <si>
    <t>Melting_Curves/meltCurve_P21333_2_FLNA.pdf</t>
  </si>
  <si>
    <t>Melting_Curves/meltCurve_P21397_MAOA.pdf</t>
  </si>
  <si>
    <t>Melting_Curves/meltCurve_P21399_ACO1.pdf</t>
  </si>
  <si>
    <t>Melting_Curves/meltCurve_P21583_2_KITLG.pdf</t>
  </si>
  <si>
    <t>Melting_Curves/meltCurve_P21589_NT5E.pdf</t>
  </si>
  <si>
    <t>Melting_Curves/meltCurve_P21796_VDAC1.pdf</t>
  </si>
  <si>
    <t>Melting_Curves/meltCurve_P21912_SDHB.pdf</t>
  </si>
  <si>
    <t>Melting_Curves/meltCurve_P21953_BCKDHB.pdf</t>
  </si>
  <si>
    <t>Melting_Curves/meltCurve_P21964_2_COMT.pdf</t>
  </si>
  <si>
    <t>Melting_Curves/meltCurve_P21980_TGM2.pdf</t>
  </si>
  <si>
    <t>Melting_Curves/meltCurve_P22033_MUT.pdf</t>
  </si>
  <si>
    <t>Melting_Curves/meltCurve_P22059_OSBP.pdf</t>
  </si>
  <si>
    <t>Melting_Curves/meltCurve_P22102_GART.pdf</t>
  </si>
  <si>
    <t>Melting_Curves/meltCurve_P22304_IDS.pdf</t>
  </si>
  <si>
    <t>Melting_Curves/meltCurve_P22307_SCP2.pdf</t>
  </si>
  <si>
    <t>Melting_Curves/meltCurve_P22307_2_SCP2.pdf</t>
  </si>
  <si>
    <t>Melting_Curves/meltCurve_P22314_UBA1.pdf</t>
  </si>
  <si>
    <t>Melting_Curves/meltCurve_P22352_GPX3.pdf</t>
  </si>
  <si>
    <t>Melting_Curves/meltCurve_P22413_ENPP1.pdf</t>
  </si>
  <si>
    <t>Melting_Curves/meltCurve_P22570_FDXR.pdf</t>
  </si>
  <si>
    <t>Melting_Curves/meltCurve_P22626_HNRNPA2B1.pdf</t>
  </si>
  <si>
    <t>Melting_Curves/meltCurve_P22676_CALB2.pdf</t>
  </si>
  <si>
    <t>Melting_Curves/meltCurve_P22681_CBL.pdf</t>
  </si>
  <si>
    <t>Melting_Curves/meltCurve_P22692_IGFBP4.pdf</t>
  </si>
  <si>
    <t>Melting_Curves/meltCurve_P22694_PRKACB.pdf</t>
  </si>
  <si>
    <t>Melting_Curves/meltCurve_P22830_FECH.pdf</t>
  </si>
  <si>
    <t>Melting_Curves/meltCurve_P23141_3_CES1.pdf</t>
  </si>
  <si>
    <t>Melting_Curves/meltCurve_P23142_4_FBLN1.pdf</t>
  </si>
  <si>
    <t>Melting_Curves/meltCurve_P23193_TCEA1.pdf</t>
  </si>
  <si>
    <t>Melting_Curves/meltCurve_P23219_3_PTGS1.pdf</t>
  </si>
  <si>
    <t>Melting_Curves/meltCurve_P23246_SFPQ.pdf</t>
  </si>
  <si>
    <t>Melting_Curves/meltCurve_P23258_TUBG1.pdf</t>
  </si>
  <si>
    <t>Melting_Curves/meltCurve_P23284_PPIB.pdf</t>
  </si>
  <si>
    <t>Melting_Curves/meltCurve_P23368_ME2.pdf</t>
  </si>
  <si>
    <t>Melting_Curves/meltCurve_P23381_WARS.pdf</t>
  </si>
  <si>
    <t>Melting_Curves/meltCurve_P23396_RPS3.pdf</t>
  </si>
  <si>
    <t>Melting_Curves/meltCurve_P23434_GCSH.pdf</t>
  </si>
  <si>
    <t>Melting_Curves/meltCurve_P23470_2_PTPRG.pdf</t>
  </si>
  <si>
    <t>Melting_Curves/meltCurve_P23497_SP100.pdf</t>
  </si>
  <si>
    <t>Melting_Curves/meltCurve_P23508_2_MCC.pdf</t>
  </si>
  <si>
    <t>Melting_Curves/meltCurve_P23511_2_NFYA.pdf</t>
  </si>
  <si>
    <t>Melting_Curves/meltCurve_P23526_AHCY.pdf</t>
  </si>
  <si>
    <t>Melting_Curves/meltCurve_P23528_CFL1.pdf</t>
  </si>
  <si>
    <t>Melting_Curves/meltCurve_P23610_F8A1.pdf</t>
  </si>
  <si>
    <t>Melting_Curves/meltCurve_P23634_5_ATP2B4.pdf</t>
  </si>
  <si>
    <t>Melting_Curves/meltCurve_P23634_8_ATP2B4.pdf</t>
  </si>
  <si>
    <t>Melting_Curves/meltCurve_P23743_DGKA.pdf</t>
  </si>
  <si>
    <t>Melting_Curves/meltCurve_P23786_CPT2.pdf</t>
  </si>
  <si>
    <t>Melting_Curves/meltCurve_P23919_DTYMK.pdf</t>
  </si>
  <si>
    <t>Melting_Curves/meltCurve_P23921_RRM1.pdf</t>
  </si>
  <si>
    <t>Melting_Curves/meltCurve_P24043_LAMA2.pdf</t>
  </si>
  <si>
    <t>Melting_Curves/meltCurve_P24385_CCND1.pdf</t>
  </si>
  <si>
    <t>Melting_Curves/meltCurve_P24522_GADD45A.pdf</t>
  </si>
  <si>
    <t>Melting_Curves/meltCurve_P24534_EEF1B2.pdf</t>
  </si>
  <si>
    <t>Melting_Curves/meltCurve_P24592_IGFBP6.pdf</t>
  </si>
  <si>
    <t>Melting_Curves/meltCurve_P24593_IGFBP5.pdf</t>
  </si>
  <si>
    <t>Melting_Curves/meltCurve_P24666_ACP1.pdf</t>
  </si>
  <si>
    <t>Melting_Curves/meltCurve_P24666_2_ACP1.pdf</t>
  </si>
  <si>
    <t>Melting_Curves/meltCurve_P24752_ACAT1.pdf</t>
  </si>
  <si>
    <t>Melting_Curves/meltCurve_P24821_4_TNC.pdf</t>
  </si>
  <si>
    <t>Melting_Curves/meltCurve_P24844_MYL9.pdf</t>
  </si>
  <si>
    <t>Melting_Curves/meltCurve_P24928_POLR2A.pdf</t>
  </si>
  <si>
    <t>Melting_Curves/meltCurve_P25098_ADRBK1.pdf</t>
  </si>
  <si>
    <t>Melting_Curves/meltCurve_P25116_F2R.pdf</t>
  </si>
  <si>
    <t>Melting_Curves/meltCurve_P25398_RPS12.pdf</t>
  </si>
  <si>
    <t>Melting_Curves/meltCurve_P25445_6_FAS.pdf</t>
  </si>
  <si>
    <t>Melting_Curves/meltCurve_P25685_DNAJB1.pdf</t>
  </si>
  <si>
    <t>Melting_Curves/meltCurve_P25686_DNAJB2.pdf</t>
  </si>
  <si>
    <t>Melting_Curves/meltCurve_P25705_ATP5A1.pdf</t>
  </si>
  <si>
    <t>Melting_Curves/meltCurve_P25786_PSMA1.pdf</t>
  </si>
  <si>
    <t>Melting_Curves/meltCurve_P25787_PSMA2.pdf</t>
  </si>
  <si>
    <t>Melting_Curves/meltCurve_P25788_2_PSMA3.pdf</t>
  </si>
  <si>
    <t>Melting_Curves/meltCurve_P25789_PSMA4.pdf</t>
  </si>
  <si>
    <t>Melting_Curves/meltCurve_P26006_ITGA3.pdf</t>
  </si>
  <si>
    <t>Melting_Curves/meltCurve_P26022_PTX3.pdf</t>
  </si>
  <si>
    <t>Melting_Curves/meltCurve_P26038_MSN.pdf</t>
  </si>
  <si>
    <t>Melting_Curves/meltCurve_P26196_DDX6.pdf</t>
  </si>
  <si>
    <t>Melting_Curves/meltCurve_P26232_3_CTNNA2.pdf</t>
  </si>
  <si>
    <t>Melting_Curves/meltCurve_P26373_RPL13.pdf</t>
  </si>
  <si>
    <t>Melting_Curves/meltCurve_P26374_CHML.pdf</t>
  </si>
  <si>
    <t>Melting_Curves/meltCurve_P26440_IVD.pdf</t>
  </si>
  <si>
    <t>Melting_Curves/meltCurve_P26447_S100A4.pdf</t>
  </si>
  <si>
    <t>Melting_Curves/meltCurve_P26572_MGAT1.pdf</t>
  </si>
  <si>
    <t>Melting_Curves/meltCurve_P26583_HMGB2.pdf</t>
  </si>
  <si>
    <t>Melting_Curves/meltCurve_P26599_PTBP1.pdf</t>
  </si>
  <si>
    <t>Melting_Curves/meltCurve_P26639_TARS.pdf</t>
  </si>
  <si>
    <t>Melting_Curves/meltCurve_P26641_EEF1G.pdf</t>
  </si>
  <si>
    <t>Melting_Curves/meltCurve_P26885_FKBP2.pdf</t>
  </si>
  <si>
    <t>Melting_Curves/meltCurve_P27144_AK4.pdf</t>
  </si>
  <si>
    <t>Melting_Curves/meltCurve_P27338_MAOB.pdf</t>
  </si>
  <si>
    <t>Melting_Curves/meltCurve_P27348_YWHAQ.pdf</t>
  </si>
  <si>
    <t>Melting_Curves/meltCurve_P27361_MAPK3.pdf</t>
  </si>
  <si>
    <t>Melting_Curves/meltCurve_P27449_ATP6V0C.pdf</t>
  </si>
  <si>
    <t>Melting_Curves/meltCurve_P27540_2_ARNT.pdf</t>
  </si>
  <si>
    <t>Melting_Curves/meltCurve_P27635_RPL10.pdf</t>
  </si>
  <si>
    <t>Melting_Curves/meltCurve_P27658_COL8A1.pdf</t>
  </si>
  <si>
    <t>Melting_Curves/meltCurve_P27694_RPA1.pdf</t>
  </si>
  <si>
    <t>Melting_Curves/meltCurve_P27695_APEX1.pdf</t>
  </si>
  <si>
    <t>Melting_Curves/meltCurve_P27701_CD82.pdf</t>
  </si>
  <si>
    <t>Melting_Curves/meltCurve_P27797_CALR.pdf</t>
  </si>
  <si>
    <t>Melting_Curves/meltCurve_P27816_5_MAP4.pdf</t>
  </si>
  <si>
    <t>Melting_Curves/meltCurve_P27824_CANX.pdf</t>
  </si>
  <si>
    <t>Melting_Curves/meltCurve_P28062_2_PSMB8.pdf</t>
  </si>
  <si>
    <t>Melting_Curves/meltCurve_P28066_PSMA5.pdf</t>
  </si>
  <si>
    <t>Melting_Curves/meltCurve_P28070_PSMB4.pdf</t>
  </si>
  <si>
    <t>Melting_Curves/meltCurve_P28072_PSMB6.pdf</t>
  </si>
  <si>
    <t>Melting_Curves/meltCurve_P28074_PSMB5.pdf</t>
  </si>
  <si>
    <t>Melting_Curves/meltCurve_P28161_GSTM2.pdf</t>
  </si>
  <si>
    <t>Melting_Curves/meltCurve_P28300_LOX.pdf</t>
  </si>
  <si>
    <t>Melting_Curves/meltCurve_P28331_NDUFS1.pdf</t>
  </si>
  <si>
    <t>Melting_Curves/meltCurve_P28482_MAPK1.pdf</t>
  </si>
  <si>
    <t>Melting_Curves/meltCurve_P28715_ERCC5.pdf</t>
  </si>
  <si>
    <t>Melting_Curves/meltCurve_P28799_GRN.pdf</t>
  </si>
  <si>
    <t>Melting_Curves/meltCurve_P28838_2_LAP3.pdf</t>
  </si>
  <si>
    <t>Melting_Curves/meltCurve_P28845_HSD11B1.pdf</t>
  </si>
  <si>
    <t>Melting_Curves/meltCurve_P29083_GTF2E1.pdf</t>
  </si>
  <si>
    <t>Melting_Curves/meltCurve_P29218_IMPA1.pdf</t>
  </si>
  <si>
    <t>Melting_Curves/meltCurve_P29279_CTGF.pdf</t>
  </si>
  <si>
    <t>Melting_Curves/meltCurve_P29317_EPHA2.pdf</t>
  </si>
  <si>
    <t>Melting_Curves/meltCurve_P29323_2_EPHB2.pdf</t>
  </si>
  <si>
    <t>Melting_Curves/meltCurve_P29353_SHC1.pdf</t>
  </si>
  <si>
    <t>Melting_Curves/meltCurve_P29353_6_SHC1.pdf</t>
  </si>
  <si>
    <t>Melting_Curves/meltCurve_P29373_CRABP2.pdf</t>
  </si>
  <si>
    <t>Melting_Curves/meltCurve_P29401_TKT.pdf</t>
  </si>
  <si>
    <t>Melting_Curves/meltCurve_P29536_2_LMOD1.pdf</t>
  </si>
  <si>
    <t>Melting_Curves/meltCurve_P29590_PML.pdf</t>
  </si>
  <si>
    <t>Melting_Curves/meltCurve_P29966_MARCKS.pdf</t>
  </si>
  <si>
    <t>Melting_Curves/meltCurve_P29992_GNA11.pdf</t>
  </si>
  <si>
    <t>Melting_Curves/meltCurve_P30038_ALDH4A1.pdf</t>
  </si>
  <si>
    <t>Melting_Curves/meltCurve_P30039_PBLD.pdf</t>
  </si>
  <si>
    <t>Melting_Curves/meltCurve_P30040_ERP29.pdf</t>
  </si>
  <si>
    <t>Melting_Curves/meltCurve_P30041_PRDX6.pdf</t>
  </si>
  <si>
    <t>Melting_Curves/meltCurve_P30042_C21orf33.pdf</t>
  </si>
  <si>
    <t>Melting_Curves/meltCurve_P30043_BLVRB.pdf</t>
  </si>
  <si>
    <t>Melting_Curves/meltCurve_P30044_2_PRDX5.pdf</t>
  </si>
  <si>
    <t>Melting_Curves/meltCurve_P30046_DDT.pdf</t>
  </si>
  <si>
    <t>Melting_Curves/meltCurve_P30049_ATP5D.pdf</t>
  </si>
  <si>
    <t>Melting_Curves/meltCurve_P30050_RPL12.pdf</t>
  </si>
  <si>
    <t>Melting_Curves/meltCurve_P30084_ECHS1.pdf</t>
  </si>
  <si>
    <t>Melting_Curves/meltCurve_P30085_CMPK1.pdf</t>
  </si>
  <si>
    <t>Melting_Curves/meltCurve_P30086_PEBP1.pdf</t>
  </si>
  <si>
    <t>Melting_Curves/meltCurve_P30153_PPP2R1A.pdf</t>
  </si>
  <si>
    <t>Melting_Curves/meltCurve_P30154_4_PPP2R1B.pdf</t>
  </si>
  <si>
    <t>Melting_Curves/meltCurve_P30405_PPIF.pdf</t>
  </si>
  <si>
    <t>Melting_Curves/meltCurve_P30411_2_BDKRB2.pdf</t>
  </si>
  <si>
    <t>Melting_Curves/meltCurve_P30419_NMT1.pdf</t>
  </si>
  <si>
    <t>Melting_Curves/meltCurve_P30504_HLA_C.pdf</t>
  </si>
  <si>
    <t>Melting_Curves/meltCurve_P30519_HMOX2.pdf</t>
  </si>
  <si>
    <t>Melting_Curves/meltCurve_P30520_ADSS.pdf</t>
  </si>
  <si>
    <t>Melting_Curves/meltCurve_P30530_2_AXL.pdf</t>
  </si>
  <si>
    <t>Melting_Curves/meltCurve_P30533_LRPAP1.pdf</t>
  </si>
  <si>
    <t>Melting_Curves/meltCurve_P30566_ADSL.pdf</t>
  </si>
  <si>
    <t>Melting_Curves/meltCurve_P30613_2_PKLR.pdf</t>
  </si>
  <si>
    <t>Melting_Curves/meltCurve_P30711_GSTT1.pdf</t>
  </si>
  <si>
    <t>Melting_Curves/meltCurve_P30740_SERPINB1.pdf</t>
  </si>
  <si>
    <t>Melting_Curves/meltCurve_P30825_SLC7A1.pdf</t>
  </si>
  <si>
    <t>Melting_Curves/meltCurve_P30837_ALDH1B1.pdf</t>
  </si>
  <si>
    <t>Melting_Curves/meltCurve_P31146_CORO1A.pdf</t>
  </si>
  <si>
    <t>Melting_Curves/meltCurve_P31150_GDI1.pdf</t>
  </si>
  <si>
    <t>Melting_Curves/meltCurve_P31153_MAT2A.pdf</t>
  </si>
  <si>
    <t>Melting_Curves/meltCurve_P31321_PRKAR1B.pdf</t>
  </si>
  <si>
    <t>Melting_Curves/meltCurve_P31323_PRKAR2B.pdf</t>
  </si>
  <si>
    <t>Melting_Curves/meltCurve_P31327_CPS1.pdf</t>
  </si>
  <si>
    <t>Melting_Curves/meltCurve_P31350_RRM2.pdf</t>
  </si>
  <si>
    <t>Melting_Curves/meltCurve_P31689_DNAJA1.pdf</t>
  </si>
  <si>
    <t>Melting_Curves/meltCurve_P31749_AKT1.pdf</t>
  </si>
  <si>
    <t>Melting_Curves/meltCurve_P31751_AKT2.pdf</t>
  </si>
  <si>
    <t>Melting_Curves/meltCurve_P31930_UQCRC1.pdf</t>
  </si>
  <si>
    <t>Melting_Curves/meltCurve_P31937_HIBADH.pdf</t>
  </si>
  <si>
    <t>Melting_Curves/meltCurve_P31939_ATIC.pdf</t>
  </si>
  <si>
    <t>Melting_Curves/meltCurve_P31942_2_HNRNPH3.pdf</t>
  </si>
  <si>
    <t>Melting_Curves/meltCurve_P31946_YWHAB.pdf</t>
  </si>
  <si>
    <t>Melting_Curves/meltCurve_P31947_2_SFN.pdf</t>
  </si>
  <si>
    <t>Melting_Curves/meltCurve_P31948_STIP1.pdf</t>
  </si>
  <si>
    <t>Melting_Curves/meltCurve_P31949_S100A11.pdf</t>
  </si>
  <si>
    <t>Melting_Curves/meltCurve_P32119_PRDX2.pdf</t>
  </si>
  <si>
    <t>Melting_Curves/meltCurve_P32189_1_GK.pdf</t>
  </si>
  <si>
    <t>Melting_Curves/meltCurve_P32320_CDA.pdf</t>
  </si>
  <si>
    <t>Melting_Curves/meltCurve_P32321_2_DCTD.pdf</t>
  </si>
  <si>
    <t>Melting_Curves/meltCurve_P32322_PYCR1.pdf</t>
  </si>
  <si>
    <t>Melting_Curves/meltCurve_P32418_2_SLC8A1.pdf</t>
  </si>
  <si>
    <t>Melting_Curves/meltCurve_P32455_GBP1.pdf</t>
  </si>
  <si>
    <t>Melting_Curves/meltCurve_P32456_GBP2.pdf</t>
  </si>
  <si>
    <t>Melting_Curves/meltCurve_P32856_3_STX2.pdf</t>
  </si>
  <si>
    <t>Melting_Curves/meltCurve_P32929_CTH.pdf</t>
  </si>
  <si>
    <t>Melting_Curves/meltCurve_P32969_RPL9.pdf</t>
  </si>
  <si>
    <t>Melting_Curves/meltCurve_P33121_ACSL1.pdf</t>
  </si>
  <si>
    <t>Melting_Curves/meltCurve_P33176_KIF5B.pdf</t>
  </si>
  <si>
    <t>Melting_Curves/meltCurve_P33240_2_CSTF2.pdf</t>
  </si>
  <si>
    <t>Melting_Curves/meltCurve_P33241_2_LSP1.pdf</t>
  </si>
  <si>
    <t>Melting_Curves/meltCurve_P33316_DUT.pdf</t>
  </si>
  <si>
    <t>Melting_Curves/meltCurve_P33527_ABCC1.pdf</t>
  </si>
  <si>
    <t>Melting_Curves/meltCurve_P33764_S100A3.pdf</t>
  </si>
  <si>
    <t>Melting_Curves/meltCurve_P33908_MAN1A1.pdf</t>
  </si>
  <si>
    <t>Melting_Curves/meltCurve_P34059_GALNS.pdf</t>
  </si>
  <si>
    <t>Melting_Curves/meltCurve_P34896_2_SHMT1.pdf</t>
  </si>
  <si>
    <t>Melting_Curves/meltCurve_P34897_3_SHMT2.pdf</t>
  </si>
  <si>
    <t>Melting_Curves/meltCurve_P34931_HSPA1L.pdf</t>
  </si>
  <si>
    <t>Melting_Curves/meltCurve_P34932_HSPA4.pdf</t>
  </si>
  <si>
    <t>Melting_Curves/meltCurve_P34949_MPI.pdf</t>
  </si>
  <si>
    <t>Melting_Curves/meltCurve_P35052_GPC1.pdf</t>
  </si>
  <si>
    <t>Melting_Curves/meltCurve_P35221_CTNNA1.pdf</t>
  </si>
  <si>
    <t>Melting_Curves/meltCurve_P35232_PHB.pdf</t>
  </si>
  <si>
    <t>Melting_Curves/meltCurve_P35237_SERPINB6.pdf</t>
  </si>
  <si>
    <t>Melting_Curves/meltCurve_P35240_5_NF2.pdf</t>
  </si>
  <si>
    <t>Melting_Curves/meltCurve_P35241_RDX.pdf</t>
  </si>
  <si>
    <t>Melting_Curves/meltCurve_P35244_RPA3.pdf</t>
  </si>
  <si>
    <t>Melting_Curves/meltCurve_P35250_RFC2.pdf</t>
  </si>
  <si>
    <t>Melting_Curves/meltCurve_P35268_RPL22.pdf</t>
  </si>
  <si>
    <t>Melting_Curves/meltCurve_P35269_GTF2F1.pdf</t>
  </si>
  <si>
    <t>Melting_Curves/meltCurve_P35270_SPR.pdf</t>
  </si>
  <si>
    <t>Melting_Curves/meltCurve_P35398_2_RORA.pdf</t>
  </si>
  <si>
    <t>Melting_Curves/meltCurve_P35442_THBS2.pdf</t>
  </si>
  <si>
    <t>Melting_Curves/meltCurve_P35520_CBS.pdf</t>
  </si>
  <si>
    <t>Melting_Curves/meltCurve_P35555_FBN1.pdf</t>
  </si>
  <si>
    <t>Melting_Curves/meltCurve_P35556_FBN2.pdf</t>
  </si>
  <si>
    <t>Melting_Curves/meltCurve_P35568_IRS1.pdf</t>
  </si>
  <si>
    <t>Melting_Curves/meltCurve_P35579_MYH9.pdf</t>
  </si>
  <si>
    <t>Melting_Curves/meltCurve_P35580_MYH10.pdf</t>
  </si>
  <si>
    <t>Melting_Curves/meltCurve_P35606_COPB2.pdf</t>
  </si>
  <si>
    <t>Melting_Curves/meltCurve_P35611_ADD1.pdf</t>
  </si>
  <si>
    <t>Melting_Curves/meltCurve_P35613_2_BSG.pdf</t>
  </si>
  <si>
    <t>Melting_Curves/meltCurve_P35625_TIMP3.pdf</t>
  </si>
  <si>
    <t>Melting_Curves/meltCurve_P35658_2_NUP214.pdf</t>
  </si>
  <si>
    <t>Melting_Curves/meltCurve_P35754_GLRX.pdf</t>
  </si>
  <si>
    <t>Melting_Curves/meltCurve_P35790_2_CHKA.pdf</t>
  </si>
  <si>
    <t>Melting_Curves/meltCurve_P35813_PPM1A.pdf</t>
  </si>
  <si>
    <t>Melting_Curves/meltCurve_P35998_PSMC2.pdf</t>
  </si>
  <si>
    <t>Melting_Curves/meltCurve_P36021_SLC16A2.pdf</t>
  </si>
  <si>
    <t>Melting_Curves/meltCurve_P36269_2_GGT5.pdf</t>
  </si>
  <si>
    <t>Melting_Curves/meltCurve_P36404_ARL2.pdf</t>
  </si>
  <si>
    <t>Melting_Curves/meltCurve_P36405_ARL3.pdf</t>
  </si>
  <si>
    <t>Melting_Curves/meltCurve_P36406_3_TRIM23.pdf</t>
  </si>
  <si>
    <t>Melting_Curves/meltCurve_P36507_MAP2K2.pdf</t>
  </si>
  <si>
    <t>Melting_Curves/meltCurve_P36543_ATP6V1E1.pdf</t>
  </si>
  <si>
    <t>Melting_Curves/meltCurve_P36551_CPOX.pdf</t>
  </si>
  <si>
    <t>Melting_Curves/meltCurve_P36578_RPL4.pdf</t>
  </si>
  <si>
    <t>Melting_Curves/meltCurve_P36639_4_NUDT1.pdf</t>
  </si>
  <si>
    <t>Melting_Curves/meltCurve_P36871_PGM1.pdf</t>
  </si>
  <si>
    <t>Melting_Curves/meltCurve_P36873_PPP1CC.pdf</t>
  </si>
  <si>
    <t>Melting_Curves/meltCurve_P36915_GNL1.pdf</t>
  </si>
  <si>
    <t>Melting_Curves/meltCurve_P36954_POLR2I.pdf</t>
  </si>
  <si>
    <t>Melting_Curves/meltCurve_P36955_SERPINF1.pdf</t>
  </si>
  <si>
    <t>Melting_Curves/meltCurve_P36957_DLST.pdf</t>
  </si>
  <si>
    <t>Melting_Curves/meltCurve_P36959_GMPR.pdf</t>
  </si>
  <si>
    <t>Melting_Curves/meltCurve_P36969_2_GPX4.pdf</t>
  </si>
  <si>
    <t>Melting_Curves/meltCurve_P37059_HSD17B2.pdf</t>
  </si>
  <si>
    <t>Melting_Curves/meltCurve_P37108_SRP14.pdf</t>
  </si>
  <si>
    <t>Melting_Curves/meltCurve_P37173_TGFBR2.pdf</t>
  </si>
  <si>
    <t>Melting_Curves/meltCurve_P37198_NUP62.pdf</t>
  </si>
  <si>
    <t>Melting_Curves/meltCurve_P37235_HPCAL1.pdf</t>
  </si>
  <si>
    <t>Melting_Curves/meltCurve_P37268_FDFT1.pdf</t>
  </si>
  <si>
    <t>Melting_Curves/meltCurve_P37802_TAGLN2.pdf</t>
  </si>
  <si>
    <t>Melting_Curves/meltCurve_P37837_TALDO1.pdf</t>
  </si>
  <si>
    <t>Melting_Curves/meltCurve_P38117_ETFB.pdf</t>
  </si>
  <si>
    <t>Melting_Curves/meltCurve_P38159_RBMX.pdf</t>
  </si>
  <si>
    <t>Melting_Curves/meltCurve_P38405_3_GNAL.pdf</t>
  </si>
  <si>
    <t>Melting_Curves/meltCurve_P38435_GGCX.pdf</t>
  </si>
  <si>
    <t>Melting_Curves/meltCurve_P38571_2_LIPA.pdf</t>
  </si>
  <si>
    <t>Melting_Curves/meltCurve_P38606_ATP6V1A.pdf</t>
  </si>
  <si>
    <t>Melting_Curves/meltCurve_P38646_HSPA9.pdf</t>
  </si>
  <si>
    <t>Melting_Curves/meltCurve_P38919_EIF4A3.pdf</t>
  </si>
  <si>
    <t>Melting_Curves/meltCurve_P39019_RPS19.pdf</t>
  </si>
  <si>
    <t>Melting_Curves/meltCurve_P39023_RPL3.pdf</t>
  </si>
  <si>
    <t>Melting_Curves/meltCurve_P39059_COL15A1.pdf</t>
  </si>
  <si>
    <t>Melting_Curves/meltCurve_P39656_DDOST.pdf</t>
  </si>
  <si>
    <t>Melting_Curves/meltCurve_P39687_ANP32A.pdf</t>
  </si>
  <si>
    <t>Melting_Curves/meltCurve_P39748_FEN1.pdf</t>
  </si>
  <si>
    <t>Melting_Curves/meltCurve_P40121_CAPG.pdf</t>
  </si>
  <si>
    <t>Melting_Curves/meltCurve_P40123_CAP2.pdf</t>
  </si>
  <si>
    <t>Melting_Curves/meltCurve_P40189_IL6ST.pdf</t>
  </si>
  <si>
    <t>Melting_Curves/meltCurve_P40222_TXLNA.pdf</t>
  </si>
  <si>
    <t>Melting_Curves/meltCurve_P40227_CCT6A.pdf</t>
  </si>
  <si>
    <t>Melting_Curves/meltCurve_P40261_NNMT.pdf</t>
  </si>
  <si>
    <t>Melting_Curves/meltCurve_P40306_PSMB10.pdf</t>
  </si>
  <si>
    <t>Melting_Curves/meltCurve_P40763_STAT3.pdf</t>
  </si>
  <si>
    <t>Melting_Curves/meltCurve_P40818_USP8.pdf</t>
  </si>
  <si>
    <t>Melting_Curves/meltCurve_P40925_MDH1.pdf</t>
  </si>
  <si>
    <t>Melting_Curves/meltCurve_P40926_MDH2.pdf</t>
  </si>
  <si>
    <t>Melting_Curves/meltCurve_P40939_HADHA.pdf</t>
  </si>
  <si>
    <t>Melting_Curves/meltCurve_P41091_EIF2S3.pdf</t>
  </si>
  <si>
    <t>Melting_Curves/meltCurve_P41134_2_ID1.pdf</t>
  </si>
  <si>
    <t>Melting_Curves/meltCurve_P41159_LEP.pdf</t>
  </si>
  <si>
    <t>Melting_Curves/meltCurve_P41208_CETN2.pdf</t>
  </si>
  <si>
    <t>Melting_Curves/meltCurve_P41214_EIF2D.pdf</t>
  </si>
  <si>
    <t>Melting_Curves/meltCurve_P41221_2_WNT5A.pdf</t>
  </si>
  <si>
    <t>Melting_Curves/meltCurve_P41223_BUD31.pdf</t>
  </si>
  <si>
    <t>Melting_Curves/meltCurve_P41226_UBA7.pdf</t>
  </si>
  <si>
    <t>Melting_Curves/meltCurve_P41227_2_NAA10.pdf</t>
  </si>
  <si>
    <t>Melting_Curves/meltCurve_P41240_CSK.pdf</t>
  </si>
  <si>
    <t>Melting_Curves/meltCurve_P41247_PNPLA4.pdf</t>
  </si>
  <si>
    <t>Melting_Curves/meltCurve_P41250_GARS.pdf</t>
  </si>
  <si>
    <t>Melting_Curves/meltCurve_P41252_IARS.pdf</t>
  </si>
  <si>
    <t>Melting_Curves/meltCurve_P41567_EIF1.pdf</t>
  </si>
  <si>
    <t>Melting_Curves/meltCurve_P41743_PRKCI.pdf</t>
  </si>
  <si>
    <t>Melting_Curves/meltCurve_P42025_ACTR1B.pdf</t>
  </si>
  <si>
    <t>Melting_Curves/meltCurve_P42126_2_ECI1.pdf</t>
  </si>
  <si>
    <t>Melting_Curves/meltCurve_P42224_STAT1.pdf</t>
  </si>
  <si>
    <t>Melting_Curves/meltCurve_P42226_STAT6.pdf</t>
  </si>
  <si>
    <t>Melting_Curves/meltCurve_P42285_SKIV2L2.pdf</t>
  </si>
  <si>
    <t>Melting_Curves/meltCurve_P42330_AKR1C3.pdf</t>
  </si>
  <si>
    <t>Melting_Curves/meltCurve_P42331_6_ARHGAP25.pdf</t>
  </si>
  <si>
    <t>Melting_Curves/meltCurve_P42336_PIK3CA.pdf</t>
  </si>
  <si>
    <t>Melting_Curves/meltCurve_P42345_MTOR.pdf</t>
  </si>
  <si>
    <t>Melting_Curves/meltCurve_P42566_EPS15.pdf</t>
  </si>
  <si>
    <t>Melting_Curves/meltCurve_P42574_CASP3.pdf</t>
  </si>
  <si>
    <t>Melting_Curves/meltCurve_P42575_CASP2.pdf</t>
  </si>
  <si>
    <t>Melting_Curves/meltCurve_P42677_RPS27.pdf</t>
  </si>
  <si>
    <t>Melting_Curves/meltCurve_P42704_LRPPRC.pdf</t>
  </si>
  <si>
    <t>Melting_Curves/meltCurve_P42765_ACAA2.pdf</t>
  </si>
  <si>
    <t>Melting_Curves/meltCurve_P42766_RPL35.pdf</t>
  </si>
  <si>
    <t>Melting_Curves/meltCurve_P42771_CDKN2A.pdf</t>
  </si>
  <si>
    <t>Melting_Curves/meltCurve_P42772_CDKN2B.pdf</t>
  </si>
  <si>
    <t>Melting_Curves/meltCurve_P42773_CDKN2C.pdf</t>
  </si>
  <si>
    <t>Melting_Curves/meltCurve_P42785_PRCP.pdf</t>
  </si>
  <si>
    <t>Melting_Curves/meltCurve_P42892_3_ECE1.pdf</t>
  </si>
  <si>
    <t>Melting_Curves/meltCurve_P43005_SLC1A1.pdf</t>
  </si>
  <si>
    <t>Melting_Curves/meltCurve_P43007_SLC1A4.pdf</t>
  </si>
  <si>
    <t>Melting_Curves/meltCurve_P43034_PAFAH1B1.pdf</t>
  </si>
  <si>
    <t>Melting_Curves/meltCurve_P43121_MCAM.pdf</t>
  </si>
  <si>
    <t>Melting_Curves/meltCurve_P43155_2_CRAT.pdf</t>
  </si>
  <si>
    <t>Melting_Curves/meltCurve_P43234_CTSO.pdf</t>
  </si>
  <si>
    <t>Melting_Curves/meltCurve_P43235_CTSK.pdf</t>
  </si>
  <si>
    <t>Melting_Curves/meltCurve_P43304_GPD2.pdf</t>
  </si>
  <si>
    <t>Melting_Curves/meltCurve_P43304_2_GPD2.pdf</t>
  </si>
  <si>
    <t>Melting_Curves/meltCurve_P43307_SSR1.pdf</t>
  </si>
  <si>
    <t>Melting_Curves/meltCurve_P43378_PTPN9.pdf</t>
  </si>
  <si>
    <t>Melting_Curves/meltCurve_P43487_RANBP1.pdf</t>
  </si>
  <si>
    <t>Melting_Curves/meltCurve_P43490_NAMPT.pdf</t>
  </si>
  <si>
    <t>Melting_Curves/meltCurve_P43686_PSMC4.pdf</t>
  </si>
  <si>
    <t>Melting_Curves/meltCurve_P43897_TSFM.pdf</t>
  </si>
  <si>
    <t>Melting_Curves/meltCurve_P45381_ASPA.pdf</t>
  </si>
  <si>
    <t>Melting_Curves/meltCurve_P45877_PPIC.pdf</t>
  </si>
  <si>
    <t>Melting_Curves/meltCurve_P45880_VDAC2.pdf</t>
  </si>
  <si>
    <t>Melting_Curves/meltCurve_P45954_ACADSB.pdf</t>
  </si>
  <si>
    <t>Melting_Curves/meltCurve_P45973_CBX5.pdf</t>
  </si>
  <si>
    <t>Melting_Curves/meltCurve_P45974_2_USP5.pdf</t>
  </si>
  <si>
    <t>Melting_Curves/meltCurve_P45983_3_MAPK8.pdf</t>
  </si>
  <si>
    <t>Melting_Curves/meltCurve_P45984_2_MAPK9.pdf</t>
  </si>
  <si>
    <t>Melting_Curves/meltCurve_P45985_MAP2K4.pdf</t>
  </si>
  <si>
    <t>Melting_Curves/meltCurve_P46060_RANGAP1.pdf</t>
  </si>
  <si>
    <t>Melting_Curves/meltCurve_P46063_RECQL.pdf</t>
  </si>
  <si>
    <t>Melting_Curves/meltCurve_P46087_2_NOP2.pdf</t>
  </si>
  <si>
    <t>Melting_Curves/meltCurve_P46108_CRK.pdf</t>
  </si>
  <si>
    <t>Melting_Curves/meltCurve_P46108_2_CRK.pdf</t>
  </si>
  <si>
    <t>Melting_Curves/meltCurve_P46109_CRKL.pdf</t>
  </si>
  <si>
    <t>Melting_Curves/meltCurve_P46199_MTIF2.pdf</t>
  </si>
  <si>
    <t>Melting_Curves/meltCurve_P46439_GSTM5.pdf</t>
  </si>
  <si>
    <t>Melting_Curves/meltCurve_P46527_CDKN1B.pdf</t>
  </si>
  <si>
    <t>Melting_Curves/meltCurve_P46734_MAP2K3.pdf</t>
  </si>
  <si>
    <t>Melting_Curves/meltCurve_P46734_2_MAP2K3.pdf</t>
  </si>
  <si>
    <t>Melting_Curves/meltCurve_P46736_2_BRCC3.pdf</t>
  </si>
  <si>
    <t>Melting_Curves/meltCurve_P46777_RPL5.pdf</t>
  </si>
  <si>
    <t>Melting_Curves/meltCurve_P46778_RPL21.pdf</t>
  </si>
  <si>
    <t>Melting_Curves/meltCurve_P46781_RPS9.pdf</t>
  </si>
  <si>
    <t>Melting_Curves/meltCurve_P46783_RPS10.pdf</t>
  </si>
  <si>
    <t>Melting_Curves/meltCurve_P46821_MAP1B.pdf</t>
  </si>
  <si>
    <t>Melting_Curves/meltCurve_P46926_GNPDA1.pdf</t>
  </si>
  <si>
    <t>Melting_Curves/meltCurve_P46934_4_NEDD4.pdf</t>
  </si>
  <si>
    <t>Melting_Curves/meltCurve_P46939_UTRN.pdf</t>
  </si>
  <si>
    <t>Melting_Curves/meltCurve_P46940_IQGAP1.pdf</t>
  </si>
  <si>
    <t>Melting_Curves/meltCurve_P46976_2_GYG1.pdf</t>
  </si>
  <si>
    <t>Melting_Curves/meltCurve_P46977_STT3A.pdf</t>
  </si>
  <si>
    <t>Melting_Curves/meltCurve_P47224_RABIF.pdf</t>
  </si>
  <si>
    <t>Melting_Curves/meltCurve_P47712_PLA2G4A.pdf</t>
  </si>
  <si>
    <t>Melting_Curves/meltCurve_P47755_CAPZA2.pdf</t>
  </si>
  <si>
    <t>Melting_Curves/meltCurve_P47756_CAPZB.pdf</t>
  </si>
  <si>
    <t>Melting_Curves/meltCurve_P47756_2_CAPZB.pdf</t>
  </si>
  <si>
    <t>Melting_Curves/meltCurve_P47813_EIF1AX.pdf</t>
  </si>
  <si>
    <t>Melting_Curves/meltCurve_P47914_RPL29.pdf</t>
  </si>
  <si>
    <t>Melting_Curves/meltCurve_P47974_ZFP36L2.pdf</t>
  </si>
  <si>
    <t>Melting_Curves/meltCurve_P47985_UQCRFS1.pdf</t>
  </si>
  <si>
    <t>Melting_Curves/meltCurve_P48029_SLC6A8.pdf</t>
  </si>
  <si>
    <t>Melting_Curves/meltCurve_P48047_ATP5O.pdf</t>
  </si>
  <si>
    <t>Melting_Curves/meltCurve_P48059_3_LIMS1.pdf</t>
  </si>
  <si>
    <t>Melting_Curves/meltCurve_P48060_GLIPR1.pdf</t>
  </si>
  <si>
    <t>Melting_Curves/meltCurve_P48147_PREP.pdf</t>
  </si>
  <si>
    <t>Melting_Curves/meltCurve_P48163_ME1.pdf</t>
  </si>
  <si>
    <t>Melting_Curves/meltCurve_P48200_IREB2.pdf</t>
  </si>
  <si>
    <t>Melting_Curves/meltCurve_P48357_2_LEPR.pdf</t>
  </si>
  <si>
    <t>Melting_Curves/meltCurve_P48436_SOX9.pdf</t>
  </si>
  <si>
    <t>Melting_Curves/meltCurve_P48444_ARCN1.pdf</t>
  </si>
  <si>
    <t>Melting_Curves/meltCurve_P48449_LSS.pdf</t>
  </si>
  <si>
    <t>Melting_Curves/meltCurve_P48454_2_PPP3CC.pdf</t>
  </si>
  <si>
    <t>Melting_Curves/meltCurve_P48506_GCLC.pdf</t>
  </si>
  <si>
    <t>Melting_Curves/meltCurve_P48507_GCLM.pdf</t>
  </si>
  <si>
    <t>Melting_Curves/meltCurve_P48509_CD151.pdf</t>
  </si>
  <si>
    <t>Melting_Curves/meltCurve_P48634_PRRC2A.pdf</t>
  </si>
  <si>
    <t>Melting_Curves/meltCurve_P48637_GSS.pdf</t>
  </si>
  <si>
    <t>Melting_Curves/meltCurve_P48643_CCT5.pdf</t>
  </si>
  <si>
    <t>Melting_Curves/meltCurve_P48681_NES.pdf</t>
  </si>
  <si>
    <t>Melting_Curves/meltCurve_P48723_HSPA13.pdf</t>
  </si>
  <si>
    <t>Melting_Curves/meltCurve_P48735_IDH2.pdf</t>
  </si>
  <si>
    <t>Melting_Curves/meltCurve_P48739_PITPNB.pdf</t>
  </si>
  <si>
    <t>Melting_Curves/meltCurve_P48740_4_MASP1.pdf</t>
  </si>
  <si>
    <t>Melting_Curves/meltCurve_P48960_2_CD97.pdf</t>
  </si>
  <si>
    <t>Melting_Curves/meltCurve_P49006_MARCKSL1.pdf</t>
  </si>
  <si>
    <t>Melting_Curves/meltCurve_P49069_CAMLG.pdf</t>
  </si>
  <si>
    <t>Melting_Curves/meltCurve_P49137_MAPKAPK2.pdf</t>
  </si>
  <si>
    <t>Melting_Curves/meltCurve_P49189_ALDH9A1.pdf</t>
  </si>
  <si>
    <t>Melting_Curves/meltCurve_P49207_RPL34.pdf</t>
  </si>
  <si>
    <t>Melting_Curves/meltCurve_P49247_RPIA.pdf</t>
  </si>
  <si>
    <t>Melting_Curves/meltCurve_P49257_LMAN1.pdf</t>
  </si>
  <si>
    <t>Melting_Curves/meltCurve_P49321_NASP.pdf</t>
  </si>
  <si>
    <t>Melting_Curves/meltCurve_P49327_FASN.pdf</t>
  </si>
  <si>
    <t>Melting_Curves/meltCurve_P49354_FNTA.pdf</t>
  </si>
  <si>
    <t>Melting_Curves/meltCurve_P49356_FNTB.pdf</t>
  </si>
  <si>
    <t>Melting_Curves/meltCurve_P49366_DHPS.pdf</t>
  </si>
  <si>
    <t>Melting_Curves/meltCurve_P49368_CCT3.pdf</t>
  </si>
  <si>
    <t>Melting_Curves/meltCurve_P49407_2_ARRB1.pdf</t>
  </si>
  <si>
    <t>Melting_Curves/meltCurve_P49411_TUFM.pdf</t>
  </si>
  <si>
    <t>Melting_Curves/meltCurve_P49419_2_ALDH7A1.pdf</t>
  </si>
  <si>
    <t>Melting_Curves/meltCurve_P49427_CDC34.pdf</t>
  </si>
  <si>
    <t>Melting_Curves/meltCurve_P49441_INPP1.pdf</t>
  </si>
  <si>
    <t>Melting_Curves/meltCurve_P49458_SRP9.pdf</t>
  </si>
  <si>
    <t>Melting_Curves/meltCurve_P49459_UBE2A.pdf</t>
  </si>
  <si>
    <t>Melting_Curves/meltCurve_P49585_PCYT1A.pdf</t>
  </si>
  <si>
    <t>Melting_Curves/meltCurve_P49588_AARS.pdf</t>
  </si>
  <si>
    <t>Melting_Curves/meltCurve_P49589_3_CARS.pdf</t>
  </si>
  <si>
    <t>Melting_Curves/meltCurve_P49591_SARS.pdf</t>
  </si>
  <si>
    <t>Melting_Curves/meltCurve_P49662_CASP4.pdf</t>
  </si>
  <si>
    <t>Melting_Curves/meltCurve_P49721_PSMB2.pdf</t>
  </si>
  <si>
    <t>Melting_Curves/meltCurve_P49748_2_ACADVL.pdf</t>
  </si>
  <si>
    <t>Melting_Curves/meltCurve_P49750_4_YLPM1.pdf</t>
  </si>
  <si>
    <t>Melting_Curves/meltCurve_P49753_ACOT2.pdf</t>
  </si>
  <si>
    <t>Melting_Curves/meltCurve_P49755_TMED10.pdf</t>
  </si>
  <si>
    <t>Melting_Curves/meltCurve_P49756_RBM25.pdf</t>
  </si>
  <si>
    <t>Melting_Curves/meltCurve_P49757_4_NUMB.pdf</t>
  </si>
  <si>
    <t>Melting_Curves/meltCurve_P49770_EIF2B2.pdf</t>
  </si>
  <si>
    <t>Melting_Curves/meltCurve_P49773_HINT1.pdf</t>
  </si>
  <si>
    <t>Melting_Curves/meltCurve_P49790_NUP153.pdf</t>
  </si>
  <si>
    <t>Melting_Curves/meltCurve_P49792_RANBP2.pdf</t>
  </si>
  <si>
    <t>Melting_Curves/meltCurve_P49795_RGS19.pdf</t>
  </si>
  <si>
    <t>Melting_Curves/meltCurve_P49796_1_RGS3.pdf</t>
  </si>
  <si>
    <t>Melting_Curves/meltCurve_P49840_GSK3A.pdf</t>
  </si>
  <si>
    <t>Melting_Curves/meltCurve_P49841_GSK3B.pdf</t>
  </si>
  <si>
    <t>Melting_Curves/meltCurve_P49902_NT5C2.pdf</t>
  </si>
  <si>
    <t>Melting_Curves/meltCurve_P49903_SEPHS1.pdf</t>
  </si>
  <si>
    <t>Melting_Curves/meltCurve_P49914_MTHFS.pdf</t>
  </si>
  <si>
    <t>Melting_Curves/meltCurve_P49915_GMPS.pdf</t>
  </si>
  <si>
    <t>Melting_Curves/meltCurve_P49959_MRE11A.pdf</t>
  </si>
  <si>
    <t>Melting_Curves/meltCurve_P50135_HNMT.pdf</t>
  </si>
  <si>
    <t>Melting_Curves/meltCurve_P50148_GNAQ.pdf</t>
  </si>
  <si>
    <t>Melting_Curves/meltCurve_P50151_GNG10.pdf</t>
  </si>
  <si>
    <t>Melting_Curves/meltCurve_P50213_IDH3A.pdf</t>
  </si>
  <si>
    <t>Melting_Curves/meltCurve_P50224_SULT1A3.pdf</t>
  </si>
  <si>
    <t>Melting_Curves/meltCurve_P50225_SULT1A1.pdf</t>
  </si>
  <si>
    <t>Melting_Curves/meltCurve_P50238_CRIP1.pdf</t>
  </si>
  <si>
    <t>Melting_Curves/meltCurve_P50281_MMP14.pdf</t>
  </si>
  <si>
    <t>Melting_Curves/meltCurve_P50336_PPOX.pdf</t>
  </si>
  <si>
    <t>Melting_Curves/meltCurve_P50402_EMD.pdf</t>
  </si>
  <si>
    <t>Melting_Curves/meltCurve_P50416_CPT1A.pdf</t>
  </si>
  <si>
    <t>Melting_Curves/meltCurve_P50452_SERPINB8.pdf</t>
  </si>
  <si>
    <t>Melting_Curves/meltCurve_P50453_SERPINB9.pdf</t>
  </si>
  <si>
    <t>Melting_Curves/meltCurve_P50454_SERPINH1.pdf</t>
  </si>
  <si>
    <t>Melting_Curves/meltCurve_P50479_PDLIM4.pdf</t>
  </si>
  <si>
    <t>Melting_Curves/meltCurve_P50502_ST13.pdf</t>
  </si>
  <si>
    <t>Melting_Curves/meltCurve_P50552_VASP.pdf</t>
  </si>
  <si>
    <t>Melting_Curves/meltCurve_P50570_2_DNM2.pdf</t>
  </si>
  <si>
    <t>Melting_Curves/meltCurve_P50579_METAP2.pdf</t>
  </si>
  <si>
    <t>Melting_Curves/meltCurve_P50583_NUDT2.pdf</t>
  </si>
  <si>
    <t>Melting_Curves/meltCurve_P50747_HLCS.pdf</t>
  </si>
  <si>
    <t>Melting_Curves/meltCurve_P50749_RASSF2.pdf</t>
  </si>
  <si>
    <t>Melting_Curves/meltCurve_P50895_BCAM.pdf</t>
  </si>
  <si>
    <t>Melting_Curves/meltCurve_P50897_PPT1.pdf</t>
  </si>
  <si>
    <t>Melting_Curves/meltCurve_P50914_RPL14.pdf</t>
  </si>
  <si>
    <t>Melting_Curves/meltCurve_P50990_CCT8.pdf</t>
  </si>
  <si>
    <t>Melting_Curves/meltCurve_P50991_CCT4.pdf</t>
  </si>
  <si>
    <t>Melting_Curves/meltCurve_P51116_FXR2.pdf</t>
  </si>
  <si>
    <t>Melting_Curves/meltCurve_P51148_RAB5C.pdf</t>
  </si>
  <si>
    <t>Melting_Curves/meltCurve_P51149_RAB7A.pdf</t>
  </si>
  <si>
    <t>Melting_Curves/meltCurve_P51151_RAB9A.pdf</t>
  </si>
  <si>
    <t>Melting_Curves/meltCurve_P51153_RAB13.pdf</t>
  </si>
  <si>
    <t>Melting_Curves/meltCurve_P51157_RAB28.pdf</t>
  </si>
  <si>
    <t>Melting_Curves/meltCurve_P51159_2_RAB27A.pdf</t>
  </si>
  <si>
    <t>Melting_Curves/meltCurve_P51178_PLCD1.pdf</t>
  </si>
  <si>
    <t>Melting_Curves/meltCurve_P51397_DAP.pdf</t>
  </si>
  <si>
    <t>Melting_Curves/meltCurve_P51398_2_DAP3.pdf</t>
  </si>
  <si>
    <t>Melting_Curves/meltCurve_P51452_DUSP3.pdf</t>
  </si>
  <si>
    <t>Melting_Curves/meltCurve_P51531_2_SMARCA2.pdf</t>
  </si>
  <si>
    <t>Melting_Curves/meltCurve_P51553_IDH3G.pdf</t>
  </si>
  <si>
    <t>Melting_Curves/meltCurve_P51570_GALK1.pdf</t>
  </si>
  <si>
    <t>Melting_Curves/meltCurve_P51571_SSR4.pdf</t>
  </si>
  <si>
    <t>Melting_Curves/meltCurve_P51572_BCAP31.pdf</t>
  </si>
  <si>
    <t>Melting_Curves/meltCurve_P51580_TPMT.pdf</t>
  </si>
  <si>
    <t>Melting_Curves/meltCurve_P51608_MECP2.pdf</t>
  </si>
  <si>
    <t>Melting_Curves/meltCurve_P51610_2_HCFC1.pdf</t>
  </si>
  <si>
    <t>Melting_Curves/meltCurve_P51659_HSD17B4.pdf</t>
  </si>
  <si>
    <t>Melting_Curves/meltCurve_P51665_PSMD7.pdf</t>
  </si>
  <si>
    <t>Melting_Curves/meltCurve_P51668_UBE2D1.pdf</t>
  </si>
  <si>
    <t>Melting_Curves/meltCurve_P51687_SUOX.pdf</t>
  </si>
  <si>
    <t>Melting_Curves/meltCurve_P51688_SGSH.pdf</t>
  </si>
  <si>
    <t>Melting_Curves/meltCurve_P51689_3_ARSD.pdf</t>
  </si>
  <si>
    <t>Melting_Curves/meltCurve_P51692_STAT5B.pdf</t>
  </si>
  <si>
    <t>Melting_Curves/meltCurve_P51790_4_CLCN3.pdf</t>
  </si>
  <si>
    <t>Melting_Curves/meltCurve_P51795_CLCN5.pdf</t>
  </si>
  <si>
    <t>Melting_Curves/meltCurve_P51805_PLXNA3.pdf</t>
  </si>
  <si>
    <t>Melting_Curves/meltCurve_P51809_VAMP7.pdf</t>
  </si>
  <si>
    <t>Melting_Curves/meltCurve_P51812_RPS6KA3.pdf</t>
  </si>
  <si>
    <t>Melting_Curves/meltCurve_P51857_2_AKR1D1.pdf</t>
  </si>
  <si>
    <t>Melting_Curves/meltCurve_P51858_HDGF.pdf</t>
  </si>
  <si>
    <t>Melting_Curves/meltCurve_P51884_LUM.pdf</t>
  </si>
  <si>
    <t>Melting_Curves/meltCurve_P51911_CNN1.pdf</t>
  </si>
  <si>
    <t>Melting_Curves/meltCurve_P51948_2_MNAT1.pdf</t>
  </si>
  <si>
    <t>Melting_Curves/meltCurve_P51970_NDUFA8.pdf</t>
  </si>
  <si>
    <t>Melting_Curves/meltCurve_P51991_HNRNPA3.pdf</t>
  </si>
  <si>
    <t>Melting_Curves/meltCurve_P52272_2_HNRNPM.pdf</t>
  </si>
  <si>
    <t>Melting_Curves/meltCurve_P52292_KPNA2.pdf</t>
  </si>
  <si>
    <t>Melting_Curves/meltCurve_P52294_KPNA1.pdf</t>
  </si>
  <si>
    <t>Melting_Curves/meltCurve_P52306_RAP1GDS1.pdf</t>
  </si>
  <si>
    <t>Melting_Curves/meltCurve_P52306_4_RAP1GDS1.pdf</t>
  </si>
  <si>
    <t>Melting_Curves/meltCurve_P52565_ARHGDIA.pdf</t>
  </si>
  <si>
    <t>Melting_Curves/meltCurve_P52597_HNRNPF.pdf</t>
  </si>
  <si>
    <t>Melting_Curves/meltCurve_P52630_4_STAT2.pdf</t>
  </si>
  <si>
    <t>Melting_Curves/meltCurve_P52655_GTF2A1.pdf</t>
  </si>
  <si>
    <t>Melting_Curves/meltCurve_P52657_GTF2A2.pdf</t>
  </si>
  <si>
    <t>Melting_Curves/meltCurve_P52735_3_VAV2.pdf</t>
  </si>
  <si>
    <t>Melting_Curves/meltCurve_P52758_HRSP12.pdf</t>
  </si>
  <si>
    <t>Melting_Curves/meltCurve_P52788_SMS.pdf</t>
  </si>
  <si>
    <t>Melting_Curves/meltCurve_P52789_HK2.pdf</t>
  </si>
  <si>
    <t>Melting_Curves/meltCurve_P52799_EFNB2.pdf</t>
  </si>
  <si>
    <t>Melting_Curves/meltCurve_P52848_NDST1.pdf</t>
  </si>
  <si>
    <t>Melting_Curves/meltCurve_P52888_THOP1.pdf</t>
  </si>
  <si>
    <t>Melting_Curves/meltCurve_P52907_CAPZA1.pdf</t>
  </si>
  <si>
    <t>Melting_Curves/meltCurve_P52943_CRIP2.pdf</t>
  </si>
  <si>
    <t>Melting_Curves/meltCurve_P53004_BLVRA.pdf</t>
  </si>
  <si>
    <t>Melting_Curves/meltCurve_P53007_SLC25A1.pdf</t>
  </si>
  <si>
    <t>Melting_Curves/meltCurve_P53365_ARFIP2.pdf</t>
  </si>
  <si>
    <t>Melting_Curves/meltCurve_P53367_ARFIP1.pdf</t>
  </si>
  <si>
    <t>Melting_Curves/meltCurve_P53367_2_ARFIP1.pdf</t>
  </si>
  <si>
    <t>Melting_Curves/meltCurve_P53370_NUDT6.pdf</t>
  </si>
  <si>
    <t>Melting_Curves/meltCurve_P53384_2_NUBP1.pdf</t>
  </si>
  <si>
    <t>Melting_Curves/meltCurve_P53396_ACLY.pdf</t>
  </si>
  <si>
    <t>Melting_Curves/meltCurve_P53582_METAP1.pdf</t>
  </si>
  <si>
    <t>Melting_Curves/meltCurve_P53597_SUCLG1.pdf</t>
  </si>
  <si>
    <t>Melting_Curves/meltCurve_P53602_MVD.pdf</t>
  </si>
  <si>
    <t>Melting_Curves/meltCurve_P53609_PGGT1B.pdf</t>
  </si>
  <si>
    <t>Melting_Curves/meltCurve_P53611_RABGGTB.pdf</t>
  </si>
  <si>
    <t>Melting_Curves/meltCurve_P53618_COPB1.pdf</t>
  </si>
  <si>
    <t>Melting_Curves/meltCurve_P53621_COPA.pdf</t>
  </si>
  <si>
    <t>Melting_Curves/meltCurve_P53634_CTSC.pdf</t>
  </si>
  <si>
    <t>Melting_Curves/meltCurve_P53701_HCCS.pdf</t>
  </si>
  <si>
    <t>Melting_Curves/meltCurve_P53778_MAPK12.pdf</t>
  </si>
  <si>
    <t>Melting_Curves/meltCurve_P53794_SLC5A3.pdf</t>
  </si>
  <si>
    <t>Melting_Curves/meltCurve_P53801_PTTG1IP.pdf</t>
  </si>
  <si>
    <t>Melting_Curves/meltCurve_P53805_RCAN1.pdf</t>
  </si>
  <si>
    <t>Melting_Curves/meltCurve_P53814_5_SMTN.pdf</t>
  </si>
  <si>
    <t>Melting_Curves/meltCurve_P53985_SLC16A1.pdf</t>
  </si>
  <si>
    <t>Melting_Curves/meltCurve_P53990_2_IST1.pdf</t>
  </si>
  <si>
    <t>Melting_Curves/meltCurve_P53992_SEC24C.pdf</t>
  </si>
  <si>
    <t>Melting_Curves/meltCurve_P53999_SUB1.pdf</t>
  </si>
  <si>
    <t>Melting_Curves/meltCurve_P54136_RARS.pdf</t>
  </si>
  <si>
    <t>Melting_Curves/meltCurve_P54253_ATXN1.pdf</t>
  </si>
  <si>
    <t>Melting_Curves/meltCurve_P54259_ATN1.pdf</t>
  </si>
  <si>
    <t>Melting_Curves/meltCurve_P54284_5_CACNB3.pdf</t>
  </si>
  <si>
    <t>Melting_Curves/meltCurve_P54577_YARS.pdf</t>
  </si>
  <si>
    <t>Melting_Curves/meltCurve_P54578_USP14.pdf</t>
  </si>
  <si>
    <t>Melting_Curves/meltCurve_P54619_2_PRKAG1.pdf</t>
  </si>
  <si>
    <t>Melting_Curves/meltCurve_P54646_PRKAA2.pdf</t>
  </si>
  <si>
    <t>Melting_Curves/meltCurve_P54652_HSPA2.pdf</t>
  </si>
  <si>
    <t>Melting_Curves/meltCurve_P54687_BCAT1.pdf</t>
  </si>
  <si>
    <t>Melting_Curves/meltCurve_P54687_5_BCAT1.pdf</t>
  </si>
  <si>
    <t>Melting_Curves/meltCurve_P54709_ATP1B3.pdf</t>
  </si>
  <si>
    <t>Melting_Curves/meltCurve_P54725_RAD23A.pdf</t>
  </si>
  <si>
    <t>Melting_Curves/meltCurve_P54727_RAD23B.pdf</t>
  </si>
  <si>
    <t>Melting_Curves/meltCurve_P54802_NAGLU.pdf</t>
  </si>
  <si>
    <t>Melting_Curves/meltCurve_P54819_AK2.pdf</t>
  </si>
  <si>
    <t>Melting_Curves/meltCurve_P54886_2_ALDH18A1.pdf</t>
  </si>
  <si>
    <t>Melting_Curves/meltCurve_P54920_NAPA.pdf</t>
  </si>
  <si>
    <t>Melting_Curves/meltCurve_P54922_ADPRH.pdf</t>
  </si>
  <si>
    <t>Melting_Curves/meltCurve_P55010_EIF5.pdf</t>
  </si>
  <si>
    <t>Melting_Curves/meltCurve_P55011_3_SLC12A2.pdf</t>
  </si>
  <si>
    <t>Melting_Curves/meltCurve_P55036_PSMD4.pdf</t>
  </si>
  <si>
    <t>Melting_Curves/meltCurve_P55039_DRG2.pdf</t>
  </si>
  <si>
    <t>Melting_Curves/meltCurve_P55042_RRAD.pdf</t>
  </si>
  <si>
    <t>Melting_Curves/meltCurve_P55060_3_CSE1L.pdf</t>
  </si>
  <si>
    <t>Melting_Curves/meltCurve_P55072_VCP.pdf</t>
  </si>
  <si>
    <t>Melting_Curves/meltCurve_P55081_MFAP1.pdf</t>
  </si>
  <si>
    <t>Melting_Curves/meltCurve_P55145_MANF.pdf</t>
  </si>
  <si>
    <t>Melting_Curves/meltCurve_P55210_CASP7.pdf</t>
  </si>
  <si>
    <t>Melting_Curves/meltCurve_P55212_CASP6.pdf</t>
  </si>
  <si>
    <t>Melting_Curves/meltCurve_P55263_ADK.pdf</t>
  </si>
  <si>
    <t>Melting_Curves/meltCurve_P55268_LAMB2.pdf</t>
  </si>
  <si>
    <t>Melting_Curves/meltCurve_P55273_CDKN2D.pdf</t>
  </si>
  <si>
    <t>Melting_Curves/meltCurve_P55285_CDH6.pdf</t>
  </si>
  <si>
    <t>Melting_Curves/meltCurve_P55290_CDH13.pdf</t>
  </si>
  <si>
    <t>Melting_Curves/meltCurve_P55345_PRMT2.pdf</t>
  </si>
  <si>
    <t>Melting_Curves/meltCurve_P55735_SEC13.pdf</t>
  </si>
  <si>
    <t>Melting_Curves/meltCurve_P55789_GFER.pdf</t>
  </si>
  <si>
    <t>Melting_Curves/meltCurve_P55795_HNRNPH2.pdf</t>
  </si>
  <si>
    <t>Melting_Curves/meltCurve_P55809_OXCT1.pdf</t>
  </si>
  <si>
    <t>Melting_Curves/meltCurve_P55884_EIF3B.pdf</t>
  </si>
  <si>
    <t>Melting_Curves/meltCurve_P55899_FCGRT.pdf</t>
  </si>
  <si>
    <t>Melting_Curves/meltCurve_P55957_BID.pdf</t>
  </si>
  <si>
    <t>Melting_Curves/meltCurve_P56181_2_NDUFV3.pdf</t>
  </si>
  <si>
    <t>Melting_Curves/meltCurve_P56192_MARS.pdf</t>
  </si>
  <si>
    <t>Melting_Curves/meltCurve_P56199_ITGA1.pdf</t>
  </si>
  <si>
    <t>Melting_Curves/meltCurve_P56211_ARPP19.pdf</t>
  </si>
  <si>
    <t>Melting_Curves/meltCurve_P56277_CMC4.pdf</t>
  </si>
  <si>
    <t>Melting_Curves/meltCurve_P56377_AP1S2.pdf</t>
  </si>
  <si>
    <t>Melting_Curves/meltCurve_P56381_ATP5E.pdf</t>
  </si>
  <si>
    <t>Melting_Curves/meltCurve_P56385_ATP5I.pdf</t>
  </si>
  <si>
    <t>Melting_Curves/meltCurve_P56524_HDAC4.pdf</t>
  </si>
  <si>
    <t>Melting_Curves/meltCurve_P56537_EIF6.pdf</t>
  </si>
  <si>
    <t>Melting_Curves/meltCurve_P56545_2_CTBP2.pdf</t>
  </si>
  <si>
    <t>Melting_Curves/meltCurve_P56589_PEX3.pdf</t>
  </si>
  <si>
    <t>Melting_Curves/meltCurve_P56937_3_HSD17B7.pdf</t>
  </si>
  <si>
    <t>Melting_Curves/meltCurve_P56945_5_BCAR1.pdf</t>
  </si>
  <si>
    <t>Melting_Curves/meltCurve_P56962_STX17.pdf</t>
  </si>
  <si>
    <t>Melting_Curves/meltCurve_P57060_RWDD2B.pdf</t>
  </si>
  <si>
    <t>Melting_Curves/meltCurve_P57076_C21orf59.pdf</t>
  </si>
  <si>
    <t>Melting_Curves/meltCurve_P57077_4_MAP3K7CL.pdf</t>
  </si>
  <si>
    <t>Melting_Curves/meltCurve_P57081_2_WDR4.pdf</t>
  </si>
  <si>
    <t>Melting_Curves/meltCurve_P57088_TMEM33.pdf</t>
  </si>
  <si>
    <t>Melting_Curves/meltCurve_P57105_SYNJ2BP.pdf</t>
  </si>
  <si>
    <t>Melting_Curves/meltCurve_P57737_3_CORO7.pdf</t>
  </si>
  <si>
    <t>Melting_Curves/meltCurve_P57768_SNX16.pdf</t>
  </si>
  <si>
    <t>Melting_Curves/meltCurve_P58004_SESN2.pdf</t>
  </si>
  <si>
    <t>Melting_Curves/meltCurve_P58546_MTPN.pdf</t>
  </si>
  <si>
    <t>Melting_Curves/meltCurve_P59768_GNG2.pdf</t>
  </si>
  <si>
    <t>Melting_Curves/meltCurve_P60059_SEC61G.pdf</t>
  </si>
  <si>
    <t>Melting_Curves/meltCurve_P60174_1_TPI1.pdf</t>
  </si>
  <si>
    <t>Melting_Curves/meltCurve_P60174_4_TPI1.pdf</t>
  </si>
  <si>
    <t>Melting_Curves/meltCurve_P60228_EIF3E.pdf</t>
  </si>
  <si>
    <t>Melting_Curves/meltCurve_P60468_SEC61B.pdf</t>
  </si>
  <si>
    <t>Melting_Curves/meltCurve_P60484_PTEN.pdf</t>
  </si>
  <si>
    <t>Melting_Curves/meltCurve_P60510_PPP4C.pdf</t>
  </si>
  <si>
    <t>Melting_Curves/meltCurve_P60520_GABARAPL2.pdf</t>
  </si>
  <si>
    <t>Melting_Curves/meltCurve_P60602_ROMO1.pdf</t>
  </si>
  <si>
    <t>Melting_Curves/meltCurve_P60604_2_UBE2G2.pdf</t>
  </si>
  <si>
    <t>Melting_Curves/meltCurve_P60763_RAC3.pdf</t>
  </si>
  <si>
    <t>Melting_Curves/meltCurve_P60842_EIF4A1.pdf</t>
  </si>
  <si>
    <t>Melting_Curves/meltCurve_P60866_RPS20.pdf</t>
  </si>
  <si>
    <t>Melting_Curves/meltCurve_P60880_2_SNAP25.pdf</t>
  </si>
  <si>
    <t>Melting_Curves/meltCurve_P60891_PRPS1.pdf</t>
  </si>
  <si>
    <t>Melting_Curves/meltCurve_P60896_SHFM1.pdf</t>
  </si>
  <si>
    <t>Melting_Curves/meltCurve_P60903_S100A10.pdf</t>
  </si>
  <si>
    <t>Melting_Curves/meltCurve_P60953_CDC42.pdf</t>
  </si>
  <si>
    <t>Melting_Curves/meltCurve_P60981_DSTN.pdf</t>
  </si>
  <si>
    <t>Melting_Curves/meltCurve_P60983_GMFB.pdf</t>
  </si>
  <si>
    <t>Melting_Curves/meltCurve_P61006_RAB8A.pdf</t>
  </si>
  <si>
    <t>Melting_Curves/meltCurve_P61011_SRP54.pdf</t>
  </si>
  <si>
    <t>Melting_Curves/meltCurve_P61018_RAB4B.pdf</t>
  </si>
  <si>
    <t>Melting_Curves/meltCurve_P61019_RAB2A.pdf</t>
  </si>
  <si>
    <t>Melting_Curves/meltCurve_P61020_RAB5B.pdf</t>
  </si>
  <si>
    <t>Melting_Curves/meltCurve_P61026_RAB10.pdf</t>
  </si>
  <si>
    <t>Melting_Curves/meltCurve_P61077_UBE2D3.pdf</t>
  </si>
  <si>
    <t>Melting_Curves/meltCurve_P61081_UBE2M.pdf</t>
  </si>
  <si>
    <t>Melting_Curves/meltCurve_P61086_UBE2K.pdf</t>
  </si>
  <si>
    <t>Melting_Curves/meltCurve_P61088_UBE2N.pdf</t>
  </si>
  <si>
    <t>Melting_Curves/meltCurve_P61106_RAB14.pdf</t>
  </si>
  <si>
    <t>Melting_Curves/meltCurve_P61158_ACTR3.pdf</t>
  </si>
  <si>
    <t>Melting_Curves/meltCurve_P61160_ACTR2.pdf</t>
  </si>
  <si>
    <t>Melting_Curves/meltCurve_P61163_ACTR1A.pdf</t>
  </si>
  <si>
    <t>Melting_Curves/meltCurve_P61201_COPS2.pdf</t>
  </si>
  <si>
    <t>Melting_Curves/meltCurve_P61218_POLR2F.pdf</t>
  </si>
  <si>
    <t>Melting_Curves/meltCurve_P61221_ABCE1.pdf</t>
  </si>
  <si>
    <t>Melting_Curves/meltCurve_P61224_RAP1B.pdf</t>
  </si>
  <si>
    <t>Melting_Curves/meltCurve_P61225_RAP2B.pdf</t>
  </si>
  <si>
    <t>Melting_Curves/meltCurve_P61244_2_MAX.pdf</t>
  </si>
  <si>
    <t>Melting_Curves/meltCurve_P61247_RPS3A.pdf</t>
  </si>
  <si>
    <t>Melting_Curves/meltCurve_P61289_PSME3.pdf</t>
  </si>
  <si>
    <t>Melting_Curves/meltCurve_P61326_MAGOH.pdf</t>
  </si>
  <si>
    <t>Melting_Curves/meltCurve_P61353_RPL27.pdf</t>
  </si>
  <si>
    <t>Melting_Curves/meltCurve_P61586_RHOA.pdf</t>
  </si>
  <si>
    <t>Melting_Curves/meltCurve_P61587_RND3.pdf</t>
  </si>
  <si>
    <t>Melting_Curves/meltCurve_P61599_NAA20.pdf</t>
  </si>
  <si>
    <t>Melting_Curves/meltCurve_P61601_NCALD.pdf</t>
  </si>
  <si>
    <t>Melting_Curves/meltCurve_P61604_HSPE1.pdf</t>
  </si>
  <si>
    <t>Melting_Curves/meltCurve_P61758_VBP1.pdf</t>
  </si>
  <si>
    <t>Melting_Curves/meltCurve_P61764_STXBP1.pdf</t>
  </si>
  <si>
    <t>Melting_Curves/meltCurve_P61769_B2M.pdf</t>
  </si>
  <si>
    <t>Melting_Curves/meltCurve_P61812_TGFB2.pdf</t>
  </si>
  <si>
    <t>Melting_Curves/meltCurve_P61925_PKIA.pdf</t>
  </si>
  <si>
    <t>Melting_Curves/meltCurve_P61927_RPL37.pdf</t>
  </si>
  <si>
    <t>Melting_Curves/meltCurve_P61952_GNG11.pdf</t>
  </si>
  <si>
    <t>Melting_Curves/meltCurve_P61960_2_UFM1.pdf</t>
  </si>
  <si>
    <t>Melting_Curves/meltCurve_P61962_DCAF7.pdf</t>
  </si>
  <si>
    <t>Melting_Curves/meltCurve_P61964_WDR5.pdf</t>
  </si>
  <si>
    <t>Melting_Curves/meltCurve_P61970_NUTF2.pdf</t>
  </si>
  <si>
    <t>Melting_Curves/meltCurve_P61978_3_HNRNPK.pdf</t>
  </si>
  <si>
    <t>Melting_Curves/meltCurve_P61981_YWHAG.pdf</t>
  </si>
  <si>
    <t>Melting_Curves/meltCurve_P62070_RRAS2.pdf</t>
  </si>
  <si>
    <t>Melting_Curves/meltCurve_P62072_TIMM10.pdf</t>
  </si>
  <si>
    <t>Melting_Curves/meltCurve_P62081_RPS7.pdf</t>
  </si>
  <si>
    <t>Melting_Curves/meltCurve_P62136_PPP1CA.pdf</t>
  </si>
  <si>
    <t>Melting_Curves/meltCurve_P62140_PPP1CB.pdf</t>
  </si>
  <si>
    <t>Melting_Curves/meltCurve_P62166_NCS1.pdf</t>
  </si>
  <si>
    <t>Melting_Curves/meltCurve_P62191_PSMC1.pdf</t>
  </si>
  <si>
    <t>Melting_Curves/meltCurve_P62195_2_PSMC5.pdf</t>
  </si>
  <si>
    <t>Melting_Curves/meltCurve_P62241_RPS8.pdf</t>
  </si>
  <si>
    <t>Melting_Curves/meltCurve_P62249_RPS16.pdf</t>
  </si>
  <si>
    <t>Melting_Curves/meltCurve_P62253_UBE2G1.pdf</t>
  </si>
  <si>
    <t>Melting_Curves/meltCurve_P62258_YWHAE.pdf</t>
  </si>
  <si>
    <t>Melting_Curves/meltCurve_P62263_RPS14.pdf</t>
  </si>
  <si>
    <t>Melting_Curves/meltCurve_P62269_RPS18.pdf</t>
  </si>
  <si>
    <t>Melting_Curves/meltCurve_P62273_RPS29.pdf</t>
  </si>
  <si>
    <t>Melting_Curves/meltCurve_P62277_RPS13.pdf</t>
  </si>
  <si>
    <t>Melting_Curves/meltCurve_P62280_RPS11.pdf</t>
  </si>
  <si>
    <t>Melting_Curves/meltCurve_P62304_SNRPE.pdf</t>
  </si>
  <si>
    <t>Melting_Curves/meltCurve_P62306_SNRPF.pdf</t>
  </si>
  <si>
    <t>Melting_Curves/meltCurve_P62308_SNRPG.pdf</t>
  </si>
  <si>
    <t>Melting_Curves/meltCurve_P62310_LSM3.pdf</t>
  </si>
  <si>
    <t>Melting_Curves/meltCurve_P62312_LSM6.pdf</t>
  </si>
  <si>
    <t>Melting_Curves/meltCurve_P62314_SNRPD1.pdf</t>
  </si>
  <si>
    <t>Melting_Curves/meltCurve_P62316_SNRPD2.pdf</t>
  </si>
  <si>
    <t>Melting_Curves/meltCurve_P62328_TMSB4X.pdf</t>
  </si>
  <si>
    <t>Melting_Curves/meltCurve_P62330_ARF6.pdf</t>
  </si>
  <si>
    <t>Melting_Curves/meltCurve_P62333_PSMC6.pdf</t>
  </si>
  <si>
    <t>Melting_Curves/meltCurve_P62380_TBPL1.pdf</t>
  </si>
  <si>
    <t>Melting_Curves/meltCurve_P62424_RPL7A.pdf</t>
  </si>
  <si>
    <t>Melting_Curves/meltCurve_P62487_POLR2G.pdf</t>
  </si>
  <si>
    <t>Melting_Curves/meltCurve_P62495_ETF1.pdf</t>
  </si>
  <si>
    <t>Melting_Curves/meltCurve_P62633_4_CNBP.pdf</t>
  </si>
  <si>
    <t>Melting_Curves/meltCurve_P62701_RPS4X.pdf</t>
  </si>
  <si>
    <t>Melting_Curves/meltCurve_P62714_PPP2CB.pdf</t>
  </si>
  <si>
    <t>Melting_Curves/meltCurve_P62736_ACTA2.pdf</t>
  </si>
  <si>
    <t>Melting_Curves/meltCurve_P62745_RHOB.pdf</t>
  </si>
  <si>
    <t>Melting_Curves/meltCurve_P62750_RPL23A.pdf</t>
  </si>
  <si>
    <t>Melting_Curves/meltCurve_P62753_RPS6.pdf</t>
  </si>
  <si>
    <t>Melting_Curves/meltCurve_P62805_HIST1H4A.pdf</t>
  </si>
  <si>
    <t>Melting_Curves/meltCurve_P62820_RAB1A.pdf</t>
  </si>
  <si>
    <t>Melting_Curves/meltCurve_P62829_RPL23.pdf</t>
  </si>
  <si>
    <t>Melting_Curves/meltCurve_P62834_RAP1A.pdf</t>
  </si>
  <si>
    <t>Melting_Curves/meltCurve_P62851_RPS25.pdf</t>
  </si>
  <si>
    <t>Melting_Curves/meltCurve_P62857_RPS28.pdf</t>
  </si>
  <si>
    <t>Melting_Curves/meltCurve_P62873_GNB1.pdf</t>
  </si>
  <si>
    <t>Melting_Curves/meltCurve_P62877_RBX1.pdf</t>
  </si>
  <si>
    <t>Melting_Curves/meltCurve_P62879_GNB2.pdf</t>
  </si>
  <si>
    <t>Melting_Curves/meltCurve_P62888_RPL30.pdf</t>
  </si>
  <si>
    <t>Melting_Curves/meltCurve_P62906_RPL10A.pdf</t>
  </si>
  <si>
    <t>Melting_Curves/meltCurve_P62913_2_RPL11.pdf</t>
  </si>
  <si>
    <t>Melting_Curves/meltCurve_P62937_PPIA.pdf</t>
  </si>
  <si>
    <t>Melting_Curves/meltCurve_P62942_FKBP1A.pdf</t>
  </si>
  <si>
    <t>Melting_Curves/meltCurve_P62979_RPS27A.pdf</t>
  </si>
  <si>
    <t>Melting_Curves/meltCurve_P62987_UBA52.pdf</t>
  </si>
  <si>
    <t>Melting_Curves/meltCurve_P62993_GRB2.pdf</t>
  </si>
  <si>
    <t>Melting_Curves/meltCurve_P62995_3_TRA2B.pdf</t>
  </si>
  <si>
    <t>Melting_Curves/meltCurve_P63000_RAC1.pdf</t>
  </si>
  <si>
    <t>Melting_Curves/meltCurve_P63010_AP2B1.pdf</t>
  </si>
  <si>
    <t>Melting_Curves/meltCurve_P63092_GNAS.pdf</t>
  </si>
  <si>
    <t>Melting_Curves/meltCurve_P63092_3_GNAS.pdf</t>
  </si>
  <si>
    <t>Melting_Curves/meltCurve_P63096_GNAI1.pdf</t>
  </si>
  <si>
    <t>Melting_Curves/meltCurve_P63104_YWHAZ.pdf</t>
  </si>
  <si>
    <t>Melting_Curves/meltCurve_P63146_UBE2B.pdf</t>
  </si>
  <si>
    <t>Melting_Curves/meltCurve_P63151_PPP2R2A.pdf</t>
  </si>
  <si>
    <t>Melting_Curves/meltCurve_P63167_DYNLL1.pdf</t>
  </si>
  <si>
    <t>Melting_Curves/meltCurve_P63173_RPL38.pdf</t>
  </si>
  <si>
    <t>Melting_Curves/meltCurve_P63218_GNG5.pdf</t>
  </si>
  <si>
    <t>Melting_Curves/meltCurve_P63244_GNB2L1.pdf</t>
  </si>
  <si>
    <t>Melting_Curves/meltCurve_P67809_YBX1.pdf</t>
  </si>
  <si>
    <t>Melting_Curves/meltCurve_P67936_TPM4.pdf</t>
  </si>
  <si>
    <t>Melting_Curves/meltCurve_P67936_2_TPM4.pdf</t>
  </si>
  <si>
    <t>Melting_Curves/meltCurve_P68036_UBE2L3.pdf</t>
  </si>
  <si>
    <t>Melting_Curves/meltCurve_P68104_EEF1A1.pdf</t>
  </si>
  <si>
    <t>Melting_Curves/meltCurve_P68371_TUBB4B.pdf</t>
  </si>
  <si>
    <t>Melting_Curves/meltCurve_P68402_PAFAH1B2.pdf</t>
  </si>
  <si>
    <t>Melting_Curves/meltCurve_P68871_HBB.pdf</t>
  </si>
  <si>
    <t>Melting_Curves/meltCurve_P78310_CXADR.pdf</t>
  </si>
  <si>
    <t>Melting_Curves/meltCurve_P78314_SH3BP2.pdf</t>
  </si>
  <si>
    <t>Melting_Curves/meltCurve_P78318_IGBP1.pdf</t>
  </si>
  <si>
    <t>Melting_Curves/meltCurve_P78324_SIRPA.pdf</t>
  </si>
  <si>
    <t>Melting_Curves/meltCurve_P78330_PSPH.pdf</t>
  </si>
  <si>
    <t>Melting_Curves/meltCurve_P78347_2_GTF2I.pdf</t>
  </si>
  <si>
    <t>Melting_Curves/meltCurve_P78356_PIP4K2B.pdf</t>
  </si>
  <si>
    <t>Melting_Curves/meltCurve_P78371_CCT2.pdf</t>
  </si>
  <si>
    <t>Melting_Curves/meltCurve_P78406_RAE1.pdf</t>
  </si>
  <si>
    <t>Melting_Curves/meltCurve_P78417_GSTO1.pdf</t>
  </si>
  <si>
    <t>Melting_Curves/meltCurve_P78536_ADAM17.pdf</t>
  </si>
  <si>
    <t>Melting_Curves/meltCurve_P78537_BLOC1S1.pdf</t>
  </si>
  <si>
    <t>Melting_Curves/meltCurve_P78552_IL13RA1.pdf</t>
  </si>
  <si>
    <t>Melting_Curves/meltCurve_P78560_CRADD.pdf</t>
  </si>
  <si>
    <t>Melting_Curves/meltCurve_P80217_IFI35.pdf</t>
  </si>
  <si>
    <t>Melting_Curves/meltCurve_P80297_MT1X.pdf</t>
  </si>
  <si>
    <t>Melting_Curves/meltCurve_P80303_NUCB2.pdf</t>
  </si>
  <si>
    <t>Melting_Curves/meltCurve_P80723_BASP1.pdf</t>
  </si>
  <si>
    <t>Melting_Curves/meltCurve_P81408_3_FAM189B.pdf</t>
  </si>
  <si>
    <t>Melting_Curves/meltCurve_P82094_TMF1.pdf</t>
  </si>
  <si>
    <t>Melting_Curves/meltCurve_P82909_MRPS36.pdf</t>
  </si>
  <si>
    <t>Melting_Curves/meltCurve_P82979_SARNP.pdf</t>
  </si>
  <si>
    <t>Melting_Curves/meltCurve_P83111_LACTB.pdf</t>
  </si>
  <si>
    <t>Melting_Curves/meltCurve_P83436_COG7.pdf</t>
  </si>
  <si>
    <t>Melting_Curves/meltCurve_P83876_TXNL4A.pdf</t>
  </si>
  <si>
    <t>Melting_Curves/meltCurve_P84077_ARF1.pdf</t>
  </si>
  <si>
    <t>Melting_Curves/meltCurve_P84085_ARF5.pdf</t>
  </si>
  <si>
    <t>Melting_Curves/meltCurve_P84090_ERH.pdf</t>
  </si>
  <si>
    <t>Melting_Curves/meltCurve_P84095_RHOG.pdf</t>
  </si>
  <si>
    <t>Melting_Curves/meltCurve_P84098_RPL19.pdf</t>
  </si>
  <si>
    <t>Melting_Curves/meltCurve_P84101_4_SERF2.pdf</t>
  </si>
  <si>
    <t>Melting_Curves/meltCurve_P84157_MXRA7.pdf</t>
  </si>
  <si>
    <t>Melting_Curves/meltCurve_P84157_3_MXRA7.pdf</t>
  </si>
  <si>
    <t>Melting_Curves/meltCurve_P85037_FOXK1.pdf</t>
  </si>
  <si>
    <t>Melting_Curves/meltCurve_P86397_RPP14.pdf</t>
  </si>
  <si>
    <t>Melting_Curves/meltCurve_P86791_CCZ1.pdf</t>
  </si>
  <si>
    <t>Melting_Curves/meltCurve_P98082_3_DAB2.pdf</t>
  </si>
  <si>
    <t>Melting_Curves/meltCurve_P98155_2_VLDLR.pdf</t>
  </si>
  <si>
    <t>Melting_Curves/meltCurve_P98160_HSPG2.pdf</t>
  </si>
  <si>
    <t>Melting_Curves/meltCurve_P98170_XIAP.pdf</t>
  </si>
  <si>
    <t>Melting_Curves/meltCurve_P98172_EFNB1.pdf</t>
  </si>
  <si>
    <t>Melting_Curves/meltCurve_P98173_FAM3A.pdf</t>
  </si>
  <si>
    <t>Melting_Curves/meltCurve_P98175_2_RBM10.pdf</t>
  </si>
  <si>
    <t>Melting_Curves/meltCurve_P98179_RBM3.pdf</t>
  </si>
  <si>
    <t>Melting_Curves/meltCurve_Q00013_2_MPP1.pdf</t>
  </si>
  <si>
    <t>Melting_Curves/meltCurve_Q00169_PITPNA.pdf</t>
  </si>
  <si>
    <t>Melting_Curves/meltCurve_Q00325_2_SLC25A3.pdf</t>
  </si>
  <si>
    <t>Melting_Curves/meltCurve_Q00341_HDLBP.pdf</t>
  </si>
  <si>
    <t>Melting_Curves/meltCurve_Q00403_GTF2B.pdf</t>
  </si>
  <si>
    <t>Melting_Curves/meltCurve_Q00534_CDK6.pdf</t>
  </si>
  <si>
    <t>Melting_Curves/meltCurve_Q00535_CDK5.pdf</t>
  </si>
  <si>
    <t>Melting_Curves/meltCurve_Q00536_CDK16.pdf</t>
  </si>
  <si>
    <t>Melting_Curves/meltCurve_Q00577_PURA.pdf</t>
  </si>
  <si>
    <t>Melting_Curves/meltCurve_Q00587_2_CDC42EP1.pdf</t>
  </si>
  <si>
    <t>Melting_Curves/meltCurve_Q00610_2_CLTC.pdf</t>
  </si>
  <si>
    <t>Melting_Curves/meltCurve_Q00653_4_NFKB2.pdf</t>
  </si>
  <si>
    <t>Melting_Curves/meltCurve_Q00688_FKBP3.pdf</t>
  </si>
  <si>
    <t>Melting_Curves/meltCurve_Q00765_REEP5.pdf</t>
  </si>
  <si>
    <t>Melting_Curves/meltCurve_Q00796_SORD.pdf</t>
  </si>
  <si>
    <t>Melting_Curves/meltCurve_Q00839_2_HNRNPU.pdf</t>
  </si>
  <si>
    <t>Melting_Curves/meltCurve_Q00978_IRF9.pdf</t>
  </si>
  <si>
    <t>Melting_Curves/meltCurve_Q01082_SPTBN1.pdf</t>
  </si>
  <si>
    <t>Melting_Curves/meltCurve_Q01085_2_TIAL1.pdf</t>
  </si>
  <si>
    <t>Melting_Curves/meltCurve_Q01105_SET.pdf</t>
  </si>
  <si>
    <t>Melting_Curves/meltCurve_Q01415_GALK2.pdf</t>
  </si>
  <si>
    <t>Melting_Curves/meltCurve_Q01459_CTBS.pdf</t>
  </si>
  <si>
    <t>Melting_Curves/meltCurve_Q01469_FABP5.pdf</t>
  </si>
  <si>
    <t>Melting_Curves/meltCurve_Q01518_2_CAP1.pdf</t>
  </si>
  <si>
    <t>Melting_Curves/meltCurve_Q01581_HMGCS1.pdf</t>
  </si>
  <si>
    <t>Melting_Curves/meltCurve_Q01650_SLC7A5.pdf</t>
  </si>
  <si>
    <t>Melting_Curves/meltCurve_Q01658_DR1.pdf</t>
  </si>
  <si>
    <t>Melting_Curves/meltCurve_Q01813_PFKP.pdf</t>
  </si>
  <si>
    <t>Melting_Curves/meltCurve_Q01850_CDR2.pdf</t>
  </si>
  <si>
    <t>Melting_Curves/meltCurve_Q01968_OCRL.pdf</t>
  </si>
  <si>
    <t>Melting_Curves/meltCurve_Q01970_PLCB3.pdf</t>
  </si>
  <si>
    <t>Melting_Curves/meltCurve_Q01974_ROR2.pdf</t>
  </si>
  <si>
    <t>Melting_Curves/meltCurve_Q01995_TAGLN.pdf</t>
  </si>
  <si>
    <t>Melting_Curves/meltCurve_Q02083_2_NAAA.pdf</t>
  </si>
  <si>
    <t>Melting_Curves/meltCurve_Q02127_DHODH.pdf</t>
  </si>
  <si>
    <t>Melting_Curves/meltCurve_Q02156_PRKCE.pdf</t>
  </si>
  <si>
    <t>Melting_Curves/meltCurve_Q02252_ALDH6A1.pdf</t>
  </si>
  <si>
    <t>Melting_Curves/meltCurve_Q02318_CYP27A1.pdf</t>
  </si>
  <si>
    <t>Melting_Curves/meltCurve_Q02338_BDH1.pdf</t>
  </si>
  <si>
    <t>Melting_Curves/meltCurve_Q02388_2_COL7A1.pdf</t>
  </si>
  <si>
    <t>Melting_Curves/meltCurve_Q02410_APBA1.pdf</t>
  </si>
  <si>
    <t>Melting_Curves/meltCurve_Q02543_RPL18A.pdf</t>
  </si>
  <si>
    <t>Melting_Curves/meltCurve_Q02742_GCNT1.pdf</t>
  </si>
  <si>
    <t>Melting_Curves/meltCurve_Q02750_MAP2K1.pdf</t>
  </si>
  <si>
    <t>Melting_Curves/meltCurve_Q02790_FKBP4.pdf</t>
  </si>
  <si>
    <t>Melting_Curves/meltCurve_Q02809_PLOD1.pdf</t>
  </si>
  <si>
    <t>Melting_Curves/meltCurve_Q02818_NUCB1.pdf</t>
  </si>
  <si>
    <t>Melting_Curves/meltCurve_Q02878_RPL6.pdf</t>
  </si>
  <si>
    <t>Melting_Curves/meltCurve_Q02952_3_AKAP12.pdf</t>
  </si>
  <si>
    <t>Melting_Curves/meltCurve_Q03001_DST.pdf</t>
  </si>
  <si>
    <t>Melting_Curves/meltCurve_Q03001_3_DST.pdf</t>
  </si>
  <si>
    <t>Melting_Curves/meltCurve_Q03013_GSTM4.pdf</t>
  </si>
  <si>
    <t>Melting_Curves/meltCurve_Q03135_CAV1.pdf</t>
  </si>
  <si>
    <t>Melting_Curves/meltCurve_Q03154_ACY1.pdf</t>
  </si>
  <si>
    <t>Melting_Curves/meltCurve_Q03169_TNFAIP2.pdf</t>
  </si>
  <si>
    <t>Melting_Curves/meltCurve_Q03393_PTS.pdf</t>
  </si>
  <si>
    <t>Melting_Curves/meltCurve_Q03405_PLAUR.pdf</t>
  </si>
  <si>
    <t>Melting_Curves/meltCurve_Q03519_TAP2.pdf</t>
  </si>
  <si>
    <t>Melting_Curves/meltCurve_Q04446_GBE1.pdf</t>
  </si>
  <si>
    <t>Melting_Curves/meltCurve_Q04656_5_ATP7A.pdf</t>
  </si>
  <si>
    <t>Melting_Curves/meltCurve_Q04721_NOTCH2.pdf</t>
  </si>
  <si>
    <t>Melting_Curves/meltCurve_Q04760_GLO1.pdf</t>
  </si>
  <si>
    <t>Melting_Curves/meltCurve_Q04771_ACVR1.pdf</t>
  </si>
  <si>
    <t>Melting_Curves/meltCurve_Q04828_AKR1C1.pdf</t>
  </si>
  <si>
    <t>Melting_Curves/meltCurve_Q04837_SSBP1.pdf</t>
  </si>
  <si>
    <t>Melting_Curves/meltCurve_Q04912_2_MST1R.pdf</t>
  </si>
  <si>
    <t>Melting_Curves/meltCurve_Q04917_YWHAH.pdf</t>
  </si>
  <si>
    <t>Melting_Curves/meltCurve_Q04941_PLP2.pdf</t>
  </si>
  <si>
    <t>Melting_Curves/meltCurve_Q05048_CSTF1.pdf</t>
  </si>
  <si>
    <t>Melting_Curves/meltCurve_Q05086_3_UBE3A.pdf</t>
  </si>
  <si>
    <t>Melting_Curves/meltCurve_Q05193_3_DNM1.pdf</t>
  </si>
  <si>
    <t>Melting_Curves/meltCurve_Q05209_PTPN12.pdf</t>
  </si>
  <si>
    <t>Melting_Curves/meltCurve_Q05519_2_SRSF11.pdf</t>
  </si>
  <si>
    <t>Melting_Curves/meltCurve_Q05639_EEF1A2.pdf</t>
  </si>
  <si>
    <t>Melting_Curves/meltCurve_Q05655_PRKCD.pdf</t>
  </si>
  <si>
    <t>Melting_Curves/meltCurve_Q06124_PTPN11.pdf</t>
  </si>
  <si>
    <t>Melting_Curves/meltCurve_Q06136_KDSR.pdf</t>
  </si>
  <si>
    <t>Melting_Curves/meltCurve_Q06190_PPP2R3A.pdf</t>
  </si>
  <si>
    <t>Melting_Curves/meltCurve_Q06203_PPAT.pdf</t>
  </si>
  <si>
    <t>Melting_Curves/meltCurve_Q06210_2_GFPT1.pdf</t>
  </si>
  <si>
    <t>Melting_Curves/meltCurve_Q06265_EXOSC9.pdf</t>
  </si>
  <si>
    <t>Melting_Curves/meltCurve_Q06278_AOX1.pdf</t>
  </si>
  <si>
    <t>Melting_Curves/meltCurve_Q06323_PSME1.pdf</t>
  </si>
  <si>
    <t>Melting_Curves/meltCurve_Q06330_RBPJ.pdf</t>
  </si>
  <si>
    <t>Melting_Curves/meltCurve_Q06481_3_APLP2.pdf</t>
  </si>
  <si>
    <t>Melting_Curves/meltCurve_Q06546_GABPA.pdf</t>
  </si>
  <si>
    <t>Melting_Curves/meltCurve_Q06587_RING1.pdf</t>
  </si>
  <si>
    <t>Melting_Curves/meltCurve_Q06830_PRDX1.pdf</t>
  </si>
  <si>
    <t>Melting_Curves/meltCurve_Q07021_C1QBP.pdf</t>
  </si>
  <si>
    <t>Melting_Curves/meltCurve_Q07065_CKAP4.pdf</t>
  </si>
  <si>
    <t>Melting_Curves/meltCurve_Q07092_2_COL16A1.pdf</t>
  </si>
  <si>
    <t>Melting_Curves/meltCurve_Q07352_ZFP36L1.pdf</t>
  </si>
  <si>
    <t>Melting_Curves/meltCurve_Q07507_DPT.pdf</t>
  </si>
  <si>
    <t>Melting_Curves/meltCurve_Q07812_5_BAX.pdf</t>
  </si>
  <si>
    <t>Melting_Curves/meltCurve_Q07866_6_KLC1.pdf</t>
  </si>
  <si>
    <t>Melting_Curves/meltCurve_Q07912_TNK2.pdf</t>
  </si>
  <si>
    <t>Melting_Curves/meltCurve_Q07954_LRP1.pdf</t>
  </si>
  <si>
    <t>Melting_Curves/meltCurve_Q07960_ARHGAP1.pdf</t>
  </si>
  <si>
    <t>Melting_Curves/meltCurve_Q08209_2_PPP3CA.pdf</t>
  </si>
  <si>
    <t>Melting_Curves/meltCurve_Q08211_DHX9.pdf</t>
  </si>
  <si>
    <t>Melting_Curves/meltCurve_Q08257_CRYZ.pdf</t>
  </si>
  <si>
    <t>Melting_Curves/meltCurve_Q08357_SLC20A2.pdf</t>
  </si>
  <si>
    <t>Melting_Curves/meltCurve_Q08378_GOLGA3.pdf</t>
  </si>
  <si>
    <t>Melting_Curves/meltCurve_Q08379_GOLGA2.pdf</t>
  </si>
  <si>
    <t>Melting_Curves/meltCurve_Q08380_LGALS3BP.pdf</t>
  </si>
  <si>
    <t>Melting_Curves/meltCurve_Q08426_EHHADH.pdf</t>
  </si>
  <si>
    <t>Melting_Curves/meltCurve_Q08629_SPOCK1.pdf</t>
  </si>
  <si>
    <t>Melting_Curves/meltCurve_Q08722_CD47.pdf</t>
  </si>
  <si>
    <t>Melting_Curves/meltCurve_Q08752_PPID.pdf</t>
  </si>
  <si>
    <t>Melting_Curves/meltCurve_Q08AD1_2_CAMSAP2.pdf</t>
  </si>
  <si>
    <t>Melting_Curves/meltCurve_Q08AE8_2_SPIRE1.pdf</t>
  </si>
  <si>
    <t>Melting_Curves/meltCurve_Q08AF3_SLFN5.pdf</t>
  </si>
  <si>
    <t>Melting_Curves/meltCurve_Q08AG7_MZT1.pdf</t>
  </si>
  <si>
    <t>Melting_Curves/meltCurve_Q08AM6_VAC14.pdf</t>
  </si>
  <si>
    <t>Melting_Curves/meltCurve_Q08E86_KIAA0100.pdf</t>
  </si>
  <si>
    <t>Melting_Curves/meltCurve_Q08J23_NSUN2.pdf</t>
  </si>
  <si>
    <t>Melting_Curves/meltCurve_Q09028_3_RBBP4.pdf</t>
  </si>
  <si>
    <t>Melting_Curves/meltCurve_Q09161_NCBP1.pdf</t>
  </si>
  <si>
    <t>Melting_Curves/meltCurve_Q09328_MGAT5.pdf</t>
  </si>
  <si>
    <t>Melting_Curves/meltCurve_Q09666_AHNAK.pdf</t>
  </si>
  <si>
    <t>Melting_Curves/meltCurve_Q09666_2_AHNAK.pdf</t>
  </si>
  <si>
    <t>Melting_Curves/meltCurve_Q0JRZ9_FCHO2.pdf</t>
  </si>
  <si>
    <t>Melting_Curves/meltCurve_Q0VDF9_HSPA14.pdf</t>
  </si>
  <si>
    <t>Melting_Curves/meltCurve_Q0VDG4_SCRN3.pdf</t>
  </si>
  <si>
    <t>Melting_Curves/meltCurve_Q0VG06_FAAP100.pdf</t>
  </si>
  <si>
    <t>Melting_Curves/meltCurve_Q0VGL1_LAMTOR4.pdf</t>
  </si>
  <si>
    <t>Melting_Curves/meltCurve_Q0ZGT2_4_NEXN.pdf</t>
  </si>
  <si>
    <t>Melting_Curves/meltCurve_Q10469_MGAT2.pdf</t>
  </si>
  <si>
    <t>Melting_Curves/meltCurve_Q10471_GALNT2.pdf</t>
  </si>
  <si>
    <t>Melting_Curves/meltCurve_Q10567_2_AP1B1.pdf</t>
  </si>
  <si>
    <t>Melting_Curves/meltCurve_Q10567_3_AP1B1.pdf</t>
  </si>
  <si>
    <t>Melting_Curves/meltCurve_Q10713_PMPCA.pdf</t>
  </si>
  <si>
    <t>Melting_Curves/meltCurve_Q11201_ST3GAL1.pdf</t>
  </si>
  <si>
    <t>Melting_Curves/meltCurve_Q11206_3_ST3GAL4.pdf</t>
  </si>
  <si>
    <t>Melting_Curves/meltCurve_Q12765_SCRN1.pdf</t>
  </si>
  <si>
    <t>Melting_Curves/meltCurve_Q12792_TWF1.pdf</t>
  </si>
  <si>
    <t>Melting_Curves/meltCurve_Q12797_ASPH.pdf</t>
  </si>
  <si>
    <t>Melting_Curves/meltCurve_Q12802_4_AKAP13.pdf</t>
  </si>
  <si>
    <t>Melting_Curves/meltCurve_Q12805_2_EFEMP1.pdf</t>
  </si>
  <si>
    <t>Melting_Curves/meltCurve_Q12841_FSTL1.pdf</t>
  </si>
  <si>
    <t>Melting_Curves/meltCurve_Q12846_STX4.pdf</t>
  </si>
  <si>
    <t>Melting_Curves/meltCurve_Q12849_GRSF1.pdf</t>
  </si>
  <si>
    <t>Melting_Curves/meltCurve_Q12872_SFSWAP.pdf</t>
  </si>
  <si>
    <t>Melting_Curves/meltCurve_Q12874_SF3A3.pdf</t>
  </si>
  <si>
    <t>Melting_Curves/meltCurve_Q12882_DPYD.pdf</t>
  </si>
  <si>
    <t>Melting_Curves/meltCurve_Q12884_FAP.pdf</t>
  </si>
  <si>
    <t>Melting_Curves/meltCurve_Q12888_TP53BP1.pdf</t>
  </si>
  <si>
    <t>Melting_Curves/meltCurve_Q12893_TMEM115.pdf</t>
  </si>
  <si>
    <t>Melting_Curves/meltCurve_Q12905_ILF2.pdf</t>
  </si>
  <si>
    <t>Melting_Curves/meltCurve_Q12906_ILF3.pdf</t>
  </si>
  <si>
    <t>Melting_Curves/meltCurve_Q12907_LMAN2.pdf</t>
  </si>
  <si>
    <t>Melting_Curves/meltCurve_Q12923_2_PTPN13.pdf</t>
  </si>
  <si>
    <t>Melting_Curves/meltCurve_Q12929_EPS8.pdf</t>
  </si>
  <si>
    <t>Melting_Curves/meltCurve_Q12959_5_DLG1.pdf</t>
  </si>
  <si>
    <t>Melting_Curves/meltCurve_Q12962_TAF10.pdf</t>
  </si>
  <si>
    <t>Melting_Curves/meltCurve_Q12965_MYO1E.pdf</t>
  </si>
  <si>
    <t>Melting_Curves/meltCurve_Q12972_PPP1R8.pdf</t>
  </si>
  <si>
    <t>Melting_Curves/meltCurve_Q12974_PTP4A2.pdf</t>
  </si>
  <si>
    <t>Melting_Curves/meltCurve_Q12979_4_ABR.pdf</t>
  </si>
  <si>
    <t>Melting_Curves/meltCurve_Q12981_BNIP1.pdf</t>
  </si>
  <si>
    <t>Melting_Curves/meltCurve_Q13011_ECH1.pdf</t>
  </si>
  <si>
    <t>Melting_Curves/meltCurve_Q13017_2_ARHGAP5.pdf</t>
  </si>
  <si>
    <t>Melting_Curves/meltCurve_Q13018_2_PLA2R1.pdf</t>
  </si>
  <si>
    <t>Melting_Curves/meltCurve_Q13033_2_STRN3.pdf</t>
  </si>
  <si>
    <t>Melting_Curves/meltCurve_Q13043_STK4.pdf</t>
  </si>
  <si>
    <t>Melting_Curves/meltCurve_Q13045_FLII.pdf</t>
  </si>
  <si>
    <t>Melting_Curves/meltCurve_Q13049_TRIM32.pdf</t>
  </si>
  <si>
    <t>Melting_Curves/meltCurve_Q13057_COASY.pdf</t>
  </si>
  <si>
    <t>Melting_Curves/meltCurve_Q13107_2_USP4.pdf</t>
  </si>
  <si>
    <t>Melting_Curves/meltCurve_Q13126_MTAP.pdf</t>
  </si>
  <si>
    <t>Melting_Curves/meltCurve_Q13131_PRKAA1.pdf</t>
  </si>
  <si>
    <t>Melting_Curves/meltCurve_Q13136_PPFIA1.pdf</t>
  </si>
  <si>
    <t>Melting_Curves/meltCurve_Q13148_TARDBP.pdf</t>
  </si>
  <si>
    <t>Melting_Curves/meltCurve_Q13151_HNRNPA0.pdf</t>
  </si>
  <si>
    <t>Melting_Curves/meltCurve_Q13153_PAK1.pdf</t>
  </si>
  <si>
    <t>Melting_Curves/meltCurve_Q13158_FADD.pdf</t>
  </si>
  <si>
    <t>Melting_Curves/meltCurve_Q13162_PRDX4.pdf</t>
  </si>
  <si>
    <t>Melting_Curves/meltCurve_Q13164_MAPK7.pdf</t>
  </si>
  <si>
    <t>Melting_Curves/meltCurve_Q13177_PAK2.pdf</t>
  </si>
  <si>
    <t>Melting_Curves/meltCurve_Q13185_CBX3.pdf</t>
  </si>
  <si>
    <t>Melting_Curves/meltCurve_Q13188_STK3.pdf</t>
  </si>
  <si>
    <t>Melting_Curves/meltCurve_Q13190_STX5.pdf</t>
  </si>
  <si>
    <t>Melting_Curves/meltCurve_Q13200_PSMD2.pdf</t>
  </si>
  <si>
    <t>Melting_Curves/meltCurve_Q13217_DNAJC3.pdf</t>
  </si>
  <si>
    <t>Melting_Curves/meltCurve_Q13228_SELENBP1.pdf</t>
  </si>
  <si>
    <t>Melting_Curves/meltCurve_Q13232_NME3.pdf</t>
  </si>
  <si>
    <t>Melting_Curves/meltCurve_Q13242_SRSF9.pdf</t>
  </si>
  <si>
    <t>Melting_Curves/meltCurve_Q13243_3_SRSF5.pdf</t>
  </si>
  <si>
    <t>Melting_Curves/meltCurve_Q13247_3_SRSF6.pdf</t>
  </si>
  <si>
    <t>Melting_Curves/meltCurve_Q13263_TRIM28.pdf</t>
  </si>
  <si>
    <t>Melting_Curves/meltCurve_Q13277_2_STX3.pdf</t>
  </si>
  <si>
    <t>Melting_Curves/meltCurve_Q13283_G3BP1.pdf</t>
  </si>
  <si>
    <t>Melting_Curves/meltCurve_Q13287_NMI.pdf</t>
  </si>
  <si>
    <t>Melting_Curves/meltCurve_Q13308_PTK7.pdf</t>
  </si>
  <si>
    <t>Melting_Curves/meltCurve_Q13310_3_PABPC4.pdf</t>
  </si>
  <si>
    <t>Melting_Curves/meltCurve_Q13322_3_GRB10.pdf</t>
  </si>
  <si>
    <t>Melting_Curves/meltCurve_Q13325_IFIT5.pdf</t>
  </si>
  <si>
    <t>Melting_Curves/meltCurve_Q13336_SLC14A1.pdf</t>
  </si>
  <si>
    <t>Melting_Curves/meltCurve_Q13347_EIF3I.pdf</t>
  </si>
  <si>
    <t>Melting_Curves/meltCurve_Q13362_4_PPP2R5C.pdf</t>
  </si>
  <si>
    <t>Melting_Curves/meltCurve_Q13363_CTBP1.pdf</t>
  </si>
  <si>
    <t>Melting_Curves/meltCurve_Q13371_PDCL.pdf</t>
  </si>
  <si>
    <t>Melting_Curves/meltCurve_Q13409_6_DYNC1I2.pdf</t>
  </si>
  <si>
    <t>Melting_Curves/meltCurve_Q13418_ILK.pdf</t>
  </si>
  <si>
    <t>Melting_Curves/meltCurve_Q13423_NNT.pdf</t>
  </si>
  <si>
    <t>Melting_Curves/meltCurve_Q13424_SNTA1.pdf</t>
  </si>
  <si>
    <t>Melting_Curves/meltCurve_Q13425_SNTB2.pdf</t>
  </si>
  <si>
    <t>Melting_Curves/meltCurve_Q13432_UNC119.pdf</t>
  </si>
  <si>
    <t>Melting_Curves/meltCurve_Q13433_SLC39A6.pdf</t>
  </si>
  <si>
    <t>Melting_Curves/meltCurve_Q13435_SF3B2.pdf</t>
  </si>
  <si>
    <t>Melting_Curves/meltCurve_Q13438_4_OS9.pdf</t>
  </si>
  <si>
    <t>Melting_Curves/meltCurve_Q13439_3_GOLGA4.pdf</t>
  </si>
  <si>
    <t>Melting_Curves/meltCurve_Q13442_PDAP1.pdf</t>
  </si>
  <si>
    <t>Melting_Curves/meltCurve_Q13443_ADAM9.pdf</t>
  </si>
  <si>
    <t>Melting_Curves/meltCurve_Q13444_10_ADAM15.pdf</t>
  </si>
  <si>
    <t>Melting_Curves/meltCurve_Q13445_TMED1.pdf</t>
  </si>
  <si>
    <t>Melting_Curves/meltCurve_Q13451_FKBP5.pdf</t>
  </si>
  <si>
    <t>Melting_Curves/meltCurve_Q13464_ROCK1.pdf</t>
  </si>
  <si>
    <t>Melting_Curves/meltCurve_Q13480_2_GAB1.pdf</t>
  </si>
  <si>
    <t>Melting_Curves/meltCurve_Q13488_TCIRG1.pdf</t>
  </si>
  <si>
    <t>Melting_Curves/meltCurve_Q13492_3_PICALM.pdf</t>
  </si>
  <si>
    <t>Melting_Curves/meltCurve_Q13496_MTM1.pdf</t>
  </si>
  <si>
    <t>Melting_Curves/meltCurve_Q13501_SQSTM1.pdf</t>
  </si>
  <si>
    <t>Melting_Curves/meltCurve_Q13505_3_MTX1.pdf</t>
  </si>
  <si>
    <t>Melting_Curves/meltCurve_Q13509_TUBB3.pdf</t>
  </si>
  <si>
    <t>Melting_Curves/meltCurve_Q13526_PIN1.pdf</t>
  </si>
  <si>
    <t>Melting_Curves/meltCurve_Q13541_EIF4EBP1.pdf</t>
  </si>
  <si>
    <t>Melting_Curves/meltCurve_Q13542_EIF4EBP2.pdf</t>
  </si>
  <si>
    <t>Melting_Curves/meltCurve_Q13546_RIPK1.pdf</t>
  </si>
  <si>
    <t>Melting_Curves/meltCurve_Q13564_NAE1.pdf</t>
  </si>
  <si>
    <t>Melting_Curves/meltCurve_Q13572_ITPK1.pdf</t>
  </si>
  <si>
    <t>Melting_Curves/meltCurve_Q13573_SNW1.pdf</t>
  </si>
  <si>
    <t>Melting_Curves/meltCurve_Q13586_STIM1.pdf</t>
  </si>
  <si>
    <t>Melting_Curves/meltCurve_Q13595_2_TRA2A.pdf</t>
  </si>
  <si>
    <t>Melting_Curves/meltCurve_Q13596_SNX1.pdf</t>
  </si>
  <si>
    <t>Melting_Curves/meltCurve_Q13610_PWP1.pdf</t>
  </si>
  <si>
    <t>Melting_Curves/meltCurve_Q13616_CUL1.pdf</t>
  </si>
  <si>
    <t>Melting_Curves/meltCurve_Q13617_CUL2.pdf</t>
  </si>
  <si>
    <t>Melting_Curves/meltCurve_Q13618_2_CUL3.pdf</t>
  </si>
  <si>
    <t>Melting_Curves/meltCurve_Q13619_CUL4A.pdf</t>
  </si>
  <si>
    <t>Melting_Curves/meltCurve_Q13630_TSTA3.pdf</t>
  </si>
  <si>
    <t>Melting_Curves/meltCurve_Q13636_RAB31.pdf</t>
  </si>
  <si>
    <t>Melting_Curves/meltCurve_Q13637_RAB32.pdf</t>
  </si>
  <si>
    <t>Melting_Curves/meltCurve_Q13641_TPBG.pdf</t>
  </si>
  <si>
    <t>Melting_Curves/meltCurve_Q13642_5_FHL1.pdf</t>
  </si>
  <si>
    <t>Melting_Curves/meltCurve_Q13643_FHL3.pdf</t>
  </si>
  <si>
    <t>Melting_Curves/meltCurve_Q13671_RIN1.pdf</t>
  </si>
  <si>
    <t>Melting_Curves/meltCurve_Q13683_3_ITGA7.pdf</t>
  </si>
  <si>
    <t>Melting_Curves/meltCurve_Q13724_MOGS.pdf</t>
  </si>
  <si>
    <t>Melting_Curves/meltCurve_Q13740_2_ALCAM.pdf</t>
  </si>
  <si>
    <t>Melting_Curves/meltCurve_Q13795_ARFRP1.pdf</t>
  </si>
  <si>
    <t>Melting_Curves/meltCurve_Q13813_SPTAN1.pdf</t>
  </si>
  <si>
    <t>Melting_Curves/meltCurve_Q13868_EXOSC2.pdf</t>
  </si>
  <si>
    <t>Melting_Curves/meltCurve_Q13873_BMPR2.pdf</t>
  </si>
  <si>
    <t>Melting_Curves/meltCurve_Q13884_SNTB1.pdf</t>
  </si>
  <si>
    <t>Melting_Curves/meltCurve_Q13885_TUBB2A.pdf</t>
  </si>
  <si>
    <t>Melting_Curves/meltCurve_Q13895_BYSL.pdf</t>
  </si>
  <si>
    <t>Melting_Curves/meltCurve_Q13905_2_RAPGEF1.pdf</t>
  </si>
  <si>
    <t>Melting_Curves/meltCurve_Q13907_IDI1.pdf</t>
  </si>
  <si>
    <t>Melting_Curves/meltCurve_Q13951_CBFB.pdf</t>
  </si>
  <si>
    <t>Melting_Curves/meltCurve_Q13951_2_CBFB.pdf</t>
  </si>
  <si>
    <t>Melting_Curves/meltCurve_Q13952_3_NFYC.pdf</t>
  </si>
  <si>
    <t>Melting_Curves/meltCurve_Q13976_2_PRKG1.pdf</t>
  </si>
  <si>
    <t>Melting_Curves/meltCurve_Q14008_2_CKAP5.pdf</t>
  </si>
  <si>
    <t>Melting_Curves/meltCurve_Q14011_CIRBP.pdf</t>
  </si>
  <si>
    <t>Melting_Curves/meltCurve_Q14012_CAMK1.pdf</t>
  </si>
  <si>
    <t>Melting_Curves/meltCurve_Q14019_COTL1.pdf</t>
  </si>
  <si>
    <t>Melting_Curves/meltCurve_Q14061_COX17.pdf</t>
  </si>
  <si>
    <t>Melting_Curves/meltCurve_Q14103_3_HNRNPD.pdf</t>
  </si>
  <si>
    <t>Melting_Curves/meltCurve_Q14108_SCARB2.pdf</t>
  </si>
  <si>
    <t>Melting_Curves/meltCurve_Q14112_2_NID2.pdf</t>
  </si>
  <si>
    <t>Melting_Curves/meltCurve_Q14114_4_LRP8.pdf</t>
  </si>
  <si>
    <t>Melting_Curves/meltCurve_Q14118_DAG1.pdf</t>
  </si>
  <si>
    <t>Melting_Curves/meltCurve_Q14123_2_PDE1C.pdf</t>
  </si>
  <si>
    <t>Melting_Curves/meltCurve_Q14139_UBE4A.pdf</t>
  </si>
  <si>
    <t>Melting_Curves/meltCurve_Q14151_SAFB2.pdf</t>
  </si>
  <si>
    <t>Melting_Curves/meltCurve_Q14152_EIF3A.pdf</t>
  </si>
  <si>
    <t>Melting_Curves/meltCurve_Q14157_UBAP2L.pdf</t>
  </si>
  <si>
    <t>Melting_Curves/meltCurve_Q14160_SCRIB.pdf</t>
  </si>
  <si>
    <t>Melting_Curves/meltCurve_Q14165_MLEC.pdf</t>
  </si>
  <si>
    <t>Melting_Curves/meltCurve_Q14166_TTLL12.pdf</t>
  </si>
  <si>
    <t>Melting_Curves/meltCurve_Q14185_DOCK1.pdf</t>
  </si>
  <si>
    <t>Melting_Curves/meltCurve_Q14195_2_DPYSL3.pdf</t>
  </si>
  <si>
    <t>Melting_Curves/meltCurve_Q14204_DYNC1H1.pdf</t>
  </si>
  <si>
    <t>Melting_Curves/meltCurve_Q14232_EIF2B1.pdf</t>
  </si>
  <si>
    <t>Melting_Curves/meltCurve_Q14240_2_EIF4A2.pdf</t>
  </si>
  <si>
    <t>Melting_Curves/meltCurve_Q14241_TCEB3.pdf</t>
  </si>
  <si>
    <t>Melting_Curves/meltCurve_Q14247_CTTN.pdf</t>
  </si>
  <si>
    <t>Melting_Curves/meltCurve_Q14249_ENDOG.pdf</t>
  </si>
  <si>
    <t>Melting_Curves/meltCurve_Q14254_FLOT2.pdf</t>
  </si>
  <si>
    <t>Melting_Curves/meltCurve_Q14257_RCN2.pdf</t>
  </si>
  <si>
    <t>Melting_Curves/meltCurve_Q14258_TRIM25.pdf</t>
  </si>
  <si>
    <t>Melting_Curves/meltCurve_Q14315_FLNC.pdf</t>
  </si>
  <si>
    <t>Melting_Curves/meltCurve_Q14318_2_FKBP8.pdf</t>
  </si>
  <si>
    <t>Melting_Curves/meltCurve_Q14320_FAM50A.pdf</t>
  </si>
  <si>
    <t>Melting_Curves/meltCurve_Q14332_FZD2.pdf</t>
  </si>
  <si>
    <t>Melting_Curves/meltCurve_Q14344_GNA13.pdf</t>
  </si>
  <si>
    <t>Melting_Curves/meltCurve_Q14353_GAMT.pdf</t>
  </si>
  <si>
    <t>Melting_Curves/meltCurve_Q14376_GALE.pdf</t>
  </si>
  <si>
    <t>Melting_Curves/meltCurve_Q14392_LRRC32.pdf</t>
  </si>
  <si>
    <t>Melting_Curves/meltCurve_Q14393_2_GAS6.pdf</t>
  </si>
  <si>
    <t>Melting_Curves/meltCurve_Q14444_2_CAPRIN1.pdf</t>
  </si>
  <si>
    <t>Melting_Curves/meltCurve_Q14498_3_RBM39.pdf</t>
  </si>
  <si>
    <t>Melting_Curves/meltCurve_Q14511_3_NEDD9.pdf</t>
  </si>
  <si>
    <t>Melting_Curves/meltCurve_Q14517_FAT1.pdf</t>
  </si>
  <si>
    <t>Melting_Curves/meltCurve_Q14520_2_HABP2.pdf</t>
  </si>
  <si>
    <t>Melting_Curves/meltCurve_Q14534_SQLE.pdf</t>
  </si>
  <si>
    <t>Melting_Curves/meltCurve_Q14554_PDIA5.pdf</t>
  </si>
  <si>
    <t>Melting_Curves/meltCurve_Q14558_PRPSAP1.pdf</t>
  </si>
  <si>
    <t>Melting_Curves/meltCurve_Q14642_INPP5A.pdf</t>
  </si>
  <si>
    <t>Melting_Curves/meltCurve_Q14644_RASA3.pdf</t>
  </si>
  <si>
    <t>Melting_Curves/meltCurve_Q14653_IRF3.pdf</t>
  </si>
  <si>
    <t>Melting_Curves/meltCurve_Q14657_LAGE3.pdf</t>
  </si>
  <si>
    <t>Melting_Curves/meltCurve_Q14669_3_TRIP12.pdf</t>
  </si>
  <si>
    <t>Melting_Curves/meltCurve_Q14676_4_MDC1.pdf</t>
  </si>
  <si>
    <t>Melting_Curves/meltCurve_Q14677_CLINT1.pdf</t>
  </si>
  <si>
    <t>Melting_Curves/meltCurve_Q14681_KCTD2.pdf</t>
  </si>
  <si>
    <t>Melting_Curves/meltCurve_Q14693_LPIN1.pdf</t>
  </si>
  <si>
    <t>Melting_Curves/meltCurve_Q14694_USP10.pdf</t>
  </si>
  <si>
    <t>Melting_Curves/meltCurve_Q14696_MESDC2.pdf</t>
  </si>
  <si>
    <t>Melting_Curves/meltCurve_Q14697_GANAB.pdf</t>
  </si>
  <si>
    <t>Melting_Curves/meltCurve_Q14699_RFTN1.pdf</t>
  </si>
  <si>
    <t>Melting_Curves/meltCurve_Q14714_SSPN.pdf</t>
  </si>
  <si>
    <t>Melting_Curves/meltCurve_Q14739_LBR.pdf</t>
  </si>
  <si>
    <t>Melting_Curves/meltCurve_Q14764_MVP.pdf</t>
  </si>
  <si>
    <t>Melting_Curves/meltCurve_Q14766_3_LTBP1.pdf</t>
  </si>
  <si>
    <t>Melting_Curves/meltCurve_Q14789_2_GOLGB1.pdf</t>
  </si>
  <si>
    <t>Melting_Curves/meltCurve_Q14790_CASP8.pdf</t>
  </si>
  <si>
    <t>Melting_Curves/meltCurve_Q147X3_NAA30.pdf</t>
  </si>
  <si>
    <t>Melting_Curves/meltCurve_Q14847_LASP1.pdf</t>
  </si>
  <si>
    <t>Melting_Curves/meltCurve_Q14872_MTF1.pdf</t>
  </si>
  <si>
    <t>Melting_Curves/meltCurve_Q14914_2_PTGR1.pdf</t>
  </si>
  <si>
    <t>Melting_Curves/meltCurve_Q14964_RAB39A.pdf</t>
  </si>
  <si>
    <t>Melting_Curves/meltCurve_Q14966_ZNF638.pdf</t>
  </si>
  <si>
    <t>Melting_Curves/meltCurve_Q14974_KPNB1.pdf</t>
  </si>
  <si>
    <t>Melting_Curves/meltCurve_Q14978_NOLC1.pdf</t>
  </si>
  <si>
    <t>Melting_Curves/meltCurve_Q14980_NUMA1.pdf</t>
  </si>
  <si>
    <t>Melting_Curves/meltCurve_Q14C86_3_GAPVD1.pdf</t>
  </si>
  <si>
    <t>Melting_Curves/meltCurve_Q14CS0_UBXN2B.pdf</t>
  </si>
  <si>
    <t>Melting_Curves/meltCurve_Q14CX7_2_NAA25.pdf</t>
  </si>
  <si>
    <t>Melting_Curves/meltCurve_Q15006_EMC2.pdf</t>
  </si>
  <si>
    <t>Melting_Curves/meltCurve_Q15008_PSMD6.pdf</t>
  </si>
  <si>
    <t>Melting_Curves/meltCurve_Q15011_3_HERPUD1.pdf</t>
  </si>
  <si>
    <t>Melting_Curves/meltCurve_Q15012_LAPTM4A.pdf</t>
  </si>
  <si>
    <t>Melting_Curves/meltCurve_Q15013_MAD2L1BP.pdf</t>
  </si>
  <si>
    <t>Melting_Curves/meltCurve_Q15018_FAM175B.pdf</t>
  </si>
  <si>
    <t>Melting_Curves/meltCurve_Q15019_2_SEPT2.pdf</t>
  </si>
  <si>
    <t>Melting_Curves/meltCurve_Q15024_EXOSC7.pdf</t>
  </si>
  <si>
    <t>Melting_Curves/meltCurve_Q15029_2_EFTUD2.pdf</t>
  </si>
  <si>
    <t>Melting_Curves/meltCurve_Q15031_LARS2.pdf</t>
  </si>
  <si>
    <t>Melting_Curves/meltCurve_Q15036_SNX17.pdf</t>
  </si>
  <si>
    <t>Melting_Curves/meltCurve_Q15043_2_SLC39A14.pdf</t>
  </si>
  <si>
    <t>Melting_Curves/meltCurve_Q15046_KARS.pdf</t>
  </si>
  <si>
    <t>Melting_Curves/meltCurve_Q15056_2_EIF4H.pdf</t>
  </si>
  <si>
    <t>Melting_Curves/meltCurve_Q15057_ACAP2.pdf</t>
  </si>
  <si>
    <t>Melting_Curves/meltCurve_Q15061_WDR43.pdf</t>
  </si>
  <si>
    <t>Melting_Curves/meltCurve_Q15067_ACOX1.pdf</t>
  </si>
  <si>
    <t>Melting_Curves/meltCurve_Q15075_EEA1.pdf</t>
  </si>
  <si>
    <t>Melting_Curves/meltCurve_Q15102_PAFAH1B3.pdf</t>
  </si>
  <si>
    <t>Melting_Curves/meltCurve_Q15113_PCOLCE.pdf</t>
  </si>
  <si>
    <t>Melting_Curves/meltCurve_Q15118_PDK1.pdf</t>
  </si>
  <si>
    <t>Melting_Curves/meltCurve_Q15119_PDK2.pdf</t>
  </si>
  <si>
    <t>Melting_Curves/meltCurve_Q15121_PEA15.pdf</t>
  </si>
  <si>
    <t>Melting_Curves/meltCurve_Q15124_PGM5.pdf</t>
  </si>
  <si>
    <t>Melting_Curves/meltCurve_Q15126_PMVK.pdf</t>
  </si>
  <si>
    <t>Melting_Curves/meltCurve_Q15139_PRKD1.pdf</t>
  </si>
  <si>
    <t>Melting_Curves/meltCurve_Q15147_PLCB4.pdf</t>
  </si>
  <si>
    <t>Melting_Curves/meltCurve_Q15149_3_PLEC.pdf</t>
  </si>
  <si>
    <t>Melting_Curves/meltCurve_Q15149_4_PLEC.pdf</t>
  </si>
  <si>
    <t>Melting_Curves/meltCurve_Q15149_8_PLEC.pdf</t>
  </si>
  <si>
    <t>Melting_Curves/meltCurve_Q15155_NOMO1.pdf</t>
  </si>
  <si>
    <t>Melting_Curves/meltCurve_Q15170_2_TCEAL1.pdf</t>
  </si>
  <si>
    <t>Melting_Curves/meltCurve_Q15172_PPP2R5A.pdf</t>
  </si>
  <si>
    <t>Melting_Curves/meltCurve_Q15173_2_PPP2R5B.pdf</t>
  </si>
  <si>
    <t>Melting_Curves/meltCurve_Q15181_PPA1.pdf</t>
  </si>
  <si>
    <t>Melting_Curves/meltCurve_Q15208_STK38.pdf</t>
  </si>
  <si>
    <t>Melting_Curves/meltCurve_Q15223_PVRL1.pdf</t>
  </si>
  <si>
    <t>Melting_Curves/meltCurve_Q15233_2_NONO.pdf</t>
  </si>
  <si>
    <t>Melting_Curves/meltCurve_Q15257_PPP2R4.pdf</t>
  </si>
  <si>
    <t>Melting_Curves/meltCurve_Q15274_QPRT.pdf</t>
  </si>
  <si>
    <t>Melting_Curves/meltCurve_Q15276_RABEP1.pdf</t>
  </si>
  <si>
    <t>Melting_Curves/meltCurve_Q15283_2_RASA2.pdf</t>
  </si>
  <si>
    <t>Melting_Curves/meltCurve_Q15286_RAB35.pdf</t>
  </si>
  <si>
    <t>Melting_Curves/meltCurve_Q15291_2_RBBP5.pdf</t>
  </si>
  <si>
    <t>Melting_Curves/meltCurve_Q15293_RCN1.pdf</t>
  </si>
  <si>
    <t>Melting_Curves/meltCurve_Q15311_RALBP1.pdf</t>
  </si>
  <si>
    <t>Melting_Curves/meltCurve_Q15363_TMED2.pdf</t>
  </si>
  <si>
    <t>Melting_Curves/meltCurve_Q15365_PCBP1.pdf</t>
  </si>
  <si>
    <t>Melting_Curves/meltCurve_Q15370_TCEB2.pdf</t>
  </si>
  <si>
    <t>Melting_Curves/meltCurve_Q15382_RHEB.pdf</t>
  </si>
  <si>
    <t>Melting_Curves/meltCurve_Q15386_UBE3C.pdf</t>
  </si>
  <si>
    <t>Melting_Curves/meltCurve_Q15393_SF3B3.pdf</t>
  </si>
  <si>
    <t>Melting_Curves/meltCurve_Q15404_RSU1.pdf</t>
  </si>
  <si>
    <t>Melting_Curves/meltCurve_Q15417_CNN3.pdf</t>
  </si>
  <si>
    <t>Melting_Curves/meltCurve_Q15424_SAFB.pdf</t>
  </si>
  <si>
    <t>Melting_Curves/meltCurve_Q15428_SF3A2.pdf</t>
  </si>
  <si>
    <t>Melting_Curves/meltCurve_Q15435_PPP1R7.pdf</t>
  </si>
  <si>
    <t>Melting_Curves/meltCurve_Q15437_SEC23B.pdf</t>
  </si>
  <si>
    <t>Melting_Curves/meltCurve_Q15438_2_CYTH1.pdf</t>
  </si>
  <si>
    <t>Melting_Curves/meltCurve_Q15459_SF3A1.pdf</t>
  </si>
  <si>
    <t>Melting_Curves/meltCurve_Q15464_SHB.pdf</t>
  </si>
  <si>
    <t>Melting_Curves/meltCurve_Q15493_RGN.pdf</t>
  </si>
  <si>
    <t>Melting_Curves/meltCurve_Q15506_SPA17.pdf</t>
  </si>
  <si>
    <t>Melting_Curves/meltCurve_Q15526_2_SURF1.pdf</t>
  </si>
  <si>
    <t>Melting_Curves/meltCurve_Q15545_TAF7.pdf</t>
  </si>
  <si>
    <t>Melting_Curves/meltCurve_Q15555_4_MAPRE2.pdf</t>
  </si>
  <si>
    <t>Melting_Curves/meltCurve_Q15582_TGFBI.pdf</t>
  </si>
  <si>
    <t>Melting_Curves/meltCurve_Q15599_SLC9A3R2.pdf</t>
  </si>
  <si>
    <t>Melting_Curves/meltCurve_Q15628_TRADD.pdf</t>
  </si>
  <si>
    <t>Melting_Curves/meltCurve_Q15637_5_SF1.pdf</t>
  </si>
  <si>
    <t>Melting_Curves/meltCurve_Q15642_TRIP10.pdf</t>
  </si>
  <si>
    <t>Melting_Curves/meltCurve_Q15642_2_TRIP10.pdf</t>
  </si>
  <si>
    <t>Melting_Curves/meltCurve_Q15643_TRIP11.pdf</t>
  </si>
  <si>
    <t>Melting_Curves/meltCurve_Q15645_TRIP13.pdf</t>
  </si>
  <si>
    <t>Melting_Curves/meltCurve_Q15648_MED1.pdf</t>
  </si>
  <si>
    <t>Melting_Curves/meltCurve_Q15652_3_JMJD1C.pdf</t>
  </si>
  <si>
    <t>Melting_Curves/meltCurve_Q15654_TRIP6.pdf</t>
  </si>
  <si>
    <t>Melting_Curves/meltCurve_Q15691_MAPRE1.pdf</t>
  </si>
  <si>
    <t>Melting_Curves/meltCurve_Q15714_TSC22D1.pdf</t>
  </si>
  <si>
    <t>Melting_Curves/meltCurve_Q15717_ELAVL1.pdf</t>
  </si>
  <si>
    <t>Melting_Curves/meltCurve_Q15738_NSDHL.pdf</t>
  </si>
  <si>
    <t>Melting_Curves/meltCurve_Q15742_3_NAB2.pdf</t>
  </si>
  <si>
    <t>Melting_Curves/meltCurve_Q15743_GPR68.pdf</t>
  </si>
  <si>
    <t>Melting_Curves/meltCurve_Q15746_6_MYLK.pdf</t>
  </si>
  <si>
    <t>Melting_Curves/meltCurve_Q15750_2_TAB1.pdf</t>
  </si>
  <si>
    <t>Melting_Curves/meltCurve_Q15758_SLC1A5.pdf</t>
  </si>
  <si>
    <t>Melting_Curves/meltCurve_Q15759_MAPK11.pdf</t>
  </si>
  <si>
    <t>Melting_Curves/meltCurve_Q15771_RAB30.pdf</t>
  </si>
  <si>
    <t>Melting_Curves/meltCurve_Q15785_TOMM34.pdf</t>
  </si>
  <si>
    <t>Melting_Curves/meltCurve_Q15800_MSMO1.pdf</t>
  </si>
  <si>
    <t>Melting_Curves/meltCurve_Q15813_TBCE.pdf</t>
  </si>
  <si>
    <t>Melting_Curves/meltCurve_Q15814_TBCC.pdf</t>
  </si>
  <si>
    <t>Melting_Curves/meltCurve_Q15819_UBE2V2.pdf</t>
  </si>
  <si>
    <t>Melting_Curves/meltCurve_Q15831_2_STK11.pdf</t>
  </si>
  <si>
    <t>Melting_Curves/meltCurve_Q15833_2_STXBP2.pdf</t>
  </si>
  <si>
    <t>Melting_Curves/meltCurve_Q15834_CCDC85B.pdf</t>
  </si>
  <si>
    <t>Melting_Curves/meltCurve_Q15836_VAMP3.pdf</t>
  </si>
  <si>
    <t>Melting_Curves/meltCurve_Q15847_ADIRF.pdf</t>
  </si>
  <si>
    <t>Melting_Curves/meltCurve_Q15904_ATP6AP1.pdf</t>
  </si>
  <si>
    <t>Melting_Curves/meltCurve_Q15907_RAB11B.pdf</t>
  </si>
  <si>
    <t>Melting_Curves/meltCurve_Q15942_ZYX.pdf</t>
  </si>
  <si>
    <t>Melting_Curves/meltCurve_Q16082_HSPB2.pdf</t>
  </si>
  <si>
    <t>Melting_Curves/meltCurve_Q16134_ETFDH.pdf</t>
  </si>
  <si>
    <t>Melting_Curves/meltCurve_Q16143_SNCB.pdf</t>
  </si>
  <si>
    <t>Melting_Curves/meltCurve_Q16181_SEPT7.pdf</t>
  </si>
  <si>
    <t>Melting_Curves/meltCurve_Q16186_ADRM1.pdf</t>
  </si>
  <si>
    <t>Melting_Curves/meltCurve_Q16204_CCDC6.pdf</t>
  </si>
  <si>
    <t>Melting_Curves/meltCurve_Q16222_3_UAP1.pdf</t>
  </si>
  <si>
    <t>Melting_Curves/meltCurve_Q16254_E2F4.pdf</t>
  </si>
  <si>
    <t>Melting_Curves/meltCurve_Q16270_2_IGFBP7.pdf</t>
  </si>
  <si>
    <t>Melting_Curves/meltCurve_Q16352_INA.pdf</t>
  </si>
  <si>
    <t>Melting_Curves/meltCurve_Q16363_2_LAMA4.pdf</t>
  </si>
  <si>
    <t>Melting_Curves/meltCurve_Q16401_2_PSMD5.pdf</t>
  </si>
  <si>
    <t>Melting_Curves/meltCurve_Q16512_PKN1.pdf</t>
  </si>
  <si>
    <t>Melting_Curves/meltCurve_Q16513_PKN2.pdf</t>
  </si>
  <si>
    <t>Melting_Curves/meltCurve_Q16531_DDB1.pdf</t>
  </si>
  <si>
    <t>Melting_Curves/meltCurve_Q16539_MAPK14.pdf</t>
  </si>
  <si>
    <t>Melting_Curves/meltCurve_Q16539_2_MAPK14.pdf</t>
  </si>
  <si>
    <t>Melting_Curves/meltCurve_Q16543_CDC37.pdf</t>
  </si>
  <si>
    <t>Melting_Curves/meltCurve_Q16555_DPYSL2.pdf</t>
  </si>
  <si>
    <t>Melting_Curves/meltCurve_Q16566_CAMK4.pdf</t>
  </si>
  <si>
    <t>Melting_Curves/meltCurve_Q16576_RBBP7.pdf</t>
  </si>
  <si>
    <t>Melting_Curves/meltCurve_Q16585_SGCB.pdf</t>
  </si>
  <si>
    <t>Melting_Curves/meltCurve_Q16610_ECM1.pdf</t>
  </si>
  <si>
    <t>Melting_Curves/meltCurve_Q16619_2_CTF1.pdf</t>
  </si>
  <si>
    <t>Melting_Curves/meltCurve_Q16625_5_OCLN.pdf</t>
  </si>
  <si>
    <t>Melting_Curves/meltCurve_Q16626_MEA1.pdf</t>
  </si>
  <si>
    <t>Melting_Curves/meltCurve_Q16643_DBN1.pdf</t>
  </si>
  <si>
    <t>Melting_Curves/meltCurve_Q16644_MAPKAPK3.pdf</t>
  </si>
  <si>
    <t>Melting_Curves/meltCurve_Q16647_PTGIS.pdf</t>
  </si>
  <si>
    <t>Melting_Curves/meltCurve_Q16658_FSCN1.pdf</t>
  </si>
  <si>
    <t>Melting_Curves/meltCurve_Q16706_MAN2A1.pdf</t>
  </si>
  <si>
    <t>Melting_Curves/meltCurve_Q16718_NDUFA5.pdf</t>
  </si>
  <si>
    <t>Melting_Curves/meltCurve_Q16720_8_ATP2B3.pdf</t>
  </si>
  <si>
    <t>Melting_Curves/meltCurve_Q16740_CLPP.pdf</t>
  </si>
  <si>
    <t>Melting_Curves/meltCurve_Q16762_TST.pdf</t>
  </si>
  <si>
    <t>Melting_Curves/meltCurve_Q16775_2_HAGH.pdf</t>
  </si>
  <si>
    <t>Melting_Curves/meltCurve_Q16799_RTN1.pdf</t>
  </si>
  <si>
    <t>Melting_Curves/meltCurve_Q16822_PCK2.pdf</t>
  </si>
  <si>
    <t>Melting_Curves/meltCurve_Q16831_UPP1.pdf</t>
  </si>
  <si>
    <t>Melting_Curves/meltCurve_Q16832_DDR2.pdf</t>
  </si>
  <si>
    <t>Melting_Curves/meltCurve_Q16850_CYP51A1.pdf</t>
  </si>
  <si>
    <t>Melting_Curves/meltCurve_Q16851_UGP2.pdf</t>
  </si>
  <si>
    <t>Melting_Curves/meltCurve_Q16854_DGUOK.pdf</t>
  </si>
  <si>
    <t>Melting_Curves/meltCurve_Q16864_ATP6V1F.pdf</t>
  </si>
  <si>
    <t>Melting_Curves/meltCurve_Q17R31_2_TATDN3.pdf</t>
  </si>
  <si>
    <t>Melting_Curves/meltCurve_Q17RU2_REL.pdf</t>
  </si>
  <si>
    <t>Melting_Curves/meltCurve_Q1RMZ1_C7orf60.pdf</t>
  </si>
  <si>
    <t>Melting_Curves/meltCurve_Q27J81_INF2.pdf</t>
  </si>
  <si>
    <t>Melting_Curves/meltCurve_Q29RF7_PDS5A.pdf</t>
  </si>
  <si>
    <t>Melting_Curves/meltCurve_Q2M1Z3_ARHGAP31.pdf</t>
  </si>
  <si>
    <t>Melting_Curves/meltCurve_Q2M2I8_2_AAK1.pdf</t>
  </si>
  <si>
    <t>Melting_Curves/meltCurve_Q2NL98_VMAC.pdf</t>
  </si>
  <si>
    <t>Melting_Curves/meltCurve_Q2T9J0_2_TYSND1.pdf</t>
  </si>
  <si>
    <t>Melting_Curves/meltCurve_Q2TAA5_ALG11.pdf</t>
  </si>
  <si>
    <t>Melting_Curves/meltCurve_Q2TAL8_QRICH1.pdf</t>
  </si>
  <si>
    <t>Melting_Curves/meltCurve_Q2TAM5_RELA.pdf</t>
  </si>
  <si>
    <t>Melting_Curves/meltCurve_Q2TAY7_SMU1.pdf</t>
  </si>
  <si>
    <t>Melting_Curves/meltCurve_Q30201_5_HFE.pdf</t>
  </si>
  <si>
    <t>Melting_Curves/meltCurve_Q32MZ4_4_LRRFIP1.pdf</t>
  </si>
  <si>
    <t>Melting_Curves/meltCurve_Q32P28_LEPRE1.pdf</t>
  </si>
  <si>
    <t>Melting_Curves/meltCurve_Q32P41_TRMT5.pdf</t>
  </si>
  <si>
    <t>Melting_Curves/meltCurve_Q32Q12_NME1_NME2.pdf</t>
  </si>
  <si>
    <t>Melting_Curves/meltCurve_Q3B726_TWISTNB.pdf</t>
  </si>
  <si>
    <t>Melting_Curves/meltCurve_Q3KQU3_2_MAP7D1.pdf</t>
  </si>
  <si>
    <t>Melting_Curves/meltCurve_Q3KQV9_UAP1L1.pdf</t>
  </si>
  <si>
    <t>Melting_Curves/meltCurve_Q3KRA6_C2orf76.pdf</t>
  </si>
  <si>
    <t>Melting_Curves/meltCurve_Q3KRA9_ALKBH6.pdf</t>
  </si>
  <si>
    <t>Melting_Curves/meltCurve_Q3LXA3_DAK.pdf</t>
  </si>
  <si>
    <t>Melting_Curves/meltCurve_Q3MHD2_LSM12.pdf</t>
  </si>
  <si>
    <t>Melting_Curves/meltCurve_Q3MIT2_PUS10.pdf</t>
  </si>
  <si>
    <t>Melting_Curves/meltCurve_Q3SXM5_HSDL1.pdf</t>
  </si>
  <si>
    <t>Melting_Curves/meltCurve_Q3SXZ0_C9orf126.pdf</t>
  </si>
  <si>
    <t>Melting_Curves/meltCurve_Q3SY69_ALDH1L2.pdf</t>
  </si>
  <si>
    <t>Melting_Curves/meltCurve_Q3T906_GNPTAB.pdf</t>
  </si>
  <si>
    <t>Melting_Curves/meltCurve_Q3V6T2_4_CCDC88A.pdf</t>
  </si>
  <si>
    <t>Melting_Curves/meltCurve_Q3YEC7_RABL6.pdf</t>
  </si>
  <si>
    <t>Melting_Curves/meltCurve_Q3ZCM7_TUBB8.pdf</t>
  </si>
  <si>
    <t>Melting_Curves/meltCurve_Q3ZCQ8_TIMM50.pdf</t>
  </si>
  <si>
    <t>Melting_Curves/meltCurve_Q3ZCW2_LGALSL.pdf</t>
  </si>
  <si>
    <t>Melting_Curves/meltCurve_Q495W5_2_FUT11.pdf</t>
  </si>
  <si>
    <t>Melting_Curves/meltCurve_Q49AH0_2_CDNF.pdf</t>
  </si>
  <si>
    <t>Melting_Curves/meltCurve_Q49AR2_C5orf22.pdf</t>
  </si>
  <si>
    <t>Melting_Curves/meltCurve_Q49B96_COX19.pdf</t>
  </si>
  <si>
    <t>Melting_Curves/meltCurve_Q4G0F5_VPS26B.pdf</t>
  </si>
  <si>
    <t>Melting_Curves/meltCurve_Q4G0I0_CCSMST1.pdf</t>
  </si>
  <si>
    <t>Melting_Curves/meltCurve_Q4G0N4_NADKD1.pdf</t>
  </si>
  <si>
    <t>Melting_Curves/meltCurve_Q4G0X4_KCTD21.pdf</t>
  </si>
  <si>
    <t>Melting_Curves/meltCurve_Q4G148_2_GXYLT1.pdf</t>
  </si>
  <si>
    <t>Melting_Curves/meltCurve_Q4G176_ACSF3.pdf</t>
  </si>
  <si>
    <t>Melting_Curves/meltCurve_Q4J6C6_4_PREPL.pdf</t>
  </si>
  <si>
    <t>Melting_Curves/meltCurve_Q4KMP7_TBC1D10B.pdf</t>
  </si>
  <si>
    <t>Melting_Curves/meltCurve_Q4KMQ2_3_ANO6.pdf</t>
  </si>
  <si>
    <t>Melting_Curves/meltCurve_Q4KWH8_3_PLCH1.pdf</t>
  </si>
  <si>
    <t>Melting_Curves/meltCurve_Q4L180_3_FILIP1L.pdf</t>
  </si>
  <si>
    <t>Melting_Curves/meltCurve_Q4LDE5_SVEP1.pdf</t>
  </si>
  <si>
    <t>Melting_Curves/meltCurve_Q4LDG9_DNAL1.pdf</t>
  </si>
  <si>
    <t>Melting_Curves/meltCurve_Q4V328_GRIPAP1.pdf</t>
  </si>
  <si>
    <t>Melting_Curves/meltCurve_Q4V9L6_TMEM119.pdf</t>
  </si>
  <si>
    <t>Melting_Curves/meltCurve_Q4VC05_BCL7A.pdf</t>
  </si>
  <si>
    <t>Melting_Curves/meltCurve_Q4VXZ8_DECR2.pdf</t>
  </si>
  <si>
    <t>Melting_Curves/meltCurve_Q4ZIN3_2_TMEM259.pdf</t>
  </si>
  <si>
    <t>Melting_Curves/meltCurve_Q504U0_C4orf46.pdf</t>
  </si>
  <si>
    <t>Melting_Curves/meltCurve_Q52LW3_ARHGAP29.pdf</t>
  </si>
  <si>
    <t>Melting_Curves/meltCurve_Q53EL6_2_PDCD4.pdf</t>
  </si>
  <si>
    <t>Melting_Curves/meltCurve_Q53EP0_FNDC3B.pdf</t>
  </si>
  <si>
    <t>Melting_Curves/meltCurve_Q53F39_MPPE1.pdf</t>
  </si>
  <si>
    <t>Melting_Curves/meltCurve_Q53FA7_TP53I3.pdf</t>
  </si>
  <si>
    <t>Melting_Curves/meltCurve_Q53FP2_TMEM35.pdf</t>
  </si>
  <si>
    <t>Melting_Curves/meltCurve_Q53FT3_C11orf73.pdf</t>
  </si>
  <si>
    <t>Melting_Curves/meltCurve_Q53GA4_PHLDA2.pdf</t>
  </si>
  <si>
    <t>Melting_Curves/meltCurve_Q53GG5_2_PDLIM3.pdf</t>
  </si>
  <si>
    <t>Melting_Curves/meltCurve_Q53GQ0_HSD17B12.pdf</t>
  </si>
  <si>
    <t>Melting_Curves/meltCurve_Q53H82_LACTB2.pdf</t>
  </si>
  <si>
    <t>Melting_Curves/meltCurve_Q53H96_PYCRL.pdf</t>
  </si>
  <si>
    <t>Melting_Curves/meltCurve_Q53QV2_LBH.pdf</t>
  </si>
  <si>
    <t>Melting_Curves/meltCurve_Q53S33_BOLA3.pdf</t>
  </si>
  <si>
    <t>Melting_Curves/meltCurve_Q53T59_HS1BP3.pdf</t>
  </si>
  <si>
    <t>Melting_Curves/meltCurve_Q53TN4_3_CYBRD1.pdf</t>
  </si>
  <si>
    <t>Melting_Curves/meltCurve_Q53XA7_DKFZp686F13224.pdf</t>
  </si>
  <si>
    <t>Melting_Curves/meltCurve_Q562R1_ACTBL2.pdf</t>
  </si>
  <si>
    <t>Melting_Curves/meltCurve_Q567Q0_PPIA.pdf</t>
  </si>
  <si>
    <t>Melting_Curves/meltCurve_Q569H4_PRR16.pdf</t>
  </si>
  <si>
    <t>Melting_Curves/meltCurve_Q56VL3_OCIAD2.pdf</t>
  </si>
  <si>
    <t>Melting_Curves/meltCurve_Q587I9_SFT2D3.pdf</t>
  </si>
  <si>
    <t>Melting_Curves/meltCurve_Q58DX5_NAALADL2.pdf</t>
  </si>
  <si>
    <t>Melting_Curves/meltCurve_Q58FF6_HSP90AB4P.pdf</t>
  </si>
  <si>
    <t>Melting_Curves/meltCurve_Q58FF8_HSP90AB2P.pdf</t>
  </si>
  <si>
    <t>Melting_Curves/meltCurve_Q58FG1_HSP90AA4P.pdf</t>
  </si>
  <si>
    <t>Melting_Curves/meltCurve_Q58WW2_3_DCAF6.pdf</t>
  </si>
  <si>
    <t>Melting_Curves/meltCurve_Q59GN2_RPL39P5.pdf</t>
  </si>
  <si>
    <t>Melting_Curves/meltCurve_Q5BJH7_6_YIF1B.pdf</t>
  </si>
  <si>
    <t>Melting_Curves/meltCurve_Q5BKU9_OXLD1.pdf</t>
  </si>
  <si>
    <t>Melting_Curves/meltCurve_Q5BKX5_C19orf54.pdf</t>
  </si>
  <si>
    <t>Melting_Curves/meltCurve_Q5D1E8_ZC3H12A.pdf</t>
  </si>
  <si>
    <t>Melting_Curves/meltCurve_Q5EBL4_RILPL1.pdf</t>
  </si>
  <si>
    <t>Melting_Curves/meltCurve_Q5EBL8_PDZD11.pdf</t>
  </si>
  <si>
    <t>Melting_Curves/meltCurve_Q5GJ75_TNFAIP8L3.pdf</t>
  </si>
  <si>
    <t>Melting_Curves/meltCurve_Q5GLZ8_2_HERC4.pdf</t>
  </si>
  <si>
    <t>Melting_Curves/meltCurve_Q5H937_PKIG.pdf</t>
  </si>
  <si>
    <t>Melting_Curves/meltCurve_Q5H9A7_TIMP1.pdf</t>
  </si>
  <si>
    <t>Melting_Curves/meltCurve_Q5H9L1_TCEAL8.pdf</t>
  </si>
  <si>
    <t>Melting_Curves/meltCurve_Q5HYI7_MTX3.pdf</t>
  </si>
  <si>
    <t>Melting_Curves/meltCurve_Q5HYI8_RABL3.pdf</t>
  </si>
  <si>
    <t>Melting_Curves/meltCurve_Q5HYK3_COQ5.pdf</t>
  </si>
  <si>
    <t>Melting_Curves/meltCurve_Q5HYK7_SH3D19.pdf</t>
  </si>
  <si>
    <t>Melting_Curves/meltCurve_Q5JP53_TUBB.pdf</t>
  </si>
  <si>
    <t>Melting_Curves/meltCurve_Q5JPE7_2_NOMO2.pdf</t>
  </si>
  <si>
    <t>Melting_Curves/meltCurve_Q5JPH6_EARS2.pdf</t>
  </si>
  <si>
    <t>Melting_Curves/meltCurve_Q5JPI9_METTL10.pdf</t>
  </si>
  <si>
    <t>Melting_Curves/meltCurve_Q5JQQ4_DPCD.pdf</t>
  </si>
  <si>
    <t>Melting_Curves/meltCurve_Q5JR08_RHOC.pdf</t>
  </si>
  <si>
    <t>Melting_Curves/meltCurve_Q5JRA6_MIA3.pdf</t>
  </si>
  <si>
    <t>Melting_Curves/meltCurve_Q5JRG1_NUPL1.pdf</t>
  </si>
  <si>
    <t>Melting_Curves/meltCurve_Q5JRI1_SRSF10.pdf</t>
  </si>
  <si>
    <t>Melting_Curves/meltCurve_Q5JRX3_PITRM1.pdf</t>
  </si>
  <si>
    <t>Melting_Curves/meltCurve_Q5JS36_PROSER1.pdf</t>
  </si>
  <si>
    <t>Melting_Curves/meltCurve_Q5JS37_NHLRC3.pdf</t>
  </si>
  <si>
    <t>Melting_Curves/meltCurve_Q5JS54_PSMG4.pdf</t>
  </si>
  <si>
    <t>Melting_Curves/meltCurve_Q5JSH3_2_WDR44.pdf</t>
  </si>
  <si>
    <t>Melting_Curves/meltCurve_Q5JSK7_HMGN5.pdf</t>
  </si>
  <si>
    <t>Melting_Curves/meltCurve_Q5JSZ5_PRRC2B.pdf</t>
  </si>
  <si>
    <t>Melting_Curves/meltCurve_Q5JTD0_2_TJAP1.pdf</t>
  </si>
  <si>
    <t>Melting_Curves/meltCurve_Q5JTJ3_3_COA6.pdf</t>
  </si>
  <si>
    <t>Melting_Curves/meltCurve_Q5JTV8_TOR1AIP1.pdf</t>
  </si>
  <si>
    <t>Melting_Curves/meltCurve_Q5JTZ9_AARS2.pdf</t>
  </si>
  <si>
    <t>Melting_Curves/meltCurve_Q5JU21_FPGS.pdf</t>
  </si>
  <si>
    <t>Melting_Curves/meltCurve_Q5JU69_TOR2A.pdf</t>
  </si>
  <si>
    <t>Melting_Curves/meltCurve_Q5JV73_FRMPD3.pdf</t>
  </si>
  <si>
    <t>Melting_Curves/meltCurve_Q5JVF3_3_PCID2.pdf</t>
  </si>
  <si>
    <t>Melting_Curves/meltCurve_Q5JVS0_HABP4.pdf</t>
  </si>
  <si>
    <t>Melting_Curves/meltCurve_Q5JVZ5_ELMO2.pdf</t>
  </si>
  <si>
    <t>Melting_Curves/meltCurve_Q5JW02_SLC35C2.pdf</t>
  </si>
  <si>
    <t>Melting_Curves/meltCurve_Q5JW30_STAU1.pdf</t>
  </si>
  <si>
    <t>Melting_Curves/meltCurve_Q5JWB9_TMEM230.pdf</t>
  </si>
  <si>
    <t>Melting_Curves/meltCurve_Q5JXX2_MORF4L2.pdf</t>
  </si>
  <si>
    <t>Melting_Curves/meltCurve_Q5JY65_CRNKL1.pdf</t>
  </si>
  <si>
    <t>Melting_Curves/meltCurve_Q5JYT7_KIAA1755.pdf</t>
  </si>
  <si>
    <t>Melting_Curves/meltCurve_Q5JZH3_SNX21.pdf</t>
  </si>
  <si>
    <t>Melting_Curves/meltCurve_Q5K4L6_SLC27A3.pdf</t>
  </si>
  <si>
    <t>Melting_Curves/meltCurve_Q5KU26_COLEC12.pdf</t>
  </si>
  <si>
    <t>Melting_Curves/meltCurve_Q5M775_4_SPECC1.pdf</t>
  </si>
  <si>
    <t>Melting_Curves/meltCurve_Q5MIZ7_3_SMEK2.pdf</t>
  </si>
  <si>
    <t>Melting_Curves/meltCurve_Q5MNZ6_WDR45B.pdf</t>
  </si>
  <si>
    <t>Melting_Curves/meltCurve_Q5MNZ9_2_WIPI1.pdf</t>
  </si>
  <si>
    <t>Melting_Curves/meltCurve_Q5NDL2_EOGT.pdf</t>
  </si>
  <si>
    <t>Melting_Curves/meltCurve_Q5QJ74_TBCEL.pdf</t>
  </si>
  <si>
    <t>Melting_Curves/meltCurve_Q5QNY5_PEX19.pdf</t>
  </si>
  <si>
    <t>Melting_Curves/meltCurve_Q5QNZ2_ATP5F1.pdf</t>
  </si>
  <si>
    <t>Melting_Curves/meltCurve_Q5QP56_BCL2L1.pdf</t>
  </si>
  <si>
    <t>Melting_Curves/meltCurve_Q5QPK2_DPM1.pdf</t>
  </si>
  <si>
    <t>Melting_Curves/meltCurve_Q5QPM7_PSMF1.pdf</t>
  </si>
  <si>
    <t>Melting_Curves/meltCurve_Q5R372_4_RABGAP1L.pdf</t>
  </si>
  <si>
    <t>Melting_Curves/meltCurve_Q5R372_7_RABGAP1L.pdf</t>
  </si>
  <si>
    <t>Melting_Curves/meltCurve_Q5R3B4_MPC2.pdf</t>
  </si>
  <si>
    <t>Melting_Curves/meltCurve_Q5R3E4_MAPK13.pdf</t>
  </si>
  <si>
    <t>Melting_Curves/meltCurve_Q5RI15_COX20.pdf</t>
  </si>
  <si>
    <t>Melting_Curves/meltCurve_Q5RJ85_HLA_G.pdf</t>
  </si>
  <si>
    <t>Melting_Curves/meltCurve_Q5RKV6_EXOSC6.pdf</t>
  </si>
  <si>
    <t>Melting_Curves/meltCurve_Q5SNW6_MTHFR.pdf</t>
  </si>
  <si>
    <t>Melting_Curves/meltCurve_Q5SPY9_NPDC1.pdf</t>
  </si>
  <si>
    <t>Melting_Curves/meltCurve_Q5SQU3_PRKG1.pdf</t>
  </si>
  <si>
    <t>Melting_Curves/meltCurve_Q5SR56_HIATL1.pdf</t>
  </si>
  <si>
    <t>Melting_Curves/meltCurve_Q5SRE7_2_PHYHD1.pdf</t>
  </si>
  <si>
    <t>Melting_Curves/meltCurve_Q5SRN5_HLA_A.pdf</t>
  </si>
  <si>
    <t>Melting_Curves/meltCurve_Q5SRQ6_CSNK2B.pdf</t>
  </si>
  <si>
    <t>Melting_Curves/meltCurve_Q5SVK8_DNMBP.pdf</t>
  </si>
  <si>
    <t>Melting_Curves/meltCurve_Q5SW96_LDLRAP1.pdf</t>
  </si>
  <si>
    <t>Melting_Curves/meltCurve_Q5SWX3_CAMK2G.pdf</t>
  </si>
  <si>
    <t>Melting_Curves/meltCurve_Q5SWX8_ODR4.pdf</t>
  </si>
  <si>
    <t>Melting_Curves/meltCurve_Q5SX86_GDI2.pdf</t>
  </si>
  <si>
    <t>Melting_Curves/meltCurve_Q5SXM8_DNLZ.pdf</t>
  </si>
  <si>
    <t>Melting_Curves/meltCurve_Q5SYE7_2_NHSL1.pdf</t>
  </si>
  <si>
    <t>Melting_Curves/meltCurve_Q5SZE2_CERS2.pdf</t>
  </si>
  <si>
    <t>Melting_Curves/meltCurve_Q5T0D9_TPRG1L.pdf</t>
  </si>
  <si>
    <t>Melting_Curves/meltCurve_Q5T0N5_3_FNBP1L.pdf</t>
  </si>
  <si>
    <t>Melting_Curves/meltCurve_Q5T0S4_PPT1.pdf</t>
  </si>
  <si>
    <t>Melting_Curves/meltCurve_Q5T123_SH3BGRL3.pdf</t>
  </si>
  <si>
    <t>Melting_Curves/meltCurve_Q5T160_RARS2.pdf</t>
  </si>
  <si>
    <t>Melting_Curves/meltCurve_Q5T171_PYGO2.pdf</t>
  </si>
  <si>
    <t>Melting_Curves/meltCurve_Q5T179_CKS1B.pdf</t>
  </si>
  <si>
    <t>Melting_Curves/meltCurve_Q5T1C6_THEM4.pdf</t>
  </si>
  <si>
    <t>Melting_Curves/meltCurve_Q5T1M5_FKBP15.pdf</t>
  </si>
  <si>
    <t>Melting_Curves/meltCurve_Q5T1N9_GPSM2.pdf</t>
  </si>
  <si>
    <t>Melting_Curves/meltCurve_Q5T1V6_DDX59.pdf</t>
  </si>
  <si>
    <t>Melting_Curves/meltCurve_Q5T1Z4_PUM1.pdf</t>
  </si>
  <si>
    <t>Melting_Curves/meltCurve_Q5T200_2_ZC3H13.pdf</t>
  </si>
  <si>
    <t>Melting_Curves/meltCurve_Q5T2E6_C10orf76.pdf</t>
  </si>
  <si>
    <t>Melting_Curves/meltCurve_Q5T3F8_TMEM63B.pdf</t>
  </si>
  <si>
    <t>Melting_Curves/meltCurve_Q5T3J3_2_LRIF1.pdf</t>
  </si>
  <si>
    <t>Melting_Curves/meltCurve_Q5T440_IBA57.pdf</t>
  </si>
  <si>
    <t>Melting_Curves/meltCurve_Q5T4B2_CERCAM.pdf</t>
  </si>
  <si>
    <t>Melting_Curves/meltCurve_Q5T4P9_PLEKHO1.pdf</t>
  </si>
  <si>
    <t>Melting_Curves/meltCurve_Q5T4S7_3_UBR4.pdf</t>
  </si>
  <si>
    <t>Melting_Curves/meltCurve_Q5T4U5_ACADM.pdf</t>
  </si>
  <si>
    <t>Melting_Curves/meltCurve_Q5T593_FAM219A.pdf</t>
  </si>
  <si>
    <t>Melting_Curves/meltCurve_Q5T5C0_STXBP5.pdf</t>
  </si>
  <si>
    <t>Melting_Curves/meltCurve_Q5T5U3_ARHGAP21.pdf</t>
  </si>
  <si>
    <t>Melting_Curves/meltCurve_Q5T5Y3_2_CAMSAP1.pdf</t>
  </si>
  <si>
    <t>Melting_Curves/meltCurve_Q5T6F2_UBAP2.pdf</t>
  </si>
  <si>
    <t>Melting_Curves/meltCurve_Q5T6V5_C9orf64.pdf</t>
  </si>
  <si>
    <t>Melting_Curves/meltCurve_Q5T6X4_FAM162B.pdf</t>
  </si>
  <si>
    <t>Melting_Curves/meltCurve_Q5T7M9_FAM69A.pdf</t>
  </si>
  <si>
    <t>Melting_Curves/meltCurve_Q5T7V8_GORAB.pdf</t>
  </si>
  <si>
    <t>Melting_Curves/meltCurve_Q5T8D3_2_ACBD5.pdf</t>
  </si>
  <si>
    <t>Melting_Curves/meltCurve_Q5T8I0_COX6A1P2.pdf</t>
  </si>
  <si>
    <t>Melting_Curves/meltCurve_Q5T8N1_NUP133.pdf</t>
  </si>
  <si>
    <t>Melting_Curves/meltCurve_Q5T8P6_2_RBM26.pdf</t>
  </si>
  <si>
    <t>Melting_Curves/meltCurve_Q5T8T7_MED22.pdf</t>
  </si>
  <si>
    <t>Melting_Curves/meltCurve_Q5T8U5_SURF4.pdf</t>
  </si>
  <si>
    <t>Melting_Curves/meltCurve_Q5T9B7_AK1.pdf</t>
  </si>
  <si>
    <t>Melting_Curves/meltCurve_Q5T9P7_PRPF18.pdf</t>
  </si>
  <si>
    <t>Melting_Curves/meltCurve_Q5TA50_GLTPD1.pdf</t>
  </si>
  <si>
    <t>Melting_Curves/meltCurve_Q5TAA8_HPS1.pdf</t>
  </si>
  <si>
    <t>Melting_Curves/meltCurve_Q5TC82_2_RC3H1.pdf</t>
  </si>
  <si>
    <t>Melting_Curves/meltCurve_Q5TD07_NQO2.pdf</t>
  </si>
  <si>
    <t>Melting_Curves/meltCurve_Q5TDH0_DDI2.pdf</t>
  </si>
  <si>
    <t>Melting_Curves/meltCurve_Q5TEA3_C20orf194.pdf</t>
  </si>
  <si>
    <t>Melting_Curves/meltCurve_Q5TEE2_HDAC1.pdf</t>
  </si>
  <si>
    <t>Melting_Curves/meltCurve_Q5TEU4_NDUFAF5.pdf</t>
  </si>
  <si>
    <t>Melting_Curves/meltCurve_Q5TFE4_NT5DC1.pdf</t>
  </si>
  <si>
    <t>Melting_Curves/meltCurve_Q5TG81_KCNAB2.pdf</t>
  </si>
  <si>
    <t>Melting_Curves/meltCurve_Q5TGE1_TMEM189.pdf</t>
  </si>
  <si>
    <t>Melting_Curves/meltCurve_Q5TGL8_PXDC1.pdf</t>
  </si>
  <si>
    <t>Melting_Curves/meltCurve_Q5TGY1_TMCO4.pdf</t>
  </si>
  <si>
    <t>Melting_Curves/meltCurve_Q5TIE1_SLC19A2.pdf</t>
  </si>
  <si>
    <t>Melting_Curves/meltCurve_Q5TIH2_SFT2D2.pdf</t>
  </si>
  <si>
    <t>Melting_Curves/meltCurve_Q5TZA2_CROCC.pdf</t>
  </si>
  <si>
    <t>Melting_Curves/meltCurve_Q5U5Q3_MEX3C.pdf</t>
  </si>
  <si>
    <t>Melting_Curves/meltCurve_Q5U5X0_LYRM7.pdf</t>
  </si>
  <si>
    <t>Melting_Curves/meltCurve_Q5VIR6_4_VPS53.pdf</t>
  </si>
  <si>
    <t>Melting_Curves/meltCurve_Q5VSL9_STRIP1.pdf</t>
  </si>
  <si>
    <t>Melting_Curves/meltCurve_Q5VST6_ABHD17B.pdf</t>
  </si>
  <si>
    <t>Melting_Curves/meltCurve_Q5VT52_2_RPRD2.pdf</t>
  </si>
  <si>
    <t>Melting_Curves/meltCurve_Q5VT94_GHITM.pdf</t>
  </si>
  <si>
    <t>Melting_Curves/meltCurve_Q5VTQ0_2_TTC39B.pdf</t>
  </si>
  <si>
    <t>Melting_Curves/meltCurve_Q5VTR2_RNF20.pdf</t>
  </si>
  <si>
    <t>Melting_Curves/meltCurve_Q5VTU3_DYNLT1.pdf</t>
  </si>
  <si>
    <t>Melting_Curves/meltCurve_Q5VU10_RPP30.pdf</t>
  </si>
  <si>
    <t>Melting_Curves/meltCurve_Q5VU97_CACHD1.pdf</t>
  </si>
  <si>
    <t>Melting_Curves/meltCurve_Q5VUA4_ZNF318.pdf</t>
  </si>
  <si>
    <t>Melting_Curves/meltCurve_Q5VUE5_C1orf53.pdf</t>
  </si>
  <si>
    <t>Melting_Curves/meltCurve_Q5VUJ6_2_LRCH2.pdf</t>
  </si>
  <si>
    <t>Melting_Curves/meltCurve_Q5VUM1_C6orf57.pdf</t>
  </si>
  <si>
    <t>Melting_Curves/meltCurve_Q5VV89_MGST3.pdf</t>
  </si>
  <si>
    <t>Melting_Curves/meltCurve_Q5VVD7_PLEKHM2.pdf</t>
  </si>
  <si>
    <t>Melting_Curves/meltCurve_Q5VVQ6_2_YOD1.pdf</t>
  </si>
  <si>
    <t>Melting_Curves/meltCurve_Q5VVW5_SLC2A8.pdf</t>
  </si>
  <si>
    <t>Melting_Curves/meltCurve_Q5VW27_NFIB.pdf</t>
  </si>
  <si>
    <t>Melting_Curves/meltCurve_Q5VW32_BROX.pdf</t>
  </si>
  <si>
    <t>Melting_Curves/meltCurve_Q5VWJ9_SNX30.pdf</t>
  </si>
  <si>
    <t>Melting_Curves/meltCurve_Q5VWQ8_2_DAB2IP.pdf</t>
  </si>
  <si>
    <t>Melting_Curves/meltCurve_Q5VWU8_PARD3.pdf</t>
  </si>
  <si>
    <t>Melting_Curves/meltCurve_Q5VWZ2_LYPLAL1.pdf</t>
  </si>
  <si>
    <t>Melting_Curves/meltCurve_Q5VY43_PEAR1.pdf</t>
  </si>
  <si>
    <t>Melting_Curves/meltCurve_Q5VYS8_2_ZCCHC6.pdf</t>
  </si>
  <si>
    <t>Melting_Curves/meltCurve_Q5VYX0_2_RNLS.pdf</t>
  </si>
  <si>
    <t>Melting_Curves/meltCurve_Q5VZE5_NAA35.pdf</t>
  </si>
  <si>
    <t>Melting_Curves/meltCurve_Q5VZI3_2_C9orf91.pdf</t>
  </si>
  <si>
    <t>Melting_Curves/meltCurve_Q5VZK9_LRRC16A.pdf</t>
  </si>
  <si>
    <t>Melting_Curves/meltCurve_Q5VZZ6_CELF2.pdf</t>
  </si>
  <si>
    <t>Melting_Curves/meltCurve_Q5W0A2_ITM2B.pdf</t>
  </si>
  <si>
    <t>Melting_Curves/meltCurve_Q5W0V3_FAM160B1.pdf</t>
  </si>
  <si>
    <t>Melting_Curves/meltCurve_Q5W0Z9_3_ZDHHC20.pdf</t>
  </si>
  <si>
    <t>Melting_Curves/meltCurve_Q5W111_SPRYD7.pdf</t>
  </si>
  <si>
    <t>Melting_Curves/meltCurve_Q5W145_NDUFB8.pdf</t>
  </si>
  <si>
    <t>Melting_Curves/meltCurve_Q5XKP0_QIL1.pdf</t>
  </si>
  <si>
    <t>Melting_Curves/meltCurve_Q5XPI4_RNF123.pdf</t>
  </si>
  <si>
    <t>Melting_Curves/meltCurve_Q5XUX1_3_FBXW9.pdf</t>
  </si>
  <si>
    <t>Melting_Curves/meltCurve_Q5ZPR3_CD276.pdf</t>
  </si>
  <si>
    <t>Melting_Curves/meltCurve_Q63HM1_AFMID.pdf</t>
  </si>
  <si>
    <t>Melting_Curves/meltCurve_Q63HN8_RNF213.pdf</t>
  </si>
  <si>
    <t>Melting_Curves/meltCurve_Q63HQ0_AP1AR.pdf</t>
  </si>
  <si>
    <t>Melting_Curves/meltCurve_Q63ZY3_3_KANK2.pdf</t>
  </si>
  <si>
    <t>Melting_Curves/meltCurve_Q641Q2_FAM21A.pdf</t>
  </si>
  <si>
    <t>Melting_Curves/meltCurve_Q658P3_3_STEAP3.pdf</t>
  </si>
  <si>
    <t>Melting_Curves/meltCurve_Q66K14_2_TBC1D9B.pdf</t>
  </si>
  <si>
    <t>Melting_Curves/meltCurve_Q66LE6_PPP2R2D.pdf</t>
  </si>
  <si>
    <t>Melting_Curves/meltCurve_Q66PJ3_ARL6IP4.pdf</t>
  </si>
  <si>
    <t>Melting_Curves/meltCurve_Q674X7_3_KAZN.pdf</t>
  </si>
  <si>
    <t>Melting_Curves/meltCurve_Q68CQ4_DIEXF.pdf</t>
  </si>
  <si>
    <t>Melting_Curves/meltCurve_Q68CQ7_GLT8D1.pdf</t>
  </si>
  <si>
    <t>Melting_Curves/meltCurve_Q68CZ2_TNS3.pdf</t>
  </si>
  <si>
    <t>Melting_Curves/meltCurve_Q68D91_MBLAC2.pdf</t>
  </si>
  <si>
    <t>Melting_Curves/meltCurve_Q68DM5_DKFZp781L1143.pdf</t>
  </si>
  <si>
    <t>Melting_Curves/meltCurve_Q68EM7_6_ARHGAP17.pdf</t>
  </si>
  <si>
    <t>Melting_Curves/meltCurve_Q69YL0_.pdf</t>
  </si>
  <si>
    <t>Melting_Curves/meltCurve_Q69YN2_3_CWF19L1.pdf</t>
  </si>
  <si>
    <t>Melting_Curves/meltCurve_Q69YQ0_2_SPECC1L.pdf</t>
  </si>
  <si>
    <t>Melting_Curves/meltCurve_Q69YU5_C12orf73.pdf</t>
  </si>
  <si>
    <t>Melting_Curves/meltCurve_Q6AWC2_4_WWC2.pdf</t>
  </si>
  <si>
    <t>Melting_Curves/meltCurve_Q6AZY7_2_SCARA3.pdf</t>
  </si>
  <si>
    <t>Melting_Curves/meltCurve_Q6BCY4_CYB5R2.pdf</t>
  </si>
  <si>
    <t>Melting_Curves/meltCurve_Q6DD88_ATL3.pdf</t>
  </si>
  <si>
    <t>Melting_Curves/meltCurve_Q6DHV7_ADAL.pdf</t>
  </si>
  <si>
    <t>Melting_Curves/meltCurve_Q6DKJ4_NXN.pdf</t>
  </si>
  <si>
    <t>Melting_Curves/meltCurve_Q6DKK2_TTC19.pdf</t>
  </si>
  <si>
    <t>Melting_Curves/meltCurve_Q6EEV4_2_POLR2M.pdf</t>
  </si>
  <si>
    <t>Melting_Curves/meltCurve_Q6EMK4_VASN.pdf</t>
  </si>
  <si>
    <t>Melting_Curves/meltCurve_Q6FI81_3_CIAPIN1.pdf</t>
  </si>
  <si>
    <t>Melting_Curves/meltCurve_Q6FIF0_2_ZFAND6.pdf</t>
  </si>
  <si>
    <t>Melting_Curves/meltCurve_Q6GMV2_SMYD5.pdf</t>
  </si>
  <si>
    <t>Melting_Curves/meltCurve_Q6GMV3_PTRHD1.pdf</t>
  </si>
  <si>
    <t>Melting_Curves/meltCurve_Q6GQQ9_OTUD7B.pdf</t>
  </si>
  <si>
    <t>Melting_Curves/meltCurve_Q6GYA4_SELS.pdf</t>
  </si>
  <si>
    <t>Melting_Curves/meltCurve_Q6I9Y2_THOC7.pdf</t>
  </si>
  <si>
    <t>Melting_Curves/meltCurve_Q6IA69_NADSYN1.pdf</t>
  </si>
  <si>
    <t>Melting_Curves/meltCurve_Q6IA86_3_ELP2.pdf</t>
  </si>
  <si>
    <t>Melting_Curves/meltCurve_Q6IAA8_LAMTOR1.pdf</t>
  </si>
  <si>
    <t>Melting_Curves/meltCurve_Q6IAN0_DHRS7B.pdf</t>
  </si>
  <si>
    <t>Melting_Curves/meltCurve_Q6IBS0_TWF2.pdf</t>
  </si>
  <si>
    <t>Melting_Curves/meltCurve_Q6ICB0_DESI1.pdf</t>
  </si>
  <si>
    <t>Melting_Curves/meltCurve_Q6ICB4_FAM109B.pdf</t>
  </si>
  <si>
    <t>Melting_Curves/meltCurve_Q6ICG6_KIAA0930.pdf</t>
  </si>
  <si>
    <t>Melting_Curves/meltCurve_Q6ICJ4_Em_AP000351_3.pdf</t>
  </si>
  <si>
    <t>Melting_Curves/meltCurve_Q6ICL3_TANGO2.pdf</t>
  </si>
  <si>
    <t>Melting_Curves/meltCurve_Q6IN85_2_SMEK1.pdf</t>
  </si>
  <si>
    <t>Melting_Curves/meltCurve_Q6IQ22_RAB12.pdf</t>
  </si>
  <si>
    <t>Melting_Curves/meltCurve_Q6IQ49_3_SDE2.pdf</t>
  </si>
  <si>
    <t>Melting_Curves/meltCurve_Q6JVM2_DNASE1L2.pdf</t>
  </si>
  <si>
    <t>Melting_Curves/meltCurve_Q6N022_TENM4.pdf</t>
  </si>
  <si>
    <t>Melting_Curves/meltCurve_Q6N063_OGFOD2.pdf</t>
  </si>
  <si>
    <t>Melting_Curves/meltCurve_Q6NSJ0_KIAA1161.pdf</t>
  </si>
  <si>
    <t>Melting_Curves/meltCurve_Q6NT16_SLC18B1.pdf</t>
  </si>
  <si>
    <t>Melting_Curves/meltCurve_Q6NT89_TRNP1.pdf</t>
  </si>
  <si>
    <t>Melting_Curves/meltCurve_Q6NUK1_SLC25A24.pdf</t>
  </si>
  <si>
    <t>Melting_Curves/meltCurve_Q6NUK4_REEP3.pdf</t>
  </si>
  <si>
    <t>Melting_Curves/meltCurve_Q6NUM9_RETSAT.pdf</t>
  </si>
  <si>
    <t>Melting_Curves/meltCurve_Q6NUQ1_RINT1.pdf</t>
  </si>
  <si>
    <t>Melting_Curves/meltCurve_Q6NUQ4_2_TMEM214.pdf</t>
  </si>
  <si>
    <t>Melting_Curves/meltCurve_Q6NVU6_UFSP1.pdf</t>
  </si>
  <si>
    <t>Melting_Curves/meltCurve_Q6NVY1_HIBCH.pdf</t>
  </si>
  <si>
    <t>Melting_Curves/meltCurve_Q6NXT1_ANKRD54.pdf</t>
  </si>
  <si>
    <t>Melting_Curves/meltCurve_Q6NXT6_TAPT1.pdf</t>
  </si>
  <si>
    <t>Melting_Curves/meltCurve_Q6NYC8_PPP1R18.pdf</t>
  </si>
  <si>
    <t>Melting_Curves/meltCurve_Q6NZ53_THOC3.pdf</t>
  </si>
  <si>
    <t>Melting_Curves/meltCurve_Q6NZI2_PTRF.pdf</t>
  </si>
  <si>
    <t>Melting_Curves/meltCurve_Q6NZY7_CDC42EP5.pdf</t>
  </si>
  <si>
    <t>Melting_Curves/meltCurve_Q6P161_MRPL54.pdf</t>
  </si>
  <si>
    <t>Melting_Curves/meltCurve_Q6P179_ERAP2.pdf</t>
  </si>
  <si>
    <t>Melting_Curves/meltCurve_Q6P1J9_CDC73.pdf</t>
  </si>
  <si>
    <t>Melting_Curves/meltCurve_Q6P1K2_4_PMF1.pdf</t>
  </si>
  <si>
    <t>Melting_Curves/meltCurve_Q6P1L8_MRPL14.pdf</t>
  </si>
  <si>
    <t>Melting_Curves/meltCurve_Q6P1M0_SLC27A4.pdf</t>
  </si>
  <si>
    <t>Melting_Curves/meltCurve_Q6P1N0_2_CC2D1A.pdf</t>
  </si>
  <si>
    <t>Melting_Curves/meltCurve_Q6P1Q9_METTL2B.pdf</t>
  </si>
  <si>
    <t>Melting_Curves/meltCurve_Q6P1R4_DUS1L.pdf</t>
  </si>
  <si>
    <t>Melting_Curves/meltCurve_Q6P1X6_C8orf82.pdf</t>
  </si>
  <si>
    <t>Melting_Curves/meltCurve_Q6P2E9_EDC4.pdf</t>
  </si>
  <si>
    <t>Melting_Curves/meltCurve_Q6P2P2_PRMT10.pdf</t>
  </si>
  <si>
    <t>Melting_Curves/meltCurve_Q6P3S1_5_DENND1B.pdf</t>
  </si>
  <si>
    <t>Melting_Curves/meltCurve_Q6P3W7_SCYL2.pdf</t>
  </si>
  <si>
    <t>Melting_Curves/meltCurve_Q6P3X3_TTC27.pdf</t>
  </si>
  <si>
    <t>Melting_Curves/meltCurve_Q6P499_2_NIPAL3.pdf</t>
  </si>
  <si>
    <t>Melting_Curves/meltCurve_Q6P4E1_CASC4.pdf</t>
  </si>
  <si>
    <t>Melting_Curves/meltCurve_Q6P4F2_FDX1L.pdf</t>
  </si>
  <si>
    <t>Melting_Curves/meltCurve_Q6P4I2_WDR73.pdf</t>
  </si>
  <si>
    <t>Melting_Curves/meltCurve_Q6P4R8_3_NFRKB.pdf</t>
  </si>
  <si>
    <t>Melting_Curves/meltCurve_Q6P582_MZT2A.pdf</t>
  </si>
  <si>
    <t>Melting_Curves/meltCurve_Q6P587_FAHD1.pdf</t>
  </si>
  <si>
    <t>Melting_Curves/meltCurve_Q6P6B1_C8orf47.pdf</t>
  </si>
  <si>
    <t>Melting_Curves/meltCurve_Q6P6C2_3_ALKBH5.pdf</t>
  </si>
  <si>
    <t>Melting_Curves/meltCurve_Q6P9B6_KIAA1609.pdf</t>
  </si>
  <si>
    <t>Melting_Curves/meltCurve_Q6P9B9_INTS5.pdf</t>
  </si>
  <si>
    <t>Melting_Curves/meltCurve_Q6PCE3_PGM2L1.pdf</t>
  </si>
  <si>
    <t>Melting_Curves/meltCurve_Q6PD74_AAGAB.pdf</t>
  </si>
  <si>
    <t>Melting_Curves/meltCurve_Q6PGP7_TTC37.pdf</t>
  </si>
  <si>
    <t>Melting_Curves/meltCurve_Q6PHR2_3_ULK3.pdf</t>
  </si>
  <si>
    <t>Melting_Curves/meltCurve_Q6PI78_TMEM65.pdf</t>
  </si>
  <si>
    <t>Melting_Curves/meltCurve_Q6PID6_TTC33.pdf</t>
  </si>
  <si>
    <t>Melting_Curves/meltCurve_Q6PII3_CCDC174.pdf</t>
  </si>
  <si>
    <t>Melting_Curves/meltCurve_Q6PII5_2_HAGHL.pdf</t>
  </si>
  <si>
    <t>Melting_Curves/meltCurve_Q6PJ69_TRIM65.pdf</t>
  </si>
  <si>
    <t>Melting_Curves/meltCurve_Q6PJT7_5_ZC3H14.pdf</t>
  </si>
  <si>
    <t>Melting_Curves/meltCurve_Q6PJW8_CNST.pdf</t>
  </si>
  <si>
    <t>Melting_Curves/meltCurve_Q6PK18_OGFOD3.pdf</t>
  </si>
  <si>
    <t>Melting_Curves/meltCurve_Q6PKG0_LARP1.pdf</t>
  </si>
  <si>
    <t>Melting_Curves/meltCurve_Q6PL24_TMED8.pdf</t>
  </si>
  <si>
    <t>Melting_Curves/meltCurve_Q6PML9_SLC30A9.pdf</t>
  </si>
  <si>
    <t>Melting_Curves/meltCurve_Q6QHF9_2_PAOX.pdf</t>
  </si>
  <si>
    <t>Melting_Curves/meltCurve_Q6QNY0_BLOC1S3.pdf</t>
  </si>
  <si>
    <t>Melting_Curves/meltCurve_Q6QNY1_BLOC1S2.pdf</t>
  </si>
  <si>
    <t>Melting_Curves/meltCurve_Q6RW13_2_AGTRAP.pdf</t>
  </si>
  <si>
    <t>Melting_Curves/meltCurve_Q6T4R5_4_NHS.pdf</t>
  </si>
  <si>
    <t>Melting_Curves/meltCurve_Q6UB28_METAP1D.pdf</t>
  </si>
  <si>
    <t>Melting_Curves/meltCurve_Q6UB35_MTHFD1L.pdf</t>
  </si>
  <si>
    <t>Melting_Curves/meltCurve_Q6ULP2_3_AFTPH.pdf</t>
  </si>
  <si>
    <t>Melting_Curves/meltCurve_Q6UN15_3_FIP1L1.pdf</t>
  </si>
  <si>
    <t>Melting_Curves/meltCurve_Q6UUV7_3_CRTC3.pdf</t>
  </si>
  <si>
    <t>Melting_Curves/meltCurve_Q6UUV9_3_CRTC1.pdf</t>
  </si>
  <si>
    <t>Melting_Curves/meltCurve_Q6UVK1_CSPG4.pdf</t>
  </si>
  <si>
    <t>Melting_Curves/meltCurve_Q6UVY6_2_MOXD1.pdf</t>
  </si>
  <si>
    <t>Melting_Curves/meltCurve_Q6UW56_ATRAID.pdf</t>
  </si>
  <si>
    <t>Melting_Curves/meltCurve_Q6UW63_KDELC1.pdf</t>
  </si>
  <si>
    <t>Melting_Curves/meltCurve_Q6UW78_C11orf83.pdf</t>
  </si>
  <si>
    <t>Melting_Curves/meltCurve_Q6UWE0_LRSAM1.pdf</t>
  </si>
  <si>
    <t>Melting_Curves/meltCurve_Q6UWH4_FAM198B.pdf</t>
  </si>
  <si>
    <t>Melting_Curves/meltCurve_Q6UWP2_DHRS11.pdf</t>
  </si>
  <si>
    <t>Melting_Curves/meltCurve_Q6UWP7_3_LCLAT1.pdf</t>
  </si>
  <si>
    <t>Melting_Curves/meltCurve_Q6UWS5_PET117.pdf</t>
  </si>
  <si>
    <t>Melting_Curves/meltCurve_Q6UWU4_C6orf89.pdf</t>
  </si>
  <si>
    <t>Melting_Curves/meltCurve_Q6UWY0_ARSK.pdf</t>
  </si>
  <si>
    <t>Melting_Curves/meltCurve_Q6UX04_CWC27.pdf</t>
  </si>
  <si>
    <t>Melting_Curves/meltCurve_Q6UX15_2_LAYN.pdf</t>
  </si>
  <si>
    <t>Melting_Curves/meltCurve_Q6UX53_METTL7B.pdf</t>
  </si>
  <si>
    <t>Melting_Curves/meltCurve_Q6UX71_PLXDC2.pdf</t>
  </si>
  <si>
    <t>Melting_Curves/meltCurve_Q6UXD5_6_SEZ6L2.pdf</t>
  </si>
  <si>
    <t>Melting_Curves/meltCurve_Q6UXH1_4_CRELD2.pdf</t>
  </si>
  <si>
    <t>Melting_Curves/meltCurve_Q6UXH8_CCBE1.pdf</t>
  </si>
  <si>
    <t>Melting_Curves/meltCurve_Q6UXN9_WDR82.pdf</t>
  </si>
  <si>
    <t>Melting_Curves/meltCurve_Q6UXV4_APOOL.pdf</t>
  </si>
  <si>
    <t>Melting_Curves/meltCurve_Q6V0I7_3_FAT4.pdf</t>
  </si>
  <si>
    <t>Melting_Curves/meltCurve_Q6V1X1_2_DPP8.pdf</t>
  </si>
  <si>
    <t>Melting_Curves/meltCurve_Q6VY07_PACS1.pdf</t>
  </si>
  <si>
    <t>Melting_Curves/meltCurve_Q6WCQ1_MPRIP.pdf</t>
  </si>
  <si>
    <t>Melting_Curves/meltCurve_Q6WKZ4_RAB11FIP1.pdf</t>
  </si>
  <si>
    <t>Melting_Curves/meltCurve_Q6XQN6_NAPRT1.pdf</t>
  </si>
  <si>
    <t>Melting_Curves/meltCurve_Q6Y288_B3GALTL.pdf</t>
  </si>
  <si>
    <t>Melting_Curves/meltCurve_Q6Y7W6_4_GIGYF2.pdf</t>
  </si>
  <si>
    <t>Melting_Curves/meltCurve_Q6YHK3_CD109.pdf</t>
  </si>
  <si>
    <t>Melting_Curves/meltCurve_Q6YHU6_3_THADA.pdf</t>
  </si>
  <si>
    <t>Melting_Curves/meltCurve_Q6YN16_HSDL2.pdf</t>
  </si>
  <si>
    <t>Melting_Curves/meltCurve_Q6YP21_3_CCBL2.pdf</t>
  </si>
  <si>
    <t>Melting_Curves/meltCurve_Q6ZMG9_CERS6.pdf</t>
  </si>
  <si>
    <t>Melting_Curves/meltCurve_Q6ZMZ3_2_SYNE3.pdf</t>
  </si>
  <si>
    <t>Melting_Curves/meltCurve_Q6ZN03_LINC00322.pdf</t>
  </si>
  <si>
    <t>Melting_Curves/meltCurve_Q6ZN18_2_AEBP2.pdf</t>
  </si>
  <si>
    <t>Melting_Curves/meltCurve_Q6ZNW5_GDPGP1.pdf</t>
  </si>
  <si>
    <t>Melting_Curves/meltCurve_Q6ZPD9_DPY19L3.pdf</t>
  </si>
  <si>
    <t>Melting_Curves/meltCurve_Q6ZRP7_QSOX2.pdf</t>
  </si>
  <si>
    <t>Melting_Curves/meltCurve_Q6ZS17_2_FAM65A.pdf</t>
  </si>
  <si>
    <t>Melting_Curves/meltCurve_Q6ZSJ8_C1orf122.pdf</t>
  </si>
  <si>
    <t>Melting_Curves/meltCurve_Q6ZSS7_MFSD6.pdf</t>
  </si>
  <si>
    <t>Melting_Curves/meltCurve_Q6ZT21_2_TMPPE.pdf</t>
  </si>
  <si>
    <t>Melting_Curves/meltCurve_Q6ZTN6_3_ANKRD13D.pdf</t>
  </si>
  <si>
    <t>Melting_Curves/meltCurve_Q6ZUT6_C15orf52.pdf</t>
  </si>
  <si>
    <t>Melting_Curves/meltCurve_Q6ZUX7_LHFPL2.pdf</t>
  </si>
  <si>
    <t>Melting_Curves/meltCurve_Q6ZVK8_NUDT18.pdf</t>
  </si>
  <si>
    <t>Melting_Curves/meltCurve_Q6ZVM7_TOM1L2.pdf</t>
  </si>
  <si>
    <t>Melting_Curves/meltCurve_Q6ZWT7_MBOAT2.pdf</t>
  </si>
  <si>
    <t>Melting_Curves/meltCurve_Q6ZXV5_2_TMTC3.pdf</t>
  </si>
  <si>
    <t>Melting_Curves/meltCurve_Q6ZYL4_GTF2H5.pdf</t>
  </si>
  <si>
    <t>Melting_Curves/meltCurve_Q709C8_3_VPS13C.pdf</t>
  </si>
  <si>
    <t>Melting_Curves/meltCurve_Q709F0_ACAD11.pdf</t>
  </si>
  <si>
    <t>Melting_Curves/meltCurve_Q70E73_7_RAPH1.pdf</t>
  </si>
  <si>
    <t>Melting_Curves/meltCurve_Q70IA6_MOB2.pdf</t>
  </si>
  <si>
    <t>Melting_Curves/meltCurve_Q70UQ0_IKBIP.pdf</t>
  </si>
  <si>
    <t>Melting_Curves/meltCurve_Q70UQ0_4_IKBIP.pdf</t>
  </si>
  <si>
    <t>Melting_Curves/meltCurve_Q712K3_UBE2R2.pdf</t>
  </si>
  <si>
    <t>Melting_Curves/meltCurve_Q71RC2_6_LARP4.pdf</t>
  </si>
  <si>
    <t>Melting_Curves/meltCurve_Q71U36_2_TUBA1A.pdf</t>
  </si>
  <si>
    <t>Melting_Curves/meltCurve_Q765P7_MTSS1L.pdf</t>
  </si>
  <si>
    <t>Melting_Curves/meltCurve_Q76M96_CCDC80.pdf</t>
  </si>
  <si>
    <t>Melting_Curves/meltCurve_Q7KYR7_5_BTN2A1.pdf</t>
  </si>
  <si>
    <t>Melting_Curves/meltCurve_Q7KZ85_SUPT6H.pdf</t>
  </si>
  <si>
    <t>Melting_Curves/meltCurve_Q7KZ85_2_SUPT6H.pdf</t>
  </si>
  <si>
    <t>Melting_Curves/meltCurve_Q7KZF4_SND1.pdf</t>
  </si>
  <si>
    <t>Melting_Curves/meltCurve_Q7L014_DDX46.pdf</t>
  </si>
  <si>
    <t>Melting_Curves/meltCurve_Q7L099_3_RUFY3.pdf</t>
  </si>
  <si>
    <t>Melting_Curves/meltCurve_Q7L0J3_2_SV2A.pdf</t>
  </si>
  <si>
    <t>Melting_Curves/meltCurve_Q7L0Y3_TRMT10C.pdf</t>
  </si>
  <si>
    <t>Melting_Curves/meltCurve_Q7L1Q6_BZW1.pdf</t>
  </si>
  <si>
    <t>Melting_Curves/meltCurve_Q7L1T6_CYB5R4.pdf</t>
  </si>
  <si>
    <t>Melting_Curves/meltCurve_Q7L211_ABHD13.pdf</t>
  </si>
  <si>
    <t>Melting_Curves/meltCurve_Q7L273_KCTD9.pdf</t>
  </si>
  <si>
    <t>Melting_Curves/meltCurve_Q7L2H7_EIF3M.pdf</t>
  </si>
  <si>
    <t>Melting_Curves/meltCurve_Q7L4I2_2_RSRC2.pdf</t>
  </si>
  <si>
    <t>Melting_Curves/meltCurve_Q7L523_RRAGA.pdf</t>
  </si>
  <si>
    <t>Melting_Curves/meltCurve_Q7L576_CYFIP1.pdf</t>
  </si>
  <si>
    <t>Melting_Curves/meltCurve_Q7L592_NDUFAF7.pdf</t>
  </si>
  <si>
    <t>Melting_Curves/meltCurve_Q7L5D6_GET4.pdf</t>
  </si>
  <si>
    <t>Melting_Curves/meltCurve_Q7L5N7_LPCAT2.pdf</t>
  </si>
  <si>
    <t>Melting_Curves/meltCurve_Q7L5Y1_ENOSF1.pdf</t>
  </si>
  <si>
    <t>Melting_Curves/meltCurve_Q7L775_EPM2AIP1.pdf</t>
  </si>
  <si>
    <t>Melting_Curves/meltCurve_Q7L7X3_TAOK1.pdf</t>
  </si>
  <si>
    <t>Melting_Curves/meltCurve_Q7L804_RAB11FIP2.pdf</t>
  </si>
  <si>
    <t>Melting_Curves/meltCurve_Q7L8J4_SH3BP5L.pdf</t>
  </si>
  <si>
    <t>Melting_Curves/meltCurve_Q7LBC6_KDM3B.pdf</t>
  </si>
  <si>
    <t>Melting_Curves/meltCurve_Q7LBR1_CHMP1B.pdf</t>
  </si>
  <si>
    <t>Melting_Curves/meltCurve_Q7LG56_RRM2B.pdf</t>
  </si>
  <si>
    <t>Melting_Curves/meltCurve_Q7LGA3_HS2ST1.pdf</t>
  </si>
  <si>
    <t>Melting_Curves/meltCurve_Q7LGC8_CHST3.pdf</t>
  </si>
  <si>
    <t>Melting_Curves/meltCurve_Q7RTP6_MICAL3.pdf</t>
  </si>
  <si>
    <t>Melting_Curves/meltCurve_Q7RTS9_DYM.pdf</t>
  </si>
  <si>
    <t>Melting_Curves/meltCurve_Q7RTV0_PHF5A.pdf</t>
  </si>
  <si>
    <t>Melting_Curves/meltCurve_Q7RTV5_AAED1.pdf</t>
  </si>
  <si>
    <t>Melting_Curves/meltCurve_Q7Z2K8_GPRIN1.pdf</t>
  </si>
  <si>
    <t>Melting_Curves/meltCurve_Q7Z2X4_4_PID1.pdf</t>
  </si>
  <si>
    <t>Melting_Curves/meltCurve_Q7Z2Z2_EFTUD1.pdf</t>
  </si>
  <si>
    <t>Melting_Curves/meltCurve_Q7Z388_DPY19L4.pdf</t>
  </si>
  <si>
    <t>Melting_Curves/meltCurve_Q7Z3B1_NEGR1.pdf</t>
  </si>
  <si>
    <t>Melting_Curves/meltCurve_Q7Z3D4_LYSMD3.pdf</t>
  </si>
  <si>
    <t>Melting_Curves/meltCurve_Q7Z3D6_2_C14orf159.pdf</t>
  </si>
  <si>
    <t>Melting_Curves/meltCurve_Q7Z3E2_C10orf118.pdf</t>
  </si>
  <si>
    <t>Melting_Curves/meltCurve_Q7Z3E5_ARMC9.pdf</t>
  </si>
  <si>
    <t>Melting_Curves/meltCurve_Q7Z3T8_ZFYVE16.pdf</t>
  </si>
  <si>
    <t>Melting_Curves/meltCurve_Q7Z3V4_UBE3B.pdf</t>
  </si>
  <si>
    <t>Melting_Curves/meltCurve_Q7Z417_NUFIP2.pdf</t>
  </si>
  <si>
    <t>Melting_Curves/meltCurve_Q7Z422_2_SZRD1.pdf</t>
  </si>
  <si>
    <t>Melting_Curves/meltCurve_Q7Z434_MAVS.pdf</t>
  </si>
  <si>
    <t>Melting_Curves/meltCurve_Q7Z449_CYP2U1.pdf</t>
  </si>
  <si>
    <t>Melting_Curves/meltCurve_Q7Z478_DHX29.pdf</t>
  </si>
  <si>
    <t>Melting_Curves/meltCurve_Q7Z4F1_LRP10.pdf</t>
  </si>
  <si>
    <t>Melting_Curves/meltCurve_Q7Z4G1_COMMD6.pdf</t>
  </si>
  <si>
    <t>Melting_Curves/meltCurve_Q7Z4G4_2_TRMT11.pdf</t>
  </si>
  <si>
    <t>Melting_Curves/meltCurve_Q7Z4H3_HDDC2.pdf</t>
  </si>
  <si>
    <t>Melting_Curves/meltCurve_Q7Z4H7_3_HAUS6.pdf</t>
  </si>
  <si>
    <t>Melting_Curves/meltCurve_Q7Z4H8_KDELC2.pdf</t>
  </si>
  <si>
    <t>Melting_Curves/meltCurve_Q7Z4L0_COX8C.pdf</t>
  </si>
  <si>
    <t>Melting_Curves/meltCurve_Q7Z4N8_P4HA3.pdf</t>
  </si>
  <si>
    <t>Melting_Curves/meltCurve_Q7Z4Q2_HEATR3.pdf</t>
  </si>
  <si>
    <t>Melting_Curves/meltCurve_Q7Z4W1_DCXR.pdf</t>
  </si>
  <si>
    <t>Melting_Curves/meltCurve_Q7Z5G4_3_GOLGA7.pdf</t>
  </si>
  <si>
    <t>Melting_Curves/meltCurve_Q7Z5H3_3_ARHGAP22.pdf</t>
  </si>
  <si>
    <t>Melting_Curves/meltCurve_Q7Z5K2_WAPAL.pdf</t>
  </si>
  <si>
    <t>Melting_Curves/meltCurve_Q7Z5L2_2_R3HCC1L.pdf</t>
  </si>
  <si>
    <t>Melting_Curves/meltCurve_Q7Z5L7_PODN.pdf</t>
  </si>
  <si>
    <t>Melting_Curves/meltCurve_Q7Z5R6_APBB1IP.pdf</t>
  </si>
  <si>
    <t>Melting_Curves/meltCurve_Q7Z624_CAMKMT.pdf</t>
  </si>
  <si>
    <t>Melting_Curves/meltCurve_Q7Z6B0_2_CCDC91.pdf</t>
  </si>
  <si>
    <t>Melting_Curves/meltCurve_Q7Z6B7_SRGAP1.pdf</t>
  </si>
  <si>
    <t>Melting_Curves/meltCurve_Q7Z6E9_4_RBBP6.pdf</t>
  </si>
  <si>
    <t>Melting_Curves/meltCurve_Q7Z6J0_SH3RF1.pdf</t>
  </si>
  <si>
    <t>Melting_Curves/meltCurve_Q7Z6K3_PTAR1.pdf</t>
  </si>
  <si>
    <t>Melting_Curves/meltCurve_Q7Z6K5_C15orf38.pdf</t>
  </si>
  <si>
    <t>Melting_Curves/meltCurve_Q7Z6L1_TECPR1.pdf</t>
  </si>
  <si>
    <t>Melting_Curves/meltCurve_Q7Z6M1_RABEPK.pdf</t>
  </si>
  <si>
    <t>Melting_Curves/meltCurve_Q7Z6M3_MILR1.pdf</t>
  </si>
  <si>
    <t>Melting_Curves/meltCurve_Q7Z6M4_MTERFD2.pdf</t>
  </si>
  <si>
    <t>Melting_Curves/meltCurve_Q7Z6V5_2_ADAT2.pdf</t>
  </si>
  <si>
    <t>Melting_Curves/meltCurve_Q7Z6Z7_2_HUWE1.pdf</t>
  </si>
  <si>
    <t>Melting_Curves/meltCurve_Q7Z7A3_CTU1.pdf</t>
  </si>
  <si>
    <t>Melting_Curves/meltCurve_Q7Z7A4_PXK.pdf</t>
  </si>
  <si>
    <t>Melting_Curves/meltCurve_Q7Z7E8_UBE2Q1.pdf</t>
  </si>
  <si>
    <t>Melting_Curves/meltCurve_Q7Z7H5_3_TMED4.pdf</t>
  </si>
  <si>
    <t>Melting_Curves/meltCurve_Q7Z7J9_CAMK2N1.pdf</t>
  </si>
  <si>
    <t>Melting_Curves/meltCurve_Q7Z7L8_C11orf96.pdf</t>
  </si>
  <si>
    <t>Melting_Curves/meltCurve_Q7Z7M9_GALNT5.pdf</t>
  </si>
  <si>
    <t>Melting_Curves/meltCurve_Q7Z7N9_TMEM179B.pdf</t>
  </si>
  <si>
    <t>Melting_Curves/meltCurve_Q86SF2_GALNT7.pdf</t>
  </si>
  <si>
    <t>Melting_Curves/meltCurve_Q86SJ2_AMIGO2.pdf</t>
  </si>
  <si>
    <t>Melting_Curves/meltCurve_Q86SQ0_PHLDB2.pdf</t>
  </si>
  <si>
    <t>Melting_Curves/meltCurve_Q86SQ7_SDCCAG8.pdf</t>
  </si>
  <si>
    <t>Melting_Curves/meltCurve_Q86SQ9_3_DHDDS.pdf</t>
  </si>
  <si>
    <t>Melting_Curves/meltCurve_Q86SR1_GALNT10.pdf</t>
  </si>
  <si>
    <t>Melting_Curves/meltCurve_Q86SX6_GLRX5.pdf</t>
  </si>
  <si>
    <t>Melting_Curves/meltCurve_Q86SZ2_TRAPPC6B.pdf</t>
  </si>
  <si>
    <t>Melting_Curves/meltCurve_Q86T13_CLEC14A.pdf</t>
  </si>
  <si>
    <t>Melting_Curves/meltCurve_Q86TB9_4_PATL1.pdf</t>
  </si>
  <si>
    <t>Melting_Curves/meltCurve_Q86TG1_TMEM150A.pdf</t>
  </si>
  <si>
    <t>Melting_Curves/meltCurve_Q86TI2_DPP9.pdf</t>
  </si>
  <si>
    <t>Melting_Curves/meltCurve_Q86TP1_PRUNE.pdf</t>
  </si>
  <si>
    <t>Melting_Curves/meltCurve_Q86TS9_3_MRPL52.pdf</t>
  </si>
  <si>
    <t>Melting_Curves/meltCurve_Q86TU7_SETD3.pdf</t>
  </si>
  <si>
    <t>Melting_Curves/meltCurve_Q86TV2_LGMN.pdf</t>
  </si>
  <si>
    <t>Melting_Curves/meltCurve_Q86TX2_ACOT1.pdf</t>
  </si>
  <si>
    <t>Melting_Curves/meltCurve_Q86U28_ISCA2.pdf</t>
  </si>
  <si>
    <t>Melting_Curves/meltCurve_Q86U44_METTL3.pdf</t>
  </si>
  <si>
    <t>Melting_Curves/meltCurve_Q86U90_YRDC.pdf</t>
  </si>
  <si>
    <t>Melting_Curves/meltCurve_Q86UA1_PRPF39.pdf</t>
  </si>
  <si>
    <t>Melting_Curves/meltCurve_Q86UE4_MTDH.pdf</t>
  </si>
  <si>
    <t>Melting_Curves/meltCurve_Q86UK7_2_ZNF598.pdf</t>
  </si>
  <si>
    <t>Melting_Curves/meltCurve_Q86UL3_AGPAT6.pdf</t>
  </si>
  <si>
    <t>Melting_Curves/meltCurve_Q86UL8_2_MAGI2.pdf</t>
  </si>
  <si>
    <t>Melting_Curves/meltCurve_Q86UP2_KTN1.pdf</t>
  </si>
  <si>
    <t>Melting_Curves/meltCurve_Q86US8_SMG6.pdf</t>
  </si>
  <si>
    <t>Melting_Curves/meltCurve_Q86UU0_4_BCL9L.pdf</t>
  </si>
  <si>
    <t>Melting_Curves/meltCurve_Q86UU1_2_PHLDB1.pdf</t>
  </si>
  <si>
    <t>Melting_Curves/meltCurve_Q86UY0_TXNDC5.pdf</t>
  </si>
  <si>
    <t>Melting_Curves/meltCurve_Q86UY8_2_NT5DC3.pdf</t>
  </si>
  <si>
    <t>Melting_Curves/meltCurve_Q86V21_AACS.pdf</t>
  </si>
  <si>
    <t>Melting_Curves/meltCurve_Q86V48_LUZP1.pdf</t>
  </si>
  <si>
    <t>Melting_Curves/meltCurve_Q86V84_OSBPL6.pdf</t>
  </si>
  <si>
    <t>Melting_Curves/meltCurve_Q86V85_GPR180.pdf</t>
  </si>
  <si>
    <t>Melting_Curves/meltCurve_Q86V87_FAM160B2.pdf</t>
  </si>
  <si>
    <t>Melting_Curves/meltCurve_Q86VG3_C11orf74.pdf</t>
  </si>
  <si>
    <t>Melting_Curves/meltCurve_Q86VN1_2_VPS36.pdf</t>
  </si>
  <si>
    <t>Melting_Curves/meltCurve_Q86VP6_CAND1.pdf</t>
  </si>
  <si>
    <t>Melting_Curves/meltCurve_Q86VQ1_GLCCI1.pdf</t>
  </si>
  <si>
    <t>Melting_Curves/meltCurve_Q86VR2_FAM134C.pdf</t>
  </si>
  <si>
    <t>Melting_Curves/meltCurve_Q86VS8_HOOK3.pdf</t>
  </si>
  <si>
    <t>Melting_Curves/meltCurve_Q86VU3_MAP4K2.pdf</t>
  </si>
  <si>
    <t>Melting_Curves/meltCurve_Q86VW0_SESTD1.pdf</t>
  </si>
  <si>
    <t>Melting_Curves/meltCurve_Q86VZ4_LRP11.pdf</t>
  </si>
  <si>
    <t>Melting_Curves/meltCurve_Q86W33_TPRA1.pdf</t>
  </si>
  <si>
    <t>Melting_Curves/meltCurve_Q86W34_AMZ2.pdf</t>
  </si>
  <si>
    <t>Melting_Curves/meltCurve_Q86WA6_2_BPHL.pdf</t>
  </si>
  <si>
    <t>Melting_Curves/meltCurve_Q86WA9_SLC26A11.pdf</t>
  </si>
  <si>
    <t>Melting_Curves/meltCurve_Q86WG5_SBF2.pdf</t>
  </si>
  <si>
    <t>Melting_Curves/meltCurve_Q86WN1_FCHSD1.pdf</t>
  </si>
  <si>
    <t>Melting_Curves/meltCurve_Q86WQ0_NR2C2AP.pdf</t>
  </si>
  <si>
    <t>Melting_Curves/meltCurve_Q86WR0_CCDC25.pdf</t>
  </si>
  <si>
    <t>Melting_Curves/meltCurve_Q86WR7_PROSER2.pdf</t>
  </si>
  <si>
    <t>Melting_Curves/meltCurve_Q86WV5_TEN1.pdf</t>
  </si>
  <si>
    <t>Melting_Curves/meltCurve_Q86WV6_TMEM173.pdf</t>
  </si>
  <si>
    <t>Melting_Curves/meltCurve_Q86WV7_CCDC43.pdf</t>
  </si>
  <si>
    <t>Melting_Curves/meltCurve_Q86X02_CDR2L.pdf</t>
  </si>
  <si>
    <t>Melting_Curves/meltCurve_Q86X19_TMEM17.pdf</t>
  </si>
  <si>
    <t>Melting_Curves/meltCurve_Q86X27_RALGPS2.pdf</t>
  </si>
  <si>
    <t>Melting_Curves/meltCurve_Q86X55_1_CARM1.pdf</t>
  </si>
  <si>
    <t>Melting_Curves/meltCurve_Q86X76_2_NIT1.pdf</t>
  </si>
  <si>
    <t>Melting_Curves/meltCurve_Q86XP3_DDX42.pdf</t>
  </si>
  <si>
    <t>Melting_Curves/meltCurve_Q86XZ4_SPATS2.pdf</t>
  </si>
  <si>
    <t>Melting_Curves/meltCurve_Q86Y37_CACUL1.pdf</t>
  </si>
  <si>
    <t>Melting_Curves/meltCurve_Q86Y38_XYLT1.pdf</t>
  </si>
  <si>
    <t>Melting_Curves/meltCurve_Q86Y39_NDUFA11.pdf</t>
  </si>
  <si>
    <t>Melting_Curves/meltCurve_Q86Y56_HEATR2.pdf</t>
  </si>
  <si>
    <t>Melting_Curves/meltCurve_Q86Y82_STX12.pdf</t>
  </si>
  <si>
    <t>Melting_Curves/meltCurve_Q86YB8_ERO1LB.pdf</t>
  </si>
  <si>
    <t>Melting_Curves/meltCurve_Q86YH6_PDSS2.pdf</t>
  </si>
  <si>
    <t>Melting_Curves/meltCurve_Q86YM7_HOMER1.pdf</t>
  </si>
  <si>
    <t>Melting_Curves/meltCurve_Q86YP4_2_GATAD2A.pdf</t>
  </si>
  <si>
    <t>Melting_Curves/meltCurve_Q86YQ8_CPNE8.pdf</t>
  </si>
  <si>
    <t>Melting_Curves/meltCurve_Q86YR5_4_GPSM1.pdf</t>
  </si>
  <si>
    <t>Melting_Curves/meltCurve_Q86YS6_RAB43.pdf</t>
  </si>
  <si>
    <t>Melting_Curves/meltCurve_Q86YV5_SGK223.pdf</t>
  </si>
  <si>
    <t>Melting_Curves/meltCurve_Q8IU85_2_CAMK1D.pdf</t>
  </si>
  <si>
    <t>Melting_Curves/meltCurve_Q8IUC6_TICAM1.pdf</t>
  </si>
  <si>
    <t>Melting_Curves/meltCurve_Q8IUD2_ERC1.pdf</t>
  </si>
  <si>
    <t>Melting_Curves/meltCurve_Q8IUI8_CRLF3.pdf</t>
  </si>
  <si>
    <t>Melting_Curves/meltCurve_Q8IUR0_TRAPPC5.pdf</t>
  </si>
  <si>
    <t>Melting_Curves/meltCurve_Q8IUW3_SPATA2L.pdf</t>
  </si>
  <si>
    <t>Melting_Curves/meltCurve_Q8IUW5_RELL1.pdf</t>
  </si>
  <si>
    <t>Melting_Curves/meltCurve_Q8IUX1_4_TMEM126B.pdf</t>
  </si>
  <si>
    <t>Melting_Curves/meltCurve_Q8IUZ5_AGXT2L2.pdf</t>
  </si>
  <si>
    <t>Melting_Curves/meltCurve_Q8IV08_PLD3.pdf</t>
  </si>
  <si>
    <t>Melting_Curves/meltCurve_Q8IV20_LACC1.pdf</t>
  </si>
  <si>
    <t>Melting_Curves/meltCurve_Q8IV38_ANKMY2.pdf</t>
  </si>
  <si>
    <t>Melting_Curves/meltCurve_Q8IV50_LYSMD2.pdf</t>
  </si>
  <si>
    <t>Melting_Curves/meltCurve_Q8IVB5_LIX1L.pdf</t>
  </si>
  <si>
    <t>Melting_Curves/meltCurve_Q8IVD9_NUDCD3.pdf</t>
  </si>
  <si>
    <t>Melting_Curves/meltCurve_Q8IVF2_3_AHNAK2.pdf</t>
  </si>
  <si>
    <t>Melting_Curves/meltCurve_Q8IVH4_MMAA.pdf</t>
  </si>
  <si>
    <t>Melting_Curves/meltCurve_Q8IVL5_LEPREL1.pdf</t>
  </si>
  <si>
    <t>Melting_Curves/meltCurve_Q8IVM0_CCDC50.pdf</t>
  </si>
  <si>
    <t>Melting_Curves/meltCurve_Q8IVS2_MCAT.pdf</t>
  </si>
  <si>
    <t>Melting_Curves/meltCurve_Q8IW45_CARKD.pdf</t>
  </si>
  <si>
    <t>Melting_Curves/meltCurve_Q8IWA4_MFN1.pdf</t>
  </si>
  <si>
    <t>Melting_Curves/meltCurve_Q8IWA5_SLC44A2.pdf</t>
  </si>
  <si>
    <t>Melting_Curves/meltCurve_Q8IWB1_ITPRIP.pdf</t>
  </si>
  <si>
    <t>Melting_Curves/meltCurve_Q8IWB7_WDFY1.pdf</t>
  </si>
  <si>
    <t>Melting_Curves/meltCurve_Q8IWB9_TEX2.pdf</t>
  </si>
  <si>
    <t>Melting_Curves/meltCurve_Q8IWC1_2_MAP7D3.pdf</t>
  </si>
  <si>
    <t>Melting_Curves/meltCurve_Q8IWE2_FAM114A1.pdf</t>
  </si>
  <si>
    <t>Melting_Curves/meltCurve_Q8IWE4_DCUN1D3.pdf</t>
  </si>
  <si>
    <t>Melting_Curves/meltCurve_Q8IWJ2_GCC2.pdf</t>
  </si>
  <si>
    <t>Melting_Curves/meltCurve_Q8IWL3_HSCB.pdf</t>
  </si>
  <si>
    <t>Melting_Curves/meltCurve_Q8IWV7_UBR1.pdf</t>
  </si>
  <si>
    <t>Melting_Curves/meltCurve_Q8IWV8_4_UBR2.pdf</t>
  </si>
  <si>
    <t>Melting_Curves/meltCurve_Q8IWW6_2_ARHGAP12.pdf</t>
  </si>
  <si>
    <t>Melting_Curves/meltCurve_Q8IWW6_3_ARHGAP12.pdf</t>
  </si>
  <si>
    <t>Melting_Curves/meltCurve_Q8IWW8_2_ADHFE1.pdf</t>
  </si>
  <si>
    <t>Melting_Curves/meltCurve_Q8IWZ3_6_ANKHD1.pdf</t>
  </si>
  <si>
    <t>Melting_Curves/meltCurve_Q8IWZ8_SUGP1.pdf</t>
  </si>
  <si>
    <t>Melting_Curves/meltCurve_Q8IX04_UEVLD.pdf</t>
  </si>
  <si>
    <t>Melting_Curves/meltCurve_Q8IX12_2_CCAR1.pdf</t>
  </si>
  <si>
    <t>Melting_Curves/meltCurve_Q8IXB1_DNAJC10.pdf</t>
  </si>
  <si>
    <t>Melting_Curves/meltCurve_Q8IXI2_4_RHOT1.pdf</t>
  </si>
  <si>
    <t>Melting_Curves/meltCurve_Q8IXJ6_2_SIRT2.pdf</t>
  </si>
  <si>
    <t>Melting_Curves/meltCurve_Q8IXQ4_KIAA1704.pdf</t>
  </si>
  <si>
    <t>Melting_Curves/meltCurve_Q8IY17_3_PNPLA6.pdf</t>
  </si>
  <si>
    <t>Melting_Curves/meltCurve_Q8IY22_3_CMIP.pdf</t>
  </si>
  <si>
    <t>Melting_Curves/meltCurve_Q8IY26_PPAPDC2.pdf</t>
  </si>
  <si>
    <t>Melting_Curves/meltCurve_Q8IY31_IFT20.pdf</t>
  </si>
  <si>
    <t>Melting_Curves/meltCurve_Q8IY33_MICALL2.pdf</t>
  </si>
  <si>
    <t>Melting_Curves/meltCurve_Q8IY95_2_TMEM192.pdf</t>
  </si>
  <si>
    <t>Melting_Curves/meltCurve_Q8IYB1_MB21D2.pdf</t>
  </si>
  <si>
    <t>Melting_Curves/meltCurve_Q8IYB5_3_SMAP1.pdf</t>
  </si>
  <si>
    <t>Melting_Curves/meltCurve_Q8IYB7_DIS3L2.pdf</t>
  </si>
  <si>
    <t>Melting_Curves/meltCurve_Q8IYB8_SUPV3L1.pdf</t>
  </si>
  <si>
    <t>Melting_Curves/meltCurve_Q8IYD1_GSPT2.pdf</t>
  </si>
  <si>
    <t>Melting_Curves/meltCurve_Q8IYI6_EXOC8.pdf</t>
  </si>
  <si>
    <t>Melting_Curves/meltCurve_Q8IYL3_C1orf174.pdf</t>
  </si>
  <si>
    <t>Melting_Curves/meltCurve_Q8IYM9_2_TRIM22.pdf</t>
  </si>
  <si>
    <t>Melting_Curves/meltCurve_Q8IYN6_UBALD2.pdf</t>
  </si>
  <si>
    <t>Melting_Curves/meltCurve_Q8IYQ7_THNSL1.pdf</t>
  </si>
  <si>
    <t>Melting_Curves/meltCurve_Q8IYS2_KIAA2013.pdf</t>
  </si>
  <si>
    <t>Melting_Curves/meltCurve_Q8IYU8_MICU2.pdf</t>
  </si>
  <si>
    <t>Melting_Curves/meltCurve_Q8IZ07_ANKRD13A.pdf</t>
  </si>
  <si>
    <t>Melting_Curves/meltCurve_Q8IZ21_3_PHACTR4.pdf</t>
  </si>
  <si>
    <t>Melting_Curves/meltCurve_Q8IZ68_MTX2.pdf</t>
  </si>
  <si>
    <t>Melting_Curves/meltCurve_Q8IZ73_RPUSD2.pdf</t>
  </si>
  <si>
    <t>Melting_Curves/meltCurve_Q8IZ81_ELMOD2.pdf</t>
  </si>
  <si>
    <t>Melting_Curves/meltCurve_Q8IZ83_ALDH16A1.pdf</t>
  </si>
  <si>
    <t>Melting_Curves/meltCurve_Q8IZD4_DCP1B.pdf</t>
  </si>
  <si>
    <t>Melting_Curves/meltCurve_Q8IZE3_2_SCYL3.pdf</t>
  </si>
  <si>
    <t>Melting_Curves/meltCurve_Q8IZJ1_2_UNC5B.pdf</t>
  </si>
  <si>
    <t>Melting_Curves/meltCurve_Q8IZL2_MAML2.pdf</t>
  </si>
  <si>
    <t>Melting_Curves/meltCurve_Q8IZR5_3_CMTM4.pdf</t>
  </si>
  <si>
    <t>Melting_Curves/meltCurve_Q8IZV5_RDH10.pdf</t>
  </si>
  <si>
    <t>Melting_Curves/meltCurve_Q8N0T1_C8orf59.pdf</t>
  </si>
  <si>
    <t>Melting_Curves/meltCurve_Q8N0U4_FAM185A.pdf</t>
  </si>
  <si>
    <t>Melting_Curves/meltCurve_Q8N0U8_VKORC1L1.pdf</t>
  </si>
  <si>
    <t>Melting_Curves/meltCurve_Q8N0W3_FUK.pdf</t>
  </si>
  <si>
    <t>Melting_Curves/meltCurve_Q8N0X4_CLYBL.pdf</t>
  </si>
  <si>
    <t>Melting_Curves/meltCurve_Q8N0X7_SPG20.pdf</t>
  </si>
  <si>
    <t>Melting_Curves/meltCurve_Q8N0Z6_TTC5.pdf</t>
  </si>
  <si>
    <t>Melting_Curves/meltCurve_Q8N108_17_MIER1.pdf</t>
  </si>
  <si>
    <t>Melting_Curves/meltCurve_Q8N111_CEND1.pdf</t>
  </si>
  <si>
    <t>Melting_Curves/meltCurve_Q8N122_RPTOR.pdf</t>
  </si>
  <si>
    <t>Melting_Curves/meltCurve_Q8N129_CNPY4.pdf</t>
  </si>
  <si>
    <t>Melting_Curves/meltCurve_Q8N130_SLC34A3.pdf</t>
  </si>
  <si>
    <t>Melting_Curves/meltCurve_Q8N138_4_ORMDL3.pdf</t>
  </si>
  <si>
    <t>Melting_Curves/meltCurve_Q8N142_ADSSL1.pdf</t>
  </si>
  <si>
    <t>Melting_Curves/meltCurve_Q8N163_2_KIAA1967.pdf</t>
  </si>
  <si>
    <t>Melting_Curves/meltCurve_Q8N183_NDUFAF2.pdf</t>
  </si>
  <si>
    <t>Melting_Curves/meltCurve_Q8N1A6_C4orf33.pdf</t>
  </si>
  <si>
    <t>Melting_Curves/meltCurve_Q8N1B4_VPS52.pdf</t>
  </si>
  <si>
    <t>Melting_Curves/meltCurve_Q8N1F7_NUP93.pdf</t>
  </si>
  <si>
    <t>Melting_Curves/meltCurve_Q8N1G2_FTSJD2.pdf</t>
  </si>
  <si>
    <t>Melting_Curves/meltCurve_Q8N1G4_LRRC47.pdf</t>
  </si>
  <si>
    <t>Melting_Curves/meltCurve_Q8N1Q1_CA13.pdf</t>
  </si>
  <si>
    <t>Melting_Curves/meltCurve_Q8N1S5_2_SLC39A11.pdf</t>
  </si>
  <si>
    <t>Melting_Curves/meltCurve_Q8N1W1_3_ARHGEF28.pdf</t>
  </si>
  <si>
    <t>Melting_Curves/meltCurve_Q8N283_ANKRD35.pdf</t>
  </si>
  <si>
    <t>Melting_Curves/meltCurve_Q8N2F6_3_ARMC10.pdf</t>
  </si>
  <si>
    <t>Melting_Curves/meltCurve_Q8N2G8_3_GHDC.pdf</t>
  </si>
  <si>
    <t>Melting_Curves/meltCurve_Q8N2H3_PYROXD2.pdf</t>
  </si>
  <si>
    <t>Melting_Curves/meltCurve_Q8N2K0_ABHD12.pdf</t>
  </si>
  <si>
    <t>Melting_Curves/meltCurve_Q8N300_CCDC23.pdf</t>
  </si>
  <si>
    <t>Melting_Curves/meltCurve_Q8N335_GPD1L.pdf</t>
  </si>
  <si>
    <t>Melting_Curves/meltCurve_Q8N350_DOS.pdf</t>
  </si>
  <si>
    <t>Melting_Curves/meltCurve_Q8N357_SLC35F6.pdf</t>
  </si>
  <si>
    <t>Melting_Curves/meltCurve_Q8N392_ARHGAP18.pdf</t>
  </si>
  <si>
    <t>Melting_Curves/meltCurve_Q8N3D4_EHBP1L1.pdf</t>
  </si>
  <si>
    <t>Melting_Curves/meltCurve_Q8N3F8_MICALL1.pdf</t>
  </si>
  <si>
    <t>Melting_Curves/meltCurve_Q8N3V7_2_SYNPO.pdf</t>
  </si>
  <si>
    <t>Melting_Curves/meltCurve_Q8N3X1_FNBP4.pdf</t>
  </si>
  <si>
    <t>Melting_Curves/meltCurve_Q8N465_D2HGDH.pdf</t>
  </si>
  <si>
    <t>Melting_Curves/meltCurve_Q8N474_SFRP1.pdf</t>
  </si>
  <si>
    <t>Melting_Curves/meltCurve_Q8N488_RYBP.pdf</t>
  </si>
  <si>
    <t>Melting_Curves/meltCurve_Q8N490_2_PNKD.pdf</t>
  </si>
  <si>
    <t>Melting_Curves/meltCurve_Q8N4C8_MINK1.pdf</t>
  </si>
  <si>
    <t>Melting_Curves/meltCurve_Q8N4H5_TOMM5.pdf</t>
  </si>
  <si>
    <t>Melting_Curves/meltCurve_Q8N4N3_2_KLHL36.pdf</t>
  </si>
  <si>
    <t>Melting_Curves/meltCurve_Q8N4P3_HDDC3.pdf</t>
  </si>
  <si>
    <t>Melting_Curves/meltCurve_Q8N4Q0_ZADH2.pdf</t>
  </si>
  <si>
    <t>Melting_Curves/meltCurve_Q8N4S0_2_CCDC82.pdf</t>
  </si>
  <si>
    <t>Melting_Curves/meltCurve_Q8N4V1_MMGT1.pdf</t>
  </si>
  <si>
    <t>Melting_Curves/meltCurve_Q8N556_AFAP1.pdf</t>
  </si>
  <si>
    <t>Melting_Curves/meltCurve_Q8N573_2_OXR1.pdf</t>
  </si>
  <si>
    <t>Melting_Curves/meltCurve_Q8N573_8_OXR1.pdf</t>
  </si>
  <si>
    <t>Melting_Curves/meltCurve_Q8N584_TTC39C.pdf</t>
  </si>
  <si>
    <t>Melting_Curves/meltCurve_Q8N5C1_FAM26E.pdf</t>
  </si>
  <si>
    <t>Melting_Curves/meltCurve_Q8N5G0_2_SMIM20.pdf</t>
  </si>
  <si>
    <t>Melting_Curves/meltCurve_Q8N5G2_2_TMEM57.pdf</t>
  </si>
  <si>
    <t>Melting_Curves/meltCurve_Q8N5H3_4_FAM89B.pdf</t>
  </si>
  <si>
    <t>Melting_Curves/meltCurve_Q8N5I4_DHRSX.pdf</t>
  </si>
  <si>
    <t>Melting_Curves/meltCurve_Q8N5I9_C12orf45.pdf</t>
  </si>
  <si>
    <t>Melting_Curves/meltCurve_Q8N5J2_FAM63A.pdf</t>
  </si>
  <si>
    <t>Melting_Curves/meltCurve_Q8N5K1_CISD2.pdf</t>
  </si>
  <si>
    <t>Melting_Curves/meltCurve_Q8N5L8_RPP25L.pdf</t>
  </si>
  <si>
    <t>Melting_Curves/meltCurve_Q8N5M1_ATPAF2.pdf</t>
  </si>
  <si>
    <t>Melting_Curves/meltCurve_Q8N5M9_JAGN1.pdf</t>
  </si>
  <si>
    <t>Melting_Curves/meltCurve_Q8N5N7_MRPL50.pdf</t>
  </si>
  <si>
    <t>Melting_Curves/meltCurve_Q8N5W9_FAM101B.pdf</t>
  </si>
  <si>
    <t>Melting_Curves/meltCurve_Q8N5X7_EIF4E3.pdf</t>
  </si>
  <si>
    <t>Melting_Curves/meltCurve_Q8N668_COMMD1.pdf</t>
  </si>
  <si>
    <t>Melting_Curves/meltCurve_Q8N684_2_CPSF7.pdf</t>
  </si>
  <si>
    <t>Melting_Curves/meltCurve_Q8N697_SLC15A4.pdf</t>
  </si>
  <si>
    <t>Melting_Curves/meltCurve_Q8N6H7_ARFGAP2.pdf</t>
  </si>
  <si>
    <t>Melting_Curves/meltCurve_Q8N6M0_OTUD6B.pdf</t>
  </si>
  <si>
    <t>Melting_Curves/meltCurve_Q8N6N3_C1orf52.pdf</t>
  </si>
  <si>
    <t>Melting_Curves/meltCurve_Q8N6Q8_METTL25.pdf</t>
  </si>
  <si>
    <t>Melting_Curves/meltCurve_Q8N6T3_ARFGAP1.pdf</t>
  </si>
  <si>
    <t>Melting_Curves/meltCurve_Q8N755_PQLC3.pdf</t>
  </si>
  <si>
    <t>Melting_Curves/meltCurve_Q8N766_4_EMC1.pdf</t>
  </si>
  <si>
    <t>Melting_Curves/meltCurve_Q8N7R7_3_CCNYL1.pdf</t>
  </si>
  <si>
    <t>Melting_Curves/meltCurve_Q8N8L6_ARL10.pdf</t>
  </si>
  <si>
    <t>Melting_Curves/meltCurve_Q8N8N7_PTGR2.pdf</t>
  </si>
  <si>
    <t>Melting_Curves/meltCurve_Q8N8R5_C2orf69.pdf</t>
  </si>
  <si>
    <t>Melting_Curves/meltCurve_Q8N8S7_2_ENAH.pdf</t>
  </si>
  <si>
    <t>Melting_Curves/meltCurve_Q8N954_GPATCH11.pdf</t>
  </si>
  <si>
    <t>Melting_Curves/meltCurve_Q8N999_C12orf29.pdf</t>
  </si>
  <si>
    <t>Melting_Curves/meltCurve_Q8N9A8_2_CNEP1R1.pdf</t>
  </si>
  <si>
    <t>Melting_Curves/meltCurve_Q8N9B5_2_JMY.pdf</t>
  </si>
  <si>
    <t>Melting_Curves/meltCurve_Q8N9N2_2_ASCC1.pdf</t>
  </si>
  <si>
    <t>Melting_Curves/meltCurve_Q8N9N7_LRRC57.pdf</t>
  </si>
  <si>
    <t>Melting_Curves/meltCurve_Q8N9V3_2_WDSUB1.pdf</t>
  </si>
  <si>
    <t>Melting_Curves/meltCurve_Q8NAF0_ZNF579.pdf</t>
  </si>
  <si>
    <t>Melting_Curves/meltCurve_Q8NB16_MLKL.pdf</t>
  </si>
  <si>
    <t>Melting_Curves/meltCurve_Q8NB37_PDDC1.pdf</t>
  </si>
  <si>
    <t>Melting_Curves/meltCurve_Q8NB49_3_ATP11C.pdf</t>
  </si>
  <si>
    <t>Melting_Curves/meltCurve_Q8NBF2_NHLRC2.pdf</t>
  </si>
  <si>
    <t>Melting_Curves/meltCurve_Q8NBF6_AVL9.pdf</t>
  </si>
  <si>
    <t>Melting_Curves/meltCurve_Q8NBI6_XXYLT1.pdf</t>
  </si>
  <si>
    <t>Melting_Curves/meltCurve_Q8NBJ4_2_GOLM1.pdf</t>
  </si>
  <si>
    <t>Melting_Curves/meltCurve_Q8NBJ5_COLGALT1.pdf</t>
  </si>
  <si>
    <t>Melting_Curves/meltCurve_Q8NBK3_SUMF1.pdf</t>
  </si>
  <si>
    <t>Melting_Curves/meltCurve_Q8NBL1_POGLUT1.pdf</t>
  </si>
  <si>
    <t>Melting_Curves/meltCurve_Q8NBM4_4_UBAC2.pdf</t>
  </si>
  <si>
    <t>Melting_Curves/meltCurve_Q8NBM8_PCYOX1L.pdf</t>
  </si>
  <si>
    <t>Melting_Curves/meltCurve_Q8NBN3_TMEM87A.pdf</t>
  </si>
  <si>
    <t>Melting_Curves/meltCurve_Q8NBN7_RDH13.pdf</t>
  </si>
  <si>
    <t>Melting_Curves/meltCurve_Q8NBU5_ATAD1.pdf</t>
  </si>
  <si>
    <t>Melting_Curves/meltCurve_Q8NBX0_SCCPDH.pdf</t>
  </si>
  <si>
    <t>Melting_Curves/meltCurve_Q8NC44_FAM134A.pdf</t>
  </si>
  <si>
    <t>Melting_Curves/meltCurve_Q8NC51_2_SERBP1.pdf</t>
  </si>
  <si>
    <t>Melting_Curves/meltCurve_Q8NC54_KCT2.pdf</t>
  </si>
  <si>
    <t>Melting_Curves/meltCurve_Q8NC56_LEMD2.pdf</t>
  </si>
  <si>
    <t>Melting_Curves/meltCurve_Q8NC96_NECAP1.pdf</t>
  </si>
  <si>
    <t>Melting_Curves/meltCurve_Q8NCC3_PLA2G15.pdf</t>
  </si>
  <si>
    <t>Melting_Curves/meltCurve_Q8NCE2_2_MTMR14.pdf</t>
  </si>
  <si>
    <t>Melting_Curves/meltCurve_Q8NCF5_NFATC2IP.pdf</t>
  </si>
  <si>
    <t>Melting_Curves/meltCurve_Q8NCG7_4_DAGLB.pdf</t>
  </si>
  <si>
    <t>Melting_Curves/meltCurve_Q8NCL4_GALNT6.pdf</t>
  </si>
  <si>
    <t>Melting_Curves/meltCurve_Q8NCN5_PDPR.pdf</t>
  </si>
  <si>
    <t>Melting_Curves/meltCurve_Q8NCW5_APOA1BP.pdf</t>
  </si>
  <si>
    <t>Melting_Curves/meltCurve_Q8ND24_RNF214.pdf</t>
  </si>
  <si>
    <t>Melting_Curves/meltCurve_Q8ND30_PPFIBP2.pdf</t>
  </si>
  <si>
    <t>Melting_Curves/meltCurve_Q8ND56_2_LSM14A.pdf</t>
  </si>
  <si>
    <t>Melting_Curves/meltCurve_Q8ND76_3_CCNY.pdf</t>
  </si>
  <si>
    <t>Melting_Curves/meltCurve_Q8ND90_PNMA1.pdf</t>
  </si>
  <si>
    <t>Melting_Curves/meltCurve_Q8ND94_LRRN4CL.pdf</t>
  </si>
  <si>
    <t>Melting_Curves/meltCurve_Q8NDC0_MAPK1IP1L.pdf</t>
  </si>
  <si>
    <t>Melting_Curves/meltCurve_Q8NDH3_NPEPL1.pdf</t>
  </si>
  <si>
    <t>Melting_Curves/meltCurve_Q8NDI1_3_EHBP1.pdf</t>
  </si>
  <si>
    <t>Melting_Curves/meltCurve_Q8NDZ4_C3orf58.pdf</t>
  </si>
  <si>
    <t>Melting_Curves/meltCurve_Q8NE00_TMEM104.pdf</t>
  </si>
  <si>
    <t>Melting_Curves/meltCurve_Q8NE71_2_ABCF1.pdf</t>
  </si>
  <si>
    <t>Melting_Curves/meltCurve_Q8NE86_3_MCU.pdf</t>
  </si>
  <si>
    <t>Melting_Curves/meltCurve_Q8NEC7_GSTCD.pdf</t>
  </si>
  <si>
    <t>Melting_Curves/meltCurve_Q8NEL9_2_DDHD1.pdf</t>
  </si>
  <si>
    <t>Melting_Curves/meltCurve_Q8NEN9_PDZD8.pdf</t>
  </si>
  <si>
    <t>Melting_Curves/meltCurve_Q8NEU8_APPL2.pdf</t>
  </si>
  <si>
    <t>Melting_Curves/meltCurve_Q8NEW0_SLC30A7.pdf</t>
  </si>
  <si>
    <t>Melting_Curves/meltCurve_Q8NEY1_2_NAV1.pdf</t>
  </si>
  <si>
    <t>Melting_Curves/meltCurve_Q8NEZ2_2_VPS37A.pdf</t>
  </si>
  <si>
    <t>Melting_Curves/meltCurve_Q8NEZ5_FBXO22.pdf</t>
  </si>
  <si>
    <t>Melting_Curves/meltCurve_Q8NF37_LPCAT1.pdf</t>
  </si>
  <si>
    <t>Melting_Curves/meltCurve_Q8NFC6_BOD1L1.pdf</t>
  </si>
  <si>
    <t>Melting_Curves/meltCurve_Q8NFF5_2_FLAD1.pdf</t>
  </si>
  <si>
    <t>Melting_Curves/meltCurve_Q8NFG4_FLCN.pdf</t>
  </si>
  <si>
    <t>Melting_Curves/meltCurve_Q8NFH3_NUP43.pdf</t>
  </si>
  <si>
    <t>Melting_Curves/meltCurve_Q8NFH4_NUP37.pdf</t>
  </si>
  <si>
    <t>Melting_Curves/meltCurve_Q8NFQ8_TOR1AIP2.pdf</t>
  </si>
  <si>
    <t>Melting_Curves/meltCurve_Q8NFV4_ABHD11.pdf</t>
  </si>
  <si>
    <t>Melting_Curves/meltCurve_Q8NFX7_2_STXBP6.pdf</t>
  </si>
  <si>
    <t>Melting_Curves/meltCurve_Q8NFZ4_NLGN2.pdf</t>
  </si>
  <si>
    <t>Melting_Curves/meltCurve_Q8NFZ8_CADM4.pdf</t>
  </si>
  <si>
    <t>Melting_Curves/meltCurve_Q8NG27_3_PJA1.pdf</t>
  </si>
  <si>
    <t>Melting_Curves/meltCurve_Q8NG68_TTL.pdf</t>
  </si>
  <si>
    <t>Melting_Curves/meltCurve_Q8NHG7_SVIP.pdf</t>
  </si>
  <si>
    <t>Melting_Curves/meltCurve_Q8NHH9_ATL2.pdf</t>
  </si>
  <si>
    <t>Melting_Curves/meltCurve_Q8NHP8_PLBD2.pdf</t>
  </si>
  <si>
    <t>Melting_Curves/meltCurve_Q8NHU3_SGMS2.pdf</t>
  </si>
  <si>
    <t>Melting_Curves/meltCurve_Q8NHU6_TDRD7.pdf</t>
  </si>
  <si>
    <t>Melting_Curves/meltCurve_Q8NHV1_GIMAP7.pdf</t>
  </si>
  <si>
    <t>Melting_Curves/meltCurve_Q8NHV4_NEDD1.pdf</t>
  </si>
  <si>
    <t>Melting_Curves/meltCurve_Q8NHZ8_CDC26.pdf</t>
  </si>
  <si>
    <t>Melting_Curves/meltCurve_Q8NI08_2_NCOA7.pdf</t>
  </si>
  <si>
    <t>Melting_Curves/meltCurve_Q8NI22_2_MCFD2.pdf</t>
  </si>
  <si>
    <t>Melting_Curves/meltCurve_Q8NI37_PPTC7.pdf</t>
  </si>
  <si>
    <t>Melting_Curves/meltCurve_Q8TAA9_2_VANGL1.pdf</t>
  </si>
  <si>
    <t>Melting_Curves/meltCurve_Q8TAE8_GADD45GIP1.pdf</t>
  </si>
  <si>
    <t>Melting_Curves/meltCurve_Q8TAF3_WDR48.pdf</t>
  </si>
  <si>
    <t>Melting_Curves/meltCurve_Q8TAP6_2_CEP76.pdf</t>
  </si>
  <si>
    <t>Melting_Curves/meltCurve_Q8TAP8_PPP1R35.pdf</t>
  </si>
  <si>
    <t>Melting_Curves/meltCurve_Q8TAT6_NPLOC4.pdf</t>
  </si>
  <si>
    <t>Melting_Curves/meltCurve_Q8TB03_CXorf38.pdf</t>
  </si>
  <si>
    <t>Melting_Curves/meltCurve_Q8TB22_3_SPATA20.pdf</t>
  </si>
  <si>
    <t>Melting_Curves/meltCurve_Q8TB24_RIN3.pdf</t>
  </si>
  <si>
    <t>Melting_Curves/meltCurve_Q8TB36_2_GDAP1.pdf</t>
  </si>
  <si>
    <t>Melting_Curves/meltCurve_Q8TB37_NUBPL.pdf</t>
  </si>
  <si>
    <t>Melting_Curves/meltCurve_Q8TB40_ABHD4.pdf</t>
  </si>
  <si>
    <t>Melting_Curves/meltCurve_Q8TB52_FBXO30.pdf</t>
  </si>
  <si>
    <t>Melting_Curves/meltCurve_Q8TB61_3_SLC35B2.pdf</t>
  </si>
  <si>
    <t>Melting_Curves/meltCurve_Q8TB70_TXNDC9.pdf</t>
  </si>
  <si>
    <t>Melting_Curves/meltCurve_Q8TB72_2_PUM2.pdf</t>
  </si>
  <si>
    <t>Melting_Curves/meltCurve_Q8TB96_ITFG1.pdf</t>
  </si>
  <si>
    <t>Melting_Curves/meltCurve_Q8TBA6_2_GOLGA5.pdf</t>
  </si>
  <si>
    <t>Melting_Curves/meltCurve_Q8TBB0_2_THAP6.pdf</t>
  </si>
  <si>
    <t>Melting_Curves/meltCurve_Q8TBB6_SLC7A14.pdf</t>
  </si>
  <si>
    <t>Melting_Curves/meltCurve_Q8TBC4_UBA3.pdf</t>
  </si>
  <si>
    <t>Melting_Curves/meltCurve_Q8TBC5_4_ZSCAN18.pdf</t>
  </si>
  <si>
    <t>Melting_Curves/meltCurve_Q8TBE9_NANP.pdf</t>
  </si>
  <si>
    <t>Melting_Curves/meltCurve_Q8TBM8_DNAJB14.pdf</t>
  </si>
  <si>
    <t>Melting_Curves/meltCurve_Q8TBN0_RAB3IL1.pdf</t>
  </si>
  <si>
    <t>Melting_Curves/meltCurve_Q8TBX8_PIP4K2C.pdf</t>
  </si>
  <si>
    <t>Melting_Curves/meltCurve_Q8TC07_2_TBC1D15.pdf</t>
  </si>
  <si>
    <t>Melting_Curves/meltCurve_Q8TC12_RDH11.pdf</t>
  </si>
  <si>
    <t>Melting_Curves/meltCurve_Q8TC71_2_SPATA18.pdf</t>
  </si>
  <si>
    <t>Melting_Curves/meltCurve_Q8TCA0_LRRC20.pdf</t>
  </si>
  <si>
    <t>Melting_Curves/meltCurve_Q8TCD1_C18orf32.pdf</t>
  </si>
  <si>
    <t>Melting_Curves/meltCurve_Q8TCD5_NT5C.pdf</t>
  </si>
  <si>
    <t>Melting_Curves/meltCurve_Q8TCE6_2_FAM45A.pdf</t>
  </si>
  <si>
    <t>Melting_Curves/meltCurve_Q8TCG2_PI4K2B.pdf</t>
  </si>
  <si>
    <t>Melting_Curves/meltCurve_Q8TCJ2_STT3B.pdf</t>
  </si>
  <si>
    <t>Melting_Curves/meltCurve_Q8TCT9_5_HM13.pdf</t>
  </si>
  <si>
    <t>Melting_Curves/meltCurve_Q8TCX1_DYNC2LI1.pdf</t>
  </si>
  <si>
    <t>Melting_Curves/meltCurve_Q8TCZ2_6_CD99L2.pdf</t>
  </si>
  <si>
    <t>Melting_Curves/meltCurve_Q8TD16_BICD2.pdf</t>
  </si>
  <si>
    <t>Melting_Curves/meltCurve_Q8TD19_NEK9.pdf</t>
  </si>
  <si>
    <t>Melting_Curves/meltCurve_Q8TD30_GPT2.pdf</t>
  </si>
  <si>
    <t>Melting_Curves/meltCurve_Q8TD55_PLEKHO2.pdf</t>
  </si>
  <si>
    <t>Melting_Curves/meltCurve_Q8TDB4_MGARP.pdf</t>
  </si>
  <si>
    <t>Melting_Curves/meltCurve_Q8TDH9_BLOC1S5.pdf</t>
  </si>
  <si>
    <t>Melting_Curves/meltCurve_Q8TDM0_3_BCAS4.pdf</t>
  </si>
  <si>
    <t>Melting_Curves/meltCurve_Q8TDM6_DLG5.pdf</t>
  </si>
  <si>
    <t>Melting_Curves/meltCurve_Q8TDQ7_GNPDA2.pdf</t>
  </si>
  <si>
    <t>Melting_Curves/meltCurve_Q8TDX7_NEK7.pdf</t>
  </si>
  <si>
    <t>Melting_Curves/meltCurve_Q8TDY4_3_ASAP3.pdf</t>
  </si>
  <si>
    <t>Melting_Curves/meltCurve_Q8TDZ2_MICAL1.pdf</t>
  </si>
  <si>
    <t>Melting_Curves/meltCurve_Q8TE73_DNAH5.pdf</t>
  </si>
  <si>
    <t>Melting_Curves/meltCurve_Q8TE77_SSH3.pdf</t>
  </si>
  <si>
    <t>Melting_Curves/meltCurve_Q8TEA1_NSUN6.pdf</t>
  </si>
  <si>
    <t>Melting_Curves/meltCurve_Q8TEA8_DTD1.pdf</t>
  </si>
  <si>
    <t>Melting_Curves/meltCurve_Q8TED1_GPX8.pdf</t>
  </si>
  <si>
    <t>Melting_Curves/meltCurve_Q8TEJ3_SH3RF3.pdf</t>
  </si>
  <si>
    <t>Melting_Curves/meltCurve_Q8TEQ6_GEMIN5.pdf</t>
  </si>
  <si>
    <t>Melting_Curves/meltCurve_Q8TEW8_5_PARD3B.pdf</t>
  </si>
  <si>
    <t>Melting_Curves/meltCurve_Q8TEX9_IPO4.pdf</t>
  </si>
  <si>
    <t>Melting_Curves/meltCurve_Q8TF01_PNISR.pdf</t>
  </si>
  <si>
    <t>Melting_Curves/meltCurve_Q8TF05_2_PPP4R1.pdf</t>
  </si>
  <si>
    <t>Melting_Curves/meltCurve_Q8TF42_UBASH3B.pdf</t>
  </si>
  <si>
    <t>Melting_Curves/meltCurve_Q8TF66_LRRC15.pdf</t>
  </si>
  <si>
    <t>Melting_Curves/meltCurve_Q8TF72_SHROOM3.pdf</t>
  </si>
  <si>
    <t>Melting_Curves/meltCurve_Q8TF74_WIPF2.pdf</t>
  </si>
  <si>
    <t>Melting_Curves/meltCurve_Q8WTS1_ABHD5.pdf</t>
  </si>
  <si>
    <t>Melting_Curves/meltCurve_Q8WTS6_SETD7.pdf</t>
  </si>
  <si>
    <t>Melting_Curves/meltCurve_Q8WU10_PYROXD1.pdf</t>
  </si>
  <si>
    <t>Melting_Curves/meltCurve_Q8WU17_RNF139.pdf</t>
  </si>
  <si>
    <t>Melting_Curves/meltCurve_Q8WU76_2_SCFD2.pdf</t>
  </si>
  <si>
    <t>Melting_Curves/meltCurve_Q8WU79_2_SMAP2.pdf</t>
  </si>
  <si>
    <t>Melting_Curves/meltCurve_Q8WU90_ZC3H15.pdf</t>
  </si>
  <si>
    <t>Melting_Curves/meltCurve_Q8WUA2_PPIL4.pdf</t>
  </si>
  <si>
    <t>Melting_Curves/meltCurve_Q8WUA8_TSKU.pdf</t>
  </si>
  <si>
    <t>Melting_Curves/meltCurve_Q8WUD1_RAB2B.pdf</t>
  </si>
  <si>
    <t>Melting_Curves/meltCurve_Q8WUF5_PPP1R13L.pdf</t>
  </si>
  <si>
    <t>Melting_Curves/meltCurve_Q8WUF8_FAM172A.pdf</t>
  </si>
  <si>
    <t>Melting_Curves/meltCurve_Q8WUH6_C12orf23.pdf</t>
  </si>
  <si>
    <t>Melting_Curves/meltCurve_Q8WUI4_3_HDAC7.pdf</t>
  </si>
  <si>
    <t>Melting_Curves/meltCurve_Q8WUJ0_STYX.pdf</t>
  </si>
  <si>
    <t>Melting_Curves/meltCurve_Q8WUK0_2_PTPMT1.pdf</t>
  </si>
  <si>
    <t>Melting_Curves/meltCurve_Q8WUM4_PDCD6IP.pdf</t>
  </si>
  <si>
    <t>Melting_Curves/meltCurve_Q8WUM9_SLC20A1.pdf</t>
  </si>
  <si>
    <t>Melting_Curves/meltCurve_Q8WUP2_FBLIM1.pdf</t>
  </si>
  <si>
    <t>Melting_Curves/meltCurve_Q8WUR7_C15orf40.pdf</t>
  </si>
  <si>
    <t>Melting_Curves/meltCurve_Q8WUX2_CHAC2.pdf</t>
  </si>
  <si>
    <t>Melting_Curves/meltCurve_Q8WUX9_CHMP7.pdf</t>
  </si>
  <si>
    <t>Melting_Curves/meltCurve_Q8WUY1_THEM6.pdf</t>
  </si>
  <si>
    <t>Melting_Curves/meltCurve_Q8WUY3_4_PRUNE2.pdf</t>
  </si>
  <si>
    <t>Melting_Curves/meltCurve_Q8WUY8_NAT14.pdf</t>
  </si>
  <si>
    <t>Melting_Curves/meltCurve_Q8WV41_SNX33.pdf</t>
  </si>
  <si>
    <t>Melting_Curves/meltCurve_Q8WV93_LACE1.pdf</t>
  </si>
  <si>
    <t>Melting_Curves/meltCurve_Q8WVC0_LEO1.pdf</t>
  </si>
  <si>
    <t>Melting_Curves/meltCurve_Q8WVC2_RPS21.pdf</t>
  </si>
  <si>
    <t>Melting_Curves/meltCurve_Q8WVD5_RNF141.pdf</t>
  </si>
  <si>
    <t>Melting_Curves/meltCurve_Q8WVE0_N6AMT2.pdf</t>
  </si>
  <si>
    <t>Melting_Curves/meltCurve_Q8WVJ2_NUDCD2.pdf</t>
  </si>
  <si>
    <t>Melting_Curves/meltCurve_Q8WVK2_SNRNP27.pdf</t>
  </si>
  <si>
    <t>Melting_Curves/meltCurve_Q8WVM8_SCFD1.pdf</t>
  </si>
  <si>
    <t>Melting_Curves/meltCurve_Q8WVN8_3_UBE2Q2.pdf</t>
  </si>
  <si>
    <t>Melting_Curves/meltCurve_Q8WVQ1_CANT1.pdf</t>
  </si>
  <si>
    <t>Melting_Curves/meltCurve_Q8WVT3_TRAPPC12.pdf</t>
  </si>
  <si>
    <t>Melting_Curves/meltCurve_Q8WVY7_UBLCP1.pdf</t>
  </si>
  <si>
    <t>Melting_Curves/meltCurve_Q8WW01_TSEN15.pdf</t>
  </si>
  <si>
    <t>Melting_Curves/meltCurve_Q8WW12_PCNP.pdf</t>
  </si>
  <si>
    <t>Melting_Curves/meltCurve_Q8WW59_SPRYD4.pdf</t>
  </si>
  <si>
    <t>Melting_Curves/meltCurve_Q8WWB7_2_C1orf85.pdf</t>
  </si>
  <si>
    <t>Melting_Curves/meltCurve_Q8WWH5_TRUB1.pdf</t>
  </si>
  <si>
    <t>Melting_Curves/meltCurve_Q8WWI5_SLC44A1.pdf</t>
  </si>
  <si>
    <t>Melting_Curves/meltCurve_Q8WWM7_ATXN2L.pdf</t>
  </si>
  <si>
    <t>Melting_Curves/meltCurve_Q8WWM9_CYGB.pdf</t>
  </si>
  <si>
    <t>Melting_Curves/meltCurve_Q8WWV3_RTN4IP1.pdf</t>
  </si>
  <si>
    <t>Melting_Curves/meltCurve_Q8WWX9_SELM.pdf</t>
  </si>
  <si>
    <t>Melting_Curves/meltCurve_Q8WX92_NELFB.pdf</t>
  </si>
  <si>
    <t>Melting_Curves/meltCurve_Q8WX93_3_PALLD.pdf</t>
  </si>
  <si>
    <t>Melting_Curves/meltCurve_Q8WXA9_2_SREK1.pdf</t>
  </si>
  <si>
    <t>Melting_Curves/meltCurve_Q8WXD5_GEMIN6.pdf</t>
  </si>
  <si>
    <t>Melting_Curves/meltCurve_Q8WXE0_2_CASKIN2.pdf</t>
  </si>
  <si>
    <t>Melting_Curves/meltCurve_Q8WXE1_5_ATRIP.pdf</t>
  </si>
  <si>
    <t>Melting_Curves/meltCurve_Q8WXF1_PSPC1.pdf</t>
  </si>
  <si>
    <t>Melting_Curves/meltCurve_Q8WXH0_SYNE2.pdf</t>
  </si>
  <si>
    <t>Melting_Curves/meltCurve_Q8WXI4_2_ACOT11.pdf</t>
  </si>
  <si>
    <t>Melting_Curves/meltCurve_Q8WXI9_GATAD2B.pdf</t>
  </si>
  <si>
    <t>Melting_Curves/meltCurve_Q8WXX5_DNAJC9.pdf</t>
  </si>
  <si>
    <t>Melting_Curves/meltCurve_Q8WYA6_3_CTNNBL1.pdf</t>
  </si>
  <si>
    <t>Melting_Curves/meltCurve_Q8WYL5_SSH1.pdf</t>
  </si>
  <si>
    <t>Melting_Curves/meltCurve_Q8WYN0_ATG4A.pdf</t>
  </si>
  <si>
    <t>Melting_Curves/meltCurve_Q8WYP5_AHCTF1.pdf</t>
  </si>
  <si>
    <t>Melting_Curves/meltCurve_Q8WZ82_OVCA2.pdf</t>
  </si>
  <si>
    <t>Melting_Curves/meltCurve_Q8WZA0_LZIC.pdf</t>
  </si>
  <si>
    <t>Melting_Curves/meltCurve_Q8WZA9_IRGQ.pdf</t>
  </si>
  <si>
    <t>Melting_Curves/meltCurve_Q92478_CLEC2B.pdf</t>
  </si>
  <si>
    <t>Melting_Curves/meltCurve_Q92499_DDX1.pdf</t>
  </si>
  <si>
    <t>Melting_Curves/meltCurve_Q92503_3_SEC14L1.pdf</t>
  </si>
  <si>
    <t>Melting_Curves/meltCurve_Q92504_SLC39A7.pdf</t>
  </si>
  <si>
    <t>Melting_Curves/meltCurve_Q92508_PIEZO1.pdf</t>
  </si>
  <si>
    <t>Melting_Curves/meltCurve_Q92520_FAM3C.pdf</t>
  </si>
  <si>
    <t>Melting_Curves/meltCurve_Q92526_CCT6B.pdf</t>
  </si>
  <si>
    <t>Melting_Curves/meltCurve_Q92529_SHC3.pdf</t>
  </si>
  <si>
    <t>Melting_Curves/meltCurve_Q92537_KIAA0247.pdf</t>
  </si>
  <si>
    <t>Melting_Curves/meltCurve_Q92538_GBF1.pdf</t>
  </si>
  <si>
    <t>Melting_Curves/meltCurve_Q92541_RTF1.pdf</t>
  </si>
  <si>
    <t>Melting_Curves/meltCurve_Q92544_TM9SF4.pdf</t>
  </si>
  <si>
    <t>Melting_Curves/meltCurve_Q92546_RGP1.pdf</t>
  </si>
  <si>
    <t>Melting_Curves/meltCurve_Q92567_2_FAM168A.pdf</t>
  </si>
  <si>
    <t>Melting_Curves/meltCurve_Q92572_AP3S1.pdf</t>
  </si>
  <si>
    <t>Melting_Curves/meltCurve_Q92574_TSC1.pdf</t>
  </si>
  <si>
    <t>Melting_Curves/meltCurve_Q92575_UBXN4.pdf</t>
  </si>
  <si>
    <t>Melting_Curves/meltCurve_Q92581_3_SLC9A6.pdf</t>
  </si>
  <si>
    <t>Melting_Curves/meltCurve_Q92597_NDRG1.pdf</t>
  </si>
  <si>
    <t>Melting_Curves/meltCurve_Q92598_2_HSPH1.pdf</t>
  </si>
  <si>
    <t>Melting_Curves/meltCurve_Q92600_RQCD1.pdf</t>
  </si>
  <si>
    <t>Melting_Curves/meltCurve_Q92609_TBC1D5.pdf</t>
  </si>
  <si>
    <t>Melting_Curves/meltCurve_Q92615_LARP4B.pdf</t>
  </si>
  <si>
    <t>Melting_Curves/meltCurve_Q92616_GCN1L1.pdf</t>
  </si>
  <si>
    <t>Melting_Curves/meltCurve_Q92620_DHX38.pdf</t>
  </si>
  <si>
    <t>Melting_Curves/meltCurve_Q92625_ANKS1A.pdf</t>
  </si>
  <si>
    <t>Melting_Curves/meltCurve_Q92626_PXDN.pdf</t>
  </si>
  <si>
    <t>Melting_Curves/meltCurve_Q92629_2_SGCD.pdf</t>
  </si>
  <si>
    <t>Melting_Curves/meltCurve_Q92636_NSMAF.pdf</t>
  </si>
  <si>
    <t>Melting_Curves/meltCurve_Q92686_NRGN.pdf</t>
  </si>
  <si>
    <t>Melting_Curves/meltCurve_Q92688_ANP32B.pdf</t>
  </si>
  <si>
    <t>Melting_Curves/meltCurve_Q92692_PVRL2.pdf</t>
  </si>
  <si>
    <t>Melting_Curves/meltCurve_Q92692_2_PVRL2.pdf</t>
  </si>
  <si>
    <t>Melting_Curves/meltCurve_Q92696_RABGGTA.pdf</t>
  </si>
  <si>
    <t>Melting_Curves/meltCurve_Q92734_2_TFG.pdf</t>
  </si>
  <si>
    <t>Melting_Curves/meltCurve_Q92738_USP6NL.pdf</t>
  </si>
  <si>
    <t>Melting_Curves/meltCurve_Q92747_ARPC1A.pdf</t>
  </si>
  <si>
    <t>Melting_Curves/meltCurve_Q92781_RDH5.pdf</t>
  </si>
  <si>
    <t>Melting_Curves/meltCurve_Q92783_2_STAM.pdf</t>
  </si>
  <si>
    <t>Melting_Curves/meltCurve_Q92793_CREBBP.pdf</t>
  </si>
  <si>
    <t>Melting_Curves/meltCurve_Q92797_SYMPK.pdf</t>
  </si>
  <si>
    <t>Melting_Curves/meltCurve_Q92804_2_TAF15.pdf</t>
  </si>
  <si>
    <t>Melting_Curves/meltCurve_Q92805_GOLGA1.pdf</t>
  </si>
  <si>
    <t>Melting_Curves/meltCurve_Q92819_HAS2.pdf</t>
  </si>
  <si>
    <t>Melting_Curves/meltCurve_Q92820_GGH.pdf</t>
  </si>
  <si>
    <t>Melting_Curves/meltCurve_Q92834_4_RPGR.pdf</t>
  </si>
  <si>
    <t>Melting_Curves/meltCurve_Q92843_2_BCL2L2.pdf</t>
  </si>
  <si>
    <t>Melting_Curves/meltCurve_Q92844_TANK.pdf</t>
  </si>
  <si>
    <t>Melting_Curves/meltCurve_Q92859_3_NEO1.pdf</t>
  </si>
  <si>
    <t>Melting_Curves/meltCurve_Q92871_PMM1.pdf</t>
  </si>
  <si>
    <t>Melting_Curves/meltCurve_Q92882_OSTF1.pdf</t>
  </si>
  <si>
    <t>Melting_Curves/meltCurve_Q92888_3_ARHGEF1.pdf</t>
  </si>
  <si>
    <t>Melting_Curves/meltCurve_Q92889_ERCC4.pdf</t>
  </si>
  <si>
    <t>Melting_Curves/meltCurve_Q92890_UFD1L.pdf</t>
  </si>
  <si>
    <t>Melting_Curves/meltCurve_Q92896_GLG1.pdf</t>
  </si>
  <si>
    <t>Melting_Curves/meltCurve_Q92900_2_UPF1.pdf</t>
  </si>
  <si>
    <t>Melting_Curves/meltCurve_Q92905_COPS5.pdf</t>
  </si>
  <si>
    <t>Melting_Curves/meltCurve_Q92917_GPKOW.pdf</t>
  </si>
  <si>
    <t>Melting_Curves/meltCurve_Q92930_RAB8B.pdf</t>
  </si>
  <si>
    <t>Melting_Curves/meltCurve_Q92934_BAD.pdf</t>
  </si>
  <si>
    <t>Melting_Curves/meltCurve_Q92945_KHSRP.pdf</t>
  </si>
  <si>
    <t>Melting_Curves/meltCurve_Q92947_GCDH.pdf</t>
  </si>
  <si>
    <t>Melting_Curves/meltCurve_Q92963_RIT1.pdf</t>
  </si>
  <si>
    <t>Melting_Curves/meltCurve_Q92968_PEX13.pdf</t>
  </si>
  <si>
    <t>Melting_Curves/meltCurve_Q92973_2_TNPO1.pdf</t>
  </si>
  <si>
    <t>Melting_Curves/meltCurve_Q92974_2_ARHGEF2.pdf</t>
  </si>
  <si>
    <t>Melting_Curves/meltCurve_Q92979_EMG1.pdf</t>
  </si>
  <si>
    <t>Melting_Curves/meltCurve_Q92990_GLMN.pdf</t>
  </si>
  <si>
    <t>Melting_Curves/meltCurve_Q92995_USP13.pdf</t>
  </si>
  <si>
    <t>Melting_Curves/meltCurve_Q93008_1_USP9X.pdf</t>
  </si>
  <si>
    <t>Melting_Curves/meltCurve_Q93015_2_NAT6.pdf</t>
  </si>
  <si>
    <t>Melting_Curves/meltCurve_Q93034_CUL5.pdf</t>
  </si>
  <si>
    <t>Melting_Curves/meltCurve_Q93052_LPP.pdf</t>
  </si>
  <si>
    <t>Melting_Curves/meltCurve_Q93063_EXT2.pdf</t>
  </si>
  <si>
    <t>Melting_Curves/meltCurve_Q969E2_2_SCAMP4.pdf</t>
  </si>
  <si>
    <t>Melting_Curves/meltCurve_Q969E4_TCEAL3.pdf</t>
  </si>
  <si>
    <t>Melting_Curves/meltCurve_Q969E8_TSR2.pdf</t>
  </si>
  <si>
    <t>Melting_Curves/meltCurve_Q969G6_RFK.pdf</t>
  </si>
  <si>
    <t>Melting_Curves/meltCurve_Q969H8_C19orf10.pdf</t>
  </si>
  <si>
    <t>Melting_Curves/meltCurve_Q969K3_RNF34.pdf</t>
  </si>
  <si>
    <t>Melting_Curves/meltCurve_Q969K7_3_TMEM54.pdf</t>
  </si>
  <si>
    <t>Melting_Curves/meltCurve_Q969M3_YIPF5.pdf</t>
  </si>
  <si>
    <t>Melting_Curves/meltCurve_Q969N2_3_PIGT.pdf</t>
  </si>
  <si>
    <t>Melting_Curves/meltCurve_Q969P0_3_IGSF8.pdf</t>
  </si>
  <si>
    <t>Melting_Curves/meltCurve_Q969Q5_RAB24.pdf</t>
  </si>
  <si>
    <t>Melting_Curves/meltCurve_Q969S3_ZNF622.pdf</t>
  </si>
  <si>
    <t>Melting_Curves/meltCurve_Q969S9_3_GFM2.pdf</t>
  </si>
  <si>
    <t>Melting_Curves/meltCurve_Q969T7_2_NT5C3B.pdf</t>
  </si>
  <si>
    <t>Melting_Curves/meltCurve_Q969V3_2_NCLN.pdf</t>
  </si>
  <si>
    <t>Melting_Curves/meltCurve_Q969X5_2_ERGIC1.pdf</t>
  </si>
  <si>
    <t>Melting_Curves/meltCurve_Q969Y2_3_GTPBP3.pdf</t>
  </si>
  <si>
    <t>Melting_Curves/meltCurve_Q969Z0_TBRG4.pdf</t>
  </si>
  <si>
    <t>Melting_Curves/meltCurve_Q969Z3_MARC2.pdf</t>
  </si>
  <si>
    <t>Melting_Curves/meltCurve_Q96A00_PPP1R14A.pdf</t>
  </si>
  <si>
    <t>Melting_Curves/meltCurve_Q96A19_CCDC102A.pdf</t>
  </si>
  <si>
    <t>Melting_Curves/meltCurve_Q96A33_CCDC47.pdf</t>
  </si>
  <si>
    <t>Melting_Curves/meltCurve_Q96A46_SLC25A28.pdf</t>
  </si>
  <si>
    <t>Melting_Curves/meltCurve_Q96A49_SYAP1.pdf</t>
  </si>
  <si>
    <t>Melting_Curves/meltCurve_Q96A65_EXOC4.pdf</t>
  </si>
  <si>
    <t>Melting_Curves/meltCurve_Q96A73_2_KIAA1191.pdf</t>
  </si>
  <si>
    <t>Melting_Curves/meltCurve_Q96AB3_ISOC2.pdf</t>
  </si>
  <si>
    <t>Melting_Curves/meltCurve_Q96AB6_NTAN1.pdf</t>
  </si>
  <si>
    <t>Melting_Curves/meltCurve_Q96AC1_FERMT2.pdf</t>
  </si>
  <si>
    <t>Melting_Curves/meltCurve_Q96AD5_PNPLA2.pdf</t>
  </si>
  <si>
    <t>Melting_Curves/meltCurve_Q96AE4_FUBP1.pdf</t>
  </si>
  <si>
    <t>Melting_Curves/meltCurve_Q96AE4_2_FUBP1.pdf</t>
  </si>
  <si>
    <t>Melting_Curves/meltCurve_Q96AG3_SLC25A46.pdf</t>
  </si>
  <si>
    <t>Melting_Curves/meltCurve_Q96AG4_LRRC59.pdf</t>
  </si>
  <si>
    <t>Melting_Curves/meltCurve_Q96AH8_RAB7B.pdf</t>
  </si>
  <si>
    <t>Melting_Curves/meltCurve_Q96AJ9_1_VTI1A.pdf</t>
  </si>
  <si>
    <t>Melting_Curves/meltCurve_Q96AM1_MRGPRF.pdf</t>
  </si>
  <si>
    <t>Melting_Curves/meltCurve_Q96AQ6_2_PBXIP1.pdf</t>
  </si>
  <si>
    <t>Melting_Curves/meltCurve_Q96AQ8_MCUR1.pdf</t>
  </si>
  <si>
    <t>Melting_Curves/meltCurve_Q96AT1_KIAA1143.pdf</t>
  </si>
  <si>
    <t>Melting_Curves/meltCurve_Q96AT9_RPE.pdf</t>
  </si>
  <si>
    <t>Melting_Curves/meltCurve_Q96AY3_FKBP10.pdf</t>
  </si>
  <si>
    <t>Melting_Curves/meltCurve_Q96AY4_TTC28.pdf</t>
  </si>
  <si>
    <t>Melting_Curves/meltCurve_Q96B23_2_C18orf25.pdf</t>
  </si>
  <si>
    <t>Melting_Curves/meltCurve_Q96B26_EXOSC8.pdf</t>
  </si>
  <si>
    <t>Melting_Curves/meltCurve_Q96B36_AKT1S1.pdf</t>
  </si>
  <si>
    <t>Melting_Curves/meltCurve_Q96B45_C10orf32.pdf</t>
  </si>
  <si>
    <t>Melting_Curves/meltCurve_Q96B49_TOMM6.pdf</t>
  </si>
  <si>
    <t>Melting_Curves/meltCurve_Q96BA8_CREB3L1.pdf</t>
  </si>
  <si>
    <t>Melting_Curves/meltCurve_Q96BH1_RNF25.pdf</t>
  </si>
  <si>
    <t>Melting_Curves/meltCurve_Q96BJ3_AIDA.pdf</t>
  </si>
  <si>
    <t>Melting_Curves/meltCurve_Q96BM9_ARL8A.pdf</t>
  </si>
  <si>
    <t>Melting_Curves/meltCurve_Q96BN8_FAM105B.pdf</t>
  </si>
  <si>
    <t>Melting_Curves/meltCurve_Q96BP2_CHCHD1.pdf</t>
  </si>
  <si>
    <t>Melting_Curves/meltCurve_Q96BP3_PPWD1.pdf</t>
  </si>
  <si>
    <t>Melting_Curves/meltCurve_Q96BR5_SELRC1.pdf</t>
  </si>
  <si>
    <t>Melting_Curves/meltCurve_Q96BW5_2_PTER.pdf</t>
  </si>
  <si>
    <t>Melting_Curves/meltCurve_Q96BX8_MOB3A.pdf</t>
  </si>
  <si>
    <t>Melting_Curves/meltCurve_Q96BY7_ATG2B.pdf</t>
  </si>
  <si>
    <t>Melting_Curves/meltCurve_Q96BZ9_TBC1D20.pdf</t>
  </si>
  <si>
    <t>Melting_Curves/meltCurve_Q96C01_FAM136A.pdf</t>
  </si>
  <si>
    <t>Melting_Curves/meltCurve_Q96C11_FGGY.pdf</t>
  </si>
  <si>
    <t>Melting_Curves/meltCurve_Q96C19_EFHD2.pdf</t>
  </si>
  <si>
    <t>Melting_Curves/meltCurve_Q96C23_GALM.pdf</t>
  </si>
  <si>
    <t>Melting_Curves/meltCurve_Q96C36_PYCR2.pdf</t>
  </si>
  <si>
    <t>Melting_Curves/meltCurve_Q96C86_DCPS.pdf</t>
  </si>
  <si>
    <t>Melting_Curves/meltCurve_Q96C90_PPP1R14B.pdf</t>
  </si>
  <si>
    <t>Melting_Curves/meltCurve_Q96C92_4_SDCCAG3.pdf</t>
  </si>
  <si>
    <t>Melting_Curves/meltCurve_Q96CB9_4_NSUN4.pdf</t>
  </si>
  <si>
    <t>Melting_Curves/meltCurve_Q96CC6_RHBDF1.pdf</t>
  </si>
  <si>
    <t>Melting_Curves/meltCurve_Q96CD0_FBXL8.pdf</t>
  </si>
  <si>
    <t>Melting_Curves/meltCurve_Q96CD2_PPCDC.pdf</t>
  </si>
  <si>
    <t>Melting_Curves/meltCurve_Q96CG8_CTHRC1.pdf</t>
  </si>
  <si>
    <t>Melting_Curves/meltCurve_Q96CN7_ISOC1.pdf</t>
  </si>
  <si>
    <t>Melting_Curves/meltCurve_Q96CN9_GCC1.pdf</t>
  </si>
  <si>
    <t>Melting_Curves/meltCurve_Q96CP2_FLYWCH2.pdf</t>
  </si>
  <si>
    <t>Melting_Curves/meltCurve_Q96CQ1_SLC25A36.pdf</t>
  </si>
  <si>
    <t>Melting_Curves/meltCurve_Q96CS3_FAF2.pdf</t>
  </si>
  <si>
    <t>Melting_Curves/meltCurve_Q96CT7_CCDC124.pdf</t>
  </si>
  <si>
    <t>Melting_Curves/meltCurve_Q96CU9_3_FOXRED1.pdf</t>
  </si>
  <si>
    <t>Melting_Curves/meltCurve_Q96CV9_OPTN.pdf</t>
  </si>
  <si>
    <t>Melting_Curves/meltCurve_Q96CW1_2_AP2M1.pdf</t>
  </si>
  <si>
    <t>Melting_Curves/meltCurve_Q96CW5_3_TUBGCP3.pdf</t>
  </si>
  <si>
    <t>Melting_Curves/meltCurve_Q96CW6_SLC7A6OS.pdf</t>
  </si>
  <si>
    <t>Melting_Curves/meltCurve_Q96CX2_KCTD12.pdf</t>
  </si>
  <si>
    <t>Melting_Curves/meltCurve_Q96D15_RCN3.pdf</t>
  </si>
  <si>
    <t>Melting_Curves/meltCurve_Q96DA6_2_DNAJC19.pdf</t>
  </si>
  <si>
    <t>Melting_Curves/meltCurve_Q96DB5_RMDN1.pdf</t>
  </si>
  <si>
    <t>Melting_Curves/meltCurve_Q96DC8_ECHDC3.pdf</t>
  </si>
  <si>
    <t>Melting_Curves/meltCurve_Q96DD7_SHISA4.pdf</t>
  </si>
  <si>
    <t>Melting_Curves/meltCurve_Q96DE0_NUDT16.pdf</t>
  </si>
  <si>
    <t>Melting_Curves/meltCurve_Q96DE5_ANAPC16.pdf</t>
  </si>
  <si>
    <t>Melting_Curves/meltCurve_Q96DF8_DGCR14.pdf</t>
  </si>
  <si>
    <t>Melting_Curves/meltCurve_Q96DG6_CMBL.pdf</t>
  </si>
  <si>
    <t>Melting_Curves/meltCurve_Q96DI7_SNRNP40.pdf</t>
  </si>
  <si>
    <t>Melting_Curves/meltCurve_Q96DR4_STARD4.pdf</t>
  </si>
  <si>
    <t>Melting_Curves/meltCurve_Q96DT0_3_LGALS12.pdf</t>
  </si>
  <si>
    <t>Melting_Curves/meltCurve_Q96DT6_ATG4C.pdf</t>
  </si>
  <si>
    <t>Melting_Curves/meltCurve_Q96DU7_ITPKC.pdf</t>
  </si>
  <si>
    <t>Melting_Curves/meltCurve_Q96DX4_RSPRY1.pdf</t>
  </si>
  <si>
    <t>Melting_Curves/meltCurve_Q96DX7_TRIM44.pdf</t>
  </si>
  <si>
    <t>Melting_Curves/meltCurve_Q96DZ1_ERLEC1.pdf</t>
  </si>
  <si>
    <t>Melting_Curves/meltCurve_Q96E09_FAM122A.pdf</t>
  </si>
  <si>
    <t>Melting_Curves/meltCurve_Q96E11_3_MRRF.pdf</t>
  </si>
  <si>
    <t>Melting_Curves/meltCurve_Q96EB6_2_SIRT1.pdf</t>
  </si>
  <si>
    <t>Melting_Curves/meltCurve_Q96EC8_YIPF6.pdf</t>
  </si>
  <si>
    <t>Melting_Curves/meltCurve_Q96EE3_SEH1L.pdf</t>
  </si>
  <si>
    <t>Melting_Curves/meltCurve_Q96EH3_MALSU1.pdf</t>
  </si>
  <si>
    <t>Melting_Curves/meltCurve_Q96EI5_TCEAL4.pdf</t>
  </si>
  <si>
    <t>Melting_Curves/meltCurve_Q96EK5_KIAA1279.pdf</t>
  </si>
  <si>
    <t>Melting_Curves/meltCurve_Q96EK6_GNPNAT1.pdf</t>
  </si>
  <si>
    <t>Melting_Curves/meltCurve_Q96EL3_MRPL53.pdf</t>
  </si>
  <si>
    <t>Melting_Curves/meltCurve_Q96EM0_L3HYPDH.pdf</t>
  </si>
  <si>
    <t>Melting_Curves/meltCurve_Q96EP5_2_DAZAP1.pdf</t>
  </si>
  <si>
    <t>Melting_Curves/meltCurve_Q96EQ0_SGTB.pdf</t>
  </si>
  <si>
    <t>Melting_Curves/meltCurve_Q96ER3_SAAL1.pdf</t>
  </si>
  <si>
    <t>Melting_Curves/meltCurve_Q96ER9_CCDC51.pdf</t>
  </si>
  <si>
    <t>Melting_Curves/meltCurve_Q96EU7_C1GALT1C1.pdf</t>
  </si>
  <si>
    <t>Melting_Curves/meltCurve_Q96EV2_RBM33.pdf</t>
  </si>
  <si>
    <t>Melting_Curves/meltCurve_Q96EV8_DTNBP1.pdf</t>
  </si>
  <si>
    <t>Melting_Curves/meltCurve_Q96EX1_SMIM12.pdf</t>
  </si>
  <si>
    <t>Melting_Curves/meltCurve_Q96EY5_MVB12A.pdf</t>
  </si>
  <si>
    <t>Melting_Curves/meltCurve_Q96EY8_MMAB.pdf</t>
  </si>
  <si>
    <t>Melting_Curves/meltCurve_Q96EY9_ADAT3.pdf</t>
  </si>
  <si>
    <t>Melting_Curves/meltCurve_Q96F10_SAT2.pdf</t>
  </si>
  <si>
    <t>Melting_Curves/meltCurve_Q96F24_2_NRBF2.pdf</t>
  </si>
  <si>
    <t>Melting_Curves/meltCurve_Q96F25_ALG14.pdf</t>
  </si>
  <si>
    <t>Melting_Curves/meltCurve_Q96F46_IL17RA.pdf</t>
  </si>
  <si>
    <t>Melting_Curves/meltCurve_Q96F85_CNRIP1.pdf</t>
  </si>
  <si>
    <t>Melting_Curves/meltCurve_Q96FE7_4_PIK3IP1.pdf</t>
  </si>
  <si>
    <t>Melting_Curves/meltCurve_Q96FH0_2_MEF2BNB.pdf</t>
  </si>
  <si>
    <t>Melting_Curves/meltCurve_Q96FJ0_STAMBPL1.pdf</t>
  </si>
  <si>
    <t>Melting_Curves/meltCurve_Q96FJ2_DYNLL2.pdf</t>
  </si>
  <si>
    <t>Melting_Curves/meltCurve_Q96FN4_CPNE2.pdf</t>
  </si>
  <si>
    <t>Melting_Curves/meltCurve_Q96FQ6_S100A16.pdf</t>
  </si>
  <si>
    <t>Melting_Curves/meltCurve_Q96FS4_SIPA1.pdf</t>
  </si>
  <si>
    <t>Melting_Curves/meltCurve_Q96FT9_IFT43.pdf</t>
  </si>
  <si>
    <t>Melting_Curves/meltCurve_Q96FX2_DPH3.pdf</t>
  </si>
  <si>
    <t>Melting_Curves/meltCurve_Q96FX7_TRMT61A.pdf</t>
  </si>
  <si>
    <t>Melting_Curves/meltCurve_Q96FZ7_CHMP6.pdf</t>
  </si>
  <si>
    <t>Melting_Curves/meltCurve_Q96G03_PGM2.pdf</t>
  </si>
  <si>
    <t>Melting_Curves/meltCurve_Q96G25_MED8.pdf</t>
  </si>
  <si>
    <t>Melting_Curves/meltCurve_Q96G28_CCDC104.pdf</t>
  </si>
  <si>
    <t>Melting_Curves/meltCurve_Q96G46_DUS3L.pdf</t>
  </si>
  <si>
    <t>Melting_Curves/meltCurve_Q96G61_NUDT11.pdf</t>
  </si>
  <si>
    <t>Melting_Curves/meltCurve_Q96GA3_LTV1.pdf</t>
  </si>
  <si>
    <t>Melting_Curves/meltCurve_Q96GA7_SDSL.pdf</t>
  </si>
  <si>
    <t>Melting_Curves/meltCurve_Q96GD0_PDXP.pdf</t>
  </si>
  <si>
    <t>Melting_Curves/meltCurve_Q96GF1_RNF185.pdf</t>
  </si>
  <si>
    <t>Melting_Curves/meltCurve_Q96GG9_DCUN1D1.pdf</t>
  </si>
  <si>
    <t>Melting_Curves/meltCurve_Q96GK7_FAHD2A.pdf</t>
  </si>
  <si>
    <t>Melting_Curves/meltCurve_Q96GP6_2_SCARF2.pdf</t>
  </si>
  <si>
    <t>Melting_Curves/meltCurve_Q96GS4_C17orf59.pdf</t>
  </si>
  <si>
    <t>Melting_Curves/meltCurve_Q96GS6_ABHD17A.pdf</t>
  </si>
  <si>
    <t>Melting_Curves/meltCurve_Q96GW9_MARS2.pdf</t>
  </si>
  <si>
    <t>Melting_Curves/meltCurve_Q96GX2_ATXN7L3B.pdf</t>
  </si>
  <si>
    <t>Melting_Curves/meltCurve_Q96GX9_APIP.pdf</t>
  </si>
  <si>
    <t>Melting_Curves/meltCurve_Q96GY0_ZC2HC1A.pdf</t>
  </si>
  <si>
    <t>Melting_Curves/meltCurve_Q96H20_SNF8.pdf</t>
  </si>
  <si>
    <t>Melting_Curves/meltCurve_Q96H79_ZC3HAV1L.pdf</t>
  </si>
  <si>
    <t>Melting_Curves/meltCurve_Q96HA4_4_C1orf159.pdf</t>
  </si>
  <si>
    <t>Melting_Curves/meltCurve_Q96HA8_WDYHV1.pdf</t>
  </si>
  <si>
    <t>Melting_Curves/meltCurve_Q96HC4_PDLIM5.pdf</t>
  </si>
  <si>
    <t>Melting_Curves/meltCurve_Q96HD1_CRELD1.pdf</t>
  </si>
  <si>
    <t>Melting_Curves/meltCurve_Q96HE7_ERO1L.pdf</t>
  </si>
  <si>
    <t>Melting_Curves/meltCurve_Q96HJ9_C7orf55.pdf</t>
  </si>
  <si>
    <t>Melting_Curves/meltCurve_Q96HQ2_2_CDKN2AIPNL.pdf</t>
  </si>
  <si>
    <t>Melting_Curves/meltCurve_Q96HR9_REEP6.pdf</t>
  </si>
  <si>
    <t>Melting_Curves/meltCurve_Q96HS1_PGAM5.pdf</t>
  </si>
  <si>
    <t>Melting_Curves/meltCurve_Q96HY6_DDRGK1.pdf</t>
  </si>
  <si>
    <t>Melting_Curves/meltCurve_Q96I15_SCLY.pdf</t>
  </si>
  <si>
    <t>Melting_Curves/meltCurve_Q96I23_PYURF.pdf</t>
  </si>
  <si>
    <t>Melting_Curves/meltCurve_Q96I24_FUBP3.pdf</t>
  </si>
  <si>
    <t>Melting_Curves/meltCurve_Q96I25_RBM17.pdf</t>
  </si>
  <si>
    <t>Melting_Curves/meltCurve_Q96I36_COX14.pdf</t>
  </si>
  <si>
    <t>Melting_Curves/meltCurve_Q96I51_WBSCR16.pdf</t>
  </si>
  <si>
    <t>Melting_Curves/meltCurve_Q96I99_SUCLG2.pdf</t>
  </si>
  <si>
    <t>Melting_Curves/meltCurve_Q96IG2_FBXL20.pdf</t>
  </si>
  <si>
    <t>Melting_Curves/meltCurve_Q96IJ6_GMPPA.pdf</t>
  </si>
  <si>
    <t>Melting_Curves/meltCurve_Q96IK1_BOD1.pdf</t>
  </si>
  <si>
    <t>Melting_Curves/meltCurve_Q96IU4_ABHD14B.pdf</t>
  </si>
  <si>
    <t>Melting_Curves/meltCurve_Q96IV0_2_NGLY1.pdf</t>
  </si>
  <si>
    <t>Melting_Curves/meltCurve_Q96IX5_USMG5.pdf</t>
  </si>
  <si>
    <t>Melting_Curves/meltCurve_Q96IZ0_PAWR.pdf</t>
  </si>
  <si>
    <t>Melting_Curves/meltCurve_Q96J02_2_ITCH.pdf</t>
  </si>
  <si>
    <t>Melting_Curves/meltCurve_Q96J84_KIRREL.pdf</t>
  </si>
  <si>
    <t>Melting_Curves/meltCurve_Q96J88_2_EPSTI1.pdf</t>
  </si>
  <si>
    <t>Melting_Curves/meltCurve_Q96JA1_LRIG1.pdf</t>
  </si>
  <si>
    <t>Melting_Curves/meltCurve_Q96JB2_COG3.pdf</t>
  </si>
  <si>
    <t>Melting_Curves/meltCurve_Q96JB5_CDK5RAP3.pdf</t>
  </si>
  <si>
    <t>Melting_Curves/meltCurve_Q96JC1_2_VPS39.pdf</t>
  </si>
  <si>
    <t>Melting_Curves/meltCurve_Q96JH7_VCPIP1.pdf</t>
  </si>
  <si>
    <t>Melting_Curves/meltCurve_Q96JJ7_TMX3.pdf</t>
  </si>
  <si>
    <t>Melting_Curves/meltCurve_Q96JP5_ZFP91.pdf</t>
  </si>
  <si>
    <t>Melting_Curves/meltCurve_Q96JQ0_DCHS1.pdf</t>
  </si>
  <si>
    <t>Melting_Curves/meltCurve_Q96JY6_PDLIM2.pdf</t>
  </si>
  <si>
    <t>Melting_Curves/meltCurve_Q96K19_2_RNF170.pdf</t>
  </si>
  <si>
    <t>Melting_Curves/meltCurve_Q96KA5_2_CLPTM1L.pdf</t>
  </si>
  <si>
    <t>Melting_Curves/meltCurve_Q96KB5_PBK.pdf</t>
  </si>
  <si>
    <t>Melting_Curves/meltCurve_Q96KB7_CIZ1.pdf</t>
  </si>
  <si>
    <t>Melting_Curves/meltCurve_Q96KC2_ARL5B.pdf</t>
  </si>
  <si>
    <t>Melting_Curves/meltCurve_Q96KC8_DNAJC1.pdf</t>
  </si>
  <si>
    <t>Melting_Curves/meltCurve_Q96KN4_FAM84A.pdf</t>
  </si>
  <si>
    <t>Melting_Curves/meltCurve_Q96KP1_EXOC2.pdf</t>
  </si>
  <si>
    <t>Melting_Curves/meltCurve_Q96KP4_CNDP2.pdf</t>
  </si>
  <si>
    <t>Melting_Curves/meltCurve_Q96KR1_ZFR.pdf</t>
  </si>
  <si>
    <t>Melting_Curves/meltCurve_Q96L35_EPHB4.pdf</t>
  </si>
  <si>
    <t>Melting_Curves/meltCurve_Q96L92_SNX27.pdf</t>
  </si>
  <si>
    <t>Melting_Curves/meltCurve_Q96L93_6_KIF16B.pdf</t>
  </si>
  <si>
    <t>Melting_Curves/meltCurve_Q96LD8_SENP8.pdf</t>
  </si>
  <si>
    <t>Melting_Curves/meltCurve_Q96LJ7_DHRS1.pdf</t>
  </si>
  <si>
    <t>Melting_Curves/meltCurve_Q96LW7_2_C9orf89.pdf</t>
  </si>
  <si>
    <t>Melting_Curves/meltCurve_Q96M20_2_CNBD2.pdf</t>
  </si>
  <si>
    <t>Melting_Curves/meltCurve_Q96M27_PRRC1.pdf</t>
  </si>
  <si>
    <t>Melting_Curves/meltCurve_Q96ME1_4_FBXL18.pdf</t>
  </si>
  <si>
    <t>Melting_Curves/meltCurve_Q96MH2_HEXIM2.pdf</t>
  </si>
  <si>
    <t>Melting_Curves/meltCurve_Q96MH6_2_TMEM68.pdf</t>
  </si>
  <si>
    <t>Melting_Curves/meltCurve_Q96MP8_2_KCTD7.pdf</t>
  </si>
  <si>
    <t>Melting_Curves/meltCurve_Q96MW5_COG8.pdf</t>
  </si>
  <si>
    <t>Melting_Curves/meltCurve_Q96MX6_WDR92.pdf</t>
  </si>
  <si>
    <t>Melting_Curves/meltCurve_Q96N21_2_ENTHD2.pdf</t>
  </si>
  <si>
    <t>Melting_Curves/meltCurve_Q96N66_2_MBOAT7.pdf</t>
  </si>
  <si>
    <t>Melting_Curves/meltCurve_Q96NA2_RILP.pdf</t>
  </si>
  <si>
    <t>Melting_Curves/meltCurve_Q96NC0_ZMAT2.pdf</t>
  </si>
  <si>
    <t>Melting_Curves/meltCurve_Q96NT0_CCDC115.pdf</t>
  </si>
  <si>
    <t>Melting_Curves/meltCurve_Q96NT1_NAP1L5.pdf</t>
  </si>
  <si>
    <t>Melting_Curves/meltCurve_Q96NY7_2_CLIC6.pdf</t>
  </si>
  <si>
    <t>Melting_Curves/meltCurve_Q96P47_AGAP3.pdf</t>
  </si>
  <si>
    <t>Melting_Curves/meltCurve_Q96P48_3_ARAP1.pdf</t>
  </si>
  <si>
    <t>Melting_Curves/meltCurve_Q96P50_ACAP3.pdf</t>
  </si>
  <si>
    <t>Melting_Curves/meltCurve_Q96P70_IPO9.pdf</t>
  </si>
  <si>
    <t>Melting_Curves/meltCurve_Q96PD2_DCBLD2.pdf</t>
  </si>
  <si>
    <t>Melting_Curves/meltCurve_Q96PE1_2_GPR124.pdf</t>
  </si>
  <si>
    <t>Melting_Curves/meltCurve_Q96PE2_ARHGEF17.pdf</t>
  </si>
  <si>
    <t>Melting_Curves/meltCurve_Q96PE7_MCEE.pdf</t>
  </si>
  <si>
    <t>Melting_Curves/meltCurve_Q96PK6_RBM14.pdf</t>
  </si>
  <si>
    <t>Melting_Curves/meltCurve_Q96PU5_2_NEDD4L.pdf</t>
  </si>
  <si>
    <t>Melting_Curves/meltCurve_Q96PU8_9_QKI.pdf</t>
  </si>
  <si>
    <t>Melting_Curves/meltCurve_Q96PY6_4_NEK1.pdf</t>
  </si>
  <si>
    <t>Melting_Curves/meltCurve_Q96PZ0_PUS7.pdf</t>
  </si>
  <si>
    <t>Melting_Curves/meltCurve_Q96Q06_2_PLIN4.pdf</t>
  </si>
  <si>
    <t>Melting_Curves/meltCurve_Q96Q11_2_TRNT1.pdf</t>
  </si>
  <si>
    <t>Melting_Curves/meltCurve_Q96Q42_ALS2.pdf</t>
  </si>
  <si>
    <t>Melting_Curves/meltCurve_Q96Q45_2_TMEM237.pdf</t>
  </si>
  <si>
    <t>Melting_Curves/meltCurve_Q96Q83_ALKBH3.pdf</t>
  </si>
  <si>
    <t>Melting_Curves/meltCurve_Q96QB1_DLC1.pdf</t>
  </si>
  <si>
    <t>Melting_Curves/meltCurve_Q96QC0_PPP1R10.pdf</t>
  </si>
  <si>
    <t>Melting_Curves/meltCurve_Q96QD8_SLC38A2.pdf</t>
  </si>
  <si>
    <t>Melting_Curves/meltCurve_Q96QE2_SLC2A13.pdf</t>
  </si>
  <si>
    <t>Melting_Curves/meltCurve_Q96QG7_MTMR9.pdf</t>
  </si>
  <si>
    <t>Melting_Curves/meltCurve_Q96QK1_VPS35.pdf</t>
  </si>
  <si>
    <t>Melting_Curves/meltCurve_Q96QR8_PURB.pdf</t>
  </si>
  <si>
    <t>Melting_Curves/meltCurve_Q96QU8_XPO6.pdf</t>
  </si>
  <si>
    <t>Melting_Curves/meltCurve_Q96QZ7_4_MAGI1.pdf</t>
  </si>
  <si>
    <t>Melting_Curves/meltCurve_Q96RD7_PANX1.pdf</t>
  </si>
  <si>
    <t>Melting_Curves/meltCurve_Q96RE7_NACC1.pdf</t>
  </si>
  <si>
    <t>Melting_Curves/meltCurve_Q96RF0_2_SNX18.pdf</t>
  </si>
  <si>
    <t>Melting_Curves/meltCurve_Q96RN5_3_MED15.pdf</t>
  </si>
  <si>
    <t>Melting_Curves/meltCurve_Q96RP9_GFM1.pdf</t>
  </si>
  <si>
    <t>Melting_Curves/meltCurve_Q96RQ1_ERGIC2.pdf</t>
  </si>
  <si>
    <t>Melting_Curves/meltCurve_Q96RR4_CAMKK2.pdf</t>
  </si>
  <si>
    <t>Melting_Curves/meltCurve_Q96RS6_NUDCD1.pdf</t>
  </si>
  <si>
    <t>Melting_Curves/meltCurve_Q96RT1_5_ERBB2IP.pdf</t>
  </si>
  <si>
    <t>Melting_Curves/meltCurve_Q96RU3_3_FNBP1.pdf</t>
  </si>
  <si>
    <t>Melting_Curves/meltCurve_Q96RW7_2_HMCN1.pdf</t>
  </si>
  <si>
    <t>Melting_Curves/meltCurve_Q96S19_C16orf13.pdf</t>
  </si>
  <si>
    <t>Melting_Curves/meltCurve_Q96S44_TP53RK.pdf</t>
  </si>
  <si>
    <t>Melting_Curves/meltCurve_Q96S52_2_PIGS.pdf</t>
  </si>
  <si>
    <t>Melting_Curves/meltCurve_Q96S66_CLCC1.pdf</t>
  </si>
  <si>
    <t>Melting_Curves/meltCurve_Q96S82_UBL7.pdf</t>
  </si>
  <si>
    <t>Melting_Curves/meltCurve_Q96S99_PLEKHF1.pdf</t>
  </si>
  <si>
    <t>Melting_Curves/meltCurve_Q96SB3_PPP1R9B.pdf</t>
  </si>
  <si>
    <t>Melting_Curves/meltCurve_Q96SL1_2_DIRC2.pdf</t>
  </si>
  <si>
    <t>Melting_Curves/meltCurve_Q96SL4_GPX7.pdf</t>
  </si>
  <si>
    <t>Melting_Curves/meltCurve_Q96SQ9_CYP2S1.pdf</t>
  </si>
  <si>
    <t>Melting_Curves/meltCurve_Q96ST2_IWS1.pdf</t>
  </si>
  <si>
    <t>Melting_Curves/meltCurve_Q96SZ5_ADO.pdf</t>
  </si>
  <si>
    <t>Melting_Curves/meltCurve_Q96T23_2_RSF1.pdf</t>
  </si>
  <si>
    <t>Melting_Curves/meltCurve_Q96T51_RUFY1.pdf</t>
  </si>
  <si>
    <t>Melting_Curves/meltCurve_Q96T58_SPEN.pdf</t>
  </si>
  <si>
    <t>Melting_Curves/meltCurve_Q96T76_MMS19.pdf</t>
  </si>
  <si>
    <t>Melting_Curves/meltCurve_Q96T83_SLC9A7.pdf</t>
  </si>
  <si>
    <t>Melting_Curves/meltCurve_Q96TA1_FAM129B.pdf</t>
  </si>
  <si>
    <t>Melting_Curves/meltCurve_Q96TA2_3_YME1L1.pdf</t>
  </si>
  <si>
    <t>Melting_Curves/meltCurve_Q96TC7_RMDN3.pdf</t>
  </si>
  <si>
    <t>Melting_Curves/meltCurve_Q99081_TCF12.pdf</t>
  </si>
  <si>
    <t>Melting_Curves/meltCurve_Q99417_MYCBP.pdf</t>
  </si>
  <si>
    <t>Melting_Curves/meltCurve_Q99424_ACOX2.pdf</t>
  </si>
  <si>
    <t>Melting_Curves/meltCurve_Q99426_TBCB.pdf</t>
  </si>
  <si>
    <t>Melting_Curves/meltCurve_Q99436_PSMB7.pdf</t>
  </si>
  <si>
    <t>Melting_Curves/meltCurve_Q99447_PCYT2.pdf</t>
  </si>
  <si>
    <t>Melting_Curves/meltCurve_Q99460_PSMD1.pdf</t>
  </si>
  <si>
    <t>Melting_Curves/meltCurve_Q99470_SDF2.pdf</t>
  </si>
  <si>
    <t>Melting_Curves/meltCurve_Q99471_PFDN5.pdf</t>
  </si>
  <si>
    <t>Melting_Curves/meltCurve_Q99487_PAFAH2.pdf</t>
  </si>
  <si>
    <t>Melting_Curves/meltCurve_Q99496_RNF2.pdf</t>
  </si>
  <si>
    <t>Melting_Curves/meltCurve_Q99497_PARK7.pdf</t>
  </si>
  <si>
    <t>Melting_Curves/meltCurve_Q99504_2_EYA3.pdf</t>
  </si>
  <si>
    <t>Melting_Curves/meltCurve_Q99519_NEU1.pdf</t>
  </si>
  <si>
    <t>Melting_Curves/meltCurve_Q99523_SORT1.pdf</t>
  </si>
  <si>
    <t>Melting_Curves/meltCurve_Q99536_VAT1.pdf</t>
  </si>
  <si>
    <t>Melting_Curves/meltCurve_Q99541_PLIN2.pdf</t>
  </si>
  <si>
    <t>Melting_Curves/meltCurve_Q99543_DNAJC2.pdf</t>
  </si>
  <si>
    <t>Melting_Curves/meltCurve_Q99567_NUP88.pdf</t>
  </si>
  <si>
    <t>Melting_Curves/meltCurve_Q99569_2_PKP4.pdf</t>
  </si>
  <si>
    <t>Melting_Curves/meltCurve_Q99574_SERPINI1.pdf</t>
  </si>
  <si>
    <t>Melting_Curves/meltCurve_Q99576_TSC22D3.pdf</t>
  </si>
  <si>
    <t>Melting_Curves/meltCurve_Q99584_S100A13.pdf</t>
  </si>
  <si>
    <t>Melting_Curves/meltCurve_Q99595_TIMM17A.pdf</t>
  </si>
  <si>
    <t>Melting_Curves/meltCurve_Q99598_TSNAX.pdf</t>
  </si>
  <si>
    <t>Melting_Curves/meltCurve_Q99614_TTC1.pdf</t>
  </si>
  <si>
    <t>Melting_Curves/meltCurve_Q99615_DNAJC7.pdf</t>
  </si>
  <si>
    <t>Melting_Curves/meltCurve_Q99622_C12orf57.pdf</t>
  </si>
  <si>
    <t>Melting_Curves/meltCurve_Q99650_OSMR.pdf</t>
  </si>
  <si>
    <t>Melting_Curves/meltCurve_Q99653_CHP1.pdf</t>
  </si>
  <si>
    <t>Melting_Curves/meltCurve_Q99674_CGREF1.pdf</t>
  </si>
  <si>
    <t>Melting_Curves/meltCurve_Q99685_MGLL.pdf</t>
  </si>
  <si>
    <t>Melting_Curves/meltCurve_Q99700_4_ATXN2.pdf</t>
  </si>
  <si>
    <t>Melting_Curves/meltCurve_Q99704_DOK1.pdf</t>
  </si>
  <si>
    <t>Melting_Curves/meltCurve_Q99707_MTR.pdf</t>
  </si>
  <si>
    <t>Melting_Curves/meltCurve_Q99714_HSD17B10.pdf</t>
  </si>
  <si>
    <t>Melting_Curves/meltCurve_Q99720_SIGMAR1.pdf</t>
  </si>
  <si>
    <t>Melting_Curves/meltCurve_Q99729_3_HNRNPAB.pdf</t>
  </si>
  <si>
    <t>Melting_Curves/meltCurve_Q99733_NAP1L4.pdf</t>
  </si>
  <si>
    <t>Melting_Curves/meltCurve_Q99747_NAPG.pdf</t>
  </si>
  <si>
    <t>Melting_Curves/meltCurve_Q99757_TXN2.pdf</t>
  </si>
  <si>
    <t>Melting_Curves/meltCurve_Q99766_ATP5S.pdf</t>
  </si>
  <si>
    <t>Melting_Curves/meltCurve_Q99797_MIPEP.pdf</t>
  </si>
  <si>
    <t>Melting_Curves/meltCurve_Q99805_TM9SF2.pdf</t>
  </si>
  <si>
    <t>Melting_Curves/meltCurve_Q99808_SLC29A1.pdf</t>
  </si>
  <si>
    <t>Melting_Curves/meltCurve_Q99832_CCT7.pdf</t>
  </si>
  <si>
    <t>Melting_Curves/meltCurve_Q99952_2_PTPN18.pdf</t>
  </si>
  <si>
    <t>Melting_Curves/meltCurve_Q99961_SH3GL1.pdf</t>
  </si>
  <si>
    <t>Melting_Curves/meltCurve_Q99969_RARRES2.pdf</t>
  </si>
  <si>
    <t>Melting_Curves/meltCurve_Q99996_5_AKAP9.pdf</t>
  </si>
  <si>
    <t>Melting_Curves/meltCurve_Q9BPW8_NIPSNAP1.pdf</t>
  </si>
  <si>
    <t>Melting_Curves/meltCurve_Q9BPX5_ARPC5L.pdf</t>
  </si>
  <si>
    <t>Melting_Curves/meltCurve_Q9BPX7_C7orf25.pdf</t>
  </si>
  <si>
    <t>Melting_Curves/meltCurve_Q9BQ24_ZFYVE21.pdf</t>
  </si>
  <si>
    <t>Melting_Curves/meltCurve_Q9BQ51_PDCD1LG2.pdf</t>
  </si>
  <si>
    <t>Melting_Curves/meltCurve_Q9BQ52_4_ELAC2.pdf</t>
  </si>
  <si>
    <t>Melting_Curves/meltCurve_Q9BQ61_C19orf43.pdf</t>
  </si>
  <si>
    <t>Melting_Curves/meltCurve_Q9BQ69_MACROD1.pdf</t>
  </si>
  <si>
    <t>Melting_Curves/meltCurve_Q9BQ95_ECSIT.pdf</t>
  </si>
  <si>
    <t>Melting_Curves/meltCurve_Q9BQB6_VKORC1.pdf</t>
  </si>
  <si>
    <t>Melting_Curves/meltCurve_Q9BQC3_DPH2.pdf</t>
  </si>
  <si>
    <t>Melting_Curves/meltCurve_Q9BQG0_MYBBP1A.pdf</t>
  </si>
  <si>
    <t>Melting_Curves/meltCurve_Q9BQJ4_TMEM47.pdf</t>
  </si>
  <si>
    <t>Melting_Curves/meltCurve_Q9BQL6_FERMT1.pdf</t>
  </si>
  <si>
    <t>Melting_Curves/meltCurve_Q9BQP7_MGME1.pdf</t>
  </si>
  <si>
    <t>Melting_Curves/meltCurve_Q9BQS8_FYCO1.pdf</t>
  </si>
  <si>
    <t>Melting_Curves/meltCurve_Q9BQT8_2_SLC25A21.pdf</t>
  </si>
  <si>
    <t>Melting_Curves/meltCurve_Q9BR61_ACBD6.pdf</t>
  </si>
  <si>
    <t>Melting_Curves/meltCurve_Q9BR76_CORO1B.pdf</t>
  </si>
  <si>
    <t>Melting_Curves/meltCurve_Q9BRA2_TXNDC17.pdf</t>
  </si>
  <si>
    <t>Melting_Curves/meltCurve_Q9BRF8_CPPED1.pdf</t>
  </si>
  <si>
    <t>Melting_Curves/meltCurve_Q9BRG1_VPS25.pdf</t>
  </si>
  <si>
    <t>Melting_Curves/meltCurve_Q9BRK0_2_REEP2.pdf</t>
  </si>
  <si>
    <t>Melting_Curves/meltCurve_Q9BRK5_SDF4.pdf</t>
  </si>
  <si>
    <t>Melting_Curves/meltCurve_Q9BRP1_PDCD2L.pdf</t>
  </si>
  <si>
    <t>Melting_Curves/meltCurve_Q9BRP4_PAAF1.pdf</t>
  </si>
  <si>
    <t>Melting_Curves/meltCurve_Q9BRP8_2_WIBG.pdf</t>
  </si>
  <si>
    <t>Melting_Curves/meltCurve_Q9BRQ8_AIFM2.pdf</t>
  </si>
  <si>
    <t>Melting_Curves/meltCurve_Q9BRR6_2_ADPGK.pdf</t>
  </si>
  <si>
    <t>Melting_Curves/meltCurve_Q9BRS8_LARP6.pdf</t>
  </si>
  <si>
    <t>Melting_Curves/meltCurve_Q9BRT2_MNF1.pdf</t>
  </si>
  <si>
    <t>Melting_Curves/meltCurve_Q9BRV8_SIKE1.pdf</t>
  </si>
  <si>
    <t>Melting_Curves/meltCurve_Q9BRX2_PELO.pdf</t>
  </si>
  <si>
    <t>Melting_Curves/meltCurve_Q9BRX8_2_FAM213A.pdf</t>
  </si>
  <si>
    <t>Melting_Curves/meltCurve_Q9BRZ2_TRIM56.pdf</t>
  </si>
  <si>
    <t>Melting_Curves/meltCurve_Q9BS18_ANAPC13.pdf</t>
  </si>
  <si>
    <t>Melting_Curves/meltCurve_Q9BS26_ERP44.pdf</t>
  </si>
  <si>
    <t>Melting_Curves/meltCurve_Q9BS40_LXN.pdf</t>
  </si>
  <si>
    <t>Melting_Curves/meltCurve_Q9BSA9_TMEM175.pdf</t>
  </si>
  <si>
    <t>Melting_Curves/meltCurve_Q9BSB4_ATG101.pdf</t>
  </si>
  <si>
    <t>Melting_Curves/meltCurve_Q9BSD7_NTPCR.pdf</t>
  </si>
  <si>
    <t>Melting_Curves/meltCurve_Q9BSE4_HERPUD2.pdf</t>
  </si>
  <si>
    <t>Melting_Curves/meltCurve_Q9BSE5_AGMAT.pdf</t>
  </si>
  <si>
    <t>Melting_Curves/meltCurve_Q9BSF4_C19orf52.pdf</t>
  </si>
  <si>
    <t>Melting_Curves/meltCurve_Q9BSG0_PRADC1.pdf</t>
  </si>
  <si>
    <t>Melting_Curves/meltCurve_Q9BSH4_TACO1.pdf</t>
  </si>
  <si>
    <t>Melting_Curves/meltCurve_Q9BSH5_HDHD3.pdf</t>
  </si>
  <si>
    <t>Melting_Curves/meltCurve_Q9BSJ5_3_C17orf80.pdf</t>
  </si>
  <si>
    <t>Melting_Curves/meltCurve_Q9BSJ8_2_ESYT1.pdf</t>
  </si>
  <si>
    <t>Melting_Curves/meltCurve_Q9BSL1_UBAC1.pdf</t>
  </si>
  <si>
    <t>Melting_Curves/meltCurve_Q9BSN7_TMEM204.pdf</t>
  </si>
  <si>
    <t>Melting_Curves/meltCurve_Q9BSR8_YIPF4.pdf</t>
  </si>
  <si>
    <t>Melting_Curves/meltCurve_Q9BST9_2_RTKN.pdf</t>
  </si>
  <si>
    <t>Melting_Curves/meltCurve_Q9BSU1_C16orf70.pdf</t>
  </si>
  <si>
    <t>Melting_Curves/meltCurve_Q9BSY4_CHCHD5.pdf</t>
  </si>
  <si>
    <t>Melting_Curves/meltCurve_Q9BT09_CNPY3.pdf</t>
  </si>
  <si>
    <t>Melting_Curves/meltCurve_Q9BT22_ALG1.pdf</t>
  </si>
  <si>
    <t>Melting_Curves/meltCurve_Q9BT30_ALKBH7.pdf</t>
  </si>
  <si>
    <t>Melting_Curves/meltCurve_Q9BT73_PSMG3.pdf</t>
  </si>
  <si>
    <t>Melting_Curves/meltCurve_Q9BT78_COPS4.pdf</t>
  </si>
  <si>
    <t>Melting_Curves/meltCurve_Q9BTA9_5_WAC.pdf</t>
  </si>
  <si>
    <t>Melting_Curves/meltCurve_Q9BTC0_DIDO1.pdf</t>
  </si>
  <si>
    <t>Melting_Curves/meltCurve_Q9BTE3_2_MCMBP.pdf</t>
  </si>
  <si>
    <t>Melting_Curves/meltCurve_Q9BTL3_FAM103A1.pdf</t>
  </si>
  <si>
    <t>Melting_Curves/meltCurve_Q9BTT0_ANP32E.pdf</t>
  </si>
  <si>
    <t>Melting_Curves/meltCurve_Q9BTT4_MED10.pdf</t>
  </si>
  <si>
    <t>Melting_Curves/meltCurve_Q9BTT6_LRRC1.pdf</t>
  </si>
  <si>
    <t>Melting_Curves/meltCurve_Q9BTU6_PI4K2A.pdf</t>
  </si>
  <si>
    <t>Melting_Curves/meltCurve_Q9BTV4_TMEM43.pdf</t>
  </si>
  <si>
    <t>Melting_Curves/meltCurve_Q9BTV6_WDR85.pdf</t>
  </si>
  <si>
    <t>Melting_Curves/meltCurve_Q9BTX7_TTPAL.pdf</t>
  </si>
  <si>
    <t>Melting_Curves/meltCurve_Q9BTY2_FUCA2.pdf</t>
  </si>
  <si>
    <t>Melting_Curves/meltCurve_Q9BTY7_FAM203A.pdf</t>
  </si>
  <si>
    <t>Melting_Curves/meltCurve_Q9BTZ2_DHRS4.pdf</t>
  </si>
  <si>
    <t>Melting_Curves/meltCurve_Q9BU02_THTPA.pdf</t>
  </si>
  <si>
    <t>Melting_Curves/meltCurve_Q9BU23_3_LMF2.pdf</t>
  </si>
  <si>
    <t>Melting_Curves/meltCurve_Q9BU61_NDUFAF3.pdf</t>
  </si>
  <si>
    <t>Melting_Curves/meltCurve_Q9BU76_2_MMTAG2.pdf</t>
  </si>
  <si>
    <t>Melting_Curves/meltCurve_Q9BU89_DOHH.pdf</t>
  </si>
  <si>
    <t>Melting_Curves/meltCurve_Q9BUB5_2_MKNK1.pdf</t>
  </si>
  <si>
    <t>Melting_Curves/meltCurve_Q9BUB7_2_TMEM70.pdf</t>
  </si>
  <si>
    <t>Melting_Curves/meltCurve_Q9BUD6_SPON2.pdf</t>
  </si>
  <si>
    <t>Melting_Curves/meltCurve_Q9BUE0_MED18.pdf</t>
  </si>
  <si>
    <t>Melting_Curves/meltCurve_Q9BUE6_ISCA1.pdf</t>
  </si>
  <si>
    <t>Melting_Curves/meltCurve_Q9BUF5_TUBB6.pdf</t>
  </si>
  <si>
    <t>Melting_Curves/meltCurve_Q9BUH6_C9orf142.pdf</t>
  </si>
  <si>
    <t>Melting_Curves/meltCurve_Q9BUJ2_2_HNRNPUL1.pdf</t>
  </si>
  <si>
    <t>Melting_Curves/meltCurve_Q9BUK6_3_MSTO1.pdf</t>
  </si>
  <si>
    <t>Melting_Curves/meltCurve_Q9BUP3_3_HTATIP2.pdf</t>
  </si>
  <si>
    <t>Melting_Curves/meltCurve_Q9BUR4_WRAP53.pdf</t>
  </si>
  <si>
    <t>Melting_Curves/meltCurve_Q9BUT1_BDH2.pdf</t>
  </si>
  <si>
    <t>Melting_Curves/meltCurve_Q9BUW7_C9orf16.pdf</t>
  </si>
  <si>
    <t>Melting_Curves/meltCurve_Q9BV19_C1orf50.pdf</t>
  </si>
  <si>
    <t>Melting_Curves/meltCurve_Q9BV20_MRI1.pdf</t>
  </si>
  <si>
    <t>Melting_Curves/meltCurve_Q9BV23_ABHD6.pdf</t>
  </si>
  <si>
    <t>Melting_Curves/meltCurve_Q9BV38_WDR18.pdf</t>
  </si>
  <si>
    <t>Melting_Curves/meltCurve_Q9BV44_THUMPD3.pdf</t>
  </si>
  <si>
    <t>Melting_Curves/meltCurve_Q9BV57_ADI1.pdf</t>
  </si>
  <si>
    <t>Melting_Curves/meltCurve_Q9BV68_2_RNF126.pdf</t>
  </si>
  <si>
    <t>Melting_Curves/meltCurve_Q9BV79_MECR.pdf</t>
  </si>
  <si>
    <t>Melting_Curves/meltCurve_Q9BV86_NTMT1.pdf</t>
  </si>
  <si>
    <t>Melting_Curves/meltCurve_Q9BVA0_KATNB1.pdf</t>
  </si>
  <si>
    <t>Melting_Curves/meltCurve_Q9BVA6_FICD.pdf</t>
  </si>
  <si>
    <t>Melting_Curves/meltCurve_Q9BVC4_3_MLST8.pdf</t>
  </si>
  <si>
    <t>Melting_Curves/meltCurve_Q9BVC6_TMEM109.pdf</t>
  </si>
  <si>
    <t>Melting_Curves/meltCurve_Q9BVG4_PBDC1.pdf</t>
  </si>
  <si>
    <t>Melting_Curves/meltCurve_Q9BVG9_PTDSS2.pdf</t>
  </si>
  <si>
    <t>Melting_Curves/meltCurve_Q9BVJ7_DUSP23.pdf</t>
  </si>
  <si>
    <t>Melting_Curves/meltCurve_Q9BVK6_TMED9.pdf</t>
  </si>
  <si>
    <t>Melting_Curves/meltCurve_Q9BVL4_SELO.pdf</t>
  </si>
  <si>
    <t>Melting_Curves/meltCurve_Q9BVM4_GGACT.pdf</t>
  </si>
  <si>
    <t>Melting_Curves/meltCurve_Q9BW30_TPPP3.pdf</t>
  </si>
  <si>
    <t>Melting_Curves/meltCurve_Q9BW60_2_ELOVL1.pdf</t>
  </si>
  <si>
    <t>Melting_Curves/meltCurve_Q9BW61_DDA1.pdf</t>
  </si>
  <si>
    <t>Melting_Curves/meltCurve_Q9BW62_KATNAL1.pdf</t>
  </si>
  <si>
    <t>Melting_Curves/meltCurve_Q9BW83_IFT27.pdf</t>
  </si>
  <si>
    <t>Melting_Curves/meltCurve_Q9BW91_2_NUDT9.pdf</t>
  </si>
  <si>
    <t>Melting_Curves/meltCurve_Q9BW92_TARS2.pdf</t>
  </si>
  <si>
    <t>Melting_Curves/meltCurve_Q9BWD1_ACAT2.pdf</t>
  </si>
  <si>
    <t>Melting_Curves/meltCurve_Q9BWH2_FUNDC2.pdf</t>
  </si>
  <si>
    <t>Melting_Curves/meltCurve_Q9BWH6_RPAP1.pdf</t>
  </si>
  <si>
    <t>Melting_Curves/meltCurve_Q9BWJ5_SF3B5.pdf</t>
  </si>
  <si>
    <t>Melting_Curves/meltCurve_Q9BWM7_SFXN3.pdf</t>
  </si>
  <si>
    <t>Melting_Curves/meltCurve_Q9BWU0_SLC4A1AP.pdf</t>
  </si>
  <si>
    <t>Melting_Curves/meltCurve_Q9BWW5_SSDP4.pdf</t>
  </si>
  <si>
    <t>Melting_Curves/meltCurve_Q9BX40_LSM14B.pdf</t>
  </si>
  <si>
    <t>Melting_Curves/meltCurve_Q9BX59_TAPBPL.pdf</t>
  </si>
  <si>
    <t>Melting_Curves/meltCurve_Q9BX67_JAM3.pdf</t>
  </si>
  <si>
    <t>Melting_Curves/meltCurve_Q9BX68_HINT2.pdf</t>
  </si>
  <si>
    <t>Melting_Curves/meltCurve_Q9BX95_SGPP1.pdf</t>
  </si>
  <si>
    <t>Melting_Curves/meltCurve_Q9BXB5_OSBPL10.pdf</t>
  </si>
  <si>
    <t>Melting_Curves/meltCurve_Q9BXF6_RAB11FIP5.pdf</t>
  </si>
  <si>
    <t>Melting_Curves/meltCurve_Q9BXJ9_NAA15.pdf</t>
  </si>
  <si>
    <t>Melting_Curves/meltCurve_Q9BXK5_BCL2L13.pdf</t>
  </si>
  <si>
    <t>Melting_Curves/meltCurve_Q9BXP2_SLC12A9.pdf</t>
  </si>
  <si>
    <t>Melting_Curves/meltCurve_Q9BXP5_5_SRRT.pdf</t>
  </si>
  <si>
    <t>Melting_Curves/meltCurve_Q9BXR0_QTRT1.pdf</t>
  </si>
  <si>
    <t>Melting_Curves/meltCurve_Q9BXS4_TMEM59.pdf</t>
  </si>
  <si>
    <t>Melting_Curves/meltCurve_Q9BXV9_C14orf142.pdf</t>
  </si>
  <si>
    <t>Melting_Curves/meltCurve_Q9BXW6_OSBPL1A.pdf</t>
  </si>
  <si>
    <t>Melting_Curves/meltCurve_Q9BXW7_2_CECR5.pdf</t>
  </si>
  <si>
    <t>Melting_Curves/meltCurve_Q9BY32_ITPA.pdf</t>
  </si>
  <si>
    <t>Melting_Curves/meltCurve_Q9BY43_CHMP4A.pdf</t>
  </si>
  <si>
    <t>Melting_Curves/meltCurve_Q9BY77_POLDIP3.pdf</t>
  </si>
  <si>
    <t>Melting_Curves/meltCurve_Q9BYB4_GNB1L.pdf</t>
  </si>
  <si>
    <t>Melting_Curves/meltCurve_Q9BYC8_MRPL32.pdf</t>
  </si>
  <si>
    <t>Melting_Curves/meltCurve_Q9BYD6_MRPL1.pdf</t>
  </si>
  <si>
    <t>Melting_Curves/meltCurve_Q9BYM8_RBCK1.pdf</t>
  </si>
  <si>
    <t>Melting_Curves/meltCurve_Q9BYN0_SRXN1.pdf</t>
  </si>
  <si>
    <t>Melting_Curves/meltCurve_Q9BYT8_NLN.pdf</t>
  </si>
  <si>
    <t>Melting_Curves/meltCurve_Q9BYV8_CEP41.pdf</t>
  </si>
  <si>
    <t>Melting_Curves/meltCurve_Q9BYX2_3_TBC1D2.pdf</t>
  </si>
  <si>
    <t>Melting_Curves/meltCurve_Q9BZ23_4_PANK2.pdf</t>
  </si>
  <si>
    <t>Melting_Curves/meltCurve_Q9BZ67_2_FRMD8.pdf</t>
  </si>
  <si>
    <t>Melting_Curves/meltCurve_Q9BZD2_SLC29A3.pdf</t>
  </si>
  <si>
    <t>Melting_Curves/meltCurve_Q9BZE2_PUS3.pdf</t>
  </si>
  <si>
    <t>Melting_Curves/meltCurve_Q9BZE9_ASPSCR1.pdf</t>
  </si>
  <si>
    <t>Melting_Curves/meltCurve_Q9BZF1_3_OSBPL8.pdf</t>
  </si>
  <si>
    <t>Melting_Curves/meltCurve_Q9BZK7_TBL1XR1.pdf</t>
  </si>
  <si>
    <t>Melting_Curves/meltCurve_Q9BZL1_UBL5.pdf</t>
  </si>
  <si>
    <t>Melting_Curves/meltCurve_Q9BZM1_PLA2G12A.pdf</t>
  </si>
  <si>
    <t>Melting_Curves/meltCurve_Q9BZM4_ULBP3.pdf</t>
  </si>
  <si>
    <t>Melting_Curves/meltCurve_Q9BZM5_ULBP2.pdf</t>
  </si>
  <si>
    <t>Melting_Curves/meltCurve_Q9BZQ8_FAM129A.pdf</t>
  </si>
  <si>
    <t>Melting_Curves/meltCurve_Q9BZX2_UCK2.pdf</t>
  </si>
  <si>
    <t>Melting_Curves/meltCurve_Q9BZZ5_2_API5.pdf</t>
  </si>
  <si>
    <t>Melting_Curves/meltCurve_Q9C004_SPRY4.pdf</t>
  </si>
  <si>
    <t>Melting_Curves/meltCurve_Q9C005_DPY30.pdf</t>
  </si>
  <si>
    <t>Melting_Curves/meltCurve_Q9C037_2_TRIM4.pdf</t>
  </si>
  <si>
    <t>Melting_Curves/meltCurve_Q9C073_FAM117A.pdf</t>
  </si>
  <si>
    <t>Melting_Curves/meltCurve_Q9C0B0_UNK.pdf</t>
  </si>
  <si>
    <t>Melting_Curves/meltCurve_Q9C0B1_FTO.pdf</t>
  </si>
  <si>
    <t>Melting_Curves/meltCurve_Q9C0B5_2_ZDHHC5.pdf</t>
  </si>
  <si>
    <t>Melting_Curves/meltCurve_Q9C0B7_TANGO6.pdf</t>
  </si>
  <si>
    <t>Melting_Curves/meltCurve_Q9C0C2_TNKS1BP1.pdf</t>
  </si>
  <si>
    <t>Melting_Curves/meltCurve_Q9C0C9_UBE2O.pdf</t>
  </si>
  <si>
    <t>Melting_Curves/meltCurve_Q9C0D5_2_TANC1.pdf</t>
  </si>
  <si>
    <t>Melting_Curves/meltCurve_Q9C0H2_2_TTYH3.pdf</t>
  </si>
  <si>
    <t>Melting_Curves/meltCurve_Q9C0I1_MTMR12.pdf</t>
  </si>
  <si>
    <t>Melting_Curves/meltCurve_Q9C0K7_2_STRADB.pdf</t>
  </si>
  <si>
    <t>Melting_Curves/meltCurve_Q9GZL7_WDR12.pdf</t>
  </si>
  <si>
    <t>Melting_Curves/meltCurve_Q9GZN8_C20orf27.pdf</t>
  </si>
  <si>
    <t>Melting_Curves/meltCurve_Q9GZP1_NRSN2.pdf</t>
  </si>
  <si>
    <t>Melting_Curves/meltCurve_Q9GZP4_PITHD1.pdf</t>
  </si>
  <si>
    <t>Melting_Curves/meltCurve_Q9GZP9_DERL2.pdf</t>
  </si>
  <si>
    <t>Melting_Curves/meltCurve_Q9GZQ3_COMMD5.pdf</t>
  </si>
  <si>
    <t>Melting_Curves/meltCurve_Q9GZS3_WDR61.pdf</t>
  </si>
  <si>
    <t>Melting_Curves/meltCurve_Q9GZT3_2_SLIRP.pdf</t>
  </si>
  <si>
    <t>Melting_Curves/meltCurve_Q9GZT4_SRR.pdf</t>
  </si>
  <si>
    <t>Melting_Curves/meltCurve_Q9GZT6_2_CCDC90B.pdf</t>
  </si>
  <si>
    <t>Melting_Curves/meltCurve_Q9GZT8_2_NIF3L1.pdf</t>
  </si>
  <si>
    <t>Melting_Curves/meltCurve_Q9GZT9_EGLN1.pdf</t>
  </si>
  <si>
    <t>Melting_Curves/meltCurve_Q9GZU7_CTDSP1.pdf</t>
  </si>
  <si>
    <t>Melting_Curves/meltCurve_Q9GZU8_FAM192A.pdf</t>
  </si>
  <si>
    <t>Melting_Curves/meltCurve_Q9GZV5_WWTR1.pdf</t>
  </si>
  <si>
    <t>Melting_Curves/meltCurve_Q9GZX9_TWSG1.pdf</t>
  </si>
  <si>
    <t>Melting_Curves/meltCurve_Q9GZZ9_UBA5.pdf</t>
  </si>
  <si>
    <t>Melting_Curves/meltCurve_Q9H008_LHPP.pdf</t>
  </si>
  <si>
    <t>Melting_Curves/meltCurve_Q9H019_3_MTFR1L.pdf</t>
  </si>
  <si>
    <t>Melting_Curves/meltCurve_Q9H029_DKFZp434B2017.pdf</t>
  </si>
  <si>
    <t>Melting_Curves/meltCurve_Q9H074_PAIP1.pdf</t>
  </si>
  <si>
    <t>Melting_Curves/meltCurve_Q9H078_2_CLPB.pdf</t>
  </si>
  <si>
    <t>Melting_Curves/meltCurve_Q9H082_RAB33B.pdf</t>
  </si>
  <si>
    <t>Melting_Curves/meltCurve_Q9H098_FAM107B.pdf</t>
  </si>
  <si>
    <t>Melting_Curves/meltCurve_Q9H0B6_2_KLC2.pdf</t>
  </si>
  <si>
    <t>Melting_Curves/meltCurve_Q9H0C8_ILKAP.pdf</t>
  </si>
  <si>
    <t>Melting_Curves/meltCurve_Q9H0D6_XRN2.pdf</t>
  </si>
  <si>
    <t>Melting_Curves/meltCurve_Q9H0E2_TOLLIP.pdf</t>
  </si>
  <si>
    <t>Melting_Curves/meltCurve_Q9H0F6_SHARPIN.pdf</t>
  </si>
  <si>
    <t>Melting_Curves/meltCurve_Q9H0G5_NSRP1.pdf</t>
  </si>
  <si>
    <t>Melting_Curves/meltCurve_Q9H0K1_SIK2.pdf</t>
  </si>
  <si>
    <t>Melting_Curves/meltCurve_Q9H0L4_CSTF2T.pdf</t>
  </si>
  <si>
    <t>Melting_Curves/meltCurve_Q9H0N0_RAB6C.pdf</t>
  </si>
  <si>
    <t>Melting_Curves/meltCurve_Q9H0P0_2_NT5C3A.pdf</t>
  </si>
  <si>
    <t>Melting_Curves/meltCurve_Q9H0Q0_FAM49A.pdf</t>
  </si>
  <si>
    <t>Melting_Curves/meltCurve_Q9H0R4_HDHD2.pdf</t>
  </si>
  <si>
    <t>Melting_Curves/meltCurve_Q9H0R5_GBP3.pdf</t>
  </si>
  <si>
    <t>Melting_Curves/meltCurve_Q9H0R6_QRSL1.pdf</t>
  </si>
  <si>
    <t>Melting_Curves/meltCurve_Q9H0U3_MAGT1.pdf</t>
  </si>
  <si>
    <t>Melting_Curves/meltCurve_Q9H0U4_RAB1B.pdf</t>
  </si>
  <si>
    <t>Melting_Curves/meltCurve_Q9H0U9_TSPYL1.pdf</t>
  </si>
  <si>
    <t>Melting_Curves/meltCurve_Q9H0V9_LMAN2L.pdf</t>
  </si>
  <si>
    <t>Melting_Curves/meltCurve_Q9H0W8_SMG9.pdf</t>
  </si>
  <si>
    <t>Melting_Curves/meltCurve_Q9H0W9_C11orf54.pdf</t>
  </si>
  <si>
    <t>Melting_Curves/meltCurve_Q9H0X4_ITFG3.pdf</t>
  </si>
  <si>
    <t>Melting_Curves/meltCurve_Q9H115_NAPB.pdf</t>
  </si>
  <si>
    <t>Melting_Curves/meltCurve_Q9H173_SIL1.pdf</t>
  </si>
  <si>
    <t>Melting_Curves/meltCurve_Q9H1A3_2_METTL9.pdf</t>
  </si>
  <si>
    <t>Melting_Curves/meltCurve_Q9H1B7_IRF2BPL.pdf</t>
  </si>
  <si>
    <t>Melting_Curves/meltCurve_Q9H1C3_GLT8D2.pdf</t>
  </si>
  <si>
    <t>Melting_Curves/meltCurve_Q9H1E3_NUCKS1.pdf</t>
  </si>
  <si>
    <t>Melting_Curves/meltCurve_Q9H1E5_TMX4.pdf</t>
  </si>
  <si>
    <t>Melting_Curves/meltCurve_Q9H1I8_3_ASCC2.pdf</t>
  </si>
  <si>
    <t>Melting_Curves/meltCurve_Q9H1J1_3_UPF3A.pdf</t>
  </si>
  <si>
    <t>Melting_Curves/meltCurve_Q9H1J7_WNT5B.pdf</t>
  </si>
  <si>
    <t>Melting_Curves/meltCurve_Q9H1K0_ZFYVE20.pdf</t>
  </si>
  <si>
    <t>Melting_Curves/meltCurve_Q9H1K1_ISCU.pdf</t>
  </si>
  <si>
    <t>Melting_Curves/meltCurve_Q9H1P3_2_OSBPL2.pdf</t>
  </si>
  <si>
    <t>Melting_Curves/meltCurve_Q9H1Y0_ATG5.pdf</t>
  </si>
  <si>
    <t>Melting_Curves/meltCurve_Q9H1Z4_WDR13.pdf</t>
  </si>
  <si>
    <t>Melting_Curves/meltCurve_Q9H1Z9_TSPAN10.pdf</t>
  </si>
  <si>
    <t>Melting_Curves/meltCurve_Q9H204_MED28.pdf</t>
  </si>
  <si>
    <t>Melting_Curves/meltCurve_Q9H223_EHD4.pdf</t>
  </si>
  <si>
    <t>Melting_Curves/meltCurve_Q9H246_C1orf21.pdf</t>
  </si>
  <si>
    <t>Melting_Curves/meltCurve_Q9H267_VPS33B.pdf</t>
  </si>
  <si>
    <t>Melting_Curves/meltCurve_Q9H269_2_VPS16.pdf</t>
  </si>
  <si>
    <t>Melting_Curves/meltCurve_Q9H270_VPS11.pdf</t>
  </si>
  <si>
    <t>Melting_Curves/meltCurve_Q9H2D1_SLC25A32.pdf</t>
  </si>
  <si>
    <t>Melting_Curves/meltCurve_Q9H2D6_5_TRIOBP.pdf</t>
  </si>
  <si>
    <t>Melting_Curves/meltCurve_Q9H2G9_BLZF1.pdf</t>
  </si>
  <si>
    <t>Melting_Curves/meltCurve_Q9H2H8_PPIL3.pdf</t>
  </si>
  <si>
    <t>Melting_Curves/meltCurve_Q9H2J4_PDCL3.pdf</t>
  </si>
  <si>
    <t>Melting_Curves/meltCurve_Q9H2K8_TAOK3.pdf</t>
  </si>
  <si>
    <t>Melting_Curves/meltCurve_Q9H2M9_RAB3GAP2.pdf</t>
  </si>
  <si>
    <t>Melting_Curves/meltCurve_Q9H2P9_3_DPH5.pdf</t>
  </si>
  <si>
    <t>Melting_Curves/meltCurve_Q9H2U2_PPA2.pdf</t>
  </si>
  <si>
    <t>Melting_Curves/meltCurve_Q9H2W6_MRPL46.pdf</t>
  </si>
  <si>
    <t>Melting_Curves/meltCurve_Q9H307_PNN.pdf</t>
  </si>
  <si>
    <t>Melting_Curves/meltCurve_Q9H329_2_EPB41L4B.pdf</t>
  </si>
  <si>
    <t>Melting_Curves/meltCurve_Q9H330_2_TMEM245.pdf</t>
  </si>
  <si>
    <t>Melting_Curves/meltCurve_Q9H3F6_KCTD10.pdf</t>
  </si>
  <si>
    <t>Melting_Curves/meltCurve_Q9H3H3_2_C11orf68.pdf</t>
  </si>
  <si>
    <t>Melting_Curves/meltCurve_Q9H3H5_2_DPAGT1.pdf</t>
  </si>
  <si>
    <t>Melting_Curves/meltCurve_Q9H3K6_BOLA2.pdf</t>
  </si>
  <si>
    <t>Melting_Curves/meltCurve_Q9H3M7_TXNIP.pdf</t>
  </si>
  <si>
    <t>Melting_Curves/meltCurve_Q9H3N1_TMX1.pdf</t>
  </si>
  <si>
    <t>Melting_Curves/meltCurve_Q9H3P7_ACBD3.pdf</t>
  </si>
  <si>
    <t>Melting_Curves/meltCurve_Q9H3Q1_CDC42EP4.pdf</t>
  </si>
  <si>
    <t>Melting_Curves/meltCurve_Q9H3S7_PTPN23.pdf</t>
  </si>
  <si>
    <t>Melting_Curves/meltCurve_Q9H3U1_2_UNC45A.pdf</t>
  </si>
  <si>
    <t>Melting_Curves/meltCurve_Q9H3U5_3_MFSD1.pdf</t>
  </si>
  <si>
    <t>Melting_Curves/meltCurve_Q9H3Y8_PPDPF.pdf</t>
  </si>
  <si>
    <t>Melting_Curves/meltCurve_Q9H3Z4_2_DNAJC5.pdf</t>
  </si>
  <si>
    <t>Melting_Curves/meltCurve_Q9H425_C1orf198.pdf</t>
  </si>
  <si>
    <t>Melting_Curves/meltCurve_Q9H444_CHMP4B.pdf</t>
  </si>
  <si>
    <t>Melting_Curves/meltCurve_Q9H446_2_RWDD1.pdf</t>
  </si>
  <si>
    <t>Melting_Curves/meltCurve_Q9H467_CUEDC2.pdf</t>
  </si>
  <si>
    <t>Melting_Curves/meltCurve_Q9H469_FBXL15.pdf</t>
  </si>
  <si>
    <t>Melting_Curves/meltCurve_Q9H479_FN3K.pdf</t>
  </si>
  <si>
    <t>Melting_Curves/meltCurve_Q9H488_POFUT1.pdf</t>
  </si>
  <si>
    <t>Melting_Curves/meltCurve_Q9H492_MAP1LC3A.pdf</t>
  </si>
  <si>
    <t>Melting_Curves/meltCurve_Q9H496_IFRG15.pdf</t>
  </si>
  <si>
    <t>Melting_Curves/meltCurve_Q9H497_TOR3A.pdf</t>
  </si>
  <si>
    <t>Melting_Curves/meltCurve_Q9H4A4_RNPEP.pdf</t>
  </si>
  <si>
    <t>Melting_Curves/meltCurve_Q9H4A5_GOLPH3L.pdf</t>
  </si>
  <si>
    <t>Melting_Curves/meltCurve_Q9H4A6_GOLPH3.pdf</t>
  </si>
  <si>
    <t>Melting_Curves/meltCurve_Q9H4G0_2_EPB41L1.pdf</t>
  </si>
  <si>
    <t>Melting_Curves/meltCurve_Q9H4G4_GLIPR2.pdf</t>
  </si>
  <si>
    <t>Melting_Curves/meltCurve_Q9H4I2_ZHX3.pdf</t>
  </si>
  <si>
    <t>Melting_Curves/meltCurve_Q9H4M9_EHD1.pdf</t>
  </si>
  <si>
    <t>Melting_Curves/meltCurve_Q9H4P4_2_RNF41.pdf</t>
  </si>
  <si>
    <t>Melting_Curves/meltCurve_Q9H4X1_2_RGCC.pdf</t>
  </si>
  <si>
    <t>Melting_Curves/meltCurve_Q9H553_ALG2.pdf</t>
  </si>
  <si>
    <t>Melting_Curves/meltCurve_Q9H5K3_SGK196.pdf</t>
  </si>
  <si>
    <t>Melting_Curves/meltCurve_Q9H5N1_RABEP2.pdf</t>
  </si>
  <si>
    <t>Melting_Curves/meltCurve_Q9H5V8_CDCP1.pdf</t>
  </si>
  <si>
    <t>Melting_Curves/meltCurve_Q9H5V9_2_CXorf56.pdf</t>
  </si>
  <si>
    <t>Melting_Curves/meltCurve_Q9H5X1_FAM96A.pdf</t>
  </si>
  <si>
    <t>Melting_Curves/meltCurve_Q9H668_OBFC1.pdf</t>
  </si>
  <si>
    <t>Melting_Curves/meltCurve_Q9H694_BICC1.pdf</t>
  </si>
  <si>
    <t>Melting_Curves/meltCurve_Q9H6B4_CLMP.pdf</t>
  </si>
  <si>
    <t>Melting_Curves/meltCurve_Q9H6D3_XKR8.pdf</t>
  </si>
  <si>
    <t>Melting_Curves/meltCurve_Q9H6E4_CCDC134.pdf</t>
  </si>
  <si>
    <t>Melting_Curves/meltCurve_Q9H6K1_C6orf106.pdf</t>
  </si>
  <si>
    <t>Melting_Curves/meltCurve_Q9H6Q4_NARFL.pdf</t>
  </si>
  <si>
    <t>Melting_Curves/meltCurve_Q9H6R3_ACSS3.pdf</t>
  </si>
  <si>
    <t>Melting_Curves/meltCurve_Q9H6S1_AZI2.pdf</t>
  </si>
  <si>
    <t>Melting_Curves/meltCurve_Q9H6S3_EPS8L2.pdf</t>
  </si>
  <si>
    <t>Melting_Curves/meltCurve_Q9H6T3_RPAP3.pdf</t>
  </si>
  <si>
    <t>Melting_Curves/meltCurve_Q9H6U8_ALG9.pdf</t>
  </si>
  <si>
    <t>Melting_Curves/meltCurve_Q9H6X2_ANTXR1.pdf</t>
  </si>
  <si>
    <t>Melting_Curves/meltCurve_Q9H6X4_2_TMEM134.pdf</t>
  </si>
  <si>
    <t>Melting_Curves/meltCurve_Q9H6Y2_WDR55.pdf</t>
  </si>
  <si>
    <t>Melting_Curves/meltCurve_Q9H773_DCTPP1.pdf</t>
  </si>
  <si>
    <t>Melting_Curves/meltCurve_Q9H777_ELAC1.pdf</t>
  </si>
  <si>
    <t>Melting_Curves/meltCurve_Q9H788_2_SH2D4A.pdf</t>
  </si>
  <si>
    <t>Melting_Curves/meltCurve_Q9H792_PEAK1.pdf</t>
  </si>
  <si>
    <t>Melting_Curves/meltCurve_Q9H7B4_SMYD3.pdf</t>
  </si>
  <si>
    <t>Melting_Curves/meltCurve_Q9H7C4_2_SYNC.pdf</t>
  </si>
  <si>
    <t>Melting_Curves/meltCurve_Q9H7C9_AAMDC.pdf</t>
  </si>
  <si>
    <t>Melting_Curves/meltCurve_Q9H7D0_DOCK5.pdf</t>
  </si>
  <si>
    <t>Melting_Curves/meltCurve_Q9H7F0_ATP13A3.pdf</t>
  </si>
  <si>
    <t>Melting_Curves/meltCurve_Q9H7F4_TMEM185B.pdf</t>
  </si>
  <si>
    <t>Melting_Curves/meltCurve_Q9H7X7_2_RABL5.pdf</t>
  </si>
  <si>
    <t>Melting_Curves/meltCurve_Q9H7Z7_PTGES2.pdf</t>
  </si>
  <si>
    <t>Melting_Curves/meltCurve_Q9H814_PHAX.pdf</t>
  </si>
  <si>
    <t>Melting_Curves/meltCurve_Q9H832_UBE2Z.pdf</t>
  </si>
  <si>
    <t>Melting_Curves/meltCurve_Q9H840_GEMIN7.pdf</t>
  </si>
  <si>
    <t>Melting_Curves/meltCurve_Q9H845_ACAD9.pdf</t>
  </si>
  <si>
    <t>Melting_Curves/meltCurve_Q9H857_2_NT5DC2.pdf</t>
  </si>
  <si>
    <t>Melting_Curves/meltCurve_Q9H8G2_CAAP1.pdf</t>
  </si>
  <si>
    <t>Melting_Curves/meltCurve_Q9H8H0_NOL11.pdf</t>
  </si>
  <si>
    <t>Melting_Curves/meltCurve_Q9H8K7_C10orf88.pdf</t>
  </si>
  <si>
    <t>Melting_Curves/meltCurve_Q9H8M7_FAM188A.pdf</t>
  </si>
  <si>
    <t>Melting_Curves/meltCurve_Q9H8S9_MOB1A.pdf</t>
  </si>
  <si>
    <t>Melting_Curves/meltCurve_Q9H8U3_ZFAND3.pdf</t>
  </si>
  <si>
    <t>Melting_Curves/meltCurve_Q9H8W4_PLEKHF2.pdf</t>
  </si>
  <si>
    <t>Melting_Curves/meltCurve_Q9H8Y8_GORASP2.pdf</t>
  </si>
  <si>
    <t>Melting_Curves/meltCurve_Q9H910_2_HN1L.pdf</t>
  </si>
  <si>
    <t>Melting_Curves/meltCurve_Q9H936_SLC25A22.pdf</t>
  </si>
  <si>
    <t>Melting_Curves/meltCurve_Q9H939_PSTPIP2.pdf</t>
  </si>
  <si>
    <t>Melting_Curves/meltCurve_Q9H944_MED20.pdf</t>
  </si>
  <si>
    <t>Melting_Curves/meltCurve_Q9H974_QTRTD1.pdf</t>
  </si>
  <si>
    <t>Melting_Curves/meltCurve_Q9H977_WDR54.pdf</t>
  </si>
  <si>
    <t>Melting_Curves/meltCurve_Q9H993_C6orf211.pdf</t>
  </si>
  <si>
    <t>Melting_Curves/meltCurve_Q9H9A6_LRRC40.pdf</t>
  </si>
  <si>
    <t>Melting_Curves/meltCurve_Q9H9B1_4_EHMT1.pdf</t>
  </si>
  <si>
    <t>Melting_Curves/meltCurve_Q9H9B4_SFXN1.pdf</t>
  </si>
  <si>
    <t>Melting_Curves/meltCurve_Q9H9H4_VPS37B.pdf</t>
  </si>
  <si>
    <t>Melting_Curves/meltCurve_Q9H9S4_CAB39L.pdf</t>
  </si>
  <si>
    <t>Melting_Curves/meltCurve_Q9H9V9_2_JMJD4.pdf</t>
  </si>
  <si>
    <t>Melting_Curves/meltCurve_Q9H9Y4_GPN2.pdf</t>
  </si>
  <si>
    <t>Melting_Curves/meltCurve_Q9HA64_FN3KRP.pdf</t>
  </si>
  <si>
    <t>Melting_Curves/meltCurve_Q9HA65_TBC1D17.pdf</t>
  </si>
  <si>
    <t>Melting_Curves/meltCurve_Q9HA77_CARS2.pdf</t>
  </si>
  <si>
    <t>Melting_Curves/meltCurve_Q9HAB8_PPCS.pdf</t>
  </si>
  <si>
    <t>Melting_Curves/meltCurve_Q9HAD4_WDR41.pdf</t>
  </si>
  <si>
    <t>Melting_Curves/meltCurve_Q9HAT2_2_SIAE.pdf</t>
  </si>
  <si>
    <t>Melting_Curves/meltCurve_Q9HAU0_PLEKHA5.pdf</t>
  </si>
  <si>
    <t>Melting_Curves/meltCurve_Q9HAU4_SMURF2.pdf</t>
  </si>
  <si>
    <t>Melting_Curves/meltCurve_Q9HAU8_RNPEPL1.pdf</t>
  </si>
  <si>
    <t>Melting_Curves/meltCurve_Q9HAV0_GNB4.pdf</t>
  </si>
  <si>
    <t>Melting_Curves/meltCurve_Q9HAV4_XPO5.pdf</t>
  </si>
  <si>
    <t>Melting_Curves/meltCurve_Q9HAV5_EDA2R.pdf</t>
  </si>
  <si>
    <t>Melting_Curves/meltCurve_Q9HAV7_GRPEL1.pdf</t>
  </si>
  <si>
    <t>Melting_Curves/meltCurve_Q9HB07_C12orf10.pdf</t>
  </si>
  <si>
    <t>Melting_Curves/meltCurve_Q9HB09_BCL2L12.pdf</t>
  </si>
  <si>
    <t>Melting_Curves/meltCurve_Q9HB19_PLEKHA2.pdf</t>
  </si>
  <si>
    <t>Melting_Curves/meltCurve_Q9HB20_PLEKHA3.pdf</t>
  </si>
  <si>
    <t>Melting_Curves/meltCurve_Q9HB40_SCPEP1.pdf</t>
  </si>
  <si>
    <t>Melting_Curves/meltCurve_Q9HB71_CACYBP.pdf</t>
  </si>
  <si>
    <t>Melting_Curves/meltCurve_Q9HB90_RRAGC.pdf</t>
  </si>
  <si>
    <t>Melting_Curves/meltCurve_Q9HBH5_RDH14.pdf</t>
  </si>
  <si>
    <t>Melting_Curves/meltCurve_Q9HBI1_PARVB.pdf</t>
  </si>
  <si>
    <t>Melting_Curves/meltCurve_Q9HBK9_AS3MT.pdf</t>
  </si>
  <si>
    <t>Melting_Curves/meltCurve_Q9HBL7_PLGRKT.pdf</t>
  </si>
  <si>
    <t>Melting_Curves/meltCurve_Q9HBL8_NMRAL1.pdf</t>
  </si>
  <si>
    <t>Melting_Curves/meltCurve_Q9HBM8_AGPAT1.pdf</t>
  </si>
  <si>
    <t>Melting_Curves/meltCurve_Q9HBR0_SLC38A10.pdf</t>
  </si>
  <si>
    <t>Melting_Curves/meltCurve_Q9HBU6_ETNK1.pdf</t>
  </si>
  <si>
    <t>Melting_Curves/meltCurve_Q9HBZ2_2_ARNT2.pdf</t>
  </si>
  <si>
    <t>Melting_Curves/meltCurve_Q9HC21_SLC25A19.pdf</t>
  </si>
  <si>
    <t>Melting_Curves/meltCurve_Q9HC35_EML4.pdf</t>
  </si>
  <si>
    <t>Melting_Curves/meltCurve_Q9HC38_2_GLOD4.pdf</t>
  </si>
  <si>
    <t>Melting_Curves/meltCurve_Q9HC57_WFDC1.pdf</t>
  </si>
  <si>
    <t>Melting_Curves/meltCurve_Q9HCC0_MCCC2.pdf</t>
  </si>
  <si>
    <t>Melting_Curves/meltCurve_Q9HCD6_TANC2.pdf</t>
  </si>
  <si>
    <t>Melting_Curves/meltCurve_Q9HCE0_EPG5.pdf</t>
  </si>
  <si>
    <t>Melting_Curves/meltCurve_Q9HCE3_ZNF532.pdf</t>
  </si>
  <si>
    <t>Melting_Curves/meltCurve_Q9HCE5_METTL14.pdf</t>
  </si>
  <si>
    <t>Melting_Curves/meltCurve_Q9HCH0_3_NCKAP5L.pdf</t>
  </si>
  <si>
    <t>Melting_Curves/meltCurve_Q9HCH5_6_SYTL2.pdf</t>
  </si>
  <si>
    <t>Melting_Curves/meltCurve_Q9HCJ6_VAT1L.pdf</t>
  </si>
  <si>
    <t>Melting_Curves/meltCurve_Q9HCK4_ROBO2.pdf</t>
  </si>
  <si>
    <t>Melting_Curves/meltCurve_Q9HCN3_TMEM8A.pdf</t>
  </si>
  <si>
    <t>Melting_Curves/meltCurve_Q9HCN4_2_GPN1.pdf</t>
  </si>
  <si>
    <t>Melting_Curves/meltCurve_Q9HCN8_SDF2L1.pdf</t>
  </si>
  <si>
    <t>Melting_Curves/meltCurve_Q9HCP0_2_CSNK1G1.pdf</t>
  </si>
  <si>
    <t>Melting_Curves/meltCurve_Q9HCU0_CD248.pdf</t>
  </si>
  <si>
    <t>Melting_Curves/meltCurve_Q9HCU5_PREB.pdf</t>
  </si>
  <si>
    <t>Melting_Curves/meltCurve_Q9HD15_SRA1.pdf</t>
  </si>
  <si>
    <t>Melting_Curves/meltCurve_Q9HD20_2_ATP13A1.pdf</t>
  </si>
  <si>
    <t>Melting_Curves/meltCurve_Q9HD42_CHMP1A.pdf</t>
  </si>
  <si>
    <t>Melting_Curves/meltCurve_Q9HD45_TM9SF3.pdf</t>
  </si>
  <si>
    <t>Melting_Curves/meltCurve_Q9HD47_RANGRF.pdf</t>
  </si>
  <si>
    <t>Melting_Curves/meltCurve_Q9HDC9_APMAP.pdf</t>
  </si>
  <si>
    <t>Melting_Curves/meltCurve_Q9NNW7_2_TXNRD2.pdf</t>
  </si>
  <si>
    <t>Melting_Curves/meltCurve_Q9NP58_4_ABCB6.pdf</t>
  </si>
  <si>
    <t>Melting_Curves/meltCurve_Q9NP61_ARFGAP3.pdf</t>
  </si>
  <si>
    <t>Melting_Curves/meltCurve_Q9NP72_RAB18.pdf</t>
  </si>
  <si>
    <t>Melting_Curves/meltCurve_Q9NP74_2_PALMD.pdf</t>
  </si>
  <si>
    <t>Melting_Curves/meltCurve_Q9NP77_SSU72.pdf</t>
  </si>
  <si>
    <t>Melting_Curves/meltCurve_Q9NP79_VTA1.pdf</t>
  </si>
  <si>
    <t>Melting_Curves/meltCurve_Q9NP80_3_PNPLA8.pdf</t>
  </si>
  <si>
    <t>Melting_Curves/meltCurve_Q9NP84_TNFRSF12A.pdf</t>
  </si>
  <si>
    <t>Melting_Curves/meltCurve_Q9NPA0_EMC7.pdf</t>
  </si>
  <si>
    <t>Melting_Curves/meltCurve_Q9NPA3_MID1IP1.pdf</t>
  </si>
  <si>
    <t>Melting_Curves/meltCurve_Q9NPA8_2_ENY2.pdf</t>
  </si>
  <si>
    <t>Melting_Curves/meltCurve_Q9NPB8_GPCPD1.pdf</t>
  </si>
  <si>
    <t>Melting_Curves/meltCurve_Q9NPD3_EXOSC4.pdf</t>
  </si>
  <si>
    <t>Melting_Curves/meltCurve_Q9NPF0_CD320.pdf</t>
  </si>
  <si>
    <t>Melting_Curves/meltCurve_Q9NPF4_OSGEP.pdf</t>
  </si>
  <si>
    <t>Melting_Curves/meltCurve_Q9NPH0_ACP6.pdf</t>
  </si>
  <si>
    <t>Melting_Curves/meltCurve_Q9NPI6_DCP1A.pdf</t>
  </si>
  <si>
    <t>Melting_Curves/meltCurve_Q9NPJ3_ACOT13.pdf</t>
  </si>
  <si>
    <t>Melting_Curves/meltCurve_Q9NPJ6_MED4.pdf</t>
  </si>
  <si>
    <t>Melting_Curves/meltCurve_Q9NPL8_TIMMDC1.pdf</t>
  </si>
  <si>
    <t>Melting_Curves/meltCurve_Q9NPQ8_4_RIC8A.pdf</t>
  </si>
  <si>
    <t>Melting_Curves/meltCurve_Q9NPR9_GPR108.pdf</t>
  </si>
  <si>
    <t>Melting_Curves/meltCurve_Q9NQ75_CASS4.pdf</t>
  </si>
  <si>
    <t>Melting_Curves/meltCurve_Q9NQ88_TIGAR.pdf</t>
  </si>
  <si>
    <t>Melting_Curves/meltCurve_Q9NQC3_RTN4.pdf</t>
  </si>
  <si>
    <t>Melting_Curves/meltCurve_Q9NQC3_5_RTN4.pdf</t>
  </si>
  <si>
    <t>Melting_Curves/meltCurve_Q9NQE9_HINT3.pdf</t>
  </si>
  <si>
    <t>Melting_Curves/meltCurve_Q9NQG1_MANBAL.pdf</t>
  </si>
  <si>
    <t>Melting_Curves/meltCurve_Q9NQG5_RPRD1B.pdf</t>
  </si>
  <si>
    <t>Melting_Curves/meltCurve_Q9NQH7_2_XPNPEP3.pdf</t>
  </si>
  <si>
    <t>Melting_Curves/meltCurve_Q9NQR4_NIT2.pdf</t>
  </si>
  <si>
    <t>Melting_Curves/meltCurve_Q9NQS1_AVEN.pdf</t>
  </si>
  <si>
    <t>Melting_Curves/meltCurve_Q9NQS3_PVRL3.pdf</t>
  </si>
  <si>
    <t>Melting_Curves/meltCurve_Q9NQT8_KIF13B.pdf</t>
  </si>
  <si>
    <t>Melting_Curves/meltCurve_Q9NQW7_3_XPNPEP1.pdf</t>
  </si>
  <si>
    <t>Melting_Curves/meltCurve_Q9NQY0_BIN3.pdf</t>
  </si>
  <si>
    <t>Melting_Curves/meltCurve_Q9NQZ5_STARD7.pdf</t>
  </si>
  <si>
    <t>Melting_Curves/meltCurve_Q9NR12_PDLIM7.pdf</t>
  </si>
  <si>
    <t>Melting_Curves/meltCurve_Q9NR19_ACSS2.pdf</t>
  </si>
  <si>
    <t>Melting_Curves/meltCurve_Q9NR28_2_DIABLO.pdf</t>
  </si>
  <si>
    <t>Melting_Curves/meltCurve_Q9NR30_DDX21.pdf</t>
  </si>
  <si>
    <t>Melting_Curves/meltCurve_Q9NR31_SAR1A.pdf</t>
  </si>
  <si>
    <t>Melting_Curves/meltCurve_Q9NR33_POLE4.pdf</t>
  </si>
  <si>
    <t>Melting_Curves/meltCurve_Q9NR45_NANS.pdf</t>
  </si>
  <si>
    <t>Melting_Curves/meltCurve_Q9NR48_2_ASH1L.pdf</t>
  </si>
  <si>
    <t>Melting_Curves/meltCurve_Q9NR50_EIF2B3.pdf</t>
  </si>
  <si>
    <t>Melting_Curves/meltCurve_Q9NRA2_SLC17A5.pdf</t>
  </si>
  <si>
    <t>Melting_Curves/meltCurve_Q9NRB3_CHST12.pdf</t>
  </si>
  <si>
    <t>Melting_Curves/meltCurve_Q9NRC6_SPTBN5.pdf</t>
  </si>
  <si>
    <t>Melting_Curves/meltCurve_Q9NRF2_2_SH2B1.pdf</t>
  </si>
  <si>
    <t>Melting_Curves/meltCurve_Q9NRF8_CTPS2.pdf</t>
  </si>
  <si>
    <t>Melting_Curves/meltCurve_Q9NRF9_POLE3.pdf</t>
  </si>
  <si>
    <t>Melting_Curves/meltCurve_Q9NRG0_CHRAC1.pdf</t>
  </si>
  <si>
    <t>Melting_Curves/meltCurve_Q9NRG1_PRTFDC1.pdf</t>
  </si>
  <si>
    <t>Melting_Curves/meltCurve_Q9NRG4_SMYD2.pdf</t>
  </si>
  <si>
    <t>Melting_Curves/meltCurve_Q9NRG7_2_SDR39U1.pdf</t>
  </si>
  <si>
    <t>Melting_Curves/meltCurve_Q9NRH1_YAE1D1.pdf</t>
  </si>
  <si>
    <t>Melting_Curves/meltCurve_Q9NRK6_ABCB10.pdf</t>
  </si>
  <si>
    <t>Melting_Curves/meltCurve_Q9NRN5_3_OLFML3.pdf</t>
  </si>
  <si>
    <t>Melting_Curves/meltCurve_Q9NRN7_AASDHPPT.pdf</t>
  </si>
  <si>
    <t>Melting_Curves/meltCurve_Q9NRN9_METTL5.pdf</t>
  </si>
  <si>
    <t>Melting_Curves/meltCurve_Q9NRP0_OSTC.pdf</t>
  </si>
  <si>
    <t>Melting_Curves/meltCurve_Q9NRP2_CMC2.pdf</t>
  </si>
  <si>
    <t>Melting_Curves/meltCurve_Q9NRQ2_PLSCR4.pdf</t>
  </si>
  <si>
    <t>Melting_Curves/meltCurve_Q9NRR5_UBQLN4.pdf</t>
  </si>
  <si>
    <t>Melting_Curves/meltCurve_Q9NRR8_CDC42SE1.pdf</t>
  </si>
  <si>
    <t>Melting_Curves/meltCurve_Q9NRS6_SNX15.pdf</t>
  </si>
  <si>
    <t>Melting_Curves/meltCurve_Q9NRV9_HEBP1.pdf</t>
  </si>
  <si>
    <t>Melting_Curves/meltCurve_Q9NRW1_RAB6B.pdf</t>
  </si>
  <si>
    <t>Melting_Curves/meltCurve_Q9NRW4_DUSP22.pdf</t>
  </si>
  <si>
    <t>Melting_Curves/meltCurve_Q9NRX4_PHPT1.pdf</t>
  </si>
  <si>
    <t>Melting_Curves/meltCurve_Q9NRX5_SERINC1.pdf</t>
  </si>
  <si>
    <t>Melting_Curves/meltCurve_Q9NRY2_INIP.pdf</t>
  </si>
  <si>
    <t>Melting_Curves/meltCurve_Q9NRY4_ARHGAP35.pdf</t>
  </si>
  <si>
    <t>Melting_Curves/meltCurve_Q9NRY5_FAM114A2.pdf</t>
  </si>
  <si>
    <t>Melting_Curves/meltCurve_Q9NRY6_PLSCR3.pdf</t>
  </si>
  <si>
    <t>Melting_Curves/meltCurve_Q9NRZ5_AGPAT4.pdf</t>
  </si>
  <si>
    <t>Melting_Curves/meltCurve_Q9NRZ7_2_AGPAT3.pdf</t>
  </si>
  <si>
    <t>Melting_Curves/meltCurve_Q9NS15_LTBP3.pdf</t>
  </si>
  <si>
    <t>Melting_Curves/meltCurve_Q9NS69_TOMM22.pdf</t>
  </si>
  <si>
    <t>Melting_Curves/meltCurve_Q9NS86_LANCL2.pdf</t>
  </si>
  <si>
    <t>Melting_Curves/meltCurve_Q9NS87_4_KIF15.pdf</t>
  </si>
  <si>
    <t>Melting_Curves/meltCurve_Q9NS93_TM7SF3.pdf</t>
  </si>
  <si>
    <t>Melting_Curves/meltCurve_Q9NSA3_CTNNBIP1.pdf</t>
  </si>
  <si>
    <t>Melting_Curves/meltCurve_Q9NSC5_5_HOMER3.pdf</t>
  </si>
  <si>
    <t>Melting_Curves/meltCurve_Q9NSD9_FARSB.pdf</t>
  </si>
  <si>
    <t>Melting_Curves/meltCurve_Q9NSE4_IARS2.pdf</t>
  </si>
  <si>
    <t>Melting_Curves/meltCurve_Q9NSI2_2_FAM207A.pdf</t>
  </si>
  <si>
    <t>Melting_Curves/meltCurve_Q9NSK7_4_C19orf12.pdf</t>
  </si>
  <si>
    <t>Melting_Curves/meltCurve_Q9NSY0_NRBP2.pdf</t>
  </si>
  <si>
    <t>Melting_Curves/meltCurve_Q9NSY1_BMP2K.pdf</t>
  </si>
  <si>
    <t>Melting_Curves/meltCurve_Q9NSY2_STARD5.pdf</t>
  </si>
  <si>
    <t>Melting_Curves/meltCurve_Q9NT62_ATG3.pdf</t>
  </si>
  <si>
    <t>Melting_Curves/meltCurve_Q9NTG7_SIRT3.pdf</t>
  </si>
  <si>
    <t>Melting_Curves/meltCurve_Q9NTJ5_SACM1L.pdf</t>
  </si>
  <si>
    <t>Melting_Curves/meltCurve_Q9NTK5_2_OLA1.pdf</t>
  </si>
  <si>
    <t>Melting_Curves/meltCurve_Q9NTN3_SLC35D1.pdf</t>
  </si>
  <si>
    <t>Melting_Curves/meltCurve_Q9NTX5_2_ECHDC1.pdf</t>
  </si>
  <si>
    <t>Melting_Curves/meltCurve_Q9NTX5_3_ECHDC1.pdf</t>
  </si>
  <si>
    <t>Melting_Curves/meltCurve_Q9NTX7_2_RNF146.pdf</t>
  </si>
  <si>
    <t>Melting_Curves/meltCurve_Q9NTZ6_RBM12.pdf</t>
  </si>
  <si>
    <t>Melting_Curves/meltCurve_Q9NU23_LYRM2.pdf</t>
  </si>
  <si>
    <t>Melting_Curves/meltCurve_Q9NUG6_PDRG1.pdf</t>
  </si>
  <si>
    <t>Melting_Curves/meltCurve_Q9NUJ1_ABHD10.pdf</t>
  </si>
  <si>
    <t>Melting_Curves/meltCurve_Q9NUL5_3_C19orf66.pdf</t>
  </si>
  <si>
    <t>Melting_Curves/meltCurve_Q9NUM4_TMEM106B.pdf</t>
  </si>
  <si>
    <t>Melting_Curves/meltCurve_Q9NUN5_3_LMBRD1.pdf</t>
  </si>
  <si>
    <t>Melting_Curves/meltCurve_Q9NUP1_BLOC1S4.pdf</t>
  </si>
  <si>
    <t>Melting_Curves/meltCurve_Q9NUP9_LIN7C.pdf</t>
  </si>
  <si>
    <t>Melting_Curves/meltCurve_Q9NUQ3_TXLNG.pdf</t>
  </si>
  <si>
    <t>Melting_Curves/meltCurve_Q9NUQ6_SPATS2L.pdf</t>
  </si>
  <si>
    <t>Melting_Curves/meltCurve_Q9NUQ7_UFSP2.pdf</t>
  </si>
  <si>
    <t>Melting_Curves/meltCurve_Q9NUQ8_2_ABCF3.pdf</t>
  </si>
  <si>
    <t>Melting_Curves/meltCurve_Q9NUQ9_FAM49B.pdf</t>
  </si>
  <si>
    <t>Melting_Curves/meltCurve_Q9NUS5_AP5S1.pdf</t>
  </si>
  <si>
    <t>Melting_Curves/meltCurve_Q9NUU7_DDX19A.pdf</t>
  </si>
  <si>
    <t>Melting_Curves/meltCurve_Q9NUY8_TBC1D23.pdf</t>
  </si>
  <si>
    <t>Melting_Curves/meltCurve_Q9NV35_NUDT15.pdf</t>
  </si>
  <si>
    <t>Melting_Curves/meltCurve_Q9NV56_MRGBP.pdf</t>
  </si>
  <si>
    <t>Melting_Curves/meltCurve_Q9NV70_2_EXOC1.pdf</t>
  </si>
  <si>
    <t>Melting_Curves/meltCurve_Q9NV88_3_INTS9.pdf</t>
  </si>
  <si>
    <t>Melting_Curves/meltCurve_Q9NV96_TMEM30A.pdf</t>
  </si>
  <si>
    <t>Melting_Curves/meltCurve_Q9NVA2_2_SEPT11.pdf</t>
  </si>
  <si>
    <t>Melting_Curves/meltCurve_Q9NVA4_TMEM184C.pdf</t>
  </si>
  <si>
    <t>Melting_Curves/meltCurve_Q9NVC3_SLC38A7.pdf</t>
  </si>
  <si>
    <t>Melting_Curves/meltCurve_Q9NVE7_PANK4.pdf</t>
  </si>
  <si>
    <t>Melting_Curves/meltCurve_Q9NVG8_TBC1D13.pdf</t>
  </si>
  <si>
    <t>Melting_Curves/meltCurve_Q9NVH6_TMLHE.pdf</t>
  </si>
  <si>
    <t>Melting_Curves/meltCurve_Q9NVI7_2_ATAD3A.pdf</t>
  </si>
  <si>
    <t>Melting_Curves/meltCurve_Q9NVJ2_ARL8B.pdf</t>
  </si>
  <si>
    <t>Melting_Curves/meltCurve_Q9NVM1_EVA1B.pdf</t>
  </si>
  <si>
    <t>Melting_Curves/meltCurve_Q9NVM4_3_PRMT7.pdf</t>
  </si>
  <si>
    <t>Melting_Curves/meltCurve_Q9NVM6_DNAJC17.pdf</t>
  </si>
  <si>
    <t>Melting_Curves/meltCurve_Q9NVR5_DNAAF2.pdf</t>
  </si>
  <si>
    <t>Melting_Curves/meltCurve_Q9NVS9_PNPO.pdf</t>
  </si>
  <si>
    <t>Melting_Curves/meltCurve_Q9NVT9_ARMC1.pdf</t>
  </si>
  <si>
    <t>Melting_Curves/meltCurve_Q9NVW2_RLIM.pdf</t>
  </si>
  <si>
    <t>Melting_Curves/meltCurve_Q9NVX2_NLE1.pdf</t>
  </si>
  <si>
    <t>Melting_Curves/meltCurve_Q9NVX7_KBTBD4.pdf</t>
  </si>
  <si>
    <t>Melting_Curves/meltCurve_Q9NVZ3_NECAP2.pdf</t>
  </si>
  <si>
    <t>Melting_Curves/meltCurve_Q9NW15_ANO10.pdf</t>
  </si>
  <si>
    <t>Melting_Curves/meltCurve_Q9NW21_FAM49B.pdf</t>
  </si>
  <si>
    <t>Melting_Curves/meltCurve_Q9NW68_4_BSDC1.pdf</t>
  </si>
  <si>
    <t>Melting_Curves/meltCurve_Q9NW82_WDR70.pdf</t>
  </si>
  <si>
    <t>Melting_Curves/meltCurve_Q9NW97_TMEM51.pdf</t>
  </si>
  <si>
    <t>Melting_Curves/meltCurve_Q9NWA0_MED9.pdf</t>
  </si>
  <si>
    <t>Melting_Curves/meltCurve_Q9NWB6_2_ARGLU1.pdf</t>
  </si>
  <si>
    <t>Melting_Curves/meltCurve_Q9NWD8_TMEM248.pdf</t>
  </si>
  <si>
    <t>Melting_Curves/meltCurve_Q9NWH2_TMEM242.pdf</t>
  </si>
  <si>
    <t>Melting_Curves/meltCurve_Q9NWM3_CUEDC1.pdf</t>
  </si>
  <si>
    <t>Melting_Curves/meltCurve_Q9NWM8_FKBP14.pdf</t>
  </si>
  <si>
    <t>Melting_Curves/meltCurve_Q9NWQ8_PAG1.pdf</t>
  </si>
  <si>
    <t>Melting_Curves/meltCurve_Q9NWQ9_C14orf119.pdf</t>
  </si>
  <si>
    <t>Melting_Curves/meltCurve_Q9NWS0_PIH1D1.pdf</t>
  </si>
  <si>
    <t>Melting_Curves/meltCurve_Q9NWS6_FAM118A.pdf</t>
  </si>
  <si>
    <t>Melting_Curves/meltCurve_Q9NWT6_HIF1AN.pdf</t>
  </si>
  <si>
    <t>Melting_Curves/meltCurve_Q9NWU1_OXSM.pdf</t>
  </si>
  <si>
    <t>Melting_Curves/meltCurve_Q9NWU2_GID8.pdf</t>
  </si>
  <si>
    <t>Melting_Curves/meltCurve_Q9NWV4_C1orf123.pdf</t>
  </si>
  <si>
    <t>Melting_Curves/meltCurve_Q9NWW6_NMRK1.pdf</t>
  </si>
  <si>
    <t>Melting_Curves/meltCurve_Q9NWX6_THG1L.pdf</t>
  </si>
  <si>
    <t>Melting_Curves/meltCurve_Q9NWY4_C4orf27.pdf</t>
  </si>
  <si>
    <t>Melting_Curves/meltCurve_Q9NWZ3_IRAK4.pdf</t>
  </si>
  <si>
    <t>Melting_Curves/meltCurve_Q9NX00_TMEM160.pdf</t>
  </si>
  <si>
    <t>Melting_Curves/meltCurve_Q9NX01_TXNL4B.pdf</t>
  </si>
  <si>
    <t>Melting_Curves/meltCurve_Q9NX07_TRNAU1AP.pdf</t>
  </si>
  <si>
    <t>Melting_Curves/meltCurve_Q9NX08_COMMD8.pdf</t>
  </si>
  <si>
    <t>Melting_Curves/meltCurve_Q9NX14_NDUFB11.pdf</t>
  </si>
  <si>
    <t>Melting_Curves/meltCurve_Q9NX40_OCIAD1.pdf</t>
  </si>
  <si>
    <t>Melting_Curves/meltCurve_Q9NX46_ADPRHL2.pdf</t>
  </si>
  <si>
    <t>Melting_Curves/meltCurve_Q9NX47_MARCH5.pdf</t>
  </si>
  <si>
    <t>Melting_Curves/meltCurve_Q9NX55_HYPK.pdf</t>
  </si>
  <si>
    <t>Melting_Curves/meltCurve_Q9NX62_IMPAD1.pdf</t>
  </si>
  <si>
    <t>Melting_Curves/meltCurve_Q9NX70_MED29.pdf</t>
  </si>
  <si>
    <t>Melting_Curves/meltCurve_Q9NX74_DUS2L.pdf</t>
  </si>
  <si>
    <t>Melting_Curves/meltCurve_Q9NX76_CMTM6.pdf</t>
  </si>
  <si>
    <t>Melting_Curves/meltCurve_Q9NX94_WBP1L.pdf</t>
  </si>
  <si>
    <t>Melting_Curves/meltCurve_Q9NXA8_SIRT5.pdf</t>
  </si>
  <si>
    <t>Melting_Curves/meltCurve_Q9NXF7_DCAF16.pdf</t>
  </si>
  <si>
    <t>Melting_Curves/meltCurve_Q9NXG6_P4HTM.pdf</t>
  </si>
  <si>
    <t>Melting_Curves/meltCurve_Q9NXH9_TRMT1.pdf</t>
  </si>
  <si>
    <t>Melting_Curves/meltCurve_Q9NXJ5_PGPEP1.pdf</t>
  </si>
  <si>
    <t>Melting_Curves/meltCurve_Q9NXN4_2_GDAP2.pdf</t>
  </si>
  <si>
    <t>Melting_Curves/meltCurve_Q9NXR1_2_NDE1.pdf</t>
  </si>
  <si>
    <t>Melting_Curves/meltCurve_Q9NXR7_BRE.pdf</t>
  </si>
  <si>
    <t>Melting_Curves/meltCurve_Q9NXU5_ARL15.pdf</t>
  </si>
  <si>
    <t>Melting_Curves/meltCurve_Q9NXV6_CDKN2AIP.pdf</t>
  </si>
  <si>
    <t>Melting_Curves/meltCurve_Q9NXW9_ALKBH4.pdf</t>
  </si>
  <si>
    <t>Melting_Curves/meltCurve_Q9NY27_PPP4R2.pdf</t>
  </si>
  <si>
    <t>Melting_Curves/meltCurve_Q9NY33_DPP3.pdf</t>
  </si>
  <si>
    <t>Melting_Curves/meltCurve_Q9NYA1_2_SPHK1.pdf</t>
  </si>
  <si>
    <t>Melting_Curves/meltCurve_Q9NYB0_TERF2IP.pdf</t>
  </si>
  <si>
    <t>Melting_Curves/meltCurve_Q9NYF8_2_BCLAF1.pdf</t>
  </si>
  <si>
    <t>Melting_Curves/meltCurve_Q9NYJ1_COA4.pdf</t>
  </si>
  <si>
    <t>Melting_Curves/meltCurve_Q9NYJ8_TAB2.pdf</t>
  </si>
  <si>
    <t>Melting_Curves/meltCurve_Q9NYK5_MRPL39.pdf</t>
  </si>
  <si>
    <t>Melting_Curves/meltCurve_Q9NYL2_2_MLTK.pdf</t>
  </si>
  <si>
    <t>Melting_Curves/meltCurve_Q9NYL9_TMOD3.pdf</t>
  </si>
  <si>
    <t>Melting_Curves/meltCurve_Q9NYM9_BET1L.pdf</t>
  </si>
  <si>
    <t>Melting_Curves/meltCurve_Q9NYU2_2_UGGT1.pdf</t>
  </si>
  <si>
    <t>Melting_Curves/meltCurve_Q9NYY8_2_FASTKD2.pdf</t>
  </si>
  <si>
    <t>Melting_Curves/meltCurve_Q9NZ01_TECR.pdf</t>
  </si>
  <si>
    <t>Melting_Curves/meltCurve_Q9NZ08_ERAP1.pdf</t>
  </si>
  <si>
    <t>Melting_Curves/meltCurve_Q9NZ08_2_ERAP1.pdf</t>
  </si>
  <si>
    <t>Melting_Curves/meltCurve_Q9NZ09_UBAP1.pdf</t>
  </si>
  <si>
    <t>Melting_Curves/meltCurve_Q9NZ32_ACTR10.pdf</t>
  </si>
  <si>
    <t>Melting_Curves/meltCurve_Q9NZ43_USE1.pdf</t>
  </si>
  <si>
    <t>Melting_Curves/meltCurve_Q9NZ45_CISD1.pdf</t>
  </si>
  <si>
    <t>Melting_Curves/meltCurve_Q9NZ53_PODXL2.pdf</t>
  </si>
  <si>
    <t>Melting_Curves/meltCurve_Q9NZ56_FMN2.pdf</t>
  </si>
  <si>
    <t>Melting_Curves/meltCurve_Q9NZ63_C9orf78.pdf</t>
  </si>
  <si>
    <t>Melting_Curves/meltCurve_Q9NZB2_4_FAM120A.pdf</t>
  </si>
  <si>
    <t>Melting_Curves/meltCurve_Q9NZB8_7_MOCS1.pdf</t>
  </si>
  <si>
    <t>Melting_Curves/meltCurve_Q9NZC3_GDE1.pdf</t>
  </si>
  <si>
    <t>Melting_Curves/meltCurve_Q9NZC9_SMARCAL1.pdf</t>
  </si>
  <si>
    <t>Melting_Curves/meltCurve_Q9NZD2_GLTP.pdf</t>
  </si>
  <si>
    <t>Melting_Curves/meltCurve_Q9NZD8_2_SPG21.pdf</t>
  </si>
  <si>
    <t>Melting_Curves/meltCurve_Q9NZI7_4_UBP1.pdf</t>
  </si>
  <si>
    <t>Melting_Curves/meltCurve_Q9NZJ6_COQ3.pdf</t>
  </si>
  <si>
    <t>Melting_Curves/meltCurve_Q9NZJ7_2_MTCH1.pdf</t>
  </si>
  <si>
    <t>Melting_Curves/meltCurve_Q9NZJ9_NUDT4.pdf</t>
  </si>
  <si>
    <t>Melting_Curves/meltCurve_Q9NZJ9_2_NUDT4.pdf</t>
  </si>
  <si>
    <t>Melting_Curves/meltCurve_Q9NZL4_HSPBP1.pdf</t>
  </si>
  <si>
    <t>Melting_Curves/meltCurve_Q9NZL9_MAT2B.pdf</t>
  </si>
  <si>
    <t>Melting_Curves/meltCurve_Q9NZL9_2_MAT2B.pdf</t>
  </si>
  <si>
    <t>Melting_Curves/meltCurve_Q9NZM1_6_MYOF.pdf</t>
  </si>
  <si>
    <t>Melting_Curves/meltCurve_Q9NZM3_2_ITSN2.pdf</t>
  </si>
  <si>
    <t>Melting_Curves/meltCurve_Q9NZM4_2_GLTSCR1.pdf</t>
  </si>
  <si>
    <t>Melting_Curves/meltCurve_Q9NZN3_EHD3.pdf</t>
  </si>
  <si>
    <t>Melting_Curves/meltCurve_Q9NZN4_EHD2.pdf</t>
  </si>
  <si>
    <t>Melting_Curves/meltCurve_Q9NZN9_3_AIPL1.pdf</t>
  </si>
  <si>
    <t>Melting_Curves/meltCurve_Q9NZQ3_3_NCKIPSD.pdf</t>
  </si>
  <si>
    <t>Melting_Curves/meltCurve_Q9NZQ7_3_CD274.pdf</t>
  </si>
  <si>
    <t>Melting_Curves/meltCurve_Q9NZS9_BFAR.pdf</t>
  </si>
  <si>
    <t>Melting_Curves/meltCurve_Q9NZT2_2_OGFR.pdf</t>
  </si>
  <si>
    <t>Melting_Curves/meltCurve_Q9NZU5_LMCD1.pdf</t>
  </si>
  <si>
    <t>Melting_Curves/meltCurve_Q9NZV1_CRIM1.pdf</t>
  </si>
  <si>
    <t>Melting_Curves/meltCurve_Q9NZW5_MPP6.pdf</t>
  </si>
  <si>
    <t>Melting_Curves/meltCurve_Q9NZZ3_CHMP5.pdf</t>
  </si>
  <si>
    <t>Melting_Curves/meltCurve_Q9P000_COMMD9.pdf</t>
  </si>
  <si>
    <t>Melting_Curves/meltCurve_Q9P013_CWC15.pdf</t>
  </si>
  <si>
    <t>Melting_Curves/meltCurve_Q9P016_THYN1.pdf</t>
  </si>
  <si>
    <t>Melting_Curves/meltCurve_Q9P032_NDUFAF4.pdf</t>
  </si>
  <si>
    <t>Melting_Curves/meltCurve_Q9P035_PTPLAD1.pdf</t>
  </si>
  <si>
    <t>Melting_Curves/meltCurve_Q9P0I2_EMC3.pdf</t>
  </si>
  <si>
    <t>Melting_Curves/meltCurve_Q9P0J1_PDP1.pdf</t>
  </si>
  <si>
    <t>Melting_Curves/meltCurve_Q9P0J7_KCMF1.pdf</t>
  </si>
  <si>
    <t>Melting_Curves/meltCurve_Q9P0K7_4_RAI14.pdf</t>
  </si>
  <si>
    <t>Melting_Curves/meltCurve_Q9P0L0_VAPA.pdf</t>
  </si>
  <si>
    <t>Melting_Curves/meltCurve_Q9P0P0_RNF181.pdf</t>
  </si>
  <si>
    <t>Melting_Curves/meltCurve_Q9P0R6_GSKIP.pdf</t>
  </si>
  <si>
    <t>Melting_Curves/meltCurve_Q9P0S2_COX16.pdf</t>
  </si>
  <si>
    <t>Melting_Curves/meltCurve_Q9P0V3_SH3BP4.pdf</t>
  </si>
  <si>
    <t>Melting_Curves/meltCurve_Q9P1F3_ABRACL.pdf</t>
  </si>
  <si>
    <t>Melting_Curves/meltCurve_Q9P1U0_ZNRD1.pdf</t>
  </si>
  <si>
    <t>Melting_Curves/meltCurve_Q9P1Z2_2_CALCOCO1.pdf</t>
  </si>
  <si>
    <t>Melting_Curves/meltCurve_Q9P253_VPS18.pdf</t>
  </si>
  <si>
    <t>Melting_Curves/meltCurve_Q9P258_RCC2.pdf</t>
  </si>
  <si>
    <t>Melting_Curves/meltCurve_Q9P260_2_KIAA1468.pdf</t>
  </si>
  <si>
    <t>Melting_Curves/meltCurve_Q9P265_DIP2B.pdf</t>
  </si>
  <si>
    <t>Melting_Curves/meltCurve_Q9P266_KIAA1462.pdf</t>
  </si>
  <si>
    <t>Melting_Curves/meltCurve_Q9P270_SLAIN2.pdf</t>
  </si>
  <si>
    <t>Melting_Curves/meltCurve_Q9P287_BCCIP.pdf</t>
  </si>
  <si>
    <t>Melting_Curves/meltCurve_Q9P287_2_BCCIP.pdf</t>
  </si>
  <si>
    <t>Melting_Curves/meltCurve_Q9P299_COPZ2.pdf</t>
  </si>
  <si>
    <t>Melting_Curves/meltCurve_Q9P2B4_CTTNBP2NL.pdf</t>
  </si>
  <si>
    <t>Melting_Curves/meltCurve_Q9P2B7_KIAA1430.pdf</t>
  </si>
  <si>
    <t>Melting_Curves/meltCurve_Q9P2C4_TMEM181.pdf</t>
  </si>
  <si>
    <t>Melting_Curves/meltCurve_Q9P2E7_PCDH10.pdf</t>
  </si>
  <si>
    <t>Melting_Curves/meltCurve_Q9P2E9_RRBP1.pdf</t>
  </si>
  <si>
    <t>Melting_Curves/meltCurve_Q9P2E9_2_RRBP1.pdf</t>
  </si>
  <si>
    <t>Melting_Curves/meltCurve_Q9P2G1_ANKIB1.pdf</t>
  </si>
  <si>
    <t>Melting_Curves/meltCurve_Q9P2H5_USP35.pdf</t>
  </si>
  <si>
    <t>Melting_Curves/meltCurve_Q9P2I0_CPSF2.pdf</t>
  </si>
  <si>
    <t>Melting_Curves/meltCurve_Q9P2K8_2_EIF2AK4.pdf</t>
  </si>
  <si>
    <t>Melting_Curves/meltCurve_Q9P2N5_RBM27.pdf</t>
  </si>
  <si>
    <t>Melting_Curves/meltCurve_Q9P2R3_ANKFY1.pdf</t>
  </si>
  <si>
    <t>Melting_Curves/meltCurve_Q9P2X0_DPM3.pdf</t>
  </si>
  <si>
    <t>Melting_Curves/meltCurve_Q9P2X3_IMPACT.pdf</t>
  </si>
  <si>
    <t>Melting_Curves/meltCurve_Q9UBB4_ATXN10.pdf</t>
  </si>
  <si>
    <t>Melting_Curves/meltCurve_Q9UBB6_NCDN.pdf</t>
  </si>
  <si>
    <t>Melting_Curves/meltCurve_Q9UBC2_2_EPS15L1.pdf</t>
  </si>
  <si>
    <t>Melting_Curves/meltCurve_Q9UBD8_CLN3.pdf</t>
  </si>
  <si>
    <t>Melting_Curves/meltCurve_Q9UBE0_SAE1.pdf</t>
  </si>
  <si>
    <t>Melting_Curves/meltCurve_Q9UBF2_COPG2.pdf</t>
  </si>
  <si>
    <t>Melting_Curves/meltCurve_Q9UBF6_RNF7.pdf</t>
  </si>
  <si>
    <t>Melting_Curves/meltCurve_Q9UBF8_2_PI4KB.pdf</t>
  </si>
  <si>
    <t>Melting_Curves/meltCurve_Q9UBG0_MRC2.pdf</t>
  </si>
  <si>
    <t>Melting_Curves/meltCurve_Q9UBI6_GNG12.pdf</t>
  </si>
  <si>
    <t>Melting_Curves/meltCurve_Q9UBK8_2_MTRR.pdf</t>
  </si>
  <si>
    <t>Melting_Curves/meltCurve_Q9UBK9_UXT.pdf</t>
  </si>
  <si>
    <t>Melting_Curves/meltCurve_Q9UBL6_2_CPNE7.pdf</t>
  </si>
  <si>
    <t>Melting_Curves/meltCurve_Q9UBM7_DHCR7.pdf</t>
  </si>
  <si>
    <t>Melting_Curves/meltCurve_Q9UBN6_TNFRSF10D.pdf</t>
  </si>
  <si>
    <t>Melting_Curves/meltCurve_Q9UBP0_3_SPAST.pdf</t>
  </si>
  <si>
    <t>Melting_Curves/meltCurve_Q9UBP6_METTL1.pdf</t>
  </si>
  <si>
    <t>Melting_Curves/meltCurve_Q9UBP9_4_GULP1.pdf</t>
  </si>
  <si>
    <t>Melting_Curves/meltCurve_Q9UBQ0_VPS29.pdf</t>
  </si>
  <si>
    <t>Melting_Curves/meltCurve_Q9UBQ7_GRHPR.pdf</t>
  </si>
  <si>
    <t>Melting_Curves/meltCurve_Q9UBR2_CTSZ.pdf</t>
  </si>
  <si>
    <t>Melting_Curves/meltCurve_Q9UBS0_RPS6KB2.pdf</t>
  </si>
  <si>
    <t>Melting_Curves/meltCurve_Q9UBS4_DNAJB11.pdf</t>
  </si>
  <si>
    <t>Melting_Curves/meltCurve_Q9UBS8_RNF14.pdf</t>
  </si>
  <si>
    <t>Melting_Curves/meltCurve_Q9UBT2_UBA2.pdf</t>
  </si>
  <si>
    <t>Melting_Curves/meltCurve_Q9UBT7_2_CTNNAL1.pdf</t>
  </si>
  <si>
    <t>Melting_Curves/meltCurve_Q9UBU6_FAM8A1.pdf</t>
  </si>
  <si>
    <t>Melting_Curves/meltCurve_Q9UBV2_SEL1L.pdf</t>
  </si>
  <si>
    <t>Melting_Curves/meltCurve_Q9UBV8_PEF1.pdf</t>
  </si>
  <si>
    <t>Melting_Curves/meltCurve_Q9UBW8_COPS7A.pdf</t>
  </si>
  <si>
    <t>Melting_Curves/meltCurve_Q9UBY9_HSPB7.pdf</t>
  </si>
  <si>
    <t>Melting_Curves/meltCurve_Q9UDR5_AASS.pdf</t>
  </si>
  <si>
    <t>Melting_Curves/meltCurve_Q9UDT6_2_CLIP2.pdf</t>
  </si>
  <si>
    <t>Melting_Curves/meltCurve_Q9UDW1_UQCR10.pdf</t>
  </si>
  <si>
    <t>Melting_Curves/meltCurve_Q9UDY2_6_TJP2.pdf</t>
  </si>
  <si>
    <t>Melting_Curves/meltCurve_Q9UDY4_DNAJB4.pdf</t>
  </si>
  <si>
    <t>Melting_Curves/meltCurve_Q9UDY8_MALT1.pdf</t>
  </si>
  <si>
    <t>Melting_Curves/meltCurve_Q9UEE9_CFDP1.pdf</t>
  </si>
  <si>
    <t>Melting_Curves/meltCurve_Q9UET6_2_FTSJ1.pdf</t>
  </si>
  <si>
    <t>Melting_Curves/meltCurve_Q9UEU0_VTI1B.pdf</t>
  </si>
  <si>
    <t>Melting_Curves/meltCurve_Q9UEW8_STK39.pdf</t>
  </si>
  <si>
    <t>Melting_Curves/meltCurve_Q9UEY8_2_ADD3.pdf</t>
  </si>
  <si>
    <t>Melting_Curves/meltCurve_Q9UFG5_C19orf25.pdf</t>
  </si>
  <si>
    <t>Melting_Curves/meltCurve_Q9UFN0_NIPSNAP3A.pdf</t>
  </si>
  <si>
    <t>Melting_Curves/meltCurve_Q9UFW8_CGGBP1.pdf</t>
  </si>
  <si>
    <t>Melting_Curves/meltCurve_Q9UG56_2_PISD.pdf</t>
  </si>
  <si>
    <t>Melting_Curves/meltCurve_Q9UG63_ABCF2.pdf</t>
  </si>
  <si>
    <t>Melting_Curves/meltCurve_Q9UGI8_TES.pdf</t>
  </si>
  <si>
    <t>Melting_Curves/meltCurve_Q9UGK8_SERGEF.pdf</t>
  </si>
  <si>
    <t>Melting_Curves/meltCurve_Q9UGP4_LIMD1.pdf</t>
  </si>
  <si>
    <t>Melting_Curves/meltCurve_Q9UGP8_SEC63.pdf</t>
  </si>
  <si>
    <t>Melting_Curves/meltCurve_Q9UGQ2_2_CACFD1.pdf</t>
  </si>
  <si>
    <t>Melting_Curves/meltCurve_Q9UGQ3_2_SLC2A6.pdf</t>
  </si>
  <si>
    <t>Melting_Curves/meltCurve_Q9UGT4_SUSD2.pdf</t>
  </si>
  <si>
    <t>Melting_Curves/meltCurve_Q9UGV2_NDRG3.pdf</t>
  </si>
  <si>
    <t>Melting_Curves/meltCurve_Q9UH62_ARMCX3.pdf</t>
  </si>
  <si>
    <t>Melting_Curves/meltCurve_Q9UH65_SWAP70.pdf</t>
  </si>
  <si>
    <t>Melting_Curves/meltCurve_Q9UH99_SUN2.pdf</t>
  </si>
  <si>
    <t>Melting_Curves/meltCurve_Q9UHA4_LAMTOR3.pdf</t>
  </si>
  <si>
    <t>Melting_Curves/meltCurve_Q9UHB7_2_AFF4.pdf</t>
  </si>
  <si>
    <t>Melting_Curves/meltCurve_Q9UHD1_CHORDC1.pdf</t>
  </si>
  <si>
    <t>Melting_Curves/meltCurve_Q9UHD2_TBK1.pdf</t>
  </si>
  <si>
    <t>Melting_Curves/meltCurve_Q9UHD8_5_SEPT9.pdf</t>
  </si>
  <si>
    <t>Melting_Curves/meltCurve_Q9UHD9_UBQLN2.pdf</t>
  </si>
  <si>
    <t>Melting_Curves/meltCurve_Q9UHE8_STEAP1.pdf</t>
  </si>
  <si>
    <t>Melting_Curves/meltCurve_Q9UHG3_PCYOX1.pdf</t>
  </si>
  <si>
    <t>Melting_Curves/meltCurve_Q9UHJ6_SHPK.pdf</t>
  </si>
  <si>
    <t>Melting_Curves/meltCurve_Q9UHL4_DPP7.pdf</t>
  </si>
  <si>
    <t>Melting_Curves/meltCurve_Q9UHN6_TMEM2.pdf</t>
  </si>
  <si>
    <t>Melting_Curves/meltCurve_Q9UHP3_USP25.pdf</t>
  </si>
  <si>
    <t>Melting_Curves/meltCurve_Q9UHQ4_BCAP29.pdf</t>
  </si>
  <si>
    <t>Melting_Curves/meltCurve_Q9UHQ9_CYB5R1.pdf</t>
  </si>
  <si>
    <t>Melting_Curves/meltCurve_Q9UHR4_BAIAP2L1.pdf</t>
  </si>
  <si>
    <t>Melting_Curves/meltCurve_Q9UHV9_PFDN2.pdf</t>
  </si>
  <si>
    <t>Melting_Curves/meltCurve_Q9UHW5_GPN3.pdf</t>
  </si>
  <si>
    <t>Melting_Curves/meltCurve_Q9UHX1_4_PUF60.pdf</t>
  </si>
  <si>
    <t>Melting_Curves/meltCurve_Q9UHY1_NRBP1.pdf</t>
  </si>
  <si>
    <t>Melting_Curves/meltCurve_Q9UHY7_ENOPH1.pdf</t>
  </si>
  <si>
    <t>Melting_Curves/meltCurve_Q9UHY8_FEZ2.pdf</t>
  </si>
  <si>
    <t>Melting_Curves/meltCurve_Q9UI08_EVL.pdf</t>
  </si>
  <si>
    <t>Melting_Curves/meltCurve_Q9UI12_2_ATP6V1H.pdf</t>
  </si>
  <si>
    <t>Melting_Curves/meltCurve_Q9UI15_TAGLN3.pdf</t>
  </si>
  <si>
    <t>Melting_Curves/meltCurve_Q9UI26_IPO11.pdf</t>
  </si>
  <si>
    <t>Melting_Curves/meltCurve_Q9UI30_TRMT112.pdf</t>
  </si>
  <si>
    <t>Melting_Curves/meltCurve_Q9UI42_2_CPA4.pdf</t>
  </si>
  <si>
    <t>Melting_Curves/meltCurve_Q9UIC8_LCMT1.pdf</t>
  </si>
  <si>
    <t>Melting_Curves/meltCurve_Q9UID3_2_VPS51.pdf</t>
  </si>
  <si>
    <t>Melting_Curves/meltCurve_Q9UII2_ATPIF1.pdf</t>
  </si>
  <si>
    <t>Melting_Curves/meltCurve_Q9UIJ5_ZDHHC2.pdf</t>
  </si>
  <si>
    <t>Melting_Curves/meltCurve_Q9UIJ7_AK3.pdf</t>
  </si>
  <si>
    <t>Melting_Curves/meltCurve_Q9UIL1_3_SCOC.pdf</t>
  </si>
  <si>
    <t>Melting_Curves/meltCurve_Q9UIQ6_3_LNPEP.pdf</t>
  </si>
  <si>
    <t>Melting_Curves/meltCurve_Q9UJ14_GGT7.pdf</t>
  </si>
  <si>
    <t>Melting_Curves/meltCurve_Q9UJ68_5_MSRA.pdf</t>
  </si>
  <si>
    <t>Melting_Curves/meltCurve_Q9UJ70_NAGK.pdf</t>
  </si>
  <si>
    <t>Melting_Curves/meltCurve_Q9UJA5_TRMT6.pdf</t>
  </si>
  <si>
    <t>Melting_Curves/meltCurve_Q9UJG1_2_MOSPD1.pdf</t>
  </si>
  <si>
    <t>Melting_Curves/meltCurve_Q9UJJ9_GNPTG.pdf</t>
  </si>
  <si>
    <t>Melting_Curves/meltCurve_Q9UJM3_ERRFI1.pdf</t>
  </si>
  <si>
    <t>Melting_Curves/meltCurve_Q9UJS0_SLC25A13.pdf</t>
  </si>
  <si>
    <t>Melting_Curves/meltCurve_Q9UJT0_TUBE1.pdf</t>
  </si>
  <si>
    <t>Melting_Curves/meltCurve_Q9UJU6_DBNL.pdf</t>
  </si>
  <si>
    <t>Melting_Curves/meltCurve_Q9UJU6_2_DBNL.pdf</t>
  </si>
  <si>
    <t>Melting_Curves/meltCurve_Q9UJW0_2_DCTN4.pdf</t>
  </si>
  <si>
    <t>Melting_Curves/meltCurve_Q9UJX2_CDC23.pdf</t>
  </si>
  <si>
    <t>Melting_Curves/meltCurve_Q9UJX5_ANAPC4.pdf</t>
  </si>
  <si>
    <t>Melting_Curves/meltCurve_Q9UJX6_2_ANAPC2.pdf</t>
  </si>
  <si>
    <t>Melting_Curves/meltCurve_Q9UJY1_HSPB8.pdf</t>
  </si>
  <si>
    <t>Melting_Curves/meltCurve_Q9UJY4_GGA2.pdf</t>
  </si>
  <si>
    <t>Melting_Curves/meltCurve_Q9UJY5_4_GGA1.pdf</t>
  </si>
  <si>
    <t>Melting_Curves/meltCurve_Q9UJZ1_STOML2.pdf</t>
  </si>
  <si>
    <t>Melting_Curves/meltCurve_Q9UK23_2_NAGPA.pdf</t>
  </si>
  <si>
    <t>Melting_Curves/meltCurve_Q9UK39_CCRN4L.pdf</t>
  </si>
  <si>
    <t>Melting_Curves/meltCurve_Q9UK41_VPS28.pdf</t>
  </si>
  <si>
    <t>Melting_Curves/meltCurve_Q9UK45_LSM7.pdf</t>
  </si>
  <si>
    <t>Melting_Curves/meltCurve_Q9UK59_DBR1.pdf</t>
  </si>
  <si>
    <t>Melting_Curves/meltCurve_Q9UK76_HN1.pdf</t>
  </si>
  <si>
    <t>Melting_Curves/meltCurve_Q9UK97_3_FBXO9.pdf</t>
  </si>
  <si>
    <t>Melting_Curves/meltCurve_Q9UK99_FBXO3.pdf</t>
  </si>
  <si>
    <t>Melting_Curves/meltCurve_Q9UKA4_AKAP11.pdf</t>
  </si>
  <si>
    <t>Melting_Curves/meltCurve_Q9UKB3_DNAJC12.pdf</t>
  </si>
  <si>
    <t>Melting_Curves/meltCurve_Q9UKC9_FBXL2.pdf</t>
  </si>
  <si>
    <t>Melting_Curves/meltCurve_Q9UKE5_5_TNIK.pdf</t>
  </si>
  <si>
    <t>Melting_Curves/meltCurve_Q9UKF6_CPSF3.pdf</t>
  </si>
  <si>
    <t>Melting_Curves/meltCurve_Q9UKG1_APPL1.pdf</t>
  </si>
  <si>
    <t>Melting_Curves/meltCurve_Q9UKG9_CROT.pdf</t>
  </si>
  <si>
    <t>Melting_Curves/meltCurve_Q9UKK3_PARP4.pdf</t>
  </si>
  <si>
    <t>Melting_Curves/meltCurve_Q9UKK9_NUDT5.pdf</t>
  </si>
  <si>
    <t>Melting_Curves/meltCurve_Q9UKL6_PCTP.pdf</t>
  </si>
  <si>
    <t>Melting_Curves/meltCurve_Q9UKR5_C14orf1.pdf</t>
  </si>
  <si>
    <t>Melting_Curves/meltCurve_Q9UKS6_PACSIN3.pdf</t>
  </si>
  <si>
    <t>Melting_Curves/meltCurve_Q9UKT4_2_FBXO5.pdf</t>
  </si>
  <si>
    <t>Melting_Curves/meltCurve_Q9UKT5_FBXO4.pdf</t>
  </si>
  <si>
    <t>Melting_Curves/meltCurve_Q9UKU6_TRHDE.pdf</t>
  </si>
  <si>
    <t>Melting_Curves/meltCurve_Q9UKU7_ACAD8.pdf</t>
  </si>
  <si>
    <t>Melting_Curves/meltCurve_Q9UKV5_AMFR.pdf</t>
  </si>
  <si>
    <t>Melting_Curves/meltCurve_Q9UKV8_AGO2.pdf</t>
  </si>
  <si>
    <t>Melting_Curves/meltCurve_Q9UKX5_ITGA11.pdf</t>
  </si>
  <si>
    <t>Melting_Curves/meltCurve_Q9UKX7_2_NUP50.pdf</t>
  </si>
  <si>
    <t>Melting_Curves/meltCurve_Q9UKY7_CDV3.pdf</t>
  </si>
  <si>
    <t>Melting_Curves/meltCurve_Q9UKZ1_CNOT11.pdf</t>
  </si>
  <si>
    <t>Melting_Curves/meltCurve_Q9UL15_BAG5.pdf</t>
  </si>
  <si>
    <t>Melting_Curves/meltCurve_Q9UL25_RAB21.pdf</t>
  </si>
  <si>
    <t>Melting_Curves/meltCurve_Q9UL26_RAB22A.pdf</t>
  </si>
  <si>
    <t>Melting_Curves/meltCurve_Q9UL46_PSME2.pdf</t>
  </si>
  <si>
    <t>Melting_Curves/meltCurve_Q9ULC3_RAB23.pdf</t>
  </si>
  <si>
    <t>Melting_Curves/meltCurve_Q9ULC4_MCTS1.pdf</t>
  </si>
  <si>
    <t>Melting_Curves/meltCurve_Q9ULC8_ZDHHC8.pdf</t>
  </si>
  <si>
    <t>Melting_Curves/meltCurve_Q9ULF5_SLC39A10.pdf</t>
  </si>
  <si>
    <t>Melting_Curves/meltCurve_Q9ULH0_5_KIDINS220.pdf</t>
  </si>
  <si>
    <t>Melting_Curves/meltCurve_Q9ULH1_ASAP1.pdf</t>
  </si>
  <si>
    <t>Melting_Curves/meltCurve_Q9ULH7_4_MKL2.pdf</t>
  </si>
  <si>
    <t>Melting_Curves/meltCurve_Q9ULI3_HEG1.pdf</t>
  </si>
  <si>
    <t>Melting_Curves/meltCurve_Q9ULJ6_ZMIZ1.pdf</t>
  </si>
  <si>
    <t>Melting_Curves/meltCurve_Q9ULJ7_ANKRD50.pdf</t>
  </si>
  <si>
    <t>Melting_Curves/meltCurve_Q9ULP9_2_TBC1D24.pdf</t>
  </si>
  <si>
    <t>Melting_Curves/meltCurve_Q9ULR0_ISY1.pdf</t>
  </si>
  <si>
    <t>Melting_Curves/meltCurve_Q9ULT8_HECTD1.pdf</t>
  </si>
  <si>
    <t>Melting_Curves/meltCurve_Q9ULV4_CORO1C.pdf</t>
  </si>
  <si>
    <t>Melting_Curves/meltCurve_Q9ULZ3_2_PYCARD.pdf</t>
  </si>
  <si>
    <t>Melting_Curves/meltCurve_Q9UM47_NOTCH3.pdf</t>
  </si>
  <si>
    <t>Melting_Curves/meltCurve_Q9UMF0_ICAM5.pdf</t>
  </si>
  <si>
    <t>Melting_Curves/meltCurve_Q9UMS0_3_NFU1.pdf</t>
  </si>
  <si>
    <t>Melting_Curves/meltCurve_Q9UMS4_PRPF19.pdf</t>
  </si>
  <si>
    <t>Melting_Curves/meltCurve_Q9UMS6_SYNPO2.pdf</t>
  </si>
  <si>
    <t>Melting_Curves/meltCurve_Q9UMX0_2_UBQLN1.pdf</t>
  </si>
  <si>
    <t>Melting_Curves/meltCurve_Q9UMX1_SUFU.pdf</t>
  </si>
  <si>
    <t>Melting_Curves/meltCurve_Q9UMX5_NENF.pdf</t>
  </si>
  <si>
    <t>Melting_Curves/meltCurve_Q9UMY4_2_SNX12.pdf</t>
  </si>
  <si>
    <t>Melting_Curves/meltCurve_Q9UMZ2_6_SYNRG.pdf</t>
  </si>
  <si>
    <t>Melting_Curves/meltCurve_Q9UN37_VPS4A.pdf</t>
  </si>
  <si>
    <t>Melting_Curves/meltCurve_Q9UN86_2_G3BP2.pdf</t>
  </si>
  <si>
    <t>Melting_Curves/meltCurve_Q9UNE7_STUB1.pdf</t>
  </si>
  <si>
    <t>Melting_Curves/meltCurve_Q9UNF0_PACSIN2.pdf</t>
  </si>
  <si>
    <t>Melting_Curves/meltCurve_Q9UNF1_MAGED2.pdf</t>
  </si>
  <si>
    <t>Melting_Curves/meltCurve_Q9UNH6_SNX7.pdf</t>
  </si>
  <si>
    <t>Melting_Curves/meltCurve_Q9UNH7_SNX6.pdf</t>
  </si>
  <si>
    <t>Melting_Curves/meltCurve_Q9UNI6_DUSP12.pdf</t>
  </si>
  <si>
    <t>Melting_Curves/meltCurve_Q9UNK0_STX8.pdf</t>
  </si>
  <si>
    <t>Melting_Curves/meltCurve_Q9UNM6_PSMD13.pdf</t>
  </si>
  <si>
    <t>Melting_Curves/meltCurve_Q9UNN5_FAF1.pdf</t>
  </si>
  <si>
    <t>Melting_Curves/meltCurve_Q9UNN8_PROCR.pdf</t>
  </si>
  <si>
    <t>Melting_Curves/meltCurve_Q9UNP9_PPIE.pdf</t>
  </si>
  <si>
    <t>Melting_Curves/meltCurve_Q9UNS2_COPS3.pdf</t>
  </si>
  <si>
    <t>Melting_Curves/meltCurve_Q9UNW1_MINPP1.pdf</t>
  </si>
  <si>
    <t>Melting_Curves/meltCurve_Q9UNY4_2_TTF2.pdf</t>
  </si>
  <si>
    <t>Melting_Curves/meltCurve_Q9UP38_FZD1.pdf</t>
  </si>
  <si>
    <t>Melting_Curves/meltCurve_Q9UP79_ADAMTS8.pdf</t>
  </si>
  <si>
    <t>Melting_Curves/meltCurve_Q9UP83_COG5.pdf</t>
  </si>
  <si>
    <t>Melting_Curves/meltCurve_Q9UP95_5_SLC12A4.pdf</t>
  </si>
  <si>
    <t>Melting_Curves/meltCurve_Q9UPM8_2_AP4E1.pdf</t>
  </si>
  <si>
    <t>Melting_Curves/meltCurve_Q9UPN6_SCAF8.pdf</t>
  </si>
  <si>
    <t>Melting_Curves/meltCurve_Q9UPN7_PPP6R1.pdf</t>
  </si>
  <si>
    <t>Melting_Curves/meltCurve_Q9UPN9_2_TRIM33.pdf</t>
  </si>
  <si>
    <t>Melting_Curves/meltCurve_Q9UPP5_2_KIAA1107.pdf</t>
  </si>
  <si>
    <t>Melting_Curves/meltCurve_Q9UPQ9_1_TNRC6B.pdf</t>
  </si>
  <si>
    <t>Melting_Curves/meltCurve_Q9UPR3_SMG5.pdf</t>
  </si>
  <si>
    <t>Melting_Curves/meltCurve_Q9UPT5_2_EXOC7.pdf</t>
  </si>
  <si>
    <t>Melting_Curves/meltCurve_Q9UPU5_USP24.pdf</t>
  </si>
  <si>
    <t>Melting_Curves/meltCurve_Q9UPU7_2_TBC1D2B.pdf</t>
  </si>
  <si>
    <t>Melting_Curves/meltCurve_Q9UPY8_MAPRE3.pdf</t>
  </si>
  <si>
    <t>Melting_Curves/meltCurve_Q9UPZ3_2_HPS5.pdf</t>
  </si>
  <si>
    <t>Melting_Curves/meltCurve_Q9UQ13_2_SHOC2.pdf</t>
  </si>
  <si>
    <t>Melting_Curves/meltCurve_Q9UQ35_SRRM2.pdf</t>
  </si>
  <si>
    <t>Melting_Curves/meltCurve_Q9UQ80_PA2G4.pdf</t>
  </si>
  <si>
    <t>Melting_Curves/meltCurve_Q9UQB8_2_BAIAP2.pdf</t>
  </si>
  <si>
    <t>Melting_Curves/meltCurve_Q9UQC2_2_GAB2.pdf</t>
  </si>
  <si>
    <t>Melting_Curves/meltCurve_Q9UQN3_CHMP2B.pdf</t>
  </si>
  <si>
    <t>Melting_Curves/meltCurve_Q9Y217_MTMR6.pdf</t>
  </si>
  <si>
    <t>Melting_Curves/meltCurve_Q9Y223_3_GNE.pdf</t>
  </si>
  <si>
    <t>Melting_Curves/meltCurve_Q9Y224_C14orf166.pdf</t>
  </si>
  <si>
    <t>Melting_Curves/meltCurve_Q9Y230_RUVBL2.pdf</t>
  </si>
  <si>
    <t>Melting_Curves/meltCurve_Q9Y237_PIN4.pdf</t>
  </si>
  <si>
    <t>Melting_Curves/meltCurve_Q9Y241_HIGD1A.pdf</t>
  </si>
  <si>
    <t>Melting_Curves/meltCurve_Q9Y243_2_AKT3.pdf</t>
  </si>
  <si>
    <t>Melting_Curves/meltCurve_Q9Y244_POMP.pdf</t>
  </si>
  <si>
    <t>Melting_Curves/meltCurve_Q9Y257_KCNK6.pdf</t>
  </si>
  <si>
    <t>Melting_Curves/meltCurve_Q9Y259_CHKB.pdf</t>
  </si>
  <si>
    <t>Melting_Curves/meltCurve_Q9Y263_PLAA.pdf</t>
  </si>
  <si>
    <t>Melting_Curves/meltCurve_Q9Y265_RUVBL1.pdf</t>
  </si>
  <si>
    <t>Melting_Curves/meltCurve_Q9Y266_NUDC.pdf</t>
  </si>
  <si>
    <t>Melting_Curves/meltCurve_Q9Y276_BCS1L.pdf</t>
  </si>
  <si>
    <t>Melting_Curves/meltCurve_Q9Y281_CFL2.pdf</t>
  </si>
  <si>
    <t>Melting_Curves/meltCurve_Q9Y294_ASF1A.pdf</t>
  </si>
  <si>
    <t>Melting_Curves/meltCurve_Q9Y295_DRG1.pdf</t>
  </si>
  <si>
    <t>Melting_Curves/meltCurve_Q9Y296_TRAPPC4.pdf</t>
  </si>
  <si>
    <t>Melting_Curves/meltCurve_Q9Y2A7_NCKAP1.pdf</t>
  </si>
  <si>
    <t>Melting_Curves/meltCurve_Q9Y2B0_CNPY2.pdf</t>
  </si>
  <si>
    <t>Melting_Curves/meltCurve_Q9Y2C2_UST.pdf</t>
  </si>
  <si>
    <t>Melting_Curves/meltCurve_Q9Y2C4_EXOG.pdf</t>
  </si>
  <si>
    <t>Melting_Curves/meltCurve_Q9Y2D0_CA5B.pdf</t>
  </si>
  <si>
    <t>Melting_Curves/meltCurve_Q9Y2D4_EXOC6B.pdf</t>
  </si>
  <si>
    <t>Melting_Curves/meltCurve_Q9Y2D5_6_AKAP2.pdf</t>
  </si>
  <si>
    <t>Melting_Curves/meltCurve_Q9Y2E4_DIP2C.pdf</t>
  </si>
  <si>
    <t>Melting_Curves/meltCurve_Q9Y2E5_MAN2B2.pdf</t>
  </si>
  <si>
    <t>Melting_Curves/meltCurve_Q9Y2G3_ATP11B.pdf</t>
  </si>
  <si>
    <t>Melting_Curves/meltCurve_Q9Y2G5_POFUT2.pdf</t>
  </si>
  <si>
    <t>Melting_Curves/meltCurve_Q9Y2H1_STK38L.pdf</t>
  </si>
  <si>
    <t>Melting_Curves/meltCurve_Q9Y2H6_2_FNDC3A.pdf</t>
  </si>
  <si>
    <t>Melting_Curves/meltCurve_Q9Y2I1_NISCH.pdf</t>
  </si>
  <si>
    <t>Melting_Curves/meltCurve_Q9Y2I8_WDR37.pdf</t>
  </si>
  <si>
    <t>Melting_Curves/meltCurve_Q9Y2J2_2_EPB41L3.pdf</t>
  </si>
  <si>
    <t>Melting_Curves/meltCurve_Q9Y2J4_AMOTL2.pdf</t>
  </si>
  <si>
    <t>Melting_Curves/meltCurve_Q9Y2L1_DIS3.pdf</t>
  </si>
  <si>
    <t>Melting_Curves/meltCurve_Q9Y2Q3_GSTK1.pdf</t>
  </si>
  <si>
    <t>Melting_Curves/meltCurve_Q9Y2Q5_LAMTOR2.pdf</t>
  </si>
  <si>
    <t>Melting_Curves/meltCurve_Q9Y2Q9_MRPS28.pdf</t>
  </si>
  <si>
    <t>Melting_Curves/meltCurve_Q9Y2R0_COA3.pdf</t>
  </si>
  <si>
    <t>Melting_Curves/meltCurve_Q9Y2S2_2_CRYL1.pdf</t>
  </si>
  <si>
    <t>Melting_Curves/meltCurve_Q9Y2S6_TMA7.pdf</t>
  </si>
  <si>
    <t>Melting_Curves/meltCurve_Q9Y2S7_POLDIP2.pdf</t>
  </si>
  <si>
    <t>Melting_Curves/meltCurve_Q9Y2T2_AP3M1.pdf</t>
  </si>
  <si>
    <t>Melting_Curves/meltCurve_Q9Y2U5_MAP3K2.pdf</t>
  </si>
  <si>
    <t>Melting_Curves/meltCurve_Q9Y2U8_LEMD3.pdf</t>
  </si>
  <si>
    <t>Melting_Curves/meltCurve_Q9Y2V7_COG6.pdf</t>
  </si>
  <si>
    <t>Melting_Curves/meltCurve_Q9Y2W1_THRAP3.pdf</t>
  </si>
  <si>
    <t>Melting_Curves/meltCurve_Q9Y2X7_GIT1.pdf</t>
  </si>
  <si>
    <t>Melting_Curves/meltCurve_Q9Y2Y1_POLR3K.pdf</t>
  </si>
  <si>
    <t>Melting_Curves/meltCurve_Q9Y2Z0_SUGT1.pdf</t>
  </si>
  <si>
    <t>Melting_Curves/meltCurve_Q9Y2Z0_2_SUGT1.pdf</t>
  </si>
  <si>
    <t>Melting_Curves/meltCurve_Q9Y2Z4_YARS2.pdf</t>
  </si>
  <si>
    <t>Melting_Curves/meltCurve_Q9Y2Z9_3_COQ6.pdf</t>
  </si>
  <si>
    <t>Melting_Curves/meltCurve_Q9Y303_AMDHD2.pdf</t>
  </si>
  <si>
    <t>Melting_Curves/meltCurve_Q9Y305_ACOT9.pdf</t>
  </si>
  <si>
    <t>Melting_Curves/meltCurve_Q9Y314_NOSIP.pdf</t>
  </si>
  <si>
    <t>Melting_Curves/meltCurve_Q9Y316_MEMO1.pdf</t>
  </si>
  <si>
    <t>Melting_Curves/meltCurve_Q9Y320_2_TMX2.pdf</t>
  </si>
  <si>
    <t>Melting_Curves/meltCurve_Q9Y333_LSM2.pdf</t>
  </si>
  <si>
    <t>Melting_Curves/meltCurve_Q9Y371_SH3GLB1.pdf</t>
  </si>
  <si>
    <t>Melting_Curves/meltCurve_Q9Y375_NDUFAF1.pdf</t>
  </si>
  <si>
    <t>Melting_Curves/meltCurve_Q9Y376_CAB39.pdf</t>
  </si>
  <si>
    <t>Melting_Curves/meltCurve_Q9Y383_LUC7L2.pdf</t>
  </si>
  <si>
    <t>Melting_Curves/meltCurve_Q9Y385_UBE2J1.pdf</t>
  </si>
  <si>
    <t>Melting_Curves/meltCurve_Q9Y394_2_DHRS7.pdf</t>
  </si>
  <si>
    <t>Melting_Curves/meltCurve_Q9Y3A3_3_MOB4.pdf</t>
  </si>
  <si>
    <t>Melting_Curves/meltCurve_Q9Y3A5_SBDS.pdf</t>
  </si>
  <si>
    <t>Melting_Curves/meltCurve_Q9Y3B3_TMED7.pdf</t>
  </si>
  <si>
    <t>Melting_Curves/meltCurve_Q9Y3B9_RRP15.pdf</t>
  </si>
  <si>
    <t>Melting_Curves/meltCurve_Q9Y3C1_NOP16.pdf</t>
  </si>
  <si>
    <t>Melting_Curves/meltCurve_Q9Y3C4_2_TPRKB.pdf</t>
  </si>
  <si>
    <t>Melting_Curves/meltCurve_Q9Y3C5_RNF11.pdf</t>
  </si>
  <si>
    <t>Melting_Curves/meltCurve_Q9Y3C6_PPIL1.pdf</t>
  </si>
  <si>
    <t>Melting_Curves/meltCurve_Q9Y3C8_UFC1.pdf</t>
  </si>
  <si>
    <t>Melting_Curves/meltCurve_Q9Y3D0_FAM96B.pdf</t>
  </si>
  <si>
    <t>Melting_Curves/meltCurve_Q9Y3D2_MSRB2.pdf</t>
  </si>
  <si>
    <t>Melting_Curves/meltCurve_Q9Y3D6_FIS1.pdf</t>
  </si>
  <si>
    <t>Melting_Curves/meltCurve_Q9Y3D8_TAF9.pdf</t>
  </si>
  <si>
    <t>Melting_Curves/meltCurve_Q9Y3E0_GOLT1B.pdf</t>
  </si>
  <si>
    <t>Melting_Curves/meltCurve_Q9Y3E1_HDGFRP3.pdf</t>
  </si>
  <si>
    <t>Melting_Curves/meltCurve_Q9Y3E2_BOLA1.pdf</t>
  </si>
  <si>
    <t>Melting_Curves/meltCurve_Q9Y3E7_CHMP3.pdf</t>
  </si>
  <si>
    <t>Melting_Curves/meltCurve_Q9Y3F4_STRAP.pdf</t>
  </si>
  <si>
    <t>Melting_Curves/meltCurve_Q9Y3I0_C22orf28.pdf</t>
  </si>
  <si>
    <t>Melting_Curves/meltCurve_Q9Y3I1_FBXO7.pdf</t>
  </si>
  <si>
    <t>Melting_Curves/meltCurve_Q9Y3L3_SH3BP1.pdf</t>
  </si>
  <si>
    <t>Melting_Curves/meltCurve_Q9Y3L5_RAP2C.pdf</t>
  </si>
  <si>
    <t>Melting_Curves/meltCurve_Q9Y3M8_3_STARD13.pdf</t>
  </si>
  <si>
    <t>Melting_Curves/meltCurve_Q9Y3P9_RABGAP1.pdf</t>
  </si>
  <si>
    <t>Melting_Curves/meltCurve_Q9Y3Q3_TMED3.pdf</t>
  </si>
  <si>
    <t>Melting_Curves/meltCurve_Q9Y3Q8_TSC22D4.pdf</t>
  </si>
  <si>
    <t>Melting_Curves/meltCurve_Q9Y3S2_ZNF330.pdf</t>
  </si>
  <si>
    <t>Melting_Curves/meltCurve_Q9Y3T6_R3HCC1.pdf</t>
  </si>
  <si>
    <t>Melting_Curves/meltCurve_Q9Y3T9_NOC2L.pdf</t>
  </si>
  <si>
    <t>Melting_Curves/meltCurve_Q9Y3U8_RPL36.pdf</t>
  </si>
  <si>
    <t>Melting_Curves/meltCurve_Q9Y3V2_RWDD3.pdf</t>
  </si>
  <si>
    <t>Melting_Curves/meltCurve_Q9Y3X0_CCDC9.pdf</t>
  </si>
  <si>
    <t>Melting_Curves/meltCurve_Q9Y3Z3_4_SAMHD1.pdf</t>
  </si>
  <si>
    <t>Melting_Curves/meltCurve_Q9Y450_4_HBS1L.pdf</t>
  </si>
  <si>
    <t>Melting_Curves/meltCurve_Q9Y478_PRKAB1.pdf</t>
  </si>
  <si>
    <t>Melting_Curves/meltCurve_Q9Y490_TLN1.pdf</t>
  </si>
  <si>
    <t>Melting_Curves/meltCurve_Q9Y4B5_SOGA2.pdf</t>
  </si>
  <si>
    <t>Melting_Curves/meltCurve_Q9Y4C2_2_FAM115A.pdf</t>
  </si>
  <si>
    <t>Melting_Curves/meltCurve_Q9Y4E1_2_FAM21C.pdf</t>
  </si>
  <si>
    <t>Melting_Curves/meltCurve_Q9Y4E8_USP15.pdf</t>
  </si>
  <si>
    <t>Melting_Curves/meltCurve_Q9Y4F1_FARP1.pdf</t>
  </si>
  <si>
    <t>Melting_Curves/meltCurve_Q9Y4G6_TLN2.pdf</t>
  </si>
  <si>
    <t>Melting_Curves/meltCurve_Q9Y4G8_RAPGEF2.pdf</t>
  </si>
  <si>
    <t>Melting_Curves/meltCurve_Q9Y4H2_IRS2.pdf</t>
  </si>
  <si>
    <t>Melting_Curves/meltCurve_Q9Y4K0_LOXL2.pdf</t>
  </si>
  <si>
    <t>Melting_Curves/meltCurve_Q9Y4K1_AIM1.pdf</t>
  </si>
  <si>
    <t>Melting_Curves/meltCurve_Q9Y4K4_MAP4K5.pdf</t>
  </si>
  <si>
    <t>Melting_Curves/meltCurve_Q9Y4P1_6_ATG4B.pdf</t>
  </si>
  <si>
    <t>Melting_Curves/meltCurve_Q9Y4P8_4_WIPI2.pdf</t>
  </si>
  <si>
    <t>Melting_Curves/meltCurve_Q9Y4U1_MMACHC.pdf</t>
  </si>
  <si>
    <t>Melting_Curves/meltCurve_Q9Y4W6_AFG3L2.pdf</t>
  </si>
  <si>
    <t>Melting_Curves/meltCurve_Q9Y4X5_ARIH1.pdf</t>
  </si>
  <si>
    <t>Melting_Curves/meltCurve_Q9Y4Z0_LSM4.pdf</t>
  </si>
  <si>
    <t>Melting_Curves/meltCurve_Q9Y508_RNF114.pdf</t>
  </si>
  <si>
    <t>Melting_Curves/meltCurve_Q9Y512_SAMM50.pdf</t>
  </si>
  <si>
    <t>Melting_Curves/meltCurve_Q9Y534_CSDC2.pdf</t>
  </si>
  <si>
    <t>Melting_Curves/meltCurve_Q9Y570_PPME1.pdf</t>
  </si>
  <si>
    <t>Melting_Curves/meltCurve_Q9Y576_ASB1.pdf</t>
  </si>
  <si>
    <t>Melting_Curves/meltCurve_Q9Y584_TIMM22.pdf</t>
  </si>
  <si>
    <t>Melting_Curves/meltCurve_Q9Y5A9_2_YTHDF2.pdf</t>
  </si>
  <si>
    <t>Melting_Curves/meltCurve_Q9Y5B0_CTDP1.pdf</t>
  </si>
  <si>
    <t>Melting_Curves/meltCurve_Q9Y5B8_2_NME7.pdf</t>
  </si>
  <si>
    <t>Melting_Curves/meltCurve_Q9Y5J5_PHLDA3.pdf</t>
  </si>
  <si>
    <t>Melting_Curves/meltCurve_Q9Y5J6_TIMM10B.pdf</t>
  </si>
  <si>
    <t>Melting_Curves/meltCurve_Q9Y5J7_TIMM9.pdf</t>
  </si>
  <si>
    <t>Melting_Curves/meltCurve_Q9Y5K5_2_UCHL5.pdf</t>
  </si>
  <si>
    <t>Melting_Curves/meltCurve_Q9Y5K6_CD2AP.pdf</t>
  </si>
  <si>
    <t>Melting_Curves/meltCurve_Q9Y5K8_ATP6V1D.pdf</t>
  </si>
  <si>
    <t>Melting_Curves/meltCurve_Q9Y5L0_TNPO3.pdf</t>
  </si>
  <si>
    <t>Melting_Curves/meltCurve_Q9Y5L4_TIMM13.pdf</t>
  </si>
  <si>
    <t>Melting_Curves/meltCurve_Q9Y5M8_SRPRB.pdf</t>
  </si>
  <si>
    <t>Melting_Curves/meltCurve_Q9Y5N5_N6AMT1.pdf</t>
  </si>
  <si>
    <t>Melting_Curves/meltCurve_Q9Y5P4_2_COL4A3BP.pdf</t>
  </si>
  <si>
    <t>Melting_Curves/meltCurve_Q9Y5P6_GMPPB.pdf</t>
  </si>
  <si>
    <t>Melting_Curves/meltCurve_Q9Y5R8_TRAPPC1.pdf</t>
  </si>
  <si>
    <t>Melting_Curves/meltCurve_Q9Y5S1_TRPV2.pdf</t>
  </si>
  <si>
    <t>Melting_Curves/meltCurve_Q9Y5S2_CDC42BPB.pdf</t>
  </si>
  <si>
    <t>Melting_Curves/meltCurve_Q9Y5S9_RBM8A.pdf</t>
  </si>
  <si>
    <t>Melting_Curves/meltCurve_Q9Y5U2_2_TSSC4.pdf</t>
  </si>
  <si>
    <t>Melting_Curves/meltCurve_Q9Y5V3_MAGED1.pdf</t>
  </si>
  <si>
    <t>Melting_Curves/meltCurve_Q9Y5X1_SNX9.pdf</t>
  </si>
  <si>
    <t>Melting_Curves/meltCurve_Q9Y5X2_SNX8.pdf</t>
  </si>
  <si>
    <t>Melting_Curves/meltCurve_Q9Y5X3_SNX5.pdf</t>
  </si>
  <si>
    <t>Melting_Curves/meltCurve_Q9Y5Y2_NUBP2.pdf</t>
  </si>
  <si>
    <t>Melting_Curves/meltCurve_Q9Y5Z4_HEBP2.pdf</t>
  </si>
  <si>
    <t>Melting_Curves/meltCurve_Q9Y5Z7_HCFC2.pdf</t>
  </si>
  <si>
    <t>Melting_Curves/meltCurve_Q9Y605_MRFAP1.pdf</t>
  </si>
  <si>
    <t>Melting_Curves/meltCurve_Q9Y608_4_LRRFIP2.pdf</t>
  </si>
  <si>
    <t>Melting_Curves/meltCurve_Q9Y613_FHOD1.pdf</t>
  </si>
  <si>
    <t>Melting_Curves/meltCurve_Q9Y617_PSAT1.pdf</t>
  </si>
  <si>
    <t>Melting_Curves/meltCurve_Q9Y619_SLC25A15.pdf</t>
  </si>
  <si>
    <t>Melting_Curves/meltCurve_Q9Y625_GPC6.pdf</t>
  </si>
  <si>
    <t>Melting_Curves/meltCurve_Q9Y639_1_NPTN.pdf</t>
  </si>
  <si>
    <t>Melting_Curves/meltCurve_Q9Y646_CPQ.pdf</t>
  </si>
  <si>
    <t>Melting_Curves/meltCurve_Q9Y673_ALG5.pdf</t>
  </si>
  <si>
    <t>Melting_Curves/meltCurve_Q9Y678_COPG1.pdf</t>
  </si>
  <si>
    <t>Melting_Curves/meltCurve_Q9Y679_AUP1.pdf</t>
  </si>
  <si>
    <t>Melting_Curves/meltCurve_Q9Y680_2_FKBP7.pdf</t>
  </si>
  <si>
    <t>Melting_Curves/meltCurve_Q9Y689_2_ARL5A.pdf</t>
  </si>
  <si>
    <t>Melting_Curves/meltCurve_Q9Y693_LHFP.pdf</t>
  </si>
  <si>
    <t>Melting_Curves/meltCurve_Q9Y696_CLIC4.pdf</t>
  </si>
  <si>
    <t>Melting_Curves/meltCurve_Q9Y697_2_NFS1.pdf</t>
  </si>
  <si>
    <t>Melting_Curves/meltCurve_Q9Y6A4_C16orf80.pdf</t>
  </si>
  <si>
    <t>Melting_Curves/meltCurve_Q9Y6B2_2_EID1.pdf</t>
  </si>
  <si>
    <t>Melting_Curves/meltCurve_Q9Y6C2_EMILIN1.pdf</t>
  </si>
  <si>
    <t>Melting_Curves/meltCurve_Q9Y6C9_MTCH2.pdf</t>
  </si>
  <si>
    <t>Melting_Curves/meltCurve_Q9Y6D5_ARFGEF2.pdf</t>
  </si>
  <si>
    <t>Melting_Curves/meltCurve_Q9Y6D6_ARFGEF1.pdf</t>
  </si>
  <si>
    <t>Melting_Curves/meltCurve_Q9Y6D9_MAD1L1.pdf</t>
  </si>
  <si>
    <t>Melting_Curves/meltCurve_Q9Y6E0_2_STK24.pdf</t>
  </si>
  <si>
    <t>Melting_Curves/meltCurve_Q9Y6G5_COMMD10.pdf</t>
  </si>
  <si>
    <t>Melting_Curves/meltCurve_Q9Y6G9_DYNC1LI1.pdf</t>
  </si>
  <si>
    <t>Melting_Curves/meltCurve_Q9Y6H1_CHCHD2.pdf</t>
  </si>
  <si>
    <t>Melting_Curves/meltCurve_Q9Y6I3_EPN1.pdf</t>
  </si>
  <si>
    <t>Melting_Curves/meltCurve_Q9Y6I9_TEX264.pdf</t>
  </si>
  <si>
    <t>Melting_Curves/meltCurve_Q9Y6K8_3_AK5.pdf</t>
  </si>
  <si>
    <t>Melting_Curves/meltCurve_Q9Y6M4_3_CSNK1G3.pdf</t>
  </si>
  <si>
    <t>Melting_Curves/meltCurve_Q9Y6M5_SLC30A1.pdf</t>
  </si>
  <si>
    <t>Melting_Curves/meltCurve_Q9Y6N1_COX11.pdf</t>
  </si>
  <si>
    <t>Melting_Curves/meltCurve_Q9Y6N5_SQRDL.pdf</t>
  </si>
  <si>
    <t>Melting_Curves/meltCurve_Q9Y6N7_5_ROBO1.pdf</t>
  </si>
  <si>
    <t>Melting_Curves/meltCurve_Q9Y6P5_2_SESN1.pdf</t>
  </si>
  <si>
    <t>Melting_Curves/meltCurve_Q9Y6Q2_STON1.pdf</t>
  </si>
  <si>
    <t>Melting_Curves/meltCurve_Q9Y6Q9_5_NCOA3.pdf</t>
  </si>
  <si>
    <t>Melting_Curves/meltCurve_Q9Y6R0_NUMBL.pdf</t>
  </si>
  <si>
    <t>Melting_Curves/meltCurve_Q9Y6V0_2_PCLO.pdf</t>
  </si>
  <si>
    <t>Melting_Curves/meltCurve_Q9Y6W3_CAPN7.pdf</t>
  </si>
  <si>
    <t>Melting_Curves/meltCurve_Q9Y6W5_WASF2.pdf</t>
  </si>
  <si>
    <t>Melting_Curves/meltCurve_Q9Y6X5_ENPP4.pdf</t>
  </si>
  <si>
    <t>Melting_Curves/meltCurve_R4GMM8_ROBO2.pdf</t>
  </si>
  <si>
    <t>Melting_Curves/meltCurve_R4GMN1_MOSPD2.pdf</t>
  </si>
  <si>
    <t>Melting_Curves/meltCurve_R4GMR5_PSMD8.pdf</t>
  </si>
  <si>
    <t>Melting_Curves/meltCurve_R4GMU1_H6PD.pdf</t>
  </si>
  <si>
    <t>Melting_Curves/meltCurve_R4GMX3_BMI1.pdf</t>
  </si>
  <si>
    <t>Melting_Curves/meltCurve_R4GMX8_RANBP10.pdf</t>
  </si>
  <si>
    <t>Melting_Curves/meltCurve_R4GMY4_NBL1.pdf</t>
  </si>
  <si>
    <t>Melting_Curves/meltCurve_R4GN55_YTHDF3.pdf</t>
  </si>
  <si>
    <t>Melting_Curves/meltCurve_R4GN89_C16orf74.pdf</t>
  </si>
  <si>
    <t>Melting_Curves/meltCurve_R4GN98_S100A6.pdf</t>
  </si>
  <si>
    <t>Melting_Curves/meltCurve_R4GNB2_DENND4C.pdf</t>
  </si>
  <si>
    <t>Melting_Curves/meltCurve_R4GND3_PHLDA1.pdf</t>
  </si>
  <si>
    <t>Melting_Curves/meltCurve_R4GNH3_PSMC3.pdf</t>
  </si>
  <si>
    <t>Melting_Curves/meltCurve_REV__Q96PE2_.pdf</t>
  </si>
  <si>
    <t>Yes</t>
  </si>
  <si>
    <t>No</t>
  </si>
  <si>
    <t>Transmembrane protein 129</t>
  </si>
  <si>
    <t>Ubiquitin-like modifier-activating enzyme 6</t>
  </si>
  <si>
    <t>UHRF1-binding protein 1-like</t>
  </si>
  <si>
    <t>Rho GTPase-activating protein 10</t>
  </si>
  <si>
    <t>Acetolactate synthase-like protein</t>
  </si>
  <si>
    <t>Uncharacterized protein C17orf89</t>
  </si>
  <si>
    <t>SH3 and PX domain-containing protein 2B</t>
  </si>
  <si>
    <t>Aconitate hydratase, mitochondrial</t>
  </si>
  <si>
    <t>Transmembrane prostate androgen-induced protein (Fragment)</t>
  </si>
  <si>
    <t>Protein AAR2 homolog</t>
  </si>
  <si>
    <t>Major prion protein (Fragment)</t>
  </si>
  <si>
    <t>Neuroblastoma-amplified sequence</t>
  </si>
  <si>
    <t>Uncharacterized protein KIAA1467</t>
  </si>
  <si>
    <t>Fucose mutarotase</t>
  </si>
  <si>
    <t>Isoform 3 of Protein strawberry notch homolog 1</t>
  </si>
  <si>
    <t>Isoprenoid synthase domain-containing protein</t>
  </si>
  <si>
    <t>Protein LCHN</t>
  </si>
  <si>
    <t>Ependymin related protein 1 (Zebrafish), isoform CRA_b</t>
  </si>
  <si>
    <t>Metallo-beta-lactamase domain-containing protein 1</t>
  </si>
  <si>
    <t>Isoform 2 of Xin actin-binding repeat-containing protein 2</t>
  </si>
  <si>
    <t>Isoform 2 of CCR4-NOT transcription complex subunit 1</t>
  </si>
  <si>
    <t>RAB3GAP1 protein</t>
  </si>
  <si>
    <t>ADP-ribosyl cyclase 2</t>
  </si>
  <si>
    <t>Phosphoglycolate phosphatase</t>
  </si>
  <si>
    <t>UPF0600 protein C5orf51</t>
  </si>
  <si>
    <t>RCC1 domain-containing protein 1</t>
  </si>
  <si>
    <t>HCF N-terminal chain 5</t>
  </si>
  <si>
    <t>Tetraspanin-14 (Fragment)</t>
  </si>
  <si>
    <t>Oral-facial-digital syndrome 1 protein</t>
  </si>
  <si>
    <t>Charged multivesicular body protein 1a</t>
  </si>
  <si>
    <t>Proline-rich protein PRCC</t>
  </si>
  <si>
    <t>TLC domain-containing protein 2</t>
  </si>
  <si>
    <t>Dynein light chain Tctex-type 3</t>
  </si>
  <si>
    <t>Hematological and neurological-expressed 1-like protein</t>
  </si>
  <si>
    <t>Protein YIF1A</t>
  </si>
  <si>
    <t>Isoform 2 of Tubulin alpha chain-like 3</t>
  </si>
  <si>
    <t>GATS-like protein 2</t>
  </si>
  <si>
    <t>Protein unc-119 homolog B</t>
  </si>
  <si>
    <t>Chromosome 1 open reading frame 41, isoform CRA_b</t>
  </si>
  <si>
    <t>Probable methyltransferase-like protein 15</t>
  </si>
  <si>
    <t>Dual-specificity mitogen-activated protein kinase kinase 5</t>
  </si>
  <si>
    <t>Putative Golgi pH regulator C</t>
  </si>
  <si>
    <t>Zinc finger MYM-type protein 3</t>
  </si>
  <si>
    <t>Biglycan</t>
  </si>
  <si>
    <t>Protein cornichon homolog 4</t>
  </si>
  <si>
    <t>Septin-8</t>
  </si>
  <si>
    <t>Diaphanous homolog 2 (Drosophila), isoform CRA_c</t>
  </si>
  <si>
    <t>Protein Shroom1</t>
  </si>
  <si>
    <t>Annexin</t>
  </si>
  <si>
    <t>CD9 antigen</t>
  </si>
  <si>
    <t>Deoxyribonuclease-1-like 1 (Fragment)</t>
  </si>
  <si>
    <t>Protein FAM127A</t>
  </si>
  <si>
    <t>Protein archease</t>
  </si>
  <si>
    <t>Heat shock cognate 71 kDa protein</t>
  </si>
  <si>
    <t>Afadin</t>
  </si>
  <si>
    <t>Junctional adhesion molecule B</t>
  </si>
  <si>
    <t>Protein RTF2 homolog</t>
  </si>
  <si>
    <t>LYR motif-containing protein 9</t>
  </si>
  <si>
    <t>Small nuclear ribonucleoprotein-associated proteins B and B</t>
  </si>
  <si>
    <t>Armadillo repeat-containing protein 8</t>
  </si>
  <si>
    <t>HCG1988162</t>
  </si>
  <si>
    <t>Down syndrome critical region protein 3</t>
  </si>
  <si>
    <t>Transmembrane protein 147</t>
  </si>
  <si>
    <t>SMT3 suppressor of mif two 3 homolog 3 (Yeast), isoform CRA_d</t>
  </si>
  <si>
    <t>Tubulin alpha-4A chain</t>
  </si>
  <si>
    <t>Protein TSSC1</t>
  </si>
  <si>
    <t>Protein FAM171A2</t>
  </si>
  <si>
    <t>BICD1 protein</t>
  </si>
  <si>
    <t>Cadherin-2</t>
  </si>
  <si>
    <t>Retinoic acid-induced protein 1 (Fragment)</t>
  </si>
  <si>
    <t>Nucleoside diphosphate-linked moiety X motif 19, mitochondrial</t>
  </si>
  <si>
    <t>Ras-related protein Rab-34, isoform NARR</t>
  </si>
  <si>
    <t>Phosphatidylinositol 3-kinase catalytic subunit type 3</t>
  </si>
  <si>
    <t>Syntaxin-1A</t>
  </si>
  <si>
    <t>MIF4G domain-containing protein</t>
  </si>
  <si>
    <t>Serine/arginine repetitive matrix protein 1</t>
  </si>
  <si>
    <t>6-phosphofructo-2-kinase/fructose-2, 6-bisphosphatase 2 transcript variant 3</t>
  </si>
  <si>
    <t>Eukaryotic translation initiation factor 3 subunit L</t>
  </si>
  <si>
    <t>Mitochondrial dynamic protein MID51</t>
  </si>
  <si>
    <t>TBC1 domain family member 22A</t>
  </si>
  <si>
    <t>RNA-binding protein EWS</t>
  </si>
  <si>
    <t>Copine-1</t>
  </si>
  <si>
    <t>Heterochromatin protein 1-binding protein 3 (Fragment)</t>
  </si>
  <si>
    <t>HLA-B associated transcript 3, isoform CRA_a</t>
  </si>
  <si>
    <t>Abhydrolase domain-containing protein 16A</t>
  </si>
  <si>
    <t>Valine--tRNA ligase</t>
  </si>
  <si>
    <t>Proteasome subunit beta type</t>
  </si>
  <si>
    <t>Apolipoprotein C-III</t>
  </si>
  <si>
    <t>Putative peripheral benzodiazepine receptor-related protein (Fragment)</t>
  </si>
  <si>
    <t>NHP2-like protein 1</t>
  </si>
  <si>
    <t>3-hydroxymethyl-3-methylglutaryl-Coenzyme A lyase (Hydroxymethylglutaricaciduria), isoform CRA_b</t>
  </si>
  <si>
    <t>GPI-anchor transamidase</t>
  </si>
  <si>
    <t>Ras GTPase-activating protein nGAP</t>
  </si>
  <si>
    <t>Nardilysin</t>
  </si>
  <si>
    <t>Oxysterol-binding protein</t>
  </si>
  <si>
    <t>Eukaryotic translation initiation factor 4E transporter</t>
  </si>
  <si>
    <t>Arginine-glutamic acid dipeptide (RE) repeats, isoform CRA_b</t>
  </si>
  <si>
    <t>Tetraspanin-2 (Fragment)</t>
  </si>
  <si>
    <t>Dynein light chain roadblock-type 1</t>
  </si>
  <si>
    <t>Transmembrane emp24 domain-containing protein 5</t>
  </si>
  <si>
    <t>Hsp90 co-chaperone Cdc37-like 1</t>
  </si>
  <si>
    <t>Transmembrane protein FAM155A</t>
  </si>
  <si>
    <t>Phytanoyl-CoA dioxygenase, peroxisomal</t>
  </si>
  <si>
    <t>Rho guanine nucleotide exchange factor 7</t>
  </si>
  <si>
    <t>Protein PALM2-AKAP2 (Fragment)</t>
  </si>
  <si>
    <t>Guanine nucleotide-binding protein G(q) subunit alpha (Fragment)</t>
  </si>
  <si>
    <t>Ubiquitin-conjugating enzyme E2 J2 (Fragment)</t>
  </si>
  <si>
    <t>Septin 6, isoform CRA_b</t>
  </si>
  <si>
    <t>Exosome complex component CSL4 (Fragment)</t>
  </si>
  <si>
    <t>CD58 antigen, (Lymphocyte function-associated antigen 3), isoform CRA_c</t>
  </si>
  <si>
    <t>Eukaryotic translation initiation factor 4 gamma 3</t>
  </si>
  <si>
    <t>Trypsin-3 (Fragment)</t>
  </si>
  <si>
    <t>Guanylate kinase (Fragment)</t>
  </si>
  <si>
    <t>Sterol O-acyltransferase 1 (Fragment)</t>
  </si>
  <si>
    <t>Saposin-D</t>
  </si>
  <si>
    <t>Antigen peptide transporter 1</t>
  </si>
  <si>
    <t>Bifunctional arginine demethylase and lysyl-hydroxylase JMJD6</t>
  </si>
  <si>
    <t>Coiled-coil domain-containing protein 92</t>
  </si>
  <si>
    <t>Eukaryotic translation initiation factor 3 subunit H</t>
  </si>
  <si>
    <t>Eukaryotic translation initiation factor 3 subunit F</t>
  </si>
  <si>
    <t>Leucine zipper transcription factor-like 1, isoform CRA_b</t>
  </si>
  <si>
    <t>Matrix-remodeling-associated protein 8</t>
  </si>
  <si>
    <t>Carbonic anhydrase 12</t>
  </si>
  <si>
    <t>Phospholipid transfer protein</t>
  </si>
  <si>
    <t>Superoxide dismutase</t>
  </si>
  <si>
    <t>F-box only protein 18</t>
  </si>
  <si>
    <t>PHD finger protein 23</t>
  </si>
  <si>
    <t>AP-1 complex subunit gamma-1</t>
  </si>
  <si>
    <t>CDP-diacylglycerol--inositol 3-phosphatidyltransferase</t>
  </si>
  <si>
    <t>Dihydrofolate reductase</t>
  </si>
  <si>
    <t>Calponin-2</t>
  </si>
  <si>
    <t>UDP-galactose translocator</t>
  </si>
  <si>
    <t>ERI1 exoribonuclease 3</t>
  </si>
  <si>
    <t>NADH dehydrogenase [ubiquinone] 1 alpha subcomplex subunit 13</t>
  </si>
  <si>
    <t>Protein DEK</t>
  </si>
  <si>
    <t>Phosphatidylinositol-glycan biosynthesis class X protein</t>
  </si>
  <si>
    <t>Catenin beta-1</t>
  </si>
  <si>
    <t>Ryanodine receptor 2 (Fragment)</t>
  </si>
  <si>
    <t>Phosphatidylinositol 5-phosphate 4-kinase type-2 alpha</t>
  </si>
  <si>
    <t>MAP1S light chain</t>
  </si>
  <si>
    <t>Ribosomal protein S6 kinase delta-1</t>
  </si>
  <si>
    <t>BCL2/adenovirus E1B 19 kDa protein-interacting protein 3</t>
  </si>
  <si>
    <t>Leucine-rich repeat-containing protein 28</t>
  </si>
  <si>
    <t>Transmembrane protein 165</t>
  </si>
  <si>
    <t>Ras-related protein Rab-5A</t>
  </si>
  <si>
    <t>Small nuclear ribonucleoprotein Sm D3</t>
  </si>
  <si>
    <t>Citrate synthase</t>
  </si>
  <si>
    <t>Solute carrier family 23 member 2</t>
  </si>
  <si>
    <t>Protein zyg-11 homolog B</t>
  </si>
  <si>
    <t>ATP synthase subunit gamma</t>
  </si>
  <si>
    <t>Beta/gamma crystallin domain-containing protein 3 (Fragment)</t>
  </si>
  <si>
    <t>NAD(P)H dehydrogenase [quinone] 1</t>
  </si>
  <si>
    <t>Ribosomal protein S6 kinase beta-1</t>
  </si>
  <si>
    <t>CDP-diacylglycerol--glycerol-3-phosphate 3-phosphatidyltransferase, mitochondrial</t>
  </si>
  <si>
    <t>Prostaglandin E synthase 3</t>
  </si>
  <si>
    <t>Sorting nexin-11</t>
  </si>
  <si>
    <t>TOX high mobility group box family member 4</t>
  </si>
  <si>
    <t>Eukaryotic translation initiation factor 2 subunit 1</t>
  </si>
  <si>
    <t>Lysophosphatidic acid receptor 1</t>
  </si>
  <si>
    <t>Palmitoyltransferase ZDHHC18</t>
  </si>
  <si>
    <t>6-phosphogluconate dehydrogenase, decarboxylating</t>
  </si>
  <si>
    <t>N-alpha-acetyltransferase 40</t>
  </si>
  <si>
    <t>Histone H2B</t>
  </si>
  <si>
    <t>Protein transport protein Sec61 subunit alpha isoform 1</t>
  </si>
  <si>
    <t>Ankyrin repeat and SOCS box protein 6</t>
  </si>
  <si>
    <t>Rab proteins geranylgeranyltransferase component A 1</t>
  </si>
  <si>
    <t>Vitamin D3 receptor</t>
  </si>
  <si>
    <t>UPF0586 protein C9orf41</t>
  </si>
  <si>
    <t>Uncharacterized protein KIAA0513</t>
  </si>
  <si>
    <t>Sodium/hydrogen exchanger</t>
  </si>
  <si>
    <t>3(2),5-bisphosphate nucleotidase 1</t>
  </si>
  <si>
    <t>GDP-fucose protein O-fucosyltransferase 1</t>
  </si>
  <si>
    <t>Ribokinase</t>
  </si>
  <si>
    <t>Eukaryotic translation initiation factor 3 subunit D</t>
  </si>
  <si>
    <t>2-hydroxyacyl-CoA lyase 1</t>
  </si>
  <si>
    <t>Bifunctional glutamate/proline--tRNA ligase</t>
  </si>
  <si>
    <t>Fragile X mental retardation syndrome-related protein 1</t>
  </si>
  <si>
    <t>Nucleoporin NUP53</t>
  </si>
  <si>
    <t>Probable G-protein-coupled receptor 176</t>
  </si>
  <si>
    <t>Peroxisomal targeting signal 1 receptor</t>
  </si>
  <si>
    <t>Myb/SANT-like DNA-binding domain-containing protein 2</t>
  </si>
  <si>
    <t>Armadillo repeat-containing protein 6</t>
  </si>
  <si>
    <t>Serine/threonine-protein kinase RIO3</t>
  </si>
  <si>
    <t>Adenosine 3-phospho 5-phosphosulfate transporter 2</t>
  </si>
  <si>
    <t>Syndecan</t>
  </si>
  <si>
    <t>Serine/arginine-rich-splicing factor 3</t>
  </si>
  <si>
    <t>Erythrocyte band 7 integral membrane protein</t>
  </si>
  <si>
    <t>3-ketoacyl-CoA thiolase</t>
  </si>
  <si>
    <t>Methyltransferase-like protein 13</t>
  </si>
  <si>
    <t>SPARC-like protein 1</t>
  </si>
  <si>
    <t>Src substrate cortactin</t>
  </si>
  <si>
    <t>Segment polarity protein dishevelled homolog DVL-3</t>
  </si>
  <si>
    <t>MpV17 transgene, murine homolog, glomerulosclerosis, isoform CRA_f</t>
  </si>
  <si>
    <t>Synaptogyrin-1</t>
  </si>
  <si>
    <t>Nuclear receptor coactivator 1</t>
  </si>
  <si>
    <t>Tetraspanin-9</t>
  </si>
  <si>
    <t>Protein RFT1 homolog</t>
  </si>
  <si>
    <t>UPF0554 protein C2orf43</t>
  </si>
  <si>
    <t>Calcineurin binding protein 1, isoform CRA_c</t>
  </si>
  <si>
    <t>Echinoderm microtubule associated protein like 3, isoform CRA_e</t>
  </si>
  <si>
    <t>Neurotrimin</t>
  </si>
  <si>
    <t>Parkinson disease 7 domain-containing protein 1</t>
  </si>
  <si>
    <t>Protein disulfide-isomerase A6</t>
  </si>
  <si>
    <t>Major facilitator superfamily domain-containing protein 8</t>
  </si>
  <si>
    <t>Protein phosphatase 1F</t>
  </si>
  <si>
    <t>Thioredoxin reductase 1, cytoplasmic</t>
  </si>
  <si>
    <t>Conserved oligomeric Golgi complex subunit 2</t>
  </si>
  <si>
    <t>Tetraspanin-5</t>
  </si>
  <si>
    <t>Delta-aminolevulinic acid dehydratase</t>
  </si>
  <si>
    <t>Puromycin-sensitive aminopeptidase</t>
  </si>
  <si>
    <t>FYVE, RhoGEF and PH domain-containing protein 4</t>
  </si>
  <si>
    <t>Deoxyribonuclease-2-alpha</t>
  </si>
  <si>
    <t>WW domain-binding protein 4</t>
  </si>
  <si>
    <t>P2X purinoceptor</t>
  </si>
  <si>
    <t>Cysteine conjugate-beta lyase cytoplasmic (Glutamine transaminase K, kyneurenine aminotransferase), isoform CRA_b</t>
  </si>
  <si>
    <t>Transporter</t>
  </si>
  <si>
    <t>Stathmin</t>
  </si>
  <si>
    <t>Junctional adhesion molecule A</t>
  </si>
  <si>
    <t>Long-chain fatty acid transport protein 1</t>
  </si>
  <si>
    <t>2,4-dienoyl-CoA reductase, mitochondrial</t>
  </si>
  <si>
    <t>Acid sphingomyelinase-like phosphodiesterase 3a</t>
  </si>
  <si>
    <t>Transmembrane protein 106A</t>
  </si>
  <si>
    <t>Ubiquitin carboxyl-terminal hydrolase</t>
  </si>
  <si>
    <t>Delta(24)-sterol reductase</t>
  </si>
  <si>
    <t>G-protein-coupled receptor family C group 5 member B</t>
  </si>
  <si>
    <t>Renin receptor</t>
  </si>
  <si>
    <t>Sodium/potassium-transporting ATPase subunit beta-1</t>
  </si>
  <si>
    <t>Endophilin-B2</t>
  </si>
  <si>
    <t>PPP2R5E protein</t>
  </si>
  <si>
    <t>SART3 protein</t>
  </si>
  <si>
    <t>SCARB1 protein</t>
  </si>
  <si>
    <t>COX18 protein</t>
  </si>
  <si>
    <t>ER degradation-enhancing alpha-mannosidase-like protein 3</t>
  </si>
  <si>
    <t>MPDZ protein</t>
  </si>
  <si>
    <t>CARMIL2b</t>
  </si>
  <si>
    <t>Tax1-binding protein 1</t>
  </si>
  <si>
    <t>60S ribosomal protein L31</t>
  </si>
  <si>
    <t>Serine/threonine-protein kinase 16</t>
  </si>
  <si>
    <t>Small ubiquitin-related modifier 1</t>
  </si>
  <si>
    <t>Thymosin alpha-1</t>
  </si>
  <si>
    <t>Coenzyme Q-binding protein COQ10 homolog B, mitochondrial</t>
  </si>
  <si>
    <t>Arf-GAP domain and FG repeat-containing protein 1</t>
  </si>
  <si>
    <t>U4/U6.U5 tri-snRNP-associated protein 2</t>
  </si>
  <si>
    <t>Rhomboid-related protein 4</t>
  </si>
  <si>
    <t>Cytochrome c oxidase assembly factor 5</t>
  </si>
  <si>
    <t>Mitochondrial inner membrane protein</t>
  </si>
  <si>
    <t>TBC1 domain family member 14</t>
  </si>
  <si>
    <t>1-phosphatidylinositol 4,5-bisphosphate phosphodiesterase beta-2</t>
  </si>
  <si>
    <t>PEX7 protein</t>
  </si>
  <si>
    <t>BAK1 protein</t>
  </si>
  <si>
    <t>Putative WAS protein family homolog 3</t>
  </si>
  <si>
    <t>Uncharacterized protein C3orf18</t>
  </si>
  <si>
    <t>Asparagine synthetase domain-containing protein 1 (Fragment)</t>
  </si>
  <si>
    <t>Nuclear-interacting partner of ALK</t>
  </si>
  <si>
    <t>Coiled-coil domain-containing protein 126 (Fragment)</t>
  </si>
  <si>
    <t>Profilin-2</t>
  </si>
  <si>
    <t>Sorcin</t>
  </si>
  <si>
    <t>Interleukin-1 receptor accessory protein (Fragment)</t>
  </si>
  <si>
    <t>Multiple epidermal growth factor-like domains protein 9</t>
  </si>
  <si>
    <t>NEDD8-conjugating enzyme UBE2F</t>
  </si>
  <si>
    <t>Protein phosphatase 1F (Fragment)</t>
  </si>
  <si>
    <t>Ubiquitin-conjugating enzyme E2 E1 (Fragment)</t>
  </si>
  <si>
    <t>Chromosome 3 open reading frame 31, isoform CRA_f</t>
  </si>
  <si>
    <t>Protein IQCJ-SCHIP1</t>
  </si>
  <si>
    <t>Polyhomeotic-like protein 2</t>
  </si>
  <si>
    <t>Programmed cell death protein 10 (Fragment)</t>
  </si>
  <si>
    <t>Transmembrane protein 98 (Fragment)</t>
  </si>
  <si>
    <t>UPF0505 protein C16orf62</t>
  </si>
  <si>
    <t>Phospholipid scramblase 1</t>
  </si>
  <si>
    <t>Histone deacetylase 10</t>
  </si>
  <si>
    <t>GTP-binding protein 10 (Fragment)</t>
  </si>
  <si>
    <t>RNA-binding motif, single-stranded-interacting protein 3</t>
  </si>
  <si>
    <t>40S ribosomal protein SA (Fragment)</t>
  </si>
  <si>
    <t>60S ribosomal export protein NMD3</t>
  </si>
  <si>
    <t>Translocon-associated protein subunit gamma</t>
  </si>
  <si>
    <t>Serine/arginine-rich-splicing factor 7</t>
  </si>
  <si>
    <t>Synaptosomal-associated protein (Fragment)</t>
  </si>
  <si>
    <t>BSD domain-containing protein 1</t>
  </si>
  <si>
    <t>Tissue factor pathway inhibitor (Fragment)</t>
  </si>
  <si>
    <t>SID1 transmembrane family member 2</t>
  </si>
  <si>
    <t>Dr1-associated corepressor</t>
  </si>
  <si>
    <t>Fos-related antigen 2 (Fragment)</t>
  </si>
  <si>
    <t>Tubulin alpha-4A chain (Fragment)</t>
  </si>
  <si>
    <t>Transmembrane and ubiquitin-like domain-containing protein 1 (Fragment)</t>
  </si>
  <si>
    <t>Nuclear receptor corepressor 2</t>
  </si>
  <si>
    <t>Eukaryotic translation initiation factor 4E type 2 (Fragment)</t>
  </si>
  <si>
    <t>Myotubularin-related protein 2 (Fragment)</t>
  </si>
  <si>
    <t>Cdc42 effector protein 3 (Fragment)</t>
  </si>
  <si>
    <t>Protein OSCP1</t>
  </si>
  <si>
    <t>Protein YIPF1 (Fragment)</t>
  </si>
  <si>
    <t>COP9 signalosome complex subunit 1</t>
  </si>
  <si>
    <t>BAG family molecular chaperone regulator 3 (Fragment)</t>
  </si>
  <si>
    <t>Cytochrome c (Fragment)</t>
  </si>
  <si>
    <t>Integral membrane protein 2C (Fragment)</t>
  </si>
  <si>
    <t>Angio-associated migratory cell protein</t>
  </si>
  <si>
    <t>Acylamino-acid-releasing enzyme</t>
  </si>
  <si>
    <t>Vacuolar protein sorting-associated protein 8 homolog</t>
  </si>
  <si>
    <t>Integrin beta-1 (Fragment)</t>
  </si>
  <si>
    <t>Sodium-coupled neutral amino acid transporter 5 (Fragment)</t>
  </si>
  <si>
    <t>Myeloid-associated differentiation marker (Fragment)</t>
  </si>
  <si>
    <t>Armadillo repeat protein deleted in velo-cardio-facial syndrome</t>
  </si>
  <si>
    <t>Integrin alpha-6 heavy chain (Fragment)</t>
  </si>
  <si>
    <t>DNA-directed RNA polymerases I, II, and III subunit RPABC3 (Fragment)</t>
  </si>
  <si>
    <t>Apoptotic protease-activating factor 1</t>
  </si>
  <si>
    <t>Septin-5</t>
  </si>
  <si>
    <t>Peptidyl-prolyl cis-trans isomerase (Fragment)</t>
  </si>
  <si>
    <t>Inositol hexakisphosphate kinase 1</t>
  </si>
  <si>
    <t>Nuclear factor erythroid 2-related factor 1 (Fragment)</t>
  </si>
  <si>
    <t>MLN64 N-terminal domain homolog (Fragment)</t>
  </si>
  <si>
    <t>Coiled-coil domain-containing protein 58</t>
  </si>
  <si>
    <t>Nucleoside diphosphate kinase</t>
  </si>
  <si>
    <t>Forkhead box protein P2 (Fragment)</t>
  </si>
  <si>
    <t>Serine/threonine-protein kinase 11-interacting protein</t>
  </si>
  <si>
    <t>Vesicle-trafficking protein SEC22a (Fragment)</t>
  </si>
  <si>
    <t>Coiled-coil-helix-coiled-coil-helix domain-containing protein 3, mitochondrial</t>
  </si>
  <si>
    <t>Proton-coupled folate transporter</t>
  </si>
  <si>
    <t>Zinc finger protein 513 (Fragment)</t>
  </si>
  <si>
    <t>BET1 homolog</t>
  </si>
  <si>
    <t>Actin, cytoplasmic 2 (Fragment)</t>
  </si>
  <si>
    <t>Eukaryotic initiation factor 4A-II (Fragment)</t>
  </si>
  <si>
    <t>L-2-hydroxyglutarate dehydrogenase, mitochondrial</t>
  </si>
  <si>
    <t>60S ribosomal protein L24</t>
  </si>
  <si>
    <t>Lipoma-preferred partner (Fragment)</t>
  </si>
  <si>
    <t>Synaptophysin-like protein 1</t>
  </si>
  <si>
    <t>Neuronal cell adhesion molecule</t>
  </si>
  <si>
    <t>Inositol polyphosphate 5-phosphatase K (Fragment)</t>
  </si>
  <si>
    <t>Replication factor C subunit 4</t>
  </si>
  <si>
    <t>Poly(rC)-binding protein 4 (Fragment)</t>
  </si>
  <si>
    <t>Ubiquitin-conjugating enzyme E2 H (Fragment)</t>
  </si>
  <si>
    <t>Ras association (RalGDS/AF-6) and pleckstrin homology domains 1, isoform CRA_b</t>
  </si>
  <si>
    <t>Butyrophilin subfamily 3 member A3</t>
  </si>
  <si>
    <t>Eukaryotic translation initiation factor 4 gamma 2 (Fragment)</t>
  </si>
  <si>
    <t>Interferon-induced protein with tetratricopeptide repeats 1</t>
  </si>
  <si>
    <t>Phosphatidylcholine:ceramide cholinephosphotransferase 1</t>
  </si>
  <si>
    <t>60S ribosomal protein L32 (Fragment)</t>
  </si>
  <si>
    <t>NADPH-dependent diflavin oxidoreductase 1</t>
  </si>
  <si>
    <t>Tapasin</t>
  </si>
  <si>
    <t>Calcium/calmodulin-dependent protein kinase (CaM kinase) II delta, isoform CRA_e</t>
  </si>
  <si>
    <t>DNA-directed RNA polymerase III subunit RPC7 (Fragment)</t>
  </si>
  <si>
    <t>DNA excision repair protein ERCC-6 (Fragment)</t>
  </si>
  <si>
    <t>Cytochrome c oxidase subunit 7C, mitochondrial</t>
  </si>
  <si>
    <t>Pleiotropic regulator 1 (Fragment)</t>
  </si>
  <si>
    <t>Microfibrillar-associated protein 3-like (Fragment)</t>
  </si>
  <si>
    <t>Alpha-methylacyl-CoA racemase</t>
  </si>
  <si>
    <t>Eukaryotic translation initiation factor 4E</t>
  </si>
  <si>
    <t>Estradiol 17-beta-dehydrogenase 11</t>
  </si>
  <si>
    <t>Tumor necrosis factor alpha-induced protein 8</t>
  </si>
  <si>
    <t>Rho GTPase-activating protein 24 (Fragment)</t>
  </si>
  <si>
    <t>40S ribosomal protein S23</t>
  </si>
  <si>
    <t>Protein CDV3 homolog</t>
  </si>
  <si>
    <t>Embigin</t>
  </si>
  <si>
    <t>UDP-N-acetylglucosamine transferase subunit ALG13 homolog (Fragment)</t>
  </si>
  <si>
    <t>Alpha-L-iduronidase</t>
  </si>
  <si>
    <t>CDC42 small effector protein 2</t>
  </si>
  <si>
    <t>Protein Red (Fragment)</t>
  </si>
  <si>
    <t>GRAM domain-containing protein 3 (Fragment)</t>
  </si>
  <si>
    <t>Beta-hexosaminidase subunit beta</t>
  </si>
  <si>
    <t>Putative sodium-coupled neutral amino acid transporter 9 (Fragment)</t>
  </si>
  <si>
    <t>Protein transport protein Sec31A</t>
  </si>
  <si>
    <t>Protein sprouty homolog 1 (Fragment)</t>
  </si>
  <si>
    <t>Heterogeneous nuclear ribonucleoprotein D0 (Fragment)</t>
  </si>
  <si>
    <t>Syntaxin-18</t>
  </si>
  <si>
    <t>Deoxycytidine kinase</t>
  </si>
  <si>
    <t>Unconventional myosin-X (Fragment)</t>
  </si>
  <si>
    <t>Collagen alpha-1(XII) chain</t>
  </si>
  <si>
    <t>Mitochondrial sodium/hydrogen exchanger 9B2 (Fragment)</t>
  </si>
  <si>
    <t>28S ribosomal protein S27, mitochondrial (Fragment)</t>
  </si>
  <si>
    <t>Serine incorporator 5</t>
  </si>
  <si>
    <t>Cyclin-H</t>
  </si>
  <si>
    <t>Ribonuclease T2 (Fragment)</t>
  </si>
  <si>
    <t>Cytochrome c oxidase subunit 7A2, mitochondrial</t>
  </si>
  <si>
    <t>Claudin domain-containing protein 1 (Fragment)</t>
  </si>
  <si>
    <t>Major facilitator superfamily domain-containing protein 10</t>
  </si>
  <si>
    <t>Rieske domain-containing protein</t>
  </si>
  <si>
    <t>von Willebrand factor A domain-containing protein 8</t>
  </si>
  <si>
    <t>Receptor expression-enhancing protein 5 (Fragment)</t>
  </si>
  <si>
    <t>Inositol monophosphatase 1 (Fragment)</t>
  </si>
  <si>
    <t>Putative deoxyribonuclease TATDN1 (Fragment)</t>
  </si>
  <si>
    <t>Derlin-1</t>
  </si>
  <si>
    <t>Transcription initiation factor IIE subunit beta (Fragment)</t>
  </si>
  <si>
    <t>Proton-coupled amino acid transporter 1 (Fragment)</t>
  </si>
  <si>
    <t>Transcription elongation factor B polypeptide 1 (Fragment)</t>
  </si>
  <si>
    <t>Cytochrome b-c1 complex subunit 7</t>
  </si>
  <si>
    <t>TELO2-interacting protein 2</t>
  </si>
  <si>
    <t>Transmembrane protein 55A</t>
  </si>
  <si>
    <t>Coiled-coil-helix-coiled-coil-helix domain-containing protein 7 (Fragment)</t>
  </si>
  <si>
    <t>PH and SEC7 domain-containing protein 3</t>
  </si>
  <si>
    <t>AP-3 complex subunit mu-2 (Fragment)</t>
  </si>
  <si>
    <t>AN1-type zinc finger protein 1</t>
  </si>
  <si>
    <t>S-phase kinase-associated protein 1</t>
  </si>
  <si>
    <t>Serine/threonine-protein kinase Sgk3 (Fragment)</t>
  </si>
  <si>
    <t>Centrin-3</t>
  </si>
  <si>
    <t>GPI ethanolamine phosphate transferase 2</t>
  </si>
  <si>
    <t>COP9 signalosome complex subunit 6</t>
  </si>
  <si>
    <t>Peroxisomal NADH pyrophosphatase NUDT12</t>
  </si>
  <si>
    <t>Acid trehalase-like protein 1</t>
  </si>
  <si>
    <t>Aspartyl aminopeptidase</t>
  </si>
  <si>
    <t>Acid ceramidase</t>
  </si>
  <si>
    <t>Dyslexia-associated protein KIAA0319-like protein (Fragment)</t>
  </si>
  <si>
    <t>Nicastrin</t>
  </si>
  <si>
    <t>Regulating synaptic membrane exocytosis protein 1</t>
  </si>
  <si>
    <t>Uncharacterized protein C12orf43</t>
  </si>
  <si>
    <t>Calcium-binding and coiled-coil domain-containing protein 2</t>
  </si>
  <si>
    <t>CD44 antigen</t>
  </si>
  <si>
    <t>Target of Myb protein 1</t>
  </si>
  <si>
    <t>Pyridoxal-dependent decarboxylase domain-containing protein 1</t>
  </si>
  <si>
    <t>Protein PRRC2C</t>
  </si>
  <si>
    <t>Syntaxin-binding protein 4</t>
  </si>
  <si>
    <t>Gamma-interferon-inducible protein 16</t>
  </si>
  <si>
    <t>Receptor-type tyrosine-protein phosphatase mu</t>
  </si>
  <si>
    <t>NADH dehydrogenase [ubiquinone] flavoprotein 2, mitochondrial</t>
  </si>
  <si>
    <t>Alpha-synuclein</t>
  </si>
  <si>
    <t>N-alpha-acetyltransferase 50</t>
  </si>
  <si>
    <t>Kaliocin-1 (Fragment)</t>
  </si>
  <si>
    <t>tRNA-splicing endonuclease subunit Sen34</t>
  </si>
  <si>
    <t>Gamma-tubulin complex component 6</t>
  </si>
  <si>
    <t>Protein YIPF3</t>
  </si>
  <si>
    <t>Apoptotic chromatin condensation inducer in the nucleus</t>
  </si>
  <si>
    <t>Survival motor neuron protein</t>
  </si>
  <si>
    <t>MKL/myocardin-like protein 1</t>
  </si>
  <si>
    <t>Synaptojanin-2</t>
  </si>
  <si>
    <t>Sulfate adenylyltransferase</t>
  </si>
  <si>
    <t>GEM-interacting protein</t>
  </si>
  <si>
    <t>Calcium-transporting ATPase type 2C member 1</t>
  </si>
  <si>
    <t>Tensin-1 (Fragment)</t>
  </si>
  <si>
    <t>Intersectin-1</t>
  </si>
  <si>
    <t>Translation initiation factor eIF-2B subunit delta</t>
  </si>
  <si>
    <t>Microtubule-associated serine/threonine-protein kinase 2</t>
  </si>
  <si>
    <t>Zinc finger CCCH domain-containing protein 18</t>
  </si>
  <si>
    <t>Hephaestin</t>
  </si>
  <si>
    <t>Tetratricopeptide repeat protein 38</t>
  </si>
  <si>
    <t>Heat shock 70 kDa protein 4L</t>
  </si>
  <si>
    <t>Presenilin-1</t>
  </si>
  <si>
    <t>Integrin alpha-2</t>
  </si>
  <si>
    <t>Angiomotin-like protein 1</t>
  </si>
  <si>
    <t>NADH dehydrogenase [ubiquinone] 1 alpha subcomplex subunit 10, mitochondrial</t>
  </si>
  <si>
    <t>Urokinase-type plasminogen activator chain B</t>
  </si>
  <si>
    <t>Methyl-CpG-binding domain protein 1</t>
  </si>
  <si>
    <t>40S ribosomal protein S24</t>
  </si>
  <si>
    <t>RNA-binding motif, single-stranded-interacting protein 1</t>
  </si>
  <si>
    <t>RING finger and CHY zinc finger domain-containing protein 1</t>
  </si>
  <si>
    <t>Basic leucine zipper and W2 domain-containing protein 2 (Fragment)</t>
  </si>
  <si>
    <t>Platelet glycoprotein 4 (Fragment)</t>
  </si>
  <si>
    <t>Rab GDP dissociation inhibitor beta</t>
  </si>
  <si>
    <t>Casein kinase II subunit alpha</t>
  </si>
  <si>
    <t>Neuron navigator 3</t>
  </si>
  <si>
    <t>Dickkopf-related protein 3</t>
  </si>
  <si>
    <t>Nucleoporin p54</t>
  </si>
  <si>
    <t>Latent-transforming growth factor beta-binding protein 4</t>
  </si>
  <si>
    <t>DNA-dependent protein kinase catalytic subunit</t>
  </si>
  <si>
    <t>Propionyl-CoA carboxylase beta chain, mitochondrial</t>
  </si>
  <si>
    <t>Calpain-5</t>
  </si>
  <si>
    <t>AN1-type zinc finger protein 2B (Fragment)</t>
  </si>
  <si>
    <t>Microtubule-associated protein</t>
  </si>
  <si>
    <t>Autophagy-related protein 16-1</t>
  </si>
  <si>
    <t>Pseudouridine-5-monophosphatase (Fragment)</t>
  </si>
  <si>
    <t>14-3-3 protein zeta/delta (Fragment)</t>
  </si>
  <si>
    <t>Unconventional myosin-VI</t>
  </si>
  <si>
    <t>Vacuolar fusion protein MON1 homolog B</t>
  </si>
  <si>
    <t>Septin-10</t>
  </si>
  <si>
    <t>Abl interactor 2</t>
  </si>
  <si>
    <t>Ras GTPase-activating-like protein IQGAP2 (Fragment)</t>
  </si>
  <si>
    <t>Zinc finger MIZ domain-containing protein 2</t>
  </si>
  <si>
    <t>NADH dehydrogenase [ubiquinone] 1 beta subcomplex subunit 5, mitochondrial</t>
  </si>
  <si>
    <t>MAGUK p55 subfamily member 2</t>
  </si>
  <si>
    <t>Eukaryotic translation initiation factor 4B</t>
  </si>
  <si>
    <t>Dynactin subunit 1</t>
  </si>
  <si>
    <t>Nuclear cap-binding protein subunit 2</t>
  </si>
  <si>
    <t>Ribonucleoprotein PTB-binding 1</t>
  </si>
  <si>
    <t>HEAT repeat-containing protein 5A</t>
  </si>
  <si>
    <t>THO complex subunit 4</t>
  </si>
  <si>
    <t>Succinate dehydrogenase [ubiquinone] flavoprotein subunit, mitochondrial</t>
  </si>
  <si>
    <t>Conserved oligomeric Golgi complex subunit 1 (Fragment)</t>
  </si>
  <si>
    <t>Phosphoribosylaminoimidazole carboxylase (Fragment)</t>
  </si>
  <si>
    <t>Acylglycerol kinase, mitochondrial</t>
  </si>
  <si>
    <t>LIM domain kinase 1</t>
  </si>
  <si>
    <t>Translation initiation factor eIF-2B subunit epsilon</t>
  </si>
  <si>
    <t>Folliculin-interacting protein 1</t>
  </si>
  <si>
    <t>Putative E3 ubiquitin-protein ligase UBR7</t>
  </si>
  <si>
    <t>Golgi SNAP receptor complex member 1</t>
  </si>
  <si>
    <t>Heterogeneous nuclear ribonucleoprotein H</t>
  </si>
  <si>
    <t>Unconventional myosin-Ib</t>
  </si>
  <si>
    <t>Dystrophin</t>
  </si>
  <si>
    <t>Kinesin-like protein KIF13A</t>
  </si>
  <si>
    <t>Integrin beta</t>
  </si>
  <si>
    <t>Epsilon-sarcoglycan</t>
  </si>
  <si>
    <t>Exportin-7</t>
  </si>
  <si>
    <t>Protein kinase C-binding protein NELL1</t>
  </si>
  <si>
    <t>Disco-interacting protein 2 homolog A</t>
  </si>
  <si>
    <t>3-phosphoinositide-dependent protein kinase 1</t>
  </si>
  <si>
    <t>Protein diaphanous homolog 1</t>
  </si>
  <si>
    <t>Nuclear pore complex protein Nup155</t>
  </si>
  <si>
    <t>Acyl-CoA synthetase family member 2, mitochondrial</t>
  </si>
  <si>
    <t>Hydroxyacyl-coenzyme A dehydrogenase, mitochondrial</t>
  </si>
  <si>
    <t>Transducin beta-like protein 2</t>
  </si>
  <si>
    <t>Tensin-1</t>
  </si>
  <si>
    <t>C-Jun-amino-terminal kinase-interacting protein 3</t>
  </si>
  <si>
    <t>Rab5 GDP/GTP exchange factor</t>
  </si>
  <si>
    <t>Serine/threonine-protein phosphatase 2A 56 kDa regulatory subunit delta isoform</t>
  </si>
  <si>
    <t>FCH and double SH3 domains protein 2</t>
  </si>
  <si>
    <t>Centrosomal protein of 97 kDa</t>
  </si>
  <si>
    <t>Ephrin type-A receptor 4</t>
  </si>
  <si>
    <t>Sideroflexin-4</t>
  </si>
  <si>
    <t>Ras GTPase-activating protein 1</t>
  </si>
  <si>
    <t>Plasma protease C1 inhibitor</t>
  </si>
  <si>
    <t>Translin</t>
  </si>
  <si>
    <t>COP9 signalosome complex subunit 8</t>
  </si>
  <si>
    <t>Thioredoxin-dependent peroxide reductase, mitochondrial</t>
  </si>
  <si>
    <t>Cytochrome P450 20A1</t>
  </si>
  <si>
    <t>Treacle protein</t>
  </si>
  <si>
    <t>Sperm-specific antigen 2</t>
  </si>
  <si>
    <t>Maestro heat-like repeat-containing protein family member 1</t>
  </si>
  <si>
    <t>Protein kinase C delta-binding protein</t>
  </si>
  <si>
    <t>Thy-1 membrane glycoprotein (Fragment)</t>
  </si>
  <si>
    <t>T-complex protein 11-like protein 1</t>
  </si>
  <si>
    <t>Myomegalin</t>
  </si>
  <si>
    <t>UBX domain-containing protein 1 (Fragment)</t>
  </si>
  <si>
    <t>Macrophage colony-stimulating factor 1 (Fragment)</t>
  </si>
  <si>
    <t>Cysteine and histidine-rich protein 1</t>
  </si>
  <si>
    <t>CD81 antigen</t>
  </si>
  <si>
    <t>FTS and Hook-interacting protein</t>
  </si>
  <si>
    <t>Elongation factor 1-delta (Fragment)</t>
  </si>
  <si>
    <t>Poly [ADP-ribose] polymerase 10</t>
  </si>
  <si>
    <t>Sorting nexin-19</t>
  </si>
  <si>
    <t>AMP deaminase 3</t>
  </si>
  <si>
    <t>Protein arginine N-methyltransferase 1</t>
  </si>
  <si>
    <t>Serpin H1</t>
  </si>
  <si>
    <t>Tumor protein p53-inducible protein 11 (Fragment)</t>
  </si>
  <si>
    <t>Porimin</t>
  </si>
  <si>
    <t>Tetratricopeptide repeat protein 9C (Fragment)</t>
  </si>
  <si>
    <t>60S ribosomal protein L8 (Fragment)</t>
  </si>
  <si>
    <t>Signal peptidase complex subunit 2</t>
  </si>
  <si>
    <t>Hypoxia up-regulated protein 1</t>
  </si>
  <si>
    <t>Etoposide-induced protein 2.4 homolog (Fragment)</t>
  </si>
  <si>
    <t>Glycosylphosphatidylinositol anchor attachment 1 protein (Fragment)</t>
  </si>
  <si>
    <t>60S ribosomal protein L27a</t>
  </si>
  <si>
    <t>DCN1-like protein 5</t>
  </si>
  <si>
    <t>Small acidic protein (Fragment)</t>
  </si>
  <si>
    <t>Malic enzyme (Fragment)</t>
  </si>
  <si>
    <t>Upstream stimulatory factor 1 (Fragment)</t>
  </si>
  <si>
    <t>Methylosome subunit pICln</t>
  </si>
  <si>
    <t>Protein FAM118B (Fragment)</t>
  </si>
  <si>
    <t>LIM domain only protein 7 (Fragment)</t>
  </si>
  <si>
    <t>Heat shock factor protein 1</t>
  </si>
  <si>
    <t>Tetraspanin-4 (Fragment)</t>
  </si>
  <si>
    <t>Receptor-binding cancer antigen-expressed on SiSo cells</t>
  </si>
  <si>
    <t>Radixin (Fragment)</t>
  </si>
  <si>
    <t>Serpin H1 (Fragment)</t>
  </si>
  <si>
    <t>Putative deoxyribose-phosphate aldolase</t>
  </si>
  <si>
    <t>Epiplakin</t>
  </si>
  <si>
    <t>N-acetyl-D-glucosamine kinase</t>
  </si>
  <si>
    <t>NADH dehydrogenase [ubiquinone] iron-sulfur protein 8, mitochondrial (Fragment)</t>
  </si>
  <si>
    <t>Lathosterol oxidase</t>
  </si>
  <si>
    <t>Tubby protein homolog</t>
  </si>
  <si>
    <t>Caspase recruitment domain-containing protein 16 (Fragment)</t>
  </si>
  <si>
    <t>Prefoldin subunit 4</t>
  </si>
  <si>
    <t>CD59 glycoprotein</t>
  </si>
  <si>
    <t>40S ribosomal protein S30</t>
  </si>
  <si>
    <t>Alpha-crystallin B chain (Fragment)</t>
  </si>
  <si>
    <t>Cathepsin B heavy chain (Fragment)</t>
  </si>
  <si>
    <t>UV radiation resistance-associated gene protein</t>
  </si>
  <si>
    <t>Repressor of RNA polymerase III transcription MAF1 homolog (Fragment)</t>
  </si>
  <si>
    <t>Solute carrier family 22 member 18</t>
  </si>
  <si>
    <t>Probable RNA-binding protein EIF1AD</t>
  </si>
  <si>
    <t>EGF-containing fibulin-like extracellular matrix protein 2</t>
  </si>
  <si>
    <t>Fatty acid desaturase 3</t>
  </si>
  <si>
    <t>N-terminal kinase-like protein</t>
  </si>
  <si>
    <t>Protein NEDD8-MDP1</t>
  </si>
  <si>
    <t>Transmembrane 9 superfamily member 1</t>
  </si>
  <si>
    <t>Gamma-tubulin complex component 2</t>
  </si>
  <si>
    <t>6-phosphofructo-2-kinase</t>
  </si>
  <si>
    <t>Myosin-14</t>
  </si>
  <si>
    <t>Exportin-4</t>
  </si>
  <si>
    <t>Complement C1r subcomponent-like protein</t>
  </si>
  <si>
    <t>Serine/threonine-protein kinase WNK1</t>
  </si>
  <si>
    <t>Mothers against decapentaplegic homolog 5</t>
  </si>
  <si>
    <t>Chromodomain-helicase-DNA-binding protein 4</t>
  </si>
  <si>
    <t>Podocalyxin</t>
  </si>
  <si>
    <t>Cytosine-specific methyltransferase</t>
  </si>
  <si>
    <t>Succinyl-CoA ligase [ADP-forming] subunit beta, mitochondrial</t>
  </si>
  <si>
    <t>Arginyl-tRNA--protein transferase 1</t>
  </si>
  <si>
    <t>Tumor necrosis factor receptor superfamily member 3</t>
  </si>
  <si>
    <t>Receptor-type tyrosine-protein phosphatase kappa</t>
  </si>
  <si>
    <t>DnaJ homolog subfamily B member 11</t>
  </si>
  <si>
    <t>Integral membrane protein 2C</t>
  </si>
  <si>
    <t>Dolichyl-diphosphooligosaccharide--protein glycosyltransferase subunit DAD1</t>
  </si>
  <si>
    <t>WASH complex subunit CCDC53</t>
  </si>
  <si>
    <t>Transmembrane glycoprotein NMB</t>
  </si>
  <si>
    <t>Polypeptide N-acetylgalactosaminyltransferase 1 soluble form</t>
  </si>
  <si>
    <t>Uncharacterized protein</t>
  </si>
  <si>
    <t>Striatin-4</t>
  </si>
  <si>
    <t>Ubiquitin thioesterase OTUB1</t>
  </si>
  <si>
    <t>Diacylglycerol kinase eta</t>
  </si>
  <si>
    <t>V-type proton ATPase subunit d 1</t>
  </si>
  <si>
    <t>Paxillin</t>
  </si>
  <si>
    <t>FERM, RhoGEF and pleckstrin domain-containing protein 2</t>
  </si>
  <si>
    <t>Processed exostosin-like 2</t>
  </si>
  <si>
    <t>Tripartite motif-containing protein 59</t>
  </si>
  <si>
    <t>Probable ATP-dependent RNA helicase DHX36</t>
  </si>
  <si>
    <t>4F2 cell-surface antigen heavy chain</t>
  </si>
  <si>
    <t>Constitutive coactivator of peroxisome proliferator-activated receptor gamma</t>
  </si>
  <si>
    <t>Gamma-aminobutyric acid receptor-associated protein-like 1 (Fragment)</t>
  </si>
  <si>
    <t>E3 ubiquitin-protein ligase TRIM21</t>
  </si>
  <si>
    <t>SEC23-interacting protein</t>
  </si>
  <si>
    <t>RNA polymerase I-specific transcription initiation factor RRN3</t>
  </si>
  <si>
    <t>Fermitin family homolog 3 (Fragment)</t>
  </si>
  <si>
    <t>Fibulin-2</t>
  </si>
  <si>
    <t>Abl interactor 1</t>
  </si>
  <si>
    <t>Neural cell adhesion molecule L1</t>
  </si>
  <si>
    <t>Protein-L-isoaspartate O-methyltransferase domain-containing protein 1</t>
  </si>
  <si>
    <t>Lipopolysaccharide-responsive and beige-like anchor protein</t>
  </si>
  <si>
    <t>Golgi-associated PDZ and coiled-coil motif-containing protein</t>
  </si>
  <si>
    <t>PCTP-like protein (Fragment)</t>
  </si>
  <si>
    <t>Transmembrane protein 135</t>
  </si>
  <si>
    <t>WD repeat and SOCS box-containing protein 2</t>
  </si>
  <si>
    <t>Ankyrin repeat and LEM domain-containing protein 2</t>
  </si>
  <si>
    <t>Vacuole membrane protein 1</t>
  </si>
  <si>
    <t>Protein lunapark</t>
  </si>
  <si>
    <t>Dynactin subunit 2</t>
  </si>
  <si>
    <t>Serine/threonine-protein kinase PRP4 homolog</t>
  </si>
  <si>
    <t>Neuropilin-2</t>
  </si>
  <si>
    <t>RNA-binding protein with multiple-splicing</t>
  </si>
  <si>
    <t>Protein transport protein Sec23A</t>
  </si>
  <si>
    <t>Protein Shroom2</t>
  </si>
  <si>
    <t>MANSC domain-containing protein 1</t>
  </si>
  <si>
    <t>Transmembrane protein 117</t>
  </si>
  <si>
    <t>Procollagen galactosyltransferase 2</t>
  </si>
  <si>
    <t>Leucine-rich repeat and calponin homology domain-containing protein 3</t>
  </si>
  <si>
    <t>Tumor susceptibility gene 101 protein</t>
  </si>
  <si>
    <t>RRP12-like protein</t>
  </si>
  <si>
    <t>Importin subunit alpha</t>
  </si>
  <si>
    <t>ATP synthase subunit f, mitochondrial</t>
  </si>
  <si>
    <t>Protein wntless homolog</t>
  </si>
  <si>
    <t>Vacuolar protein sorting-associated protein 37C (Fragment)</t>
  </si>
  <si>
    <t>Ecotropic viral integration site 5 protein homolog</t>
  </si>
  <si>
    <t>Kelch-like protein 42</t>
  </si>
  <si>
    <t>Amphiphysin</t>
  </si>
  <si>
    <t>V-type proton ATPase 116 kDa subunit a isoform 1</t>
  </si>
  <si>
    <t>Protein BRICK1</t>
  </si>
  <si>
    <t>Mitogen-activated protein kinase kinase kinase kinase</t>
  </si>
  <si>
    <t>Tubulin alpha-1C chain</t>
  </si>
  <si>
    <t>Interferon gamma receptor 1</t>
  </si>
  <si>
    <t>Serine/threonine-protein kinase MRCK alpha</t>
  </si>
  <si>
    <t>NADH dehydrogenase [ubiquinone] iron-sulfur protein 7, mitochondrial</t>
  </si>
  <si>
    <t>2-oxoisovalerate dehydrogenase subunit alpha, mitochondrial</t>
  </si>
  <si>
    <t>Probable sodium-coupled neutral amino acid transporter 6</t>
  </si>
  <si>
    <t>CLIP-associating protein 2</t>
  </si>
  <si>
    <t>Oxidoreductase NAD-binding domain-containing protein 1</t>
  </si>
  <si>
    <t>Leucine--tRNA ligase, cytoplasmic</t>
  </si>
  <si>
    <t>Cyclin-dependent kinase 17</t>
  </si>
  <si>
    <t>WW domain-binding protein 11</t>
  </si>
  <si>
    <t>Voltage-dependent anion-selective channel protein 3</t>
  </si>
  <si>
    <t>Methionine-R-sulfoxide reductase B3 (Fragment)</t>
  </si>
  <si>
    <t>Lactadherin short form</t>
  </si>
  <si>
    <t>2-oxoglutarate dehydrogenase, mitochondrial</t>
  </si>
  <si>
    <t>Monocarboxylate transporter 2</t>
  </si>
  <si>
    <t>Type I inositol 3,4-bisphosphate 4-phosphatase</t>
  </si>
  <si>
    <t>Heat shock protein 75 kDa, mitochondrial</t>
  </si>
  <si>
    <t>DNA repair protein XRCC1</t>
  </si>
  <si>
    <t>Mevalonate kinase</t>
  </si>
  <si>
    <t>Cleft lip and palate transmembrane protein 1</t>
  </si>
  <si>
    <t>Epsin-2 (Fragment)</t>
  </si>
  <si>
    <t>Lysine-specific histone demethylase 1A</t>
  </si>
  <si>
    <t>2,5-phosphodiesterase 12</t>
  </si>
  <si>
    <t>Large proline-rich protein BAG6 (Fragment)</t>
  </si>
  <si>
    <t>Calcineurin subunit B type 1</t>
  </si>
  <si>
    <t>Dual-specificity mitogen-activated protein kinase kinase 7</t>
  </si>
  <si>
    <t>Eukaryotic translation initiation factor 4B (Fragment)</t>
  </si>
  <si>
    <t>CCR4-NOT transcription complex subunit 2 (Fragment)</t>
  </si>
  <si>
    <t>DNA fragmentation factor subunit beta</t>
  </si>
  <si>
    <t>Voltage-gated hydrogen channel 1</t>
  </si>
  <si>
    <t>Overexpressed in colon carcinoma 1 protein (Fragment)</t>
  </si>
  <si>
    <t>Methionine aminopeptidase</t>
  </si>
  <si>
    <t>Transmembrane protein 19 (Fragment)</t>
  </si>
  <si>
    <t>Serine/threonine-protein kinase Nek3</t>
  </si>
  <si>
    <t>Nuclear transcription factor Y subunit beta (Fragment)</t>
  </si>
  <si>
    <t>Plexin-A1</t>
  </si>
  <si>
    <t>Peptidyl-prolyl cis-trans isomerase</t>
  </si>
  <si>
    <t>Protein POC1B-GALNT4</t>
  </si>
  <si>
    <t>CD63 antigen</t>
  </si>
  <si>
    <t>Nucleosome assembly protein 1-like 1</t>
  </si>
  <si>
    <t>Tensin-like C1 domain-containing phosphatase</t>
  </si>
  <si>
    <t>Probable ATP-dependent RNA helicase DDX23 (Fragment)</t>
  </si>
  <si>
    <t>Coatomer subunit zeta-1</t>
  </si>
  <si>
    <t>Phosphofurin acidic cluster sorting protein 2</t>
  </si>
  <si>
    <t>Cysteine and glycine-rich protein 2</t>
  </si>
  <si>
    <t>Protein MON2 homolog</t>
  </si>
  <si>
    <t>Tetraspanin-31</t>
  </si>
  <si>
    <t>SWI/SNF complex subunit SMARCC2</t>
  </si>
  <si>
    <t>Protein SCAF11</t>
  </si>
  <si>
    <t>ARF GTPase-activating protein GIT2</t>
  </si>
  <si>
    <t>Nucleosome assembly protein 1-like 1 (Fragment)</t>
  </si>
  <si>
    <t>ADP-ribosylation factor-like protein 1</t>
  </si>
  <si>
    <t>DnaJ homolog subfamily C member 14 (Fragment)</t>
  </si>
  <si>
    <t>Nascent polypeptide-associated complex subunit alpha</t>
  </si>
  <si>
    <t>Chromatin complexes subunit BAP18</t>
  </si>
  <si>
    <t>Cholinephosphotransferase 1</t>
  </si>
  <si>
    <t>Acyl-CoA dehydrogenase family member 10</t>
  </si>
  <si>
    <t>Natural resistance-associated macrophage protein 2</t>
  </si>
  <si>
    <t>Biotinidase</t>
  </si>
  <si>
    <t>RNA-binding motif, single-stranded-interacting protein 2</t>
  </si>
  <si>
    <t>Heterogeneous nuclear ribonucleoprotein A1</t>
  </si>
  <si>
    <t>Tripartite motif-containing protein 5</t>
  </si>
  <si>
    <t>Echinoderm microtubule-associated protein-like 1</t>
  </si>
  <si>
    <t>Ubiquitin-associated protein 2-like</t>
  </si>
  <si>
    <t>Molybdopterin molybdenumtransferase</t>
  </si>
  <si>
    <t>Sodium bicarbonate cotransporter 3</t>
  </si>
  <si>
    <t>Protein FAM162A</t>
  </si>
  <si>
    <t>Nucleolysin TIA-1 isoform p40</t>
  </si>
  <si>
    <t>Protein phosphatase 1 regulatory subunit 12B</t>
  </si>
  <si>
    <t>Protein unc-13 homolog B</t>
  </si>
  <si>
    <t>Insulin-like growth factor 2 mRNA-binding protein 2</t>
  </si>
  <si>
    <t>Replication factor C subunit 5</t>
  </si>
  <si>
    <t>CLIP-associating protein 1</t>
  </si>
  <si>
    <t>Myotubularin-related protein 1</t>
  </si>
  <si>
    <t>Uridine kinase</t>
  </si>
  <si>
    <t>SOSS complex subunit B2</t>
  </si>
  <si>
    <t>DENN domain-containing protein 2A</t>
  </si>
  <si>
    <t>39S ribosomal protein L40, mitochondrial</t>
  </si>
  <si>
    <t>E3 ubiquitin-protein ligase RNF149</t>
  </si>
  <si>
    <t>Kinesin-like protein KIF21A</t>
  </si>
  <si>
    <t>Atlastin-1</t>
  </si>
  <si>
    <t>Polyhomeotic-like protein 3</t>
  </si>
  <si>
    <t>Proline-, glutamic acid- and leucine-rich protein 1</t>
  </si>
  <si>
    <t>Unconventional myosin-Va</t>
  </si>
  <si>
    <t>DNA (cytosine-5)-methyltransferase 3A</t>
  </si>
  <si>
    <t>Methylmalonic aciduria and homocystinuria type D protein, mitochondrial</t>
  </si>
  <si>
    <t>Translocation protein SEC62</t>
  </si>
  <si>
    <t>Cleavage and polyadenylation-specificity factor subunit 6</t>
  </si>
  <si>
    <t>NADH dehydrogenase (Ubiquinone) flavoprotein 1, 51kDa, isoform CRA_c</t>
  </si>
  <si>
    <t>OTU domain containing 4, isoform CRA_f</t>
  </si>
  <si>
    <t>Family with sequence similarity 91, member A1, isoform CRA_c</t>
  </si>
  <si>
    <t>Caspase</t>
  </si>
  <si>
    <t>Gasdermin domain containing 1, isoform CRA_d</t>
  </si>
  <si>
    <t>Down syndrome cell adhesion molecule like 1, isoform CRA_a</t>
  </si>
  <si>
    <t>Paraoxonase 2, isoform CRA_a</t>
  </si>
  <si>
    <t>Tight junction protein 1 (Zona occludens 1), isoform CRA_a</t>
  </si>
  <si>
    <t>HCG1745306, isoform CRA_a</t>
  </si>
  <si>
    <t>Loss of heterozygosity 12 chromosomal region 1 protein</t>
  </si>
  <si>
    <t>Transcription factor 8 (Represses interleukin 2 expression), isoform CRA_b</t>
  </si>
  <si>
    <t>Inositol-3-phosphate synthase 1</t>
  </si>
  <si>
    <t>Nuclear pore complex protein Nup107</t>
  </si>
  <si>
    <t>Activating transcription factor 7 interacting protein, isoform CRA_f</t>
  </si>
  <si>
    <t>60S ribosomal protein L18</t>
  </si>
  <si>
    <t>HCG2044781</t>
  </si>
  <si>
    <t>Acylphosphatase</t>
  </si>
  <si>
    <t>Spermatogenesis-associated protein 7</t>
  </si>
  <si>
    <t>DDB1- and CUL4-associated factor 8</t>
  </si>
  <si>
    <t>Ataxin-3 (Fragment)</t>
  </si>
  <si>
    <t>Homeobox protein SIX4</t>
  </si>
  <si>
    <t>Spermatogenesis-defective protein 39 homolog</t>
  </si>
  <si>
    <t>AP-4 complex subunit sigma-1 (Fragment)</t>
  </si>
  <si>
    <t>Fibulin-5</t>
  </si>
  <si>
    <t>Latent-transforming growth factor beta-binding protein 2</t>
  </si>
  <si>
    <t>Protein FAM177A1 (Fragment)</t>
  </si>
  <si>
    <t>cTAGE family member 5</t>
  </si>
  <si>
    <t>Alpha-1-antichymotrypsin</t>
  </si>
  <si>
    <t>Zinc finger FYVE domain-containing protein 1</t>
  </si>
  <si>
    <t>Maleylacetoacetate isomerase</t>
  </si>
  <si>
    <t>Cyclin-dependent kinase 2</t>
  </si>
  <si>
    <t>T1-TrpRS (Fragment)</t>
  </si>
  <si>
    <t>Proteasome subunit alpha type</t>
  </si>
  <si>
    <t>Nucleoporin NDC1</t>
  </si>
  <si>
    <t>AT rich interactive domain 1B (SWI1-like), isoform CRA_a</t>
  </si>
  <si>
    <t>Poly(A) polymerase alpha</t>
  </si>
  <si>
    <t>Laminin subunit beta-1</t>
  </si>
  <si>
    <t>Mitochondrial import inner membrane translocase subunit Tim8 B</t>
  </si>
  <si>
    <t>ATP-binding cassette sub-family B member 8, mitochondrial</t>
  </si>
  <si>
    <t>Cartilage oligomeric matrix protein</t>
  </si>
  <si>
    <t>Thymopentin</t>
  </si>
  <si>
    <t>G protein-coupled receptor 107, isoform CRA_c</t>
  </si>
  <si>
    <t>Son of sevenless homolog 1</t>
  </si>
  <si>
    <t>NF-kappa-B inhibitor-interacting Ras-like protein 1</t>
  </si>
  <si>
    <t>CUG triplet repeat, RNA binding protein 1, isoform CRA_c</t>
  </si>
  <si>
    <t>WD repeat domain phosphoinositide-interacting protein 1</t>
  </si>
  <si>
    <t>Tropomodulin 2 (Neuronal), isoform CRA_a</t>
  </si>
  <si>
    <t>Protein disulfide isomerase family A, member 3, isoform CRA_b</t>
  </si>
  <si>
    <t>Cordon-bleu protein-like 1</t>
  </si>
  <si>
    <t>Myosin light polypeptide 6</t>
  </si>
  <si>
    <t>tRNA pseudouridine synthase (Fragment)</t>
  </si>
  <si>
    <t>WD repeat domain phosphoinositide-interacting protein 4</t>
  </si>
  <si>
    <t>Prolyl 3-hydroxylase 3</t>
  </si>
  <si>
    <t>Transforming acidic coiled-coil-containing protein 1</t>
  </si>
  <si>
    <t>Lysosomal thioesterase PPT2 (Fragment)</t>
  </si>
  <si>
    <t>Multivesicular body subunit 12B</t>
  </si>
  <si>
    <t>5-AMP-activated protein kinase subunit gamma-2</t>
  </si>
  <si>
    <t>Negative elongation factor C/D</t>
  </si>
  <si>
    <t>Chloride channel 7, isoform CRA_c</t>
  </si>
  <si>
    <t>AMP deaminase 2 (Fragment)</t>
  </si>
  <si>
    <t>Myeloid differentiation primary response protein MyD88 (Fragment)</t>
  </si>
  <si>
    <t>N-acyl-phosphatidylethanolamine-hydrolyzing phospholipase D (Fragment)</t>
  </si>
  <si>
    <t>SH3 and PX domain-containing protein 2A (Fragment)</t>
  </si>
  <si>
    <t>Probable phospholipid-transporting ATPase IH (Fragment)</t>
  </si>
  <si>
    <t>Histone lysine demethylase PHF8 (Fragment)</t>
  </si>
  <si>
    <t>Dedicator of cytokinesis protein 4 (Fragment)</t>
  </si>
  <si>
    <t>Prostaglandin-H2 D-isomerase (Fragment)</t>
  </si>
  <si>
    <t>Band 4.1-like protein 2 (Fragment)</t>
  </si>
  <si>
    <t>Arginyl-tRNA--protein transferase 1 (Fragment)</t>
  </si>
  <si>
    <t>Prolyl endopeptidase (Fragment)</t>
  </si>
  <si>
    <t>Ubiquitin-fold modifier 1 (Fragment)</t>
  </si>
  <si>
    <t>ADP-ribosylation factor GTPase-activating protein 3 (Fragment)</t>
  </si>
  <si>
    <t>Pyrroline-5-carboxylate reductase 3 (Fragment)</t>
  </si>
  <si>
    <t>Nucleoside diphosphate kinase, mitochondrial (Fragment)</t>
  </si>
  <si>
    <t>Transcription factor Sp3</t>
  </si>
  <si>
    <t>Calmodulin (Fragment)</t>
  </si>
  <si>
    <t>THO complex subunit 2 (Fragment)</t>
  </si>
  <si>
    <t>Plexin-B2 (Fragment)</t>
  </si>
  <si>
    <t>Stromal interaction molecule 2</t>
  </si>
  <si>
    <t>Transmembrane protein 222 (Fragment)</t>
  </si>
  <si>
    <t>DNA replication licensing factor MCM2 (Fragment)</t>
  </si>
  <si>
    <t>Cysteine-rich hydrophobic domain 2 protein (Fragment)</t>
  </si>
  <si>
    <t>Diacylglycerol kinase theta (Fragment)</t>
  </si>
  <si>
    <t>Pterin-4-alpha-carbinolamine dehydratase 2 (Fragment)</t>
  </si>
  <si>
    <t>UPF0461 protein C5orf24 (Fragment)</t>
  </si>
  <si>
    <t>Amyloid beta A4 precursor protein-binding family B member 2 (Fragment)</t>
  </si>
  <si>
    <t>Rho guanine nucleotide exchange factor 10 (Fragment)</t>
  </si>
  <si>
    <t>Probable palmitoyltransferase ZDHHC14 (Fragment)</t>
  </si>
  <si>
    <t>Ubiquitin-conjugating enzyme E2 W (Fragment)</t>
  </si>
  <si>
    <t>BCL2/adenovirus E1B 19 kDa protein-interacting protein 3-like (Fragment)</t>
  </si>
  <si>
    <t>Thioredoxin reductase 3 (Fragment)</t>
  </si>
  <si>
    <t>Focal adhesion kinase 1 (Fragment)</t>
  </si>
  <si>
    <t>Mitochondrial fission regulator 1 (Fragment)</t>
  </si>
  <si>
    <t>Disintegrin and metalloproteinase domain-containing protein 19 (Fragment)</t>
  </si>
  <si>
    <t>Double-stranded RNA-specific adenosine deaminase (Fragment)</t>
  </si>
  <si>
    <t>RUN and FYVE domain-containing protein 2 (Fragment)</t>
  </si>
  <si>
    <t>Single Ig IL-1-related receptor (Fragment)</t>
  </si>
  <si>
    <t>Ubiquilin-1 (Fragment)</t>
  </si>
  <si>
    <t>RalBP1-associated Eps domain-containing protein 1 (Fragment)</t>
  </si>
  <si>
    <t>Protein phosphatase 1 regulatory subunit 16A (Fragment)</t>
  </si>
  <si>
    <t>Serine/threonine-protein phosphatase (Fragment)</t>
  </si>
  <si>
    <t>Sjoegren syndrome/scleroderma autoantigen 1 (Fragment)</t>
  </si>
  <si>
    <t>Ribonuclease H2 subunit C (Fragment)</t>
  </si>
  <si>
    <t>40S ribosomal protein S2 (Fragment)</t>
  </si>
  <si>
    <t>Mitogen-activated protein kinase 3 (Fragment)</t>
  </si>
  <si>
    <t>Endoplasmic reticulum mannosyl-oligosaccharide 1,2-alpha-mannosidase (Fragment)</t>
  </si>
  <si>
    <t>Cell adhesion molecule 1 (Fragment)</t>
  </si>
  <si>
    <t>Oligoribonuclease, mitochondrial (Fragment)</t>
  </si>
  <si>
    <t>Rho GDP-dissociation inhibitor 2 (Fragment)</t>
  </si>
  <si>
    <t>Rho GTPase-activating protein 23 (Fragment)</t>
  </si>
  <si>
    <t>Protein MRVI1</t>
  </si>
  <si>
    <t>Methyltransferase-like protein 7A (Fragment)</t>
  </si>
  <si>
    <t>Uncharacterized protein (Fragment)</t>
  </si>
  <si>
    <t>Fermitin family homolog 2 (Fragment)</t>
  </si>
  <si>
    <t>Coiled-coil domain-containing protein 85C (Fragment)</t>
  </si>
  <si>
    <t>ER membrane protein complex subunit 4</t>
  </si>
  <si>
    <t>Normal mucosa of esophagus-specific gene 1 protein (Fragment)</t>
  </si>
  <si>
    <t>Annexin (Fragment)</t>
  </si>
  <si>
    <t>Pro-interleukin-16 (Fragment)</t>
  </si>
  <si>
    <t>GMP reductase 2</t>
  </si>
  <si>
    <t>60S ribosomal protein L28</t>
  </si>
  <si>
    <t>Retinal dehydrogenase 2</t>
  </si>
  <si>
    <t>Uncharacterized protein C15orf57 (Fragment)</t>
  </si>
  <si>
    <t>Signal peptidase complex catalytic subunit SEC11A</t>
  </si>
  <si>
    <t>Protein DPH6 (Fragment)</t>
  </si>
  <si>
    <t>Uveal autoantigen with coiled-coil domains and ankyrin repeats</t>
  </si>
  <si>
    <t>Limbic system-associated membrane protein (Fragment)</t>
  </si>
  <si>
    <t>Complement decay-accelerating factor (Fragment)</t>
  </si>
  <si>
    <t>Dysbindin domain-containing protein 1</t>
  </si>
  <si>
    <t>Probable ATP-dependent RNA helicase DDX17</t>
  </si>
  <si>
    <t>NEDD8 ultimate buster 1</t>
  </si>
  <si>
    <t>Nucleolar protein 3 (Fragment)</t>
  </si>
  <si>
    <t>COMM domain-containing protein 4 (Fragment)</t>
  </si>
  <si>
    <t>Paired amphipathic helix protein Sin3a (Fragment)</t>
  </si>
  <si>
    <t>Protein spinster homolog 1</t>
  </si>
  <si>
    <t>Insulin-like growth factor-binding protein 3 receptor (Fragment)</t>
  </si>
  <si>
    <t>Tuberin</t>
  </si>
  <si>
    <t>Cleavage and polyadenylation-specificity factor subunit 5 (Fragment)</t>
  </si>
  <si>
    <t>Biogenesis of lysosome-related organelles complex 1 subunit 6 (Fragment)</t>
  </si>
  <si>
    <t>Prickle-like protein 2</t>
  </si>
  <si>
    <t>Calcium-regulated heat stable protein 1 (Fragment)</t>
  </si>
  <si>
    <t>Trafficking protein particle complex subunit 2-like protein</t>
  </si>
  <si>
    <t>Beta-hexosaminidase</t>
  </si>
  <si>
    <t>Ubiquinone biosynthesis protein COQ7 homolog</t>
  </si>
  <si>
    <t>Thymidine kinase 2, mitochondrial</t>
  </si>
  <si>
    <t>SUMO-conjugating enzyme UBC9 (Fragment)</t>
  </si>
  <si>
    <t>RNA-binding protein FUS</t>
  </si>
  <si>
    <t>RNA binding protein S1, serine-rich domain, isoform CRA_c</t>
  </si>
  <si>
    <t>Oral cancer-overexpressed protein 1 (Fragment)</t>
  </si>
  <si>
    <t>Fructose-bisphosphate aldolase A (Fragment)</t>
  </si>
  <si>
    <t>Enhancer of mRNA-decapping protein 3 (Fragment)</t>
  </si>
  <si>
    <t>cAMP-regulated phosphoprotein 19</t>
  </si>
  <si>
    <t>snRNA-activating protein complex subunit 5</t>
  </si>
  <si>
    <t>ATP-dependent RNA helicase DDX19B</t>
  </si>
  <si>
    <t>Metallothionein</t>
  </si>
  <si>
    <t>HCG2044799</t>
  </si>
  <si>
    <t>Dynactin subunit 5</t>
  </si>
  <si>
    <t>Zinc finger FYVE domain-containing protein 19</t>
  </si>
  <si>
    <t>Cytochrome b-c1 complex subunit 2, mitochondrial</t>
  </si>
  <si>
    <t>Ubiquitin domain-containing protein UBFD1</t>
  </si>
  <si>
    <t>4-aminobutyrate aminotransferase, mitochondrial</t>
  </si>
  <si>
    <t>Protein FAM219B (Fragment)</t>
  </si>
  <si>
    <t>Eukaryotic translation initiation factor 3 subunit C</t>
  </si>
  <si>
    <t>von Willebrand factor A domain-containing protein 9</t>
  </si>
  <si>
    <t>UPF0420 protein C16orf58</t>
  </si>
  <si>
    <t>BTB/POZ domain-containing protein KCTD5</t>
  </si>
  <si>
    <t>Cytoplasmic tRNA 2-thiolation protein 2</t>
  </si>
  <si>
    <t>Methyltransferase-like protein 22</t>
  </si>
  <si>
    <t>ADP-dependent glucokinase (Fragment)</t>
  </si>
  <si>
    <t>Microtubule-associated protein 1 light chain 3 beta, isoform CRA_f</t>
  </si>
  <si>
    <t>Pyruvate kinase (Fragment)</t>
  </si>
  <si>
    <t>RING finger protein 166</t>
  </si>
  <si>
    <t>ADP-ribosylation factor-like protein 2-binding protein</t>
  </si>
  <si>
    <t>2-oxoglutarate and iron-dependent oxygenase domain-containing protein 1</t>
  </si>
  <si>
    <t>RNA-binding protein NOB1</t>
  </si>
  <si>
    <t>Cadherin-11</t>
  </si>
  <si>
    <t>Lon protease homolog 2, peroxisomal</t>
  </si>
  <si>
    <t>Uncharacterized protein C16orf45</t>
  </si>
  <si>
    <t>Transmembrane protein 62 (Fragment)</t>
  </si>
  <si>
    <t>GABARAP-a</t>
  </si>
  <si>
    <t>Galectin-8 (Fragment)</t>
  </si>
  <si>
    <t>Serine/threonine-protein phosphatase 6 regulatory subunit 3</t>
  </si>
  <si>
    <t>Extended synaptotagmin-2 (Fragment)</t>
  </si>
  <si>
    <t>Endoplasmic reticulum-Golgi intermediate compartment protein 3</t>
  </si>
  <si>
    <t>Taperin</t>
  </si>
  <si>
    <t>Mitochondrial pyruvate carrier 1</t>
  </si>
  <si>
    <t>Protein-L-isoaspartate O-methyltransferase</t>
  </si>
  <si>
    <t>Collagen alpha-1(V) chain (Fragment)</t>
  </si>
  <si>
    <t>General transcription factor 3C polypeptide 5</t>
  </si>
  <si>
    <t>Tail-anchored protein insertion receptor WRB (Fragment)</t>
  </si>
  <si>
    <t>Nuclear body protein SP140-like protein</t>
  </si>
  <si>
    <t>Interferon-induced transmembrane protein 2 (Fragment)</t>
  </si>
  <si>
    <t>Protein disulfide-isomerase</t>
  </si>
  <si>
    <t>Thioredoxin (Fragment)</t>
  </si>
  <si>
    <t>OTU domain-containing protein 5 (Fragment)</t>
  </si>
  <si>
    <t>Non-homologous end-joining factor 1 (Fragment)</t>
  </si>
  <si>
    <t>Interleukin-10 receptor subunit beta (Fragment)</t>
  </si>
  <si>
    <t>IQ motif and SEC7 domain-containing protein 1 (Fragment)</t>
  </si>
  <si>
    <t>Bromodomain-containing protein 8 (Fragment)</t>
  </si>
  <si>
    <t>Ran-specific GTPase-activating protein (Fragment)</t>
  </si>
  <si>
    <t>Mitotic-spindle organizing protein 2B (Fragment)</t>
  </si>
  <si>
    <t>AP-1 complex subunit sigma-1A (Fragment)</t>
  </si>
  <si>
    <t>Transmembrane protein 87B (Fragment)</t>
  </si>
  <si>
    <t>Coiled-coil and C2 domain-containing protein 1B (Fragment)</t>
  </si>
  <si>
    <t>Apolipoprotein O (Fragment)</t>
  </si>
  <si>
    <t>Interleukin-1 receptor-associated kinase 1 (Fragment)</t>
  </si>
  <si>
    <t>Probable protein phosphatase 1N (Fragment)</t>
  </si>
  <si>
    <t>COX assembly mitochondrial protein homolog (Fragment)</t>
  </si>
  <si>
    <t>Elastin (Fragment)</t>
  </si>
  <si>
    <t>Autophagy-related protein 2 homolog A (Fragment)</t>
  </si>
  <si>
    <t>Feline leukemia virus subgroup C receptor-related protein 1 (Fragment)</t>
  </si>
  <si>
    <t>MyoD family inhibitor domain-containing protein (Fragment)</t>
  </si>
  <si>
    <t>Muscleblind-like protein 1 (Fragment)</t>
  </si>
  <si>
    <t>Frataxin, mitochondrial (Fragment)</t>
  </si>
  <si>
    <t>5-3 exoribonuclease 1 (Fragment)</t>
  </si>
  <si>
    <t>Isoamyl acetate-hydrolyzing esterase 1 homolog (Fragment)</t>
  </si>
  <si>
    <t>Neuronal membrane glycoprotein M6-b (Fragment)</t>
  </si>
  <si>
    <t>Protein EFR3 homolog A</t>
  </si>
  <si>
    <t>Selenoprotein N</t>
  </si>
  <si>
    <t>SH3-containing GRB2-like protein 3-interacting protein 1</t>
  </si>
  <si>
    <t>Calcium uptake protein 1, mitochondrial</t>
  </si>
  <si>
    <t>MDS1 and EVI1 complex locus protein MDS1 (Fragment)</t>
  </si>
  <si>
    <t>WAS protein family homolog 6</t>
  </si>
  <si>
    <t>Golgi SNAP receptor complex member 2 (Fragment)</t>
  </si>
  <si>
    <t>E3 ubiquitin-protein ligase RNF167</t>
  </si>
  <si>
    <t>Vesicle-fusing ATPase</t>
  </si>
  <si>
    <t>Protein FAM195A</t>
  </si>
  <si>
    <t>Arachidonate 15-lipoxygenase B</t>
  </si>
  <si>
    <t>Myosin light chain 4 (Fragment)</t>
  </si>
  <si>
    <t>Mitochondrial 2-oxoglutarate/malate carrier protein (Fragment)</t>
  </si>
  <si>
    <t>Elongator complex protein 5 (Fragment)</t>
  </si>
  <si>
    <t>Clustered mitochondria protein homolog</t>
  </si>
  <si>
    <t>Segment polarity protein dishevelled homolog DVL-2</t>
  </si>
  <si>
    <t>Runt-related transcription factor 2</t>
  </si>
  <si>
    <t>TOM1-like protein 1 (Fragment)</t>
  </si>
  <si>
    <t>Eukaryotic translation initiation factor 5A-1 (Fragment)</t>
  </si>
  <si>
    <t>ATP synthase mitochondrial F1 complex assembly factor 1</t>
  </si>
  <si>
    <t>HCG1818442, isoform CRA_a</t>
  </si>
  <si>
    <t>LSM domain-containing protein 1</t>
  </si>
  <si>
    <t>NF-kappa-B inhibitor beta (Fragment)</t>
  </si>
  <si>
    <t>Protein disulfide-isomerase (Fragment)</t>
  </si>
  <si>
    <t>Promethin</t>
  </si>
  <si>
    <t>LisH domain-containing protein FOPNL</t>
  </si>
  <si>
    <t>Ankyrin-2</t>
  </si>
  <si>
    <t>Fatty acid-binding protein, epidermal</t>
  </si>
  <si>
    <t>Cactin</t>
  </si>
  <si>
    <t>Epididymal secretory protein E1</t>
  </si>
  <si>
    <t>Low-density lipoprotein receptor (Fragment)</t>
  </si>
  <si>
    <t>Phosphatidylinositol 4-kinase alpha</t>
  </si>
  <si>
    <t>Proteasome-associated protein ECM29 homolog</t>
  </si>
  <si>
    <t>26S proteasome non-ATPase regulatory subunit 9</t>
  </si>
  <si>
    <t>Nodal modulator 3</t>
  </si>
  <si>
    <t>E3 ubiquitin-protein ligase CHFR</t>
  </si>
  <si>
    <t>BCL2/adenovirus E1B 19 kDa protein-interacting protein 2</t>
  </si>
  <si>
    <t>Arylacetamide deacetylase-like 1</t>
  </si>
  <si>
    <t>TBC1 domain family member 8B</t>
  </si>
  <si>
    <t>Copper chaperone for superoxide dismutase</t>
  </si>
  <si>
    <t>Centrosomal protein of 290 kDa</t>
  </si>
  <si>
    <t>RGM domain family member B</t>
  </si>
  <si>
    <t>Cytochrome b5 type B</t>
  </si>
  <si>
    <t>Conserved oligomeric Golgi complex subunit 4</t>
  </si>
  <si>
    <t>Chitinase domain-containing protein 1</t>
  </si>
  <si>
    <t>Protein transport protein Sec16A</t>
  </si>
  <si>
    <t>Family with sequence similarity 63, member B, isoform CRA_d</t>
  </si>
  <si>
    <t>F-box/LRR-repeat protein 7</t>
  </si>
  <si>
    <t>BRCA1-associated protein</t>
  </si>
  <si>
    <t>Alpha-parvin</t>
  </si>
  <si>
    <t>Fibroblast growth factor receptor</t>
  </si>
  <si>
    <t>Four and a half LIM domains protein 2</t>
  </si>
  <si>
    <t>Unconventional myosin-XVIIIa</t>
  </si>
  <si>
    <t>Serine/arginine-rich-splicing factor 2 (Fragment)</t>
  </si>
  <si>
    <t>Signal-induced proliferation-associated 1-like protein 1</t>
  </si>
  <si>
    <t>Receptor-type tyrosine-protein phosphatase alpha</t>
  </si>
  <si>
    <t>Ankyrin repeat domain-containing protein 46 (Fragment)</t>
  </si>
  <si>
    <t>Nuclear pore complex protein Nup98-Nup96</t>
  </si>
  <si>
    <t>Phosphatase and actin regulator 2</t>
  </si>
  <si>
    <t>TM2 domain containing 1, isoform CRA_c</t>
  </si>
  <si>
    <t>Serine/threonine-protein kinase SIK3</t>
  </si>
  <si>
    <t>Kinesin-like protein KIF3A</t>
  </si>
  <si>
    <t>Cysteine sulfinic acid decarboxylase (Fragment)</t>
  </si>
  <si>
    <t>Calcium/calmodulin-dependent protein kinase kinase 1</t>
  </si>
  <si>
    <t>Synaptojanin-1</t>
  </si>
  <si>
    <t>Cisplatin resistance-associated overexpressed protein, isoform CRA_b</t>
  </si>
  <si>
    <t>TraB domain-containing protein</t>
  </si>
  <si>
    <t>Sulfurtransferase</t>
  </si>
  <si>
    <t>Histone deacetylase 2</t>
  </si>
  <si>
    <t>Prohibitin-2</t>
  </si>
  <si>
    <t>MAP1 light chain LC2</t>
  </si>
  <si>
    <t>Anthrax toxin receptor 2</t>
  </si>
  <si>
    <t>Transmembrane protein 45A</t>
  </si>
  <si>
    <t>Obg-like ATPase 1</t>
  </si>
  <si>
    <t>Peptidyl-tRNA hydrolase 2, mitochondrial</t>
  </si>
  <si>
    <t>Uncharacterized protein C6orf203</t>
  </si>
  <si>
    <t>Protein phosphatase 1 regulatory subunit 37</t>
  </si>
  <si>
    <t>THUMP domain-containing protein 1</t>
  </si>
  <si>
    <t>SH3 and multiple ankyrin repeat domains protein 2 (Fragment)</t>
  </si>
  <si>
    <t>Prostamide/prostaglandin F synthase</t>
  </si>
  <si>
    <t>GTP-binding nuclear protein Ran (Fragment)</t>
  </si>
  <si>
    <t>Glucosylceramidase</t>
  </si>
  <si>
    <t>Sulfatase-modifying factor 2</t>
  </si>
  <si>
    <t>Apolipoprotein L2</t>
  </si>
  <si>
    <t>Centrosomal protein of 170 kDa protein B</t>
  </si>
  <si>
    <t>BRISC and BRCA1-A complex member 1</t>
  </si>
  <si>
    <t>Cyclin-dependent kinase inhibitor 1</t>
  </si>
  <si>
    <t>Coiled-coil domain containing 12, isoform CRA_a</t>
  </si>
  <si>
    <t>Selenide, water dikinase 2</t>
  </si>
  <si>
    <t>Atrial natriuretic peptide-converting enzyme, 180 kDa soluble fragment</t>
  </si>
  <si>
    <t>Tubulin-specific chaperone D</t>
  </si>
  <si>
    <t>Protein SSXT</t>
  </si>
  <si>
    <t>Chromobox protein homolog 1 (Fragment)</t>
  </si>
  <si>
    <t>Trafficking protein particle complex subunit 8</t>
  </si>
  <si>
    <t>ADP-ribosylation factor-binding protein GGA3</t>
  </si>
  <si>
    <t>Nuclear pore complex protein Nup85</t>
  </si>
  <si>
    <t>Probable ATP-dependent RNA helicase DDX5</t>
  </si>
  <si>
    <t>Serine/arginine-rich-splicing factor 1</t>
  </si>
  <si>
    <t>Calcium homeostasis endoplasmic reticulum protein</t>
  </si>
  <si>
    <t>Proteasome subunit beta type-3 (Fragment)</t>
  </si>
  <si>
    <t>SWI/SNF-related matrix-associated actin-dependent regulator of chromatin subfamily E member 1 (Fragment)</t>
  </si>
  <si>
    <t>Protein SCO1 homolog, mitochondrial</t>
  </si>
  <si>
    <t>Secernin-2</t>
  </si>
  <si>
    <t>Small nuclear ribonucleoprotein-associated protein N (Fragment)</t>
  </si>
  <si>
    <t>Receptor tyrosine-protein kinase erbB-2</t>
  </si>
  <si>
    <t>SAP30-binding protein (Fragment)</t>
  </si>
  <si>
    <t>Glycerophosphodiester phosphodiesterase domain-containing protein 1</t>
  </si>
  <si>
    <t>60S ribosomal protein L17 (Fragment)</t>
  </si>
  <si>
    <t>YTH domain-containing protein 1</t>
  </si>
  <si>
    <t>Cyclin-dependent kinase 11B</t>
  </si>
  <si>
    <t>Eukaryotic initiation factor 4A-I (Fragment)</t>
  </si>
  <si>
    <t>N-acetyltransferase 9 (Fragment)</t>
  </si>
  <si>
    <t>Fatty aldehyde dehydrogenase</t>
  </si>
  <si>
    <t>Desmocollin-3 (Fragment)</t>
  </si>
  <si>
    <t>Myosin regulatory light chain 12A</t>
  </si>
  <si>
    <t>Zinc finger protein 207</t>
  </si>
  <si>
    <t>Tyrosine-protein kinase Yes</t>
  </si>
  <si>
    <t>Vesicle-associated membrane protein 2</t>
  </si>
  <si>
    <t>Coordinator of PRMT5 and differentiation stimulator (Fragment)</t>
  </si>
  <si>
    <t>Cytochrome b561</t>
  </si>
  <si>
    <t>E3 ubiquitin-protein ligase RNF135 (Fragment)</t>
  </si>
  <si>
    <t>Family with sequence similarity 33, member A, isoform CRA_d</t>
  </si>
  <si>
    <t>Protein Smaug homolog 1</t>
  </si>
  <si>
    <t>H/ACA ribonucleoprotein complex subunit 2</t>
  </si>
  <si>
    <t>Microtubule-associated serine/threonine-protein kinase 4</t>
  </si>
  <si>
    <t>BAG family molecular chaperone regulator 1</t>
  </si>
  <si>
    <t>Coiled-coil-helix-coiled-coil-helix domain-containing protein 6, mitochondrial</t>
  </si>
  <si>
    <t>Lamin B2, isoform CRA_a</t>
  </si>
  <si>
    <t>Transmembrane and coiled-coil domain-containing protein 1</t>
  </si>
  <si>
    <t>Putative hydroxypyruvate isomerase (Fragment)</t>
  </si>
  <si>
    <t>Arylsulfatase G</t>
  </si>
  <si>
    <t>RWD domain containing 4A</t>
  </si>
  <si>
    <t>Cullin 4B, isoform CRA_e</t>
  </si>
  <si>
    <t>Max-like protein X (Fragment)</t>
  </si>
  <si>
    <t>Tyrosine-protein phosphatase non-receptor type 2 (Fragment)</t>
  </si>
  <si>
    <t>Protein YIPF2 (Fragment)</t>
  </si>
  <si>
    <t>Mothers against decapentaplegic homolog 4</t>
  </si>
  <si>
    <t>40S ribosomal protein S15 (Fragment)</t>
  </si>
  <si>
    <t>Kinetochore protein Spc24 (Fragment)</t>
  </si>
  <si>
    <t>AP-1 complex subunit mu-1</t>
  </si>
  <si>
    <t>Protein FAM210A (Fragment)</t>
  </si>
  <si>
    <t>Histone H3 (Fragment)</t>
  </si>
  <si>
    <t>Signal transducer and activator of transcription 5A</t>
  </si>
  <si>
    <t>Lon protease homolog, mitochondrial</t>
  </si>
  <si>
    <t>Periplakin</t>
  </si>
  <si>
    <t>Cytosolic acyl coenzyme A thioester hydrolase (Fragment)</t>
  </si>
  <si>
    <t>Transmembrane and ubiquitin-like domain-containing protein 2 (Fragment)</t>
  </si>
  <si>
    <t>Calcium-dependent secretion activator 1</t>
  </si>
  <si>
    <t>Hsp90 co-chaperone Cdc37 (Fragment)</t>
  </si>
  <si>
    <t>Glucosidase 2 subunit beta</t>
  </si>
  <si>
    <t>Syntaxin-10 (Fragment)</t>
  </si>
  <si>
    <t>Katanin p60 ATPase-containing subunit A-like 2 (Fragment)</t>
  </si>
  <si>
    <t>Transmembrane protein 205 (Fragment)</t>
  </si>
  <si>
    <t>Actin, cytoplasmic 2, N-terminally processed (Fragment)</t>
  </si>
  <si>
    <t>UBA-like domain-containing protein 1</t>
  </si>
  <si>
    <t>Putative oxidoreductase GLYR1 (Fragment)</t>
  </si>
  <si>
    <t>Transcription elongation factor 1 homolog</t>
  </si>
  <si>
    <t>Nuclear factor 1</t>
  </si>
  <si>
    <t>Uncharacterized protein C18orf8</t>
  </si>
  <si>
    <t>ETS domain-containing protein Elk-1</t>
  </si>
  <si>
    <t>Proteasome assembly chaperone 2</t>
  </si>
  <si>
    <t>UBX domain-containing protein 6 (Fragment)</t>
  </si>
  <si>
    <t>E3 ubiquitin-protein ligase MGRN1 (Fragment)</t>
  </si>
  <si>
    <t>Glutaminyl-peptide cyclotransferase-like protein (Fragment)</t>
  </si>
  <si>
    <t>Phospholemman</t>
  </si>
  <si>
    <t>Tropomyosin alpha-4 chain (Fragment)</t>
  </si>
  <si>
    <t>Phenylalanine--tRNA ligase alpha subunit</t>
  </si>
  <si>
    <t>RNA-binding protein 42</t>
  </si>
  <si>
    <t>Eukaryotic translation initiation factor 3 subunit K</t>
  </si>
  <si>
    <t>Bleomycin hydrolase (Fragment)</t>
  </si>
  <si>
    <t>Follistatin-related protein 3 (Fragment)</t>
  </si>
  <si>
    <t>Glucose-6-phosphatase 3 (Fragment)</t>
  </si>
  <si>
    <t>Tubulin beta-6 chain (Fragment)</t>
  </si>
  <si>
    <t>Dephospho-CoA kinase domain-containing protein (Fragment)</t>
  </si>
  <si>
    <t>Serine--tRNA ligase, mitochondrial</t>
  </si>
  <si>
    <t>Paf1, RNA polymerase II associated factor, homolog (S. cerevisiae), isoform CRA_c</t>
  </si>
  <si>
    <t>Interferon regulatory factor 3 (Fragment)</t>
  </si>
  <si>
    <t>Kaptin (Fragment)</t>
  </si>
  <si>
    <t>Zinc finger protein 428 (Fragment)</t>
  </si>
  <si>
    <t>KxDL motif-containing protein 1</t>
  </si>
  <si>
    <t>Zinc finger CCCH domain-containing protein 4 (Fragment)</t>
  </si>
  <si>
    <t>Tubulin beta-4A chain (Fragment)</t>
  </si>
  <si>
    <t>60S ribosomal protein L13a (Fragment)</t>
  </si>
  <si>
    <t>Protein Smaug homolog 2</t>
  </si>
  <si>
    <t>Josephin-2 (Fragment)</t>
  </si>
  <si>
    <t>40S ribosomal protein S5 (Fragment)</t>
  </si>
  <si>
    <t>AP-2 complex subunit sigma</t>
  </si>
  <si>
    <t>Endothelial cell-specific molecule 1 (Fragment)</t>
  </si>
  <si>
    <t>ER membrane protein complex subunit 10</t>
  </si>
  <si>
    <t>Proline-rich AKT1 substrate 1 (Fragment)</t>
  </si>
  <si>
    <t>Unconventional myosin-IXb (Fragment)</t>
  </si>
  <si>
    <t>Myotonin-protein kinase</t>
  </si>
  <si>
    <t>Fibronectin type III and SPRY domain-containing protein 1</t>
  </si>
  <si>
    <t>Prenylated Rab acceptor protein 1</t>
  </si>
  <si>
    <t>Alkyldihydroxyacetonephosphate synthase, peroxisomal</t>
  </si>
  <si>
    <t>Isoform 3 of UBX domain-containing protein 8</t>
  </si>
  <si>
    <t>Isoform 2 of Kinesin-like protein KIF2A</t>
  </si>
  <si>
    <t>ATP-dependent RNA helicase DDX39A</t>
  </si>
  <si>
    <t>PDZ and LIM domain protein 1</t>
  </si>
  <si>
    <t>Isoform 4 of Cytosolic acyl coenzyme A thioester hydrolase</t>
  </si>
  <si>
    <t>Synaptosomal-associated protein 23</t>
  </si>
  <si>
    <t>AH receptor-interacting protein</t>
  </si>
  <si>
    <t>GTP-binding protein 1</t>
  </si>
  <si>
    <t>Syntaxin-binding protein 3</t>
  </si>
  <si>
    <t>AP-3 complex subunit beta-1</t>
  </si>
  <si>
    <t>Isoform 2 of Amyloid beta A4 precursor protein-binding family B member 1</t>
  </si>
  <si>
    <t>Tumor necrosis factor receptor superfamily member 10A</t>
  </si>
  <si>
    <t>NF-kappa-B inhibitor epsilon</t>
  </si>
  <si>
    <t>26S proteasome non-ATPase regulatory subunit 11</t>
  </si>
  <si>
    <t>26S proteasome non-ATPase regulatory subunit 12</t>
  </si>
  <si>
    <t>Copper transport protein ATOX1</t>
  </si>
  <si>
    <t>Membrane-associated progesterone receptor component 1</t>
  </si>
  <si>
    <t>Isoform 2 of Transcription elongation factor SPT5</t>
  </si>
  <si>
    <t>DNA fragmentation factor subunit alpha</t>
  </si>
  <si>
    <t>Isoform DFF35 of DNA fragmentation factor subunit alpha</t>
  </si>
  <si>
    <t>Huntingtin-interacting protein 1</t>
  </si>
  <si>
    <t>Chloride intracellular channel protein 1</t>
  </si>
  <si>
    <t>Tumor necrosis factor receptor superfamily member 11B</t>
  </si>
  <si>
    <t>Isoform 2 of NEDD4-like E3 ubiquitin-protein ligase WWP2</t>
  </si>
  <si>
    <t>Pyruvate dehydrogenase protein X component, mitochondrial</t>
  </si>
  <si>
    <t>Sulfhydryl oxidase 1</t>
  </si>
  <si>
    <t>Dynactin subunit 6</t>
  </si>
  <si>
    <t>Acetyl-coenzyme A transporter 1</t>
  </si>
  <si>
    <t>Neural Wiskott-Aldrich syndrome protein</t>
  </si>
  <si>
    <t>Importin-5</t>
  </si>
  <si>
    <t>Eukaryotic elongation factor 2 kinase</t>
  </si>
  <si>
    <t>Histone deacetylase complex subunit SAP18</t>
  </si>
  <si>
    <t>Insulin-like growth factor 2 mRNA-binding protein 3</t>
  </si>
  <si>
    <t>Dynamin-1-like protein</t>
  </si>
  <si>
    <t>Isoform 3 of Dynamin-1-like protein</t>
  </si>
  <si>
    <t>RNA 3-terminal phosphate cyclase</t>
  </si>
  <si>
    <t>Phosphatidylinositol 3-kinase regulatory subunit beta</t>
  </si>
  <si>
    <t>Golgi integral membrane protein 4</t>
  </si>
  <si>
    <t>Beta-mannosidase</t>
  </si>
  <si>
    <t>Isoform 2 of Procollagen-lysine,2-oxoglutarate 5-dioxygenase 2</t>
  </si>
  <si>
    <t>Exocyst complex component 5</t>
  </si>
  <si>
    <t>High mobility group nucleosome-binding domain-containing protein 4</t>
  </si>
  <si>
    <t>NADH dehydrogenase [ubiquinone] 1 alpha subcomplex subunit 4</t>
  </si>
  <si>
    <t>26S proteasome non-ATPase regulatory subunit 14</t>
  </si>
  <si>
    <t>Zinc finger protein 593</t>
  </si>
  <si>
    <t>Isoform II2 of Myc box-dependent-interacting protein 1</t>
  </si>
  <si>
    <t>Importin subunit alpha-3</t>
  </si>
  <si>
    <t>Serine/threonine-protein kinase 25</t>
  </si>
  <si>
    <t>von Willebrand factor A domain-containing protein 5A</t>
  </si>
  <si>
    <t>Syntenin-1</t>
  </si>
  <si>
    <t>ATP-dependent RNA helicase DDX3X</t>
  </si>
  <si>
    <t>Protein CYR61</t>
  </si>
  <si>
    <t>Pirin</t>
  </si>
  <si>
    <t>Importin subunit alpha-4</t>
  </si>
  <si>
    <t>Tripartite motif-containing protein 38</t>
  </si>
  <si>
    <t>Serine/threonine-protein phosphatase 6 catalytic subunit</t>
  </si>
  <si>
    <t>Cocaine esterase</t>
  </si>
  <si>
    <t>Isoform 2 of Lysosomal alpha-mannosidase</t>
  </si>
  <si>
    <t>Pyridoxal kinase</t>
  </si>
  <si>
    <t>Lipid phosphate phosphohydrolase 3</t>
  </si>
  <si>
    <t>AT-rich interactive domain-containing protein 1A</t>
  </si>
  <si>
    <t>Immunoglobulin superfamily containing leucine-rich repeat protein</t>
  </si>
  <si>
    <t>Isoform 2 of Cyclin-dependent kinase 2-associated protein 1</t>
  </si>
  <si>
    <t>C2 domain-containing protein 2-like</t>
  </si>
  <si>
    <t>Isoform 2 of Transmembrane protein 194A</t>
  </si>
  <si>
    <t>TRAF-type zinc finger domain-containing protein 1</t>
  </si>
  <si>
    <t>Cytochrome c oxidase subunit 7A-related protein, mitochondrial</t>
  </si>
  <si>
    <t>Heat shock protein beta-6</t>
  </si>
  <si>
    <t>Acyl carrier protein, mitochondrial</t>
  </si>
  <si>
    <t>Cytochrome b561 domain-containing protein 2</t>
  </si>
  <si>
    <t>Coatomer subunit epsilon</t>
  </si>
  <si>
    <t>Cdc42 effector protein 2</t>
  </si>
  <si>
    <t>Isoform 4 of AP-3 complex subunit delta-1</t>
  </si>
  <si>
    <t>Isoform 2 of Segment polarity protein dishevelled homolog DVL-1</t>
  </si>
  <si>
    <t>Torsin-1A</t>
  </si>
  <si>
    <t>Torsin-1B</t>
  </si>
  <si>
    <t>Isoform A of Syntaxin-16</t>
  </si>
  <si>
    <t>Disintegrin and metalloproteinase domain-containing protein 10</t>
  </si>
  <si>
    <t>Isoform 2 of Inositol monophosphatase 2</t>
  </si>
  <si>
    <t>Acyl-coenzyme A thioesterase 8</t>
  </si>
  <si>
    <t>Programmed cell death protein 5</t>
  </si>
  <si>
    <t>Protein arginine N-methyltransferase 5</t>
  </si>
  <si>
    <t>Na(+)/H(+) exchange regulatory cofactor NHE-RF1</t>
  </si>
  <si>
    <t>Isoform Short of Tumor necrosis factor receptor superfamily member 10B</t>
  </si>
  <si>
    <t>Fucose-1-phosphate guanylyltransferase</t>
  </si>
  <si>
    <t>Tripeptidyl-peptidase 1</t>
  </si>
  <si>
    <t>Isoform 2 of Transcription elongation regulator 1</t>
  </si>
  <si>
    <t>Isoform 2 of Transportin-2</t>
  </si>
  <si>
    <t>Ras-related protein M-Ras</t>
  </si>
  <si>
    <t>Proteasome subunit alpha type-7</t>
  </si>
  <si>
    <t>Secretory carrier-associated membrane protein 3</t>
  </si>
  <si>
    <t>5-oxoprolinase</t>
  </si>
  <si>
    <t>Transcription regulator protein BACH1</t>
  </si>
  <si>
    <t>Interferon-induced protein with tetratricopeptide repeats 3</t>
  </si>
  <si>
    <t>Tax1-binding protein 3</t>
  </si>
  <si>
    <t>PDZ domain-containing protein GIPC1</t>
  </si>
  <si>
    <t>Protein lin-7 homolog A</t>
  </si>
  <si>
    <t>Inhibitor of nuclear factor kappa-B kinase subunit beta</t>
  </si>
  <si>
    <t>Mitochondrial import inner membrane translocase subunit Tim23</t>
  </si>
  <si>
    <t>Histone acetyltransferase type B catalytic subunit</t>
  </si>
  <si>
    <t>Ubiquitin/ISG15-conjugating enzyme E2 L6</t>
  </si>
  <si>
    <t>Isoform 3 of Peripheral plasma membrane protein CASK</t>
  </si>
  <si>
    <t>Cytochrome b-c1 complex subunit 8</t>
  </si>
  <si>
    <t>Hepatocyte growth factor-regulated tyrosine kinase substrate</t>
  </si>
  <si>
    <t>Ras-related protein Rab-7L1</t>
  </si>
  <si>
    <t>Calmegin</t>
  </si>
  <si>
    <t>Protein phosphatase 1 regulatory subunit 12A</t>
  </si>
  <si>
    <t>Cyclin-G-associated kinase</t>
  </si>
  <si>
    <t>Heterogeneous nuclear ribonucleoprotein D-like</t>
  </si>
  <si>
    <t>Exportin-1</t>
  </si>
  <si>
    <t>Isoform 5 of Protein transport protein Sec16A</t>
  </si>
  <si>
    <t>Plexin-B2</t>
  </si>
  <si>
    <t>Tectonin beta-propeller repeat-containing protein 2</t>
  </si>
  <si>
    <t>Synemin</t>
  </si>
  <si>
    <t>Uncharacterized protein KIAA0355</t>
  </si>
  <si>
    <t>Kinesin-like protein KIF3B</t>
  </si>
  <si>
    <t>Phosphoribosylformylglycinamidine synthase</t>
  </si>
  <si>
    <t>NAC-alpha domain-containing protein 1</t>
  </si>
  <si>
    <t>Rho guanine nucleotide exchange factor 11</t>
  </si>
  <si>
    <t>U6 snRNA-associated Sm-like protein LSm1</t>
  </si>
  <si>
    <t>Niemann-Pick C1 protein</t>
  </si>
  <si>
    <t>Sphingolipid delta(4)-desaturase DES1</t>
  </si>
  <si>
    <t>Secretory carrier-associated membrane protein 1</t>
  </si>
  <si>
    <t>Secretory carrier-associated membrane protein 2</t>
  </si>
  <si>
    <t>Actin-related protein 2/3 complex subunit 1B</t>
  </si>
  <si>
    <t>Actin-related protein 2/3 complex subunit 2</t>
  </si>
  <si>
    <t>Actin-related protein 2/3 complex subunit 3</t>
  </si>
  <si>
    <t>DNA-directed RNA polymerases I and III subunit RPAC1</t>
  </si>
  <si>
    <t>Membrane-associated progesterone receptor component 2</t>
  </si>
  <si>
    <t>Ral guanine nucleotide dissociation stimulator-like 2</t>
  </si>
  <si>
    <t>Prefoldin subunit 6</t>
  </si>
  <si>
    <t>Dihydroxyacetone phosphate acyltransferase</t>
  </si>
  <si>
    <t>Protein CASC3</t>
  </si>
  <si>
    <t>Neurosecretory protein VGF</t>
  </si>
  <si>
    <t>Chloride intracellular channel protein 2</t>
  </si>
  <si>
    <t>Isoform 2 of Peroxisomal acyl-coenzyme A oxidase 3</t>
  </si>
  <si>
    <t>Protein RER1</t>
  </si>
  <si>
    <t>Serine palmitoyltransferase 1</t>
  </si>
  <si>
    <t>Serine palmitoyltransferase 2</t>
  </si>
  <si>
    <t>Isoform 1 of UDP-N-acetylglucosamine--peptide N-acetylglucosaminyltransferase 110 kDa subunit</t>
  </si>
  <si>
    <t>Phosphomannomutase 2</t>
  </si>
  <si>
    <t>Type II inositol 3,4-bisphosphate 4-phosphatase</t>
  </si>
  <si>
    <t>Midline-1</t>
  </si>
  <si>
    <t>High mobility group protein B3</t>
  </si>
  <si>
    <t>Protein phosphatase 1G</t>
  </si>
  <si>
    <t>Phosphatidylinositol 3,4,5-trisphosphate 5-phosphatase 2</t>
  </si>
  <si>
    <t>Branched-chain-amino-acid aminotransferase, mitochondrial</t>
  </si>
  <si>
    <t>Neural cell adhesion molecule 2</t>
  </si>
  <si>
    <t>Importin-8</t>
  </si>
  <si>
    <t>Isoform 2 of Syntaxin-7</t>
  </si>
  <si>
    <t>Monocarboxylate transporter 7</t>
  </si>
  <si>
    <t>Monocarboxylate transporter 4</t>
  </si>
  <si>
    <t>High affinity copper uptake protein 1</t>
  </si>
  <si>
    <t>Isoform 2 of Multidrug resistance-associated protein 4</t>
  </si>
  <si>
    <t>DNA-directed RNA polymerase I subunit RPA34</t>
  </si>
  <si>
    <t>Isoform IIa of Prolyl 4-hydroxylase subunit alpha-2</t>
  </si>
  <si>
    <t>Synaptobrevin homolog YKT6</t>
  </si>
  <si>
    <t>Actin-related protein 2/3 complex subunit 5</t>
  </si>
  <si>
    <t>DNA-directed RNA polymerase II subunit RPB4</t>
  </si>
  <si>
    <t>Homeobox protein Nkx-2.8</t>
  </si>
  <si>
    <t>RING finger protein 113A</t>
  </si>
  <si>
    <t>Putative pre-mRNA-splicing factor ATP-dependent RNA helicase DHX15</t>
  </si>
  <si>
    <t>mRNA cap guanine-N7 methyltransferase</t>
  </si>
  <si>
    <t>Arf-GAP with SH3 domain, ANK repeat and PH domain-containing protein 2</t>
  </si>
  <si>
    <t>Leucine-rich repeat transmembrane protein FLRT2</t>
  </si>
  <si>
    <t>Isoform 2 of Plexin-B1</t>
  </si>
  <si>
    <t>Isoform 2 of E3 ubiquitin-protein ligase Praja-2</t>
  </si>
  <si>
    <t>D-3-phosphoglycerate dehydrogenase</t>
  </si>
  <si>
    <t>NADH dehydrogenase [ubiquinone] iron-sulfur protein 4, mitochondrial</t>
  </si>
  <si>
    <t>Isoform 4 of Rho GTPase-activating protein 6</t>
  </si>
  <si>
    <t>Cytoplasmic dynein 1 light intermediate chain 2</t>
  </si>
  <si>
    <t>26S proteasome non-ATPase regulatory subunit 3</t>
  </si>
  <si>
    <t>Bifunctional 3-phosphoadenosine 5-phosphosulfate synthase 1</t>
  </si>
  <si>
    <t>Centromere/kinetochore protein zw10 homolog</t>
  </si>
  <si>
    <t>Embryonal Fyn-associated substrate</t>
  </si>
  <si>
    <t>U4/U6.U5 tri-snRNP-associated protein 1</t>
  </si>
  <si>
    <t>Death-associated protein kinase 3</t>
  </si>
  <si>
    <t>Isoform 2 of Transforming growth factor beta-1-induced transcript 1 protein</t>
  </si>
  <si>
    <t>AP-5 complex subunit zeta-1</t>
  </si>
  <si>
    <t>Heat shock 70 kDa protein 12A</t>
  </si>
  <si>
    <t>CBP80/20-dependent translation initiation factor</t>
  </si>
  <si>
    <t>Isoform 2 of Inositol hexakisphosphate and diphosphoinositol-pentakisphosphate kinase 2</t>
  </si>
  <si>
    <t>Isoform 1A of Mitogen-activated protein kinase kinase kinase 7</t>
  </si>
  <si>
    <t>LYR motif-containing protein 1</t>
  </si>
  <si>
    <t>Receptor-interacting serine/threonine-protein kinase 2</t>
  </si>
  <si>
    <t>U4/U6 small nuclear ribonucleoprotein Prp3</t>
  </si>
  <si>
    <t>Thioredoxin-like protein 1</t>
  </si>
  <si>
    <t>Tumor protein D54</t>
  </si>
  <si>
    <t>Isoform 2 of Tumor protein D54</t>
  </si>
  <si>
    <t>ER membrane protein complex subunit 8</t>
  </si>
  <si>
    <t>Isoform 3 of Serine protease HTRA2, mitochondrial</t>
  </si>
  <si>
    <t>Aflatoxin B1 aldehyde reductase member 2</t>
  </si>
  <si>
    <t>Isoform TGN46 of Trans-Golgi network integral membrane protein 2</t>
  </si>
  <si>
    <t>Ragulator complex protein LAMTOR5</t>
  </si>
  <si>
    <t>N-acetyllactosaminide beta-1,3-N-acetylglucosaminyltransferase</t>
  </si>
  <si>
    <t>WAS/WASL-interacting protein family member 1</t>
  </si>
  <si>
    <t>Probable phospholipid-transporting ATPase IC</t>
  </si>
  <si>
    <t>Forkhead box protein O3</t>
  </si>
  <si>
    <t>E3 ubiquitin-protein ligase RNF13</t>
  </si>
  <si>
    <t>Density-regulated protein</t>
  </si>
  <si>
    <t>Exportin-T</t>
  </si>
  <si>
    <t>2-deoxynucleoside 5-phosphate N-hydrolase 1</t>
  </si>
  <si>
    <t>Mitochondrial import inner membrane translocase subunit TIM44</t>
  </si>
  <si>
    <t>Trafficking protein particle complex subunit 3</t>
  </si>
  <si>
    <t>Charged multivesicular body protein 2a</t>
  </si>
  <si>
    <t>Cytoplasmic protein NCK2</t>
  </si>
  <si>
    <t>Tetraspanin-6</t>
  </si>
  <si>
    <t>Isoform 2 of Regulator of G-protein signaling 10</t>
  </si>
  <si>
    <t>NADH dehydrogenase [ubiquinone] 1 beta subcomplex subunit 3</t>
  </si>
  <si>
    <t>NADH dehydrogenase [ubiquinone] 1 alpha subcomplex subunit 2</t>
  </si>
  <si>
    <t>ATPase ASNA1</t>
  </si>
  <si>
    <t>Mitotic checkpoint protein BUB3</t>
  </si>
  <si>
    <t>Alpha-actinin-4</t>
  </si>
  <si>
    <t>Uncharacterized methyltransferase WBSCR22</t>
  </si>
  <si>
    <t>TP53-regulated inhibitor of apoptosis 1</t>
  </si>
  <si>
    <t>HIV Tat-specific factor 1</t>
  </si>
  <si>
    <t>Isoform 2 of Cytohesin-3</t>
  </si>
  <si>
    <t>Syntaxin-6</t>
  </si>
  <si>
    <t>Synaptogyrin-2</t>
  </si>
  <si>
    <t>Small glutamine-rich tetratricopeptide repeat-containing protein alpha</t>
  </si>
  <si>
    <t>Isoform 2 of Alpha-endosulfine</t>
  </si>
  <si>
    <t>Mitochondrial carnitine/acylcarnitine carrier protein</t>
  </si>
  <si>
    <t>Asparagine--tRNA ligase, cytoplasmic</t>
  </si>
  <si>
    <t>Sjoegren syndrome nuclear autoantigen 1</t>
  </si>
  <si>
    <t>LanC-like protein 1</t>
  </si>
  <si>
    <t>U3 small nucleolar RNA-interacting protein 2</t>
  </si>
  <si>
    <t>Protein SCO2 homolog, mitochondrial</t>
  </si>
  <si>
    <t>Isoform 4 of Hyaluronidase-3</t>
  </si>
  <si>
    <t>Isocitrate dehydrogenase [NAD] subunit beta, mitochondrial</t>
  </si>
  <si>
    <t>Calumenin</t>
  </si>
  <si>
    <t>Isoform 2 of Calumenin</t>
  </si>
  <si>
    <t>Isoform 2 of EGF-like repeat and discoidin I-like domain-containing protein 3</t>
  </si>
  <si>
    <t>Putative adenosylhomocysteinase 2</t>
  </si>
  <si>
    <t>Kinesin-like protein KIF1C</t>
  </si>
  <si>
    <t>NADH dehydrogenase [ubiquinone] iron-sulfur protein 5</t>
  </si>
  <si>
    <t>Retinal rod rhodopsin-sensitive cGMP 3,5-cyclic phosphodiesterase subunit delta</t>
  </si>
  <si>
    <t>Aldo-keto reductase family 1 member B10</t>
  </si>
  <si>
    <t>Mitochondrial import inner membrane translocase subunit Tim8 A</t>
  </si>
  <si>
    <t>Glia maturation factor gamma</t>
  </si>
  <si>
    <t>SH3 domain-binding protein 5</t>
  </si>
  <si>
    <t>Phosphoribosyl pyrophosphate synthase-associated protein 2</t>
  </si>
  <si>
    <t>Isoform 4 of C-Jun-amino-terminal kinase-interacting protein 4</t>
  </si>
  <si>
    <t>Isoform 6 of C-Jun-amino-terminal kinase-interacting protein 4</t>
  </si>
  <si>
    <t>Sushi domain-containing protein 5</t>
  </si>
  <si>
    <t>Signal-induced proliferation-associated 1-like protein 3</t>
  </si>
  <si>
    <t>Leucine carboxyl methyltransferase 2</t>
  </si>
  <si>
    <t>Isoform 2 of Dynamin-like 120 kDa protein, mitochondrial</t>
  </si>
  <si>
    <t>Isoform 4 of Phosphatidylinositol 4-phosphate 5-kinase type-1 gamma</t>
  </si>
  <si>
    <t>Isoform 2 of TBC1 domain family member 4</t>
  </si>
  <si>
    <t>Isoform D of Endothelin-converting enzyme 2</t>
  </si>
  <si>
    <t>TBC1 domain family member 12</t>
  </si>
  <si>
    <t>Isoform 2 of Frizzled-6</t>
  </si>
  <si>
    <t>Fatty acid desaturase 1</t>
  </si>
  <si>
    <t>Non-syndromic hearing impairment protein 5</t>
  </si>
  <si>
    <t>Isoform 3 of Lymphocyte antigen 75</t>
  </si>
  <si>
    <t>Mannosyl-oligosaccharide 1,2-alpha-mannosidase IB</t>
  </si>
  <si>
    <t>Isoform Short of Long-chain-fatty-acid--CoA ligase 4</t>
  </si>
  <si>
    <t>Sorting nexin-3</t>
  </si>
  <si>
    <t>Bifunctional protein NCOAT</t>
  </si>
  <si>
    <t>Adenylate cyclase type 9</t>
  </si>
  <si>
    <t>Isoform Beta of Vinexin</t>
  </si>
  <si>
    <t>Isoform 4 of Heterogeneous nuclear ribonucleoprotein Q</t>
  </si>
  <si>
    <t>Protein-tyrosine sulfotransferase 1</t>
  </si>
  <si>
    <t>Beta-1,4-galactosyltransferase 4</t>
  </si>
  <si>
    <t>Ran-binding protein 6</t>
  </si>
  <si>
    <t>Isoform 2 of GDP-mannose 4,6 dehydratase</t>
  </si>
  <si>
    <t>Glycylpeptide N-tetradecanoyltransferase 2</t>
  </si>
  <si>
    <t>Procollagen-lysine,2-oxoglutarate 5-dioxygenase 3</t>
  </si>
  <si>
    <t>15 kDa selenoprotein</t>
  </si>
  <si>
    <t>Isoform 3 of Tetraspanin-3</t>
  </si>
  <si>
    <t>Isoform 2 of Exocyst complex component 3</t>
  </si>
  <si>
    <t>Isoform 2 of Perilipin-3</t>
  </si>
  <si>
    <t>Isoform 3 of Perilipin-3</t>
  </si>
  <si>
    <t>Cell cycle checkpoint protein RAD1</t>
  </si>
  <si>
    <t>Protein arginine N-methyltransferase 3</t>
  </si>
  <si>
    <t>UDP-glucose 6-dehydrogenase</t>
  </si>
  <si>
    <t>Protein-tyrosine sulfotransferase 2</t>
  </si>
  <si>
    <t>Leupaxin</t>
  </si>
  <si>
    <t>Isoform 1A of Catenin delta-1</t>
  </si>
  <si>
    <t>Protein-S-isoprenylcysteine O-methyltransferase</t>
  </si>
  <si>
    <t>Sorting nexin-2</t>
  </si>
  <si>
    <t>General vesicular transport factor p115</t>
  </si>
  <si>
    <t>Coiled-coil domain-containing protein 22</t>
  </si>
  <si>
    <t>Polyglutamine-binding protein 1</t>
  </si>
  <si>
    <t>Mitochondrial import inner membrane translocase subunit Tim17-B</t>
  </si>
  <si>
    <t>PRA1 family protein 2</t>
  </si>
  <si>
    <t>Eukaryotic translation initiation factor 5B</t>
  </si>
  <si>
    <t>Endothelial differentiation-related factor 1</t>
  </si>
  <si>
    <t>DnaJ homolog subfamily A member 2</t>
  </si>
  <si>
    <t>Bromodomain-containing protein 4</t>
  </si>
  <si>
    <t>Isoform C of Protein CutA</t>
  </si>
  <si>
    <t>Sphingomyelin phosphodiesterase 2</t>
  </si>
  <si>
    <t>Prefoldin subunit 1</t>
  </si>
  <si>
    <t>Protein phosphatase 1 regulatory subunit 11</t>
  </si>
  <si>
    <t>Nibrin</t>
  </si>
  <si>
    <t>ATP-binding cassette sub-family B member 7, mitochondrial</t>
  </si>
  <si>
    <t>SLIT-ROBO Rho GTPase-activating protein 2</t>
  </si>
  <si>
    <t>Glycosaminoglycan xylosylkinase</t>
  </si>
  <si>
    <t>EF-hand calcium-binding domain-containing protein 14</t>
  </si>
  <si>
    <t>WD repeat-containing protein 1</t>
  </si>
  <si>
    <t>Frizzled-7</t>
  </si>
  <si>
    <t>Isoform 2 of Multiple epidermal growth factor-like domains protein 6</t>
  </si>
  <si>
    <t>Probable phospholipid-transporting ATPase IIA</t>
  </si>
  <si>
    <t>NEDD4-binding protein 1</t>
  </si>
  <si>
    <t>Rho-associated protein kinase 2</t>
  </si>
  <si>
    <t>Copine-3</t>
  </si>
  <si>
    <t>Isoform 2 of Autophagy-related protein 13</t>
  </si>
  <si>
    <t>Huntingtin-interacting protein 1-related protein</t>
  </si>
  <si>
    <t>Cullin-associated NEDD8-dissociated protein 2</t>
  </si>
  <si>
    <t>Isoform 2 of TSC22 domain family protein 2</t>
  </si>
  <si>
    <t>DnaJ homolog subfamily C member 13</t>
  </si>
  <si>
    <t>Isoform 4 of Serine/threonine-protein phosphatase 6 regulatory subunit 2</t>
  </si>
  <si>
    <t>Isoform 2 of CCR4-NOT transcription complex subunit 3</t>
  </si>
  <si>
    <t>Isoform 2 of Ankyrin repeat domain-containing protein 17</t>
  </si>
  <si>
    <t>Xylulose kinase</t>
  </si>
  <si>
    <t>Ubiquinone biosynthesis protein COQ9, mitochondrial</t>
  </si>
  <si>
    <t>Gamma-glutamylcyclotransferase</t>
  </si>
  <si>
    <t>Isoform RTN2-B of Reticulon-2</t>
  </si>
  <si>
    <t>Isoform 2 of NADH dehydrogenase [ubiquinone] iron-sulfur protein 2, mitochondrial</t>
  </si>
  <si>
    <t>Zinc finger protein ZPR1</t>
  </si>
  <si>
    <t>Protein NipSnap homolog 2</t>
  </si>
  <si>
    <t>Stannin</t>
  </si>
  <si>
    <t>Semaphorin-7A</t>
  </si>
  <si>
    <t>Tubulin-specific chaperone A</t>
  </si>
  <si>
    <t>V-type proton ATPase subunit G 1</t>
  </si>
  <si>
    <t>Vacuolar protein sorting-associated protein 4B</t>
  </si>
  <si>
    <t>Ectonucleoside triphosphate diphosphohydrolase 5</t>
  </si>
  <si>
    <t>SH3 domain-binding glutamic acid-rich-like protein</t>
  </si>
  <si>
    <t>Isoform 8 of Filamin-B</t>
  </si>
  <si>
    <t>Isoform 2 of Nuclear receptor corepressor 1</t>
  </si>
  <si>
    <t>Vesicle-associated membrane protein 4</t>
  </si>
  <si>
    <t>NADH dehydrogenase [ubiquinone] iron-sulfur protein 6, mitochondrial</t>
  </si>
  <si>
    <t>Isoform 2 of Peroxisomal membrane protein PEX14</t>
  </si>
  <si>
    <t>Sperm-associated antigen 7</t>
  </si>
  <si>
    <t>Vesicle-trafficking protein SEC22b</t>
  </si>
  <si>
    <t>Isoform 2 of Pre-mRNA-processing factor 40 homolog A</t>
  </si>
  <si>
    <t>Leucine-rich repeat and calponin homology domain-containing protein 4</t>
  </si>
  <si>
    <t>Vacuolar protein sorting-associated protein 26A</t>
  </si>
  <si>
    <t>NADH dehydrogenase [ubiquinone] 1 beta subcomplex subunit 1</t>
  </si>
  <si>
    <t>Mitochondrial-processing peptidase subunit beta</t>
  </si>
  <si>
    <t>Katanin p60 ATPase-containing subunit A1</t>
  </si>
  <si>
    <t>PC4 and SFRS1-interacting protein</t>
  </si>
  <si>
    <t>Erlin-1</t>
  </si>
  <si>
    <t>NADH dehydrogenase [ubiquinone] iron-sulfur protein 3, mitochondrial</t>
  </si>
  <si>
    <t>Ceroid-lipofuscinosis neuronal protein 5</t>
  </si>
  <si>
    <t>Heat shock factor-binding protein 1</t>
  </si>
  <si>
    <t>Isoform 2 of Enoyl-CoA delta isomerase 2, mitochondrial</t>
  </si>
  <si>
    <t>Barrier-to-autointegration factor</t>
  </si>
  <si>
    <t>Splicing factor 3B subunit 1</t>
  </si>
  <si>
    <t>Cold shock domain-containing protein E1</t>
  </si>
  <si>
    <t>2-amino-3-ketobutyrate coenzyme A ligase, mitochondrial</t>
  </si>
  <si>
    <t>Nucleoplasmin-3</t>
  </si>
  <si>
    <t>Isoform 2 of Acyl-protein thioesterase 1</t>
  </si>
  <si>
    <t>Isoform 2 of Serpin B7</t>
  </si>
  <si>
    <t>Mitochondrial tRNA-specific 2-thiouridylase 1</t>
  </si>
  <si>
    <t>TIP41-like protein</t>
  </si>
  <si>
    <t>Protein phosphatase 1B</t>
  </si>
  <si>
    <t>Arf-GAP with dual PH domain-containing protein 1</t>
  </si>
  <si>
    <t>Protein XRP2</t>
  </si>
  <si>
    <t>Cartilage-associated protein</t>
  </si>
  <si>
    <t>Calcium-binding mitochondrial carrier protein Aralar1</t>
  </si>
  <si>
    <t>Paralemmin-1</t>
  </si>
  <si>
    <t>Ribonuclease H2 subunit A</t>
  </si>
  <si>
    <t>Cell division cycle protein 123 homolog</t>
  </si>
  <si>
    <t>Isoform 3 of Breast cancer anti-estrogen resistance protein 3</t>
  </si>
  <si>
    <t>Isoform 2 of Ribonuclease P protein subunit p40</t>
  </si>
  <si>
    <t>Eukaryotic translation initiation factor 3 subunit G</t>
  </si>
  <si>
    <t>Eukaryotic translation initiation factor 3 subunit J</t>
  </si>
  <si>
    <t>Carbonyl reductase [NADPH] 3</t>
  </si>
  <si>
    <t>26S proteasome non-ATPase regulatory subunit 10</t>
  </si>
  <si>
    <t>CAAX prenyl protease 1 homolog</t>
  </si>
  <si>
    <t>Isocitrate dehydrogenase [NADP] cytoplasmic</t>
  </si>
  <si>
    <t>Attractin</t>
  </si>
  <si>
    <t>Putative hydrolase RBBP9</t>
  </si>
  <si>
    <t>Signal transducing adapter molecule 2</t>
  </si>
  <si>
    <t>Cytosolic 10-formyltetrahydrofolate dehydrogenase</t>
  </si>
  <si>
    <t>Tumor suppressor candidate 2</t>
  </si>
  <si>
    <t>Short-chain dehydrogenase/reductase 3</t>
  </si>
  <si>
    <t>Isoform 2 of Serine/threonine-protein kinase PAK 3</t>
  </si>
  <si>
    <t>PRA1 family protein 3</t>
  </si>
  <si>
    <t>Pre-mRNA-splicing factor SPF27</t>
  </si>
  <si>
    <t>Dynactin subunit 3</t>
  </si>
  <si>
    <t>DnaJ homolog subfamily C member 8</t>
  </si>
  <si>
    <t>Survival of motor neuron-related-splicing factor 30</t>
  </si>
  <si>
    <t>ATP synthase subunit d, mitochondrial</t>
  </si>
  <si>
    <t>Flotillin-1</t>
  </si>
  <si>
    <t>Isoform 4 of Triple functional domain protein</t>
  </si>
  <si>
    <t>ATP synthase subunit g, mitochondrial</t>
  </si>
  <si>
    <t>Carboxypeptidase D</t>
  </si>
  <si>
    <t>Glutaredoxin-3</t>
  </si>
  <si>
    <t>Wolframin</t>
  </si>
  <si>
    <t>ATP-dependent Clp protease ATP-binding subunit clpX-like, mitochondrial</t>
  </si>
  <si>
    <t>SEC14-like protein 2</t>
  </si>
  <si>
    <t>Stanniocalcin-2</t>
  </si>
  <si>
    <t>Gamma-synuclein</t>
  </si>
  <si>
    <t>Probable cytosolic iron-sulfur protein assembly protein CIAO1</t>
  </si>
  <si>
    <t>cGMP-specific 3,5-cyclic phosphodiesterase</t>
  </si>
  <si>
    <t>AN1-type zinc finger protein 5</t>
  </si>
  <si>
    <t>Signal recognition particle subunit SRP72</t>
  </si>
  <si>
    <t>Isoform 2 of Protein JTB</t>
  </si>
  <si>
    <t>N(G),N(G)-dimethylarginine dimethylaminohydrolase 1</t>
  </si>
  <si>
    <t>Unconventional prefoldin RPB5 interactor 1</t>
  </si>
  <si>
    <t>Galactosylgalactosylxylosylprotein 3-beta-glucuronosyltransferase 3</t>
  </si>
  <si>
    <t>Serine/threonine-protein kinase 10</t>
  </si>
  <si>
    <t>Kelch repeat and BTB domain-containing protein 11</t>
  </si>
  <si>
    <t>Mitochondrial import receptor subunit TOM70</t>
  </si>
  <si>
    <t>Importin-13</t>
  </si>
  <si>
    <t>Phospholipase DDHD2</t>
  </si>
  <si>
    <t>Unconventional myosin-Id</t>
  </si>
  <si>
    <t>Isoform 5 of Protein-methionine sulfoxide oxidase MICAL2</t>
  </si>
  <si>
    <t>Isoform 2 of Uncharacterized protein KIAA0754</t>
  </si>
  <si>
    <t>Protein transport protein Sec24D</t>
  </si>
  <si>
    <t>Isoform 9 of Neurofascin</t>
  </si>
  <si>
    <t>E3 UFM1-protein ligase 1</t>
  </si>
  <si>
    <t>Transmembrane and coiled-coil domains protein 1</t>
  </si>
  <si>
    <t>SAM and SH3 domain-containing protein 1</t>
  </si>
  <si>
    <t>UBX domain-containing protein 7</t>
  </si>
  <si>
    <t>Kelch-like protein 18</t>
  </si>
  <si>
    <t>Proline synthase co-transcribed bacterial homolog protein</t>
  </si>
  <si>
    <t>Erlin-2</t>
  </si>
  <si>
    <t>Endonuclease domain-containing 1 protein</t>
  </si>
  <si>
    <t>Cyclin-dependent kinase 14</t>
  </si>
  <si>
    <t>Isoform 7 of Ubiquitin carboxyl-terminal hydrolase 19</t>
  </si>
  <si>
    <t>Isoform 2 of WD repeat-containing protein 47</t>
  </si>
  <si>
    <t>AP-2 complex subunit alpha-2</t>
  </si>
  <si>
    <t>Protein HEXIM1</t>
  </si>
  <si>
    <t>Isoform 2 of Indolethylamine N-methyltransferase</t>
  </si>
  <si>
    <t>GTP-binding protein Di-Ras1</t>
  </si>
  <si>
    <t>Serine protease 23</t>
  </si>
  <si>
    <t>Isoform 2 of Splicing factor, arginine/serine-rich 15</t>
  </si>
  <si>
    <t>Sphingosine 1-phosphate receptor 2</t>
  </si>
  <si>
    <t>NADH dehydrogenase [ubiquinone] 1 beta subcomplex subunit 6</t>
  </si>
  <si>
    <t>Mitofusin-2</t>
  </si>
  <si>
    <t>Isoform 2 of Ubiquitin conjugation factor E4 B</t>
  </si>
  <si>
    <t>Zinc finger protein-like 1</t>
  </si>
  <si>
    <t>NADH dehydrogenase [ubiquinone] 1 alpha subcomplex subunit 3</t>
  </si>
  <si>
    <t>Vesicle-associated membrane protein 5</t>
  </si>
  <si>
    <t>Isoform 2 of Reticulon-3</t>
  </si>
  <si>
    <t>LETM1 and EF-hand domain-containing protein 1, mitochondrial</t>
  </si>
  <si>
    <t>Muscleblind-like 2 (Drosophila), isoform CRA_b</t>
  </si>
  <si>
    <t>Starch-binding domain-containing protein 1</t>
  </si>
  <si>
    <t>Isoform 2 of Zinc finger Ran-binding domain-containing protein 2</t>
  </si>
  <si>
    <t>Sorting nexin-4</t>
  </si>
  <si>
    <t>Homeobox protein VENTX</t>
  </si>
  <si>
    <t>Cyclin-D1-binding protein 1</t>
  </si>
  <si>
    <t>Vesicle-associated membrane protein-associated protein B/C</t>
  </si>
  <si>
    <t>SNARE-associated protein Snapin</t>
  </si>
  <si>
    <t>Isoform 2 of Myelin protein zero-like protein 1</t>
  </si>
  <si>
    <t>Isoform 4 of NADH dehydrogenase [ubiquinone] 1 subunit C2</t>
  </si>
  <si>
    <t>Peptidyl-prolyl cis-trans isomerase FKBP9</t>
  </si>
  <si>
    <t>6-phosphogluconolactonase</t>
  </si>
  <si>
    <t>Ubiquitin-like modifier-activating enzyme ATG7</t>
  </si>
  <si>
    <t>Tripartite motif-containing protein 16</t>
  </si>
  <si>
    <t>Phenylalanine--tRNA ligase, mitochondrial</t>
  </si>
  <si>
    <t>Acyl-protein thioesterase 2</t>
  </si>
  <si>
    <t>Importin-7</t>
  </si>
  <si>
    <t>E3 ubiquitin-protein ligase ARIH2</t>
  </si>
  <si>
    <t>Isoform 2 of Phosphoacetylglucosamine mutase</t>
  </si>
  <si>
    <t>Adenylyltransferase and sulfurtransferase MOCS3</t>
  </si>
  <si>
    <t>CD2 antigen cytoplasmic tail-binding protein 2</t>
  </si>
  <si>
    <t>Zinc finger FYVE domain-containing protein 9</t>
  </si>
  <si>
    <t>Supervillin</t>
  </si>
  <si>
    <t>Isoform 2 of BAG family molecular chaperone regulator 4</t>
  </si>
  <si>
    <t>Activator of 90 kDa heat shock protein ATPase homolog 1</t>
  </si>
  <si>
    <t>Isoform 2 of Poly(A)-specific ribonuclease PARN</t>
  </si>
  <si>
    <t>dTDP-D-glucose 4,6-dehydratase</t>
  </si>
  <si>
    <t>Proteasome assembly chaperone 1</t>
  </si>
  <si>
    <t>Protein transport protein Sec24A</t>
  </si>
  <si>
    <t>Isoform 2 of Protein transport protein Sec24B</t>
  </si>
  <si>
    <t>Solute carrier family 2, facilitated glucose transporter member 10</t>
  </si>
  <si>
    <t>NAD kinase</t>
  </si>
  <si>
    <t>Tyrosyl-DNA phosphodiesterase 2</t>
  </si>
  <si>
    <t>Protein ETHE1, mitochondrial</t>
  </si>
  <si>
    <t>Long-chain-fatty-acid--CoA ligase 3</t>
  </si>
  <si>
    <t>Isoform 3 of CCR4-NOT transcription complex subunit 4</t>
  </si>
  <si>
    <t>STAM-binding protein</t>
  </si>
  <si>
    <t>Isoform 2 of N-acetylserotonin O-methyltransferase-like protein</t>
  </si>
  <si>
    <t>Phosphatidate cytidylyltransferase 2</t>
  </si>
  <si>
    <t>FGFR1 oncogene partner</t>
  </si>
  <si>
    <t>Ras-related protein Rab-3D</t>
  </si>
  <si>
    <t>Synaptosomal-associated protein 29</t>
  </si>
  <si>
    <t>Serine/threonine-protein kinase OSR1</t>
  </si>
  <si>
    <t>Geranylgeranyl pyrophosphate synthase</t>
  </si>
  <si>
    <t>N-alpha-acetyltransferase 38, NatC auxiliary subunit</t>
  </si>
  <si>
    <t>Isoform B of AP-2 complex subunit alpha-1</t>
  </si>
  <si>
    <t>Probable ATP-dependent RNA helicase DDX58</t>
  </si>
  <si>
    <t>Tetratricopeptide repeat protein 4</t>
  </si>
  <si>
    <t>Transmembrane protein 50A</t>
  </si>
  <si>
    <t>Serum deprivation-response protein</t>
  </si>
  <si>
    <t>BAG family molecular chaperone regulator 2</t>
  </si>
  <si>
    <t>BAG family molecular chaperone regulator 3</t>
  </si>
  <si>
    <t>Quinone oxidoreductase-like protein 1</t>
  </si>
  <si>
    <t>Isoform 3 of Apoptosis-inducing factor 1, mitochondrial</t>
  </si>
  <si>
    <t>Chloride intracellular channel protein 3</t>
  </si>
  <si>
    <t>Echinoderm microtubule-associated protein-like 2</t>
  </si>
  <si>
    <t>Guanine nucleotide-binding protein subunit alpha-14</t>
  </si>
  <si>
    <t>Uridine diphosphate glucose pyrophosphatase</t>
  </si>
  <si>
    <t>Tetraspanin-13</t>
  </si>
  <si>
    <t>Fatty acid desaturase 2</t>
  </si>
  <si>
    <t>N(G),N(G)-dimethylarginine dimethylaminohydrolase 2</t>
  </si>
  <si>
    <t>Uncharacterized protein C6orf47</t>
  </si>
  <si>
    <t>Thioredoxin domain-containing protein 12</t>
  </si>
  <si>
    <t>Protein SGT1</t>
  </si>
  <si>
    <t>Pre-mRNA-splicing factor SYF2</t>
  </si>
  <si>
    <t>Integrin beta-like protein 1</t>
  </si>
  <si>
    <t>Reversion-inducing cysteine-rich protein with Kazal motifs</t>
  </si>
  <si>
    <t>Diphosphoinositol polyphosphate phosphohydrolase 1</t>
  </si>
  <si>
    <t>B-cell lymphoma/leukemia 10</t>
  </si>
  <si>
    <t>NADH dehydrogenase [ubiquinone] 1 beta subcomplex subunit 10</t>
  </si>
  <si>
    <t>Molybdopterin synthase catalytic subunit</t>
  </si>
  <si>
    <t>Mitochondrial import receptor subunit TOM40 homolog</t>
  </si>
  <si>
    <t>Peroxisomal membrane protein 11B</t>
  </si>
  <si>
    <t>Serine/threonine-protein kinase PAK 4</t>
  </si>
  <si>
    <t>Serine/threonine-protein kinase Chk2</t>
  </si>
  <si>
    <t>Actin-like protein 6A</t>
  </si>
  <si>
    <t>Molybdopterin synthase sulfur carrier subunit</t>
  </si>
  <si>
    <t>Isoform 2 of Cytochrome b5</t>
  </si>
  <si>
    <t>Alcohol dehydrogenase 1B</t>
  </si>
  <si>
    <t>L-lactate dehydrogenase A chain</t>
  </si>
  <si>
    <t>Retinal dehydrogenase 1</t>
  </si>
  <si>
    <t>Glutamate dehydrogenase 1, mitochondrial</t>
  </si>
  <si>
    <t>Isoform 2 of NADH-cytochrome b5 reductase 3</t>
  </si>
  <si>
    <t>Isoform Cytoplasmic of Glutathione reductase, mitochondrial</t>
  </si>
  <si>
    <t>Cytochrome c oxidase subunit 2</t>
  </si>
  <si>
    <t>Superoxide dismutase [Cu-Zn]</t>
  </si>
  <si>
    <t>Purine nucleoside phosphorylase</t>
  </si>
  <si>
    <t>Hypoxanthine-guanine phosphoribosyltransferase</t>
  </si>
  <si>
    <t>Aspartate aminotransferase, mitochondrial</t>
  </si>
  <si>
    <t>Tyrosine-protein kinase ABL1</t>
  </si>
  <si>
    <t>Epidermal growth factor receptor</t>
  </si>
  <si>
    <t>Phosphoglycerate kinase 1</t>
  </si>
  <si>
    <t>Complement C1r subcomponent</t>
  </si>
  <si>
    <t>Haptoglobin</t>
  </si>
  <si>
    <t>Adenosine deaminase</t>
  </si>
  <si>
    <t>Argininosuccinate synthase</t>
  </si>
  <si>
    <t>Alpha-2-macroglobulin</t>
  </si>
  <si>
    <t>Complement C3</t>
  </si>
  <si>
    <t>Cystatin-C</t>
  </si>
  <si>
    <t>GTPase NRas</t>
  </si>
  <si>
    <t>GTPase HRas</t>
  </si>
  <si>
    <t>Isoform 2B of GTPase KRas</t>
  </si>
  <si>
    <t>Transforming growth factor beta-1</t>
  </si>
  <si>
    <t>Hemoglobin subunit zeta</t>
  </si>
  <si>
    <t>Collagen alpha-1(I) chain</t>
  </si>
  <si>
    <t>Collagen alpha-1(II) chain</t>
  </si>
  <si>
    <t>Collagen alpha-1(III) chain</t>
  </si>
  <si>
    <t>Isoform 2 of Collagen alpha-1(IV) chain</t>
  </si>
  <si>
    <t>Prelamin-A/C</t>
  </si>
  <si>
    <t>Apolipoprotein E</t>
  </si>
  <si>
    <t>Apolipoprotein A-II</t>
  </si>
  <si>
    <t>Isoform 17 of Fibronectin</t>
  </si>
  <si>
    <t>Transferrin receptor protein 1</t>
  </si>
  <si>
    <t>Serotransferrin</t>
  </si>
  <si>
    <t>Hemopexin</t>
  </si>
  <si>
    <t>Ferritin light chain</t>
  </si>
  <si>
    <t>Ferritin heavy chain</t>
  </si>
  <si>
    <t>Metallothionein-2</t>
  </si>
  <si>
    <t>ATP synthase protein 8</t>
  </si>
  <si>
    <t>Catalase</t>
  </si>
  <si>
    <t>Tissue alpha-L-fucosidase</t>
  </si>
  <si>
    <t>Fructose-bisphosphate aldolase A</t>
  </si>
  <si>
    <t>Cystatin-B</t>
  </si>
  <si>
    <t>Annexin A1</t>
  </si>
  <si>
    <t>Isoform GR-A beta of Glucocorticoid receptor</t>
  </si>
  <si>
    <t>Ornithine aminotransferase, mitochondrial</t>
  </si>
  <si>
    <t>Alpha-1B-glycoprotein</t>
  </si>
  <si>
    <t>Tubulin beta-4A chain</t>
  </si>
  <si>
    <t>Glyceraldehyde-3-phosphate dehydrogenase</t>
  </si>
  <si>
    <t>Isoform 2 of Glyceraldehyde-3-phosphate dehydrogenase</t>
  </si>
  <si>
    <t>Argininosuccinate lyase</t>
  </si>
  <si>
    <t>Calpain small subunit 1</t>
  </si>
  <si>
    <t>Metallothionein-1A</t>
  </si>
  <si>
    <t>Heat shock protein beta-1</t>
  </si>
  <si>
    <t>Dolichyl-diphosphooligosaccharide--protein glycosyltransferase subunit 1</t>
  </si>
  <si>
    <t>Isoform 2 of Dolichyl-diphosphooligosaccharide--protein glycosyltransferase subunit 2</t>
  </si>
  <si>
    <t>Guanine nucleotide-binding protein G(i) subunit alpha-2</t>
  </si>
  <si>
    <t>Isoform Glycophorin-D of Glycophorin-C</t>
  </si>
  <si>
    <t>Isoform 4 of Sodium/potassium-transporting ATPase subunit alpha-1</t>
  </si>
  <si>
    <t>Isoform L-APP733 of Amyloid beta A4 protein</t>
  </si>
  <si>
    <t>Apolipoprotein D</t>
  </si>
  <si>
    <t>Aldehyde dehydrogenase, mitochondrial</t>
  </si>
  <si>
    <t>Integrin beta-3</t>
  </si>
  <si>
    <t>Non-histone chromosomal protein HMG-14</t>
  </si>
  <si>
    <t>Plasminogen activator inhibitor 2</t>
  </si>
  <si>
    <t>Plasminogen activator inhibitor 1</t>
  </si>
  <si>
    <t>ADP/ATP translocase 2</t>
  </si>
  <si>
    <t>Ubiquitin-like protein ISG15</t>
  </si>
  <si>
    <t>Alkaline phosphatase, tissue-nonspecific isozyme</t>
  </si>
  <si>
    <t>Non-histone chromosomal protein HMG-17</t>
  </si>
  <si>
    <t>Fibroblast growth factor 1</t>
  </si>
  <si>
    <t>Intercellular adhesion molecule 1</t>
  </si>
  <si>
    <t>60S acidic ribosomal protein P1</t>
  </si>
  <si>
    <t>60S acidic ribosomal protein P2</t>
  </si>
  <si>
    <t>60S acidic ribosomal protein P0</t>
  </si>
  <si>
    <t>Transcription factor AP-1</t>
  </si>
  <si>
    <t>Fatty acid-binding protein, heart</t>
  </si>
  <si>
    <t>Lupus La protein</t>
  </si>
  <si>
    <t>Integrin beta-1</t>
  </si>
  <si>
    <t>Collagen alpha-2(V) chain</t>
  </si>
  <si>
    <t>Uroporphyrinogen decarboxylase</t>
  </si>
  <si>
    <t>Tyrosine-protein kinase Fyn</t>
  </si>
  <si>
    <t>Alpha-galactosidase A</t>
  </si>
  <si>
    <t>Isoform 2 of Gelsolin</t>
  </si>
  <si>
    <t>Isoform 3 of Gelsolin</t>
  </si>
  <si>
    <t>ATP synthase subunit beta, mitochondrial</t>
  </si>
  <si>
    <t>Alpha-enolase</t>
  </si>
  <si>
    <t>Isoform 2 of Glycogen phosphorylase, liver form</t>
  </si>
  <si>
    <t>Glucose-6-phosphate isomerase</t>
  </si>
  <si>
    <t>Nucleophosmin</t>
  </si>
  <si>
    <t>Isoform 2 of Integrin alpha-V</t>
  </si>
  <si>
    <t>Isoform 3 of Integrin alpha-V</t>
  </si>
  <si>
    <t>Isoform 2 of Glia-derived nexin</t>
  </si>
  <si>
    <t>Epoxide hydrolase 1</t>
  </si>
  <si>
    <t>Acyl-CoA-binding protein</t>
  </si>
  <si>
    <t>L-lactate dehydrogenase B chain</t>
  </si>
  <si>
    <t>Glutathione peroxidase 1</t>
  </si>
  <si>
    <t>Phosphoglycerate kinase 2</t>
  </si>
  <si>
    <t>Isoform 2 of Histone H1.0</t>
  </si>
  <si>
    <t>Cathepsin D</t>
  </si>
  <si>
    <t>Annexin A2</t>
  </si>
  <si>
    <t>Calpain-1 catalytic subunit</t>
  </si>
  <si>
    <t>Involucrin</t>
  </si>
  <si>
    <t>Decorin</t>
  </si>
  <si>
    <t>Cathepsin L1</t>
  </si>
  <si>
    <t>Profilin-1</t>
  </si>
  <si>
    <t>Bisphosphoglycerate mutase</t>
  </si>
  <si>
    <t>Adenine phosphoribosyltransferase</t>
  </si>
  <si>
    <t>Cathepsin B</t>
  </si>
  <si>
    <t>Heat shock protein HSP 90-alpha</t>
  </si>
  <si>
    <t>Galactose-1-phosphate uridylyltransferase</t>
  </si>
  <si>
    <t>Cytochrome b-c1 complex subunit 6, mitochondrial</t>
  </si>
  <si>
    <t>Isoform Cytoplasmic of Fumarate hydratase, mitochondrial</t>
  </si>
  <si>
    <t>Isoform 2 of DNA excision repair protein ERCC-1</t>
  </si>
  <si>
    <t>Thrombospondin-1</t>
  </si>
  <si>
    <t>Transcription factor Sp1</t>
  </si>
  <si>
    <t>Heat shock 70 kDa protein 1A/1B</t>
  </si>
  <si>
    <t>Collagen alpha-2(I) chain</t>
  </si>
  <si>
    <t>Annexin A6</t>
  </si>
  <si>
    <t>6-phosphofructokinase, muscle type</t>
  </si>
  <si>
    <t>Heat shock protein HSP 90-beta</t>
  </si>
  <si>
    <t>Signal recognition particle receptor subunit alpha</t>
  </si>
  <si>
    <t>Isoform 2 of Asparagine synthetase [glutamine-hydrolyzing]</t>
  </si>
  <si>
    <t>72 kDa type IV collagenase</t>
  </si>
  <si>
    <t>Extracellular superoxide dismutase [Cu-Zn]</t>
  </si>
  <si>
    <t>Isoform 2 of Porphobilinogen deaminase</t>
  </si>
  <si>
    <t>Neprilysin</t>
  </si>
  <si>
    <t>Inhibin beta A chain</t>
  </si>
  <si>
    <t>Isoform 3 of Pyruvate dehydrogenase E1 component subunit alpha, somatic form, mitochondrial</t>
  </si>
  <si>
    <t>Collagen alpha-2(IV) chain</t>
  </si>
  <si>
    <t>Cytochrome c1, heme protein, mitochondrial</t>
  </si>
  <si>
    <t>Melanotransferrin</t>
  </si>
  <si>
    <t>Myosin light chain 3</t>
  </si>
  <si>
    <t>Complement factor H</t>
  </si>
  <si>
    <t>Isoform 2 of U1 small nuclear ribonucleoprotein 70 kDa</t>
  </si>
  <si>
    <t>Integrin alpha-5</t>
  </si>
  <si>
    <t>Isoform 1 of Nuclear factor 1 C-type</t>
  </si>
  <si>
    <t>Vimentin</t>
  </si>
  <si>
    <t>Guanine nucleotide-binding protein G(k) subunit alpha</t>
  </si>
  <si>
    <t>Annexin A5</t>
  </si>
  <si>
    <t>Steryl-sulfatase</t>
  </si>
  <si>
    <t>U1 small nuclear ribonucleoprotein A</t>
  </si>
  <si>
    <t>Isoform 3 of Fibroblast growth factor 2</t>
  </si>
  <si>
    <t>Gamma-enolase</t>
  </si>
  <si>
    <t>3-ketoacyl-CoA thiolase, peroxisomal</t>
  </si>
  <si>
    <t>Signal recognition particle 19 kDa protein</t>
  </si>
  <si>
    <t>Glutathione S-transferase P</t>
  </si>
  <si>
    <t>U1 small nuclear ribonucleoprotein C</t>
  </si>
  <si>
    <t>Galectin-1</t>
  </si>
  <si>
    <t>Dihydropteridine reductase</t>
  </si>
  <si>
    <t>High mobility group protein B1</t>
  </si>
  <si>
    <t>SPARC</t>
  </si>
  <si>
    <t>Isoform Non-brain of Clathrin light chain A</t>
  </si>
  <si>
    <t>Isoform Non-brain of Clathrin light chain B</t>
  </si>
  <si>
    <t>Annexin A4</t>
  </si>
  <si>
    <t>Isoform CNPI of 2,3-cyclic-nucleotide 3-phosphodiesterase</t>
  </si>
  <si>
    <t>Heme oxygenase 1</t>
  </si>
  <si>
    <t>Platelet-derived growth factor receptor beta</t>
  </si>
  <si>
    <t>Dihydrolipoyl dehydrogenase, mitochondrial</t>
  </si>
  <si>
    <t>U2 small nuclear ribonucleoprotein A</t>
  </si>
  <si>
    <t>Pro-cathepsin H</t>
  </si>
  <si>
    <t>Cytochrome c oxidase subunit 6C</t>
  </si>
  <si>
    <t>Poly [ADP-ribose] polymerase 1</t>
  </si>
  <si>
    <t>Isoform 2 of Arachidonate 5-lipoxygenase</t>
  </si>
  <si>
    <t>Ubiquitin carboxyl-terminal hydrolase isozyme L1</t>
  </si>
  <si>
    <t>Leukotriene A-4 hydrolase</t>
  </si>
  <si>
    <t>Fructose-bisphosphate aldolase C</t>
  </si>
  <si>
    <t>CDGSH iron-sulfur domain-containing protein 3, mitochondrial</t>
  </si>
  <si>
    <t>Ataxin-1-like</t>
  </si>
  <si>
    <t>DNA-directed RNA polymerase II subunit GRINL1A</t>
  </si>
  <si>
    <t>Chromosome transmission fidelity protein 8 homolog isoform 2</t>
  </si>
  <si>
    <t>Thymosin beta-15B</t>
  </si>
  <si>
    <t>40S ribosomal protein S17-like</t>
  </si>
  <si>
    <t>Small integral membrane protein 13</t>
  </si>
  <si>
    <t>Adrenodoxin, mitochondrial</t>
  </si>
  <si>
    <t>Ras-related protein Rap-2a</t>
  </si>
  <si>
    <t>Serglycin</t>
  </si>
  <si>
    <t>60 kDa SS-A/Ro ribonucleoprotein</t>
  </si>
  <si>
    <t>Cytochrome c oxidase subunit 8A, mitochondrial</t>
  </si>
  <si>
    <t>Lysosomal alpha-glucosidase</t>
  </si>
  <si>
    <t>Ras-related protein R-Ras</t>
  </si>
  <si>
    <t>Serine/threonine-protein kinase A-Raf</t>
  </si>
  <si>
    <t>Dihydrolipoyllysine-residue acetyltransferase component of pyruvate dehydrogenase complex, mitochondrial</t>
  </si>
  <si>
    <t>Isoform 2 of Receptor-type tyrosine-protein phosphatase F</t>
  </si>
  <si>
    <t>Thioredoxin</t>
  </si>
  <si>
    <t>Cytochrome c oxidase subunit 5B, mitochondrial</t>
  </si>
  <si>
    <t>Lysosomal protective protein</t>
  </si>
  <si>
    <t>Microsomal glutathione S-transferase 1</t>
  </si>
  <si>
    <t>Microtubule-associated protein tau</t>
  </si>
  <si>
    <t>cAMP-dependent protein kinase type I-alpha regulatory subunit</t>
  </si>
  <si>
    <t>Uroporphyrinogen-III synthase</t>
  </si>
  <si>
    <t>S-formylglutathione hydrolase</t>
  </si>
  <si>
    <t>60 kDa heat shock protein, mitochondrial</t>
  </si>
  <si>
    <t>Isoform 4 of Clusterin</t>
  </si>
  <si>
    <t>Hyaluronan and proteoglycan link protein 1</t>
  </si>
  <si>
    <t>78 kDa glucose-regulated protein</t>
  </si>
  <si>
    <t>Laminin subunit gamma-1</t>
  </si>
  <si>
    <t>Lysosomal acid phosphatase</t>
  </si>
  <si>
    <t>Isoform 3 of Microtubule-associated protein 2</t>
  </si>
  <si>
    <t>Isoform 4 of Microtubule-associated protein 2</t>
  </si>
  <si>
    <t>Isoform Short of E3 SUMO-protein ligase EGR2</t>
  </si>
  <si>
    <t>Solute carrier family 2, facilitated glucose transporter member 1</t>
  </si>
  <si>
    <t>Solute carrier family 2, facilitated glucose transporter member 3</t>
  </si>
  <si>
    <t>Uridine 5-monophosphate synthase</t>
  </si>
  <si>
    <t>Isoform 2 of Pyruvate dehydrogenase E1 component subunit beta, mitochondrial</t>
  </si>
  <si>
    <t>Lipoamide acyltransferase component of branched-chain alpha-keto acid dehydrogenase complex, mitochondrial</t>
  </si>
  <si>
    <t>Glycogen phosphorylase, brain form</t>
  </si>
  <si>
    <t>Ras-related protein Ral-A</t>
  </si>
  <si>
    <t>Ras-related protein Ral-B</t>
  </si>
  <si>
    <t>Isoform 2 of Breakpoint cluster region protein</t>
  </si>
  <si>
    <t>Lysosome-associated membrane glycoprotein 1</t>
  </si>
  <si>
    <t>Glucose-6-phosphate 1-dehydrogenase</t>
  </si>
  <si>
    <t>Ubiquitin-like protein 4A</t>
  </si>
  <si>
    <t>Pyruvate carboxylase, mitochondrial</t>
  </si>
  <si>
    <t>C-1-tetrahydrofolate synthase, cytoplasmic</t>
  </si>
  <si>
    <t>Cation-independent mannose-6-phosphate receptor</t>
  </si>
  <si>
    <t>Alcohol dehydrogenase class-3</t>
  </si>
  <si>
    <t>Cyclin-dependent kinase 4</t>
  </si>
  <si>
    <t>Serum response factor</t>
  </si>
  <si>
    <t>Ribose-phosphate pyrophosphokinase 2</t>
  </si>
  <si>
    <t>Isoform 2 of Polyadenylate-binding protein 1</t>
  </si>
  <si>
    <t>Proliferating cell nuclear antigen</t>
  </si>
  <si>
    <t>Histidine--tRNA ligase, cytoplasmic</t>
  </si>
  <si>
    <t>Isoform C of Collagen alpha-1(XI) chain</t>
  </si>
  <si>
    <t>Collagen alpha-1(VI) chain</t>
  </si>
  <si>
    <t>Collagen alpha-2(VI) chain</t>
  </si>
  <si>
    <t>Isoform 2C2A of Collagen alpha-2(VI) chain</t>
  </si>
  <si>
    <t>Collagen alpha-3(VI) chain</t>
  </si>
  <si>
    <t>ADP/ATP translocase 3</t>
  </si>
  <si>
    <t>Inosine-5-monophosphate dehydrogenase 2</t>
  </si>
  <si>
    <t>Nucleoprotein TPR</t>
  </si>
  <si>
    <t>Creatine kinase B-type</t>
  </si>
  <si>
    <t>Annexin A3</t>
  </si>
  <si>
    <t>Creatine kinase U-type, mitochondrial</t>
  </si>
  <si>
    <t>Isoform 2 of Alpha-actinin-1</t>
  </si>
  <si>
    <t>Isoform Somatic-2 of Angiotensin-converting enzyme</t>
  </si>
  <si>
    <t>Proto-oncogene tyrosine-protein kinase Src</t>
  </si>
  <si>
    <t>Xaa-Pro dipeptidase</t>
  </si>
  <si>
    <t>X-ray repair cross-complementing protein 6</t>
  </si>
  <si>
    <t>X-ray repair cross-complementing protein 5</t>
  </si>
  <si>
    <t>Cytochrome c oxidase subunit 4 isoform 1, mitochondrial</t>
  </si>
  <si>
    <t>5-aminolevulinate synthase, nonspecific, mitochondrial</t>
  </si>
  <si>
    <t>Gamma-interferon-inducible lysosomal thiol reductase</t>
  </si>
  <si>
    <t>Ribonuclease inhibitor</t>
  </si>
  <si>
    <t>Versican core protein</t>
  </si>
  <si>
    <t>Integrin alpha-4</t>
  </si>
  <si>
    <t>Elongation factor 2</t>
  </si>
  <si>
    <t>Protein disulfide-isomerase A4</t>
  </si>
  <si>
    <t>Prolyl 4-hydroxylase subunit alpha-1</t>
  </si>
  <si>
    <t>Isoform 2 of Prolyl 4-hydroxylase subunit alpha-1</t>
  </si>
  <si>
    <t>Translationally-controlled tumor protein</t>
  </si>
  <si>
    <t>Tissue factor</t>
  </si>
  <si>
    <t>Isoform 2 of HLA class I histocompatibility antigen, A-11 alpha chain</t>
  </si>
  <si>
    <t>Plastin-3</t>
  </si>
  <si>
    <t>Electron transfer flavoprotein subunit alpha, mitochondrial</t>
  </si>
  <si>
    <t>cAMP-dependent protein kinase type II-alpha regulatory subunit</t>
  </si>
  <si>
    <t>Isoform 2 of Beta-enolase</t>
  </si>
  <si>
    <t>General transcription factor IIF subunit 2</t>
  </si>
  <si>
    <t>Bifunctional methylenetetrahydrofolate dehydrogenase/cyclohydrolase, mitochondrial</t>
  </si>
  <si>
    <t>Macrophage migration inhibitory factor</t>
  </si>
  <si>
    <t>Isoform 3 of CD99 antigen</t>
  </si>
  <si>
    <t>Isoform 2 of Farnesyl pyrophosphate synthase</t>
  </si>
  <si>
    <t>Carboxypeptidase M</t>
  </si>
  <si>
    <t>Alcohol dehydrogenase [NADP(+)]</t>
  </si>
  <si>
    <t>Pyruvate kinase isozymes M1/M2</t>
  </si>
  <si>
    <t>Acylphosphatase-2</t>
  </si>
  <si>
    <t>Endoplasmin</t>
  </si>
  <si>
    <t>Myosin light chain 6B</t>
  </si>
  <si>
    <t>Insulin-degrading enzyme</t>
  </si>
  <si>
    <t>Cytochrome c oxidase subunit 6B1</t>
  </si>
  <si>
    <t>Heterogeneous nuclear ribonucleoprotein L</t>
  </si>
  <si>
    <t>Aspartate--tRNA ligase, cytoplasmic</t>
  </si>
  <si>
    <t>Junction plakoglobin</t>
  </si>
  <si>
    <t>Serine/threonine-protein kinase B-raf</t>
  </si>
  <si>
    <t>Fatty acid-binding protein, adipocyte</t>
  </si>
  <si>
    <t>Glutamine synthetase</t>
  </si>
  <si>
    <t>Aldose reductase</t>
  </si>
  <si>
    <t>Aminopeptidase N</t>
  </si>
  <si>
    <t>Isoform Gamma of Poliovirus receptor</t>
  </si>
  <si>
    <t>Isoform 2 of Eukaryotic peptide chain release factor GTP-binding subunit ERF3A</t>
  </si>
  <si>
    <t>Arylsulfatase A</t>
  </si>
  <si>
    <t>Isoform 2 of Arylsulfatase A</t>
  </si>
  <si>
    <t>Isoform Short of Beta-1,4-galactosyltransferase 1</t>
  </si>
  <si>
    <t>Ezrin</t>
  </si>
  <si>
    <t>Ubiquitin carboxyl-terminal hydrolase isozyme L3</t>
  </si>
  <si>
    <t>Fos-related antigen 1</t>
  </si>
  <si>
    <t>Isoform K of Membrane cofactor protein</t>
  </si>
  <si>
    <t>Isoform L of Membrane cofactor protein</t>
  </si>
  <si>
    <t>Nucleoside diphosphate kinase A</t>
  </si>
  <si>
    <t>N-acetylglucosamine-6-sulfatase</t>
  </si>
  <si>
    <t>Arylsulfatase B</t>
  </si>
  <si>
    <t>N-chimaerin</t>
  </si>
  <si>
    <t>Replication protein A 32 kDa subunit</t>
  </si>
  <si>
    <t>Metalloproteinase inhibitor 2</t>
  </si>
  <si>
    <t>Carbonyl reductase [NADPH] 1</t>
  </si>
  <si>
    <t>Short-chain specific acyl-CoA dehydrogenase, mitochondrial</t>
  </si>
  <si>
    <t>Isoform CREB-B of Cyclic AMP-responsive element-binding protein 1</t>
  </si>
  <si>
    <t>Platelet-derived growth factor receptor alpha</t>
  </si>
  <si>
    <t>Graves disease carrier protein</t>
  </si>
  <si>
    <t>Isoform 3 of Beta-galactosidase</t>
  </si>
  <si>
    <t>Serine/threonine-protein phosphatase 2B catalytic subunit beta isoform</t>
  </si>
  <si>
    <t>Cytoplasmic protein NCK1</t>
  </si>
  <si>
    <t>GC-rich sequence DNA-binding factor 2</t>
  </si>
  <si>
    <t>Histone H1.5</t>
  </si>
  <si>
    <t>Histone H1.2</t>
  </si>
  <si>
    <t>NADPH--cytochrome P450 reductase</t>
  </si>
  <si>
    <t>Methylated-DNA--protein-cysteine methyltransferase</t>
  </si>
  <si>
    <t>Isoform 3 of Tyrosine-protein kinase Fer</t>
  </si>
  <si>
    <t>Sarcoplasmic/endoplasmic reticulum calcium ATPase 2</t>
  </si>
  <si>
    <t>Isoform 2 of Carboxypeptidase E</t>
  </si>
  <si>
    <t>Fumarylacetoacetase</t>
  </si>
  <si>
    <t>Y-box-binding protein 3</t>
  </si>
  <si>
    <t>Isoform 2 of Y-box-binding protein 3</t>
  </si>
  <si>
    <t>Alpha-N-acetylgalactosaminidase</t>
  </si>
  <si>
    <t>Heat shock 70 kDa protein 6</t>
  </si>
  <si>
    <t>Isoform HMG-Y of High mobility group protein HMG-I/HMG-Y</t>
  </si>
  <si>
    <t>Transmembrane protein 11, mitochondrial</t>
  </si>
  <si>
    <t>Aspartate aminotransferase, cytoplasmic</t>
  </si>
  <si>
    <t>Protein kinase C alpha type</t>
  </si>
  <si>
    <t>Transcription factor jun-B</t>
  </si>
  <si>
    <t>Gap junction alpha-1 protein</t>
  </si>
  <si>
    <t>Isoform 2 of Atrial natriuretic peptide receptor 3</t>
  </si>
  <si>
    <t>Isoform 4 of Sphingomyelin phosphodiesterase</t>
  </si>
  <si>
    <t>Transcription factor jun-D</t>
  </si>
  <si>
    <t>cAMP-dependent protein kinase catalytic subunit alpha</t>
  </si>
  <si>
    <t>Calpain-2 catalytic subunit</t>
  </si>
  <si>
    <t>Desmin</t>
  </si>
  <si>
    <t>CTP synthase 1</t>
  </si>
  <si>
    <t>Isoform Short of Endoglin</t>
  </si>
  <si>
    <t>6-phosphofructokinase, liver type</t>
  </si>
  <si>
    <t>Ganglioside GM2 activator</t>
  </si>
  <si>
    <t>Galectin-3</t>
  </si>
  <si>
    <t>Insulin-like growth factor-binding protein 3</t>
  </si>
  <si>
    <t>T-complex protein 1 subunit alpha</t>
  </si>
  <si>
    <t>Tyrosine-protein phosphatase non-receptor type 1</t>
  </si>
  <si>
    <t>Insulin-like growth factor-binding protein 2</t>
  </si>
  <si>
    <t>Integrin beta-5</t>
  </si>
  <si>
    <t>ADP-ribosylation factor 4</t>
  </si>
  <si>
    <t>60S ribosomal protein L7</t>
  </si>
  <si>
    <t>Early growth response protein 1</t>
  </si>
  <si>
    <t>Negative elongation factor E</t>
  </si>
  <si>
    <t>Phosphoglycerate mutase 1</t>
  </si>
  <si>
    <t>Regulator of chromosome condensation</t>
  </si>
  <si>
    <t>Syndecan-1</t>
  </si>
  <si>
    <t>Cyclic AMP-dependent transcription factor ATF-1</t>
  </si>
  <si>
    <t>ATP synthase-coupling factor 6, mitochondrial</t>
  </si>
  <si>
    <t>Peptidyl-glycine alpha-amidating monooxygenase</t>
  </si>
  <si>
    <t>Nucleolin</t>
  </si>
  <si>
    <t>Hexokinase-1</t>
  </si>
  <si>
    <t>DNA-directed RNA polymerases I, II, and III subunit RPABC1</t>
  </si>
  <si>
    <t>Transcription factor E3</t>
  </si>
  <si>
    <t>Spermidine synthase</t>
  </si>
  <si>
    <t>Nuclear factor NF-kappa-B p105 subunit</t>
  </si>
  <si>
    <t>Isoform 2 of Follistatin</t>
  </si>
  <si>
    <t>Thymidine phosphorylase</t>
  </si>
  <si>
    <t>Isoform K of Plasma membrane calcium-transporting ATPase 1</t>
  </si>
  <si>
    <t>Eukaryotic translation initiation factor 2 subunit 2</t>
  </si>
  <si>
    <t>Transcription factor BTF3</t>
  </si>
  <si>
    <t>Isoform 2 of Transcription factor BTF3</t>
  </si>
  <si>
    <t>Ras-related protein Rab-3A</t>
  </si>
  <si>
    <t>Ras-related protein Rab-3B</t>
  </si>
  <si>
    <t>Ras-related protein Rab-4A</t>
  </si>
  <si>
    <t>Isoform 2 of Ras-related protein Rab-6A</t>
  </si>
  <si>
    <t>Interferon-induced GTP-binding protein Mx1</t>
  </si>
  <si>
    <t>Proteasome subunit beta type-1</t>
  </si>
  <si>
    <t>Cation-dependent mannose-6-phosphate receptor</t>
  </si>
  <si>
    <t>Cytochrome c oxidase subunit 5A, mitochondrial</t>
  </si>
  <si>
    <t>Lamin-B1</t>
  </si>
  <si>
    <t>Homeobox protein Hox-A5</t>
  </si>
  <si>
    <t>Collagen alpha-1(V) chain</t>
  </si>
  <si>
    <t>N(4)-(beta-N-acetylglucosaminyl)-L-asparaginase</t>
  </si>
  <si>
    <t>Parathymosin</t>
  </si>
  <si>
    <t>Glutathione S-transferase Mu 3</t>
  </si>
  <si>
    <t>V-type proton ATPase subunit B, brain isoform</t>
  </si>
  <si>
    <t>V-type proton ATPase subunit C 1</t>
  </si>
  <si>
    <t>Cysteine and glycine-rich protein 1</t>
  </si>
  <si>
    <t>Isoform 2 of Filamin-A</t>
  </si>
  <si>
    <t>Amine oxidase [flavin-containing] A</t>
  </si>
  <si>
    <t>Cytoplasmic aconitate hydratase</t>
  </si>
  <si>
    <t>Isoform 2 of Kit ligand</t>
  </si>
  <si>
    <t>5-nucleotidase</t>
  </si>
  <si>
    <t>Voltage-dependent anion-selective channel protein 1</t>
  </si>
  <si>
    <t>Succinate dehydrogenase [ubiquinone] iron-sulfur subunit, mitochondrial</t>
  </si>
  <si>
    <t>2-oxoisovalerate dehydrogenase subunit beta, mitochondrial</t>
  </si>
  <si>
    <t>Isoform Soluble of Catechol O-methyltransferase</t>
  </si>
  <si>
    <t>Protein-glutamine gamma-glutamyltransferase 2</t>
  </si>
  <si>
    <t>Methylmalonyl-CoA mutase, mitochondrial</t>
  </si>
  <si>
    <t>Oxysterol-binding protein 1</t>
  </si>
  <si>
    <t>Trifunctional purine biosynthetic protein adenosine-3</t>
  </si>
  <si>
    <t>Iduronate 2-sulfatase</t>
  </si>
  <si>
    <t>Non-specific lipid-transfer protein</t>
  </si>
  <si>
    <t>Isoform SCP2 of Non-specific lipid-transfer protein</t>
  </si>
  <si>
    <t>Ubiquitin-like modifier-activating enzyme 1</t>
  </si>
  <si>
    <t>Glutathione peroxidase 3</t>
  </si>
  <si>
    <t>Ectonucleotide pyrophosphatase/phosphodiesterase family member 1</t>
  </si>
  <si>
    <t>NADPH:adrenodoxin oxidoreductase, mitochondrial</t>
  </si>
  <si>
    <t>Heterogeneous nuclear ribonucleoproteins A2/B1</t>
  </si>
  <si>
    <t>Calretinin</t>
  </si>
  <si>
    <t>E3 ubiquitin-protein ligase CBL</t>
  </si>
  <si>
    <t>Insulin-like growth factor-binding protein 4</t>
  </si>
  <si>
    <t>cAMP-dependent protein kinase catalytic subunit beta</t>
  </si>
  <si>
    <t>Ferrochelatase, mitochondrial</t>
  </si>
  <si>
    <t>Isoform 3 of Liver carboxylesterase 1</t>
  </si>
  <si>
    <t>Isoform C of Fibulin-1</t>
  </si>
  <si>
    <t>Transcription elongation factor A protein 1</t>
  </si>
  <si>
    <t>Isoform 3 of Prostaglandin G/H synthase 1</t>
  </si>
  <si>
    <t>Splicing factor, proline- and glutamine-rich</t>
  </si>
  <si>
    <t>Tubulin gamma-1 chain</t>
  </si>
  <si>
    <t>Peptidyl-prolyl cis-trans isomerase B</t>
  </si>
  <si>
    <t>NAD-dependent malic enzyme, mitochondrial</t>
  </si>
  <si>
    <t>Tryptophan--tRNA ligase, cytoplasmic</t>
  </si>
  <si>
    <t>40S ribosomal protein S3</t>
  </si>
  <si>
    <t>Glycine cleavage system H protein, mitochondrial</t>
  </si>
  <si>
    <t>Isoform 2 of Receptor-type tyrosine-protein phosphatase gamma</t>
  </si>
  <si>
    <t>Nuclear autoantigen Sp-100</t>
  </si>
  <si>
    <t>Isoform 2 of Colorectal mutant cancer protein</t>
  </si>
  <si>
    <t>Isoform Short of Nuclear transcription factor Y subunit alpha</t>
  </si>
  <si>
    <t>Adenosylhomocysteinase</t>
  </si>
  <si>
    <t>Cofilin-1</t>
  </si>
  <si>
    <t>Factor VIII intron 22 protein</t>
  </si>
  <si>
    <t>Isoform ZK of Plasma membrane calcium-transporting ATPase 4</t>
  </si>
  <si>
    <t>Isoform ZD of Plasma membrane calcium-transporting ATPase 4</t>
  </si>
  <si>
    <t>Diacylglycerol kinase alpha</t>
  </si>
  <si>
    <t>Carnitine O-palmitoyltransferase 2, mitochondrial</t>
  </si>
  <si>
    <t>Thymidylate kinase</t>
  </si>
  <si>
    <t>Ribonucleoside-diphosphate reductase large subunit</t>
  </si>
  <si>
    <t>Laminin subunit alpha-2</t>
  </si>
  <si>
    <t>G1/S-specific cyclin-D1</t>
  </si>
  <si>
    <t>Growth arrest and DNA damage-inducible protein GADD45 alpha</t>
  </si>
  <si>
    <t>Elongation factor 1-beta</t>
  </si>
  <si>
    <t>Insulin-like growth factor-binding protein 6</t>
  </si>
  <si>
    <t>Insulin-like growth factor-binding protein 5</t>
  </si>
  <si>
    <t>Low molecular weight phosphotyrosine protein phosphatase</t>
  </si>
  <si>
    <t>Isoform 2 of Low molecular weight phosphotyrosine protein phosphatase</t>
  </si>
  <si>
    <t>Acetyl-CoA acetyltransferase, mitochondrial</t>
  </si>
  <si>
    <t>Isoform 4 of Tenascin</t>
  </si>
  <si>
    <t>Myosin regulatory light polypeptide 9</t>
  </si>
  <si>
    <t>DNA-directed RNA polymerase II subunit RPB1</t>
  </si>
  <si>
    <t>Beta-adrenergic receptor kinase 1</t>
  </si>
  <si>
    <t>Proteinase-activated receptor 1</t>
  </si>
  <si>
    <t>40S ribosomal protein S12</t>
  </si>
  <si>
    <t>Isoform 6 of Tumor necrosis factor receptor superfamily member 6</t>
  </si>
  <si>
    <t>DnaJ homolog subfamily B member 1</t>
  </si>
  <si>
    <t>DnaJ homolog subfamily B member 2</t>
  </si>
  <si>
    <t>ATP synthase subunit alpha, mitochondrial</t>
  </si>
  <si>
    <t>Proteasome subunit alpha type-1</t>
  </si>
  <si>
    <t>Proteasome subunit alpha type-2</t>
  </si>
  <si>
    <t>Isoform 2 of Proteasome subunit alpha type-3</t>
  </si>
  <si>
    <t>Proteasome subunit alpha type-4</t>
  </si>
  <si>
    <t>Integrin alpha-3</t>
  </si>
  <si>
    <t>Pentraxin-related protein PTX3</t>
  </si>
  <si>
    <t>Moesin</t>
  </si>
  <si>
    <t>Probable ATP-dependent RNA helicase DDX6</t>
  </si>
  <si>
    <t>Isoform 3 of Catenin alpha-2</t>
  </si>
  <si>
    <t>60S ribosomal protein L13</t>
  </si>
  <si>
    <t>Rab proteins geranylgeranyltransferase component A 2</t>
  </si>
  <si>
    <t>Isovaleryl-CoA dehydrogenase, mitochondrial</t>
  </si>
  <si>
    <t>Protein S100-A4</t>
  </si>
  <si>
    <t>Alpha-1,3-mannosyl-glycoprotein 2-beta-N-acetylglucosaminyltransferase</t>
  </si>
  <si>
    <t>High mobility group protein B2</t>
  </si>
  <si>
    <t>Polypyrimidine tract-binding protein 1</t>
  </si>
  <si>
    <t>Threonine--tRNA ligase, cytoplasmic</t>
  </si>
  <si>
    <t>Elongation factor 1-gamma</t>
  </si>
  <si>
    <t>Peptidyl-prolyl cis-trans isomerase FKBP2</t>
  </si>
  <si>
    <t>GTP:AMP phosphotransferase AK4, mitochondrial</t>
  </si>
  <si>
    <t>Amine oxidase [flavin-containing] B</t>
  </si>
  <si>
    <t>14-3-3 protein theta</t>
  </si>
  <si>
    <t>Mitogen-activated protein kinase 3</t>
  </si>
  <si>
    <t>V-type proton ATPase 16 kDa proteolipid subunit</t>
  </si>
  <si>
    <t>Isoform 2 of Aryl hydrocarbon receptor nuclear translocator</t>
  </si>
  <si>
    <t>60S ribosomal protein L10</t>
  </si>
  <si>
    <t>Collagen alpha-1(VIII) chain</t>
  </si>
  <si>
    <t>Replication protein A 70 kDa DNA-binding subunit</t>
  </si>
  <si>
    <t>DNA-(apurinic or apyrimidinic site) lyase</t>
  </si>
  <si>
    <t>CD82 antigen</t>
  </si>
  <si>
    <t>Calreticulin</t>
  </si>
  <si>
    <t>Isoform 5 of Microtubule-associated protein 4</t>
  </si>
  <si>
    <t>Calnexin</t>
  </si>
  <si>
    <t>Isoform 2 of Proteasome subunit beta type-8</t>
  </si>
  <si>
    <t>Proteasome subunit alpha type-5</t>
  </si>
  <si>
    <t>Proteasome subunit beta type-4</t>
  </si>
  <si>
    <t>Proteasome subunit beta type-6</t>
  </si>
  <si>
    <t>Proteasome subunit beta type-5</t>
  </si>
  <si>
    <t>Glutathione S-transferase Mu 2</t>
  </si>
  <si>
    <t>Protein-lysine 6-oxidase</t>
  </si>
  <si>
    <t>NADH-ubiquinone oxidoreductase 75 kDa subunit, mitochondrial</t>
  </si>
  <si>
    <t>Mitogen-activated protein kinase 1</t>
  </si>
  <si>
    <t>DNA repair protein complementing XP-G cells</t>
  </si>
  <si>
    <t>Granulins</t>
  </si>
  <si>
    <t>Isoform 2 of Cytosol aminopeptidase</t>
  </si>
  <si>
    <t>Corticosteroid 11-beta-dehydrogenase isozyme 1</t>
  </si>
  <si>
    <t>General transcription factor IIE subunit 1</t>
  </si>
  <si>
    <t>Inositol monophosphatase 1</t>
  </si>
  <si>
    <t>Connective tissue growth factor</t>
  </si>
  <si>
    <t>Ephrin type-A receptor 2</t>
  </si>
  <si>
    <t>Isoform 2 of Ephrin type-B receptor 2</t>
  </si>
  <si>
    <t>SHC-transforming protein 1</t>
  </si>
  <si>
    <t>Isoform 6 of SHC-transforming protein 1</t>
  </si>
  <si>
    <t>Cellular retinoic acid-binding protein 2</t>
  </si>
  <si>
    <t>Transketolase</t>
  </si>
  <si>
    <t>Isoform 2 of Leiomodin-1</t>
  </si>
  <si>
    <t>Protein PML</t>
  </si>
  <si>
    <t>Myristoylated alanine-rich C-kinase substrate</t>
  </si>
  <si>
    <t>Guanine nucleotide-binding protein subunit alpha-11</t>
  </si>
  <si>
    <t>Delta-1-pyrroline-5-carboxylate dehydrogenase, mitochondrial</t>
  </si>
  <si>
    <t>Phenazine biosynthesis-like domain-containing protein</t>
  </si>
  <si>
    <t>Endoplasmic reticulum resident protein 29</t>
  </si>
  <si>
    <t>Peroxiredoxin-6</t>
  </si>
  <si>
    <t>ES1 protein homolog, mitochondrial</t>
  </si>
  <si>
    <t>Flavin reductase (NADPH)</t>
  </si>
  <si>
    <t>Isoform Cytoplasmic+peroxisomal of Peroxiredoxin-5, mitochondrial</t>
  </si>
  <si>
    <t>D-dopachrome decarboxylase</t>
  </si>
  <si>
    <t>ATP synthase subunit delta, mitochondrial</t>
  </si>
  <si>
    <t>60S ribosomal protein L12</t>
  </si>
  <si>
    <t>Enoyl-CoA hydratase, mitochondrial</t>
  </si>
  <si>
    <t>UMP-CMP kinase</t>
  </si>
  <si>
    <t>Phosphatidylethanolamine-binding protein 1</t>
  </si>
  <si>
    <t>Serine/threonine-protein phosphatase 2A 65 kDa regulatory subunit A alpha isoform</t>
  </si>
  <si>
    <t>Isoform 4 of Serine/threonine-protein phosphatase 2A 65 kDa regulatory subunit A beta isoform</t>
  </si>
  <si>
    <t>Peptidyl-prolyl cis-trans isomerase F, mitochondrial</t>
  </si>
  <si>
    <t>Isoform Short of B2 bradykinin receptor</t>
  </si>
  <si>
    <t>Glycylpeptide N-tetradecanoyltransferase 1</t>
  </si>
  <si>
    <t>HLA class I histocompatibility antigen, Cw-4 alpha chain</t>
  </si>
  <si>
    <t>Heme oxygenase 2</t>
  </si>
  <si>
    <t>Adenylosuccinate synthetase isozyme 2</t>
  </si>
  <si>
    <t>Isoform Short of Tyrosine-protein kinase receptor UFO</t>
  </si>
  <si>
    <t>Alpha-2-macroglobulin receptor-associated protein</t>
  </si>
  <si>
    <t>Adenylosuccinate lyase</t>
  </si>
  <si>
    <t>Isoform L-type of Pyruvate kinase isozymes R/L</t>
  </si>
  <si>
    <t>Glutathione S-transferase theta-1</t>
  </si>
  <si>
    <t>Leukocyte elastase inhibitor</t>
  </si>
  <si>
    <t>High affinity cationic amino acid transporter 1</t>
  </si>
  <si>
    <t>Aldehyde dehydrogenase X, mitochondrial</t>
  </si>
  <si>
    <t>Coronin-1A</t>
  </si>
  <si>
    <t>Rab GDP dissociation inhibitor alpha</t>
  </si>
  <si>
    <t>S-adenosylmethionine synthase isoform type-2</t>
  </si>
  <si>
    <t>cAMP-dependent protein kinase type I-beta regulatory subunit</t>
  </si>
  <si>
    <t>cAMP-dependent protein kinase type II-beta regulatory subunit</t>
  </si>
  <si>
    <t>Carbamoyl-phosphate synthase [ammonia], mitochondrial</t>
  </si>
  <si>
    <t>Ribonucleoside-diphosphate reductase subunit M2</t>
  </si>
  <si>
    <t>DnaJ homolog subfamily A member 1</t>
  </si>
  <si>
    <t>RAC-alpha serine/threonine-protein kinase</t>
  </si>
  <si>
    <t>RAC-beta serine/threonine-protein kinase</t>
  </si>
  <si>
    <t>Cytochrome b-c1 complex subunit 1, mitochondrial</t>
  </si>
  <si>
    <t>3-hydroxyisobutyrate dehydrogenase, mitochondrial</t>
  </si>
  <si>
    <t>Bifunctional purine biosynthesis protein PURH</t>
  </si>
  <si>
    <t>Isoform 2 of Heterogeneous nuclear ribonucleoprotein H3</t>
  </si>
  <si>
    <t>14-3-3 protein beta/alpha</t>
  </si>
  <si>
    <t>Isoform 2 of 14-3-3 protein sigma</t>
  </si>
  <si>
    <t>Stress-induced-phosphoprotein 1</t>
  </si>
  <si>
    <t>Protein S100-A11</t>
  </si>
  <si>
    <t>Peroxiredoxin-2</t>
  </si>
  <si>
    <t>Isoform 1 of Glycerol kinase</t>
  </si>
  <si>
    <t>Cytidine deaminase</t>
  </si>
  <si>
    <t>Isoform 2 of Deoxycytidylate deaminase</t>
  </si>
  <si>
    <t>Pyrroline-5-carboxylate reductase 1, mitochondrial</t>
  </si>
  <si>
    <t>Isoform 3 of Sodium/calcium exchanger 1</t>
  </si>
  <si>
    <t>Interferon-induced guanylate-binding protein 1</t>
  </si>
  <si>
    <t>Interferon-induced guanylate-binding protein 2</t>
  </si>
  <si>
    <t>Isoform 2 of Syntaxin-2</t>
  </si>
  <si>
    <t>Cystathionine gamma-lyase</t>
  </si>
  <si>
    <t>60S ribosomal protein L9</t>
  </si>
  <si>
    <t>Long-chain-fatty-acid--CoA ligase 1</t>
  </si>
  <si>
    <t>Kinesin-1 heavy chain</t>
  </si>
  <si>
    <t>Isoform 2 of Cleavage stimulation factor subunit 2</t>
  </si>
  <si>
    <t>Isoform 2 of Lymphocyte-specific protein 1</t>
  </si>
  <si>
    <t>Deoxyuridine 5-triphosphate nucleotidohydrolase, mitochondrial</t>
  </si>
  <si>
    <t>Multidrug resistance-associated protein 1</t>
  </si>
  <si>
    <t>Protein S100-A3</t>
  </si>
  <si>
    <t>Mannosyl-oligosaccharide 1,2-alpha-mannosidase IA</t>
  </si>
  <si>
    <t>N-acetylgalactosamine-6-sulfatase</t>
  </si>
  <si>
    <t>Isoform 2 of Serine hydroxymethyltransferase, cytosolic</t>
  </si>
  <si>
    <t>Isoform 3 of Serine hydroxymethyltransferase, mitochondrial</t>
  </si>
  <si>
    <t>Heat shock 70 kDa protein 1-like</t>
  </si>
  <si>
    <t>Heat shock 70 kDa protein 4</t>
  </si>
  <si>
    <t>Mannose-6-phosphate isomerase</t>
  </si>
  <si>
    <t>Glypican-1</t>
  </si>
  <si>
    <t>Catenin alpha-1</t>
  </si>
  <si>
    <t>Prohibitin</t>
  </si>
  <si>
    <t>Serpin B6</t>
  </si>
  <si>
    <t>Isoform 5 of Merlin</t>
  </si>
  <si>
    <t>Radixin</t>
  </si>
  <si>
    <t>Replication protein A 14 kDa subunit</t>
  </si>
  <si>
    <t>Replication factor C subunit 2</t>
  </si>
  <si>
    <t>60S ribosomal protein L22</t>
  </si>
  <si>
    <t>General transcription factor IIF subunit 1</t>
  </si>
  <si>
    <t>Sepiapterin reductase</t>
  </si>
  <si>
    <t>Isoform Alpha-1 of Nuclear receptor ROR-alpha</t>
  </si>
  <si>
    <t>Thrombospondin-2</t>
  </si>
  <si>
    <t>Cystathionine beta-synthase</t>
  </si>
  <si>
    <t>Fibrillin-1</t>
  </si>
  <si>
    <t>Fibrillin-2</t>
  </si>
  <si>
    <t>Insulin receptor substrate 1</t>
  </si>
  <si>
    <t>Myosin-9</t>
  </si>
  <si>
    <t>Myosin-10</t>
  </si>
  <si>
    <t>Coatomer subunit beta</t>
  </si>
  <si>
    <t>Alpha-adducin</t>
  </si>
  <si>
    <t>Isoform 2 of Basigin</t>
  </si>
  <si>
    <t>Metalloproteinase inhibitor 3</t>
  </si>
  <si>
    <t>Isoform 2 of Nuclear pore complex protein Nup214</t>
  </si>
  <si>
    <t>Glutaredoxin-1</t>
  </si>
  <si>
    <t>Isoform 2 of Choline kinase alpha</t>
  </si>
  <si>
    <t>Protein phosphatase 1A</t>
  </si>
  <si>
    <t>26S protease regulatory subunit 7</t>
  </si>
  <si>
    <t>Monocarboxylate transporter 8</t>
  </si>
  <si>
    <t>Isoform 2 of Gamma-glutamyltransferase 5</t>
  </si>
  <si>
    <t>ADP-ribosylation factor-like protein 2</t>
  </si>
  <si>
    <t>ADP-ribosylation factor-like protein 3</t>
  </si>
  <si>
    <t>Isoform Gamma of E3 ubiquitin-protein ligase TRIM23</t>
  </si>
  <si>
    <t>Dual specificity mitogen-activated protein kinase kinase 2</t>
  </si>
  <si>
    <t>V-type proton ATPase subunit E 1</t>
  </si>
  <si>
    <t>Coproporphyrinogen-III oxidase, mitochondrial</t>
  </si>
  <si>
    <t>60S ribosomal protein L4</t>
  </si>
  <si>
    <t>Isoform p18 of 7,8-dihydro-8-oxoguanine triphosphatase</t>
  </si>
  <si>
    <t>Phosphoglucomutase-1</t>
  </si>
  <si>
    <t>Serine/threonine-protein phosphatase PP1-gamma catalytic subunit</t>
  </si>
  <si>
    <t>Guanine nucleotide-binding protein-like 1</t>
  </si>
  <si>
    <t>DNA-directed RNA polymerase II subunit RPB9</t>
  </si>
  <si>
    <t>Pigment epithelium-derived factor</t>
  </si>
  <si>
    <t>Dihydrolipoyllysine-residue succinyltransferase component of 2-oxoglutarate dehydrogenase complex, mitochondrial</t>
  </si>
  <si>
    <t>GMP reductase 1</t>
  </si>
  <si>
    <t>Isoform Cytoplasmic of Phospholipid hydroperoxide glutathione peroxidase, mitochondrial</t>
  </si>
  <si>
    <t>Estradiol 17-beta-dehydrogenase 2</t>
  </si>
  <si>
    <t>Signal recognition particle 14 kDa protein</t>
  </si>
  <si>
    <t>TGF-beta receptor type-2</t>
  </si>
  <si>
    <t>Nuclear pore glycoprotein p62</t>
  </si>
  <si>
    <t>Hippocalcin-like protein 1</t>
  </si>
  <si>
    <t>Squalene synthase</t>
  </si>
  <si>
    <t>Transgelin-2</t>
  </si>
  <si>
    <t>Transaldolase</t>
  </si>
  <si>
    <t>Electron transfer flavoprotein subunit beta</t>
  </si>
  <si>
    <t>RNA-binding motif protein, X chromosome</t>
  </si>
  <si>
    <t>Isoform 3 of Guanine nucleotide-binding protein G(olf) subunit alpha</t>
  </si>
  <si>
    <t>Vitamin K-dependent gamma-carboxylase</t>
  </si>
  <si>
    <t>Isoform 2 of Lysosomal acid lipase/cholesteryl ester hydrolase</t>
  </si>
  <si>
    <t>V-type proton ATPase catalytic subunit A</t>
  </si>
  <si>
    <t>Stress-70 protein, mitochondrial</t>
  </si>
  <si>
    <t>Eukaryotic initiation factor 4A-III</t>
  </si>
  <si>
    <t>40S ribosomal protein S19</t>
  </si>
  <si>
    <t>60S ribosomal protein L3</t>
  </si>
  <si>
    <t>Collagen alpha-1(XV) chain</t>
  </si>
  <si>
    <t>Dolichyl-diphosphooligosaccharide--protein glycosyltransferase 48 kDa subunit</t>
  </si>
  <si>
    <t>Acidic leucine-rich nuclear phosphoprotein 32 family member A</t>
  </si>
  <si>
    <t>Flap endonuclease 1</t>
  </si>
  <si>
    <t>Macrophage-capping protein</t>
  </si>
  <si>
    <t>Adenylyl cyclase-associated protein 2</t>
  </si>
  <si>
    <t>Interleukin-6 receptor subunit beta</t>
  </si>
  <si>
    <t>Alpha-taxilin</t>
  </si>
  <si>
    <t>T-complex protein 1 subunit zeta</t>
  </si>
  <si>
    <t>Nicotinamide N-methyltransferase</t>
  </si>
  <si>
    <t>Proteasome subunit beta type-10</t>
  </si>
  <si>
    <t>Signal transducer and activator of transcription 3</t>
  </si>
  <si>
    <t>Ubiquitin carboxyl-terminal hydrolase 8</t>
  </si>
  <si>
    <t>Malate dehydrogenase, cytoplasmic</t>
  </si>
  <si>
    <t>Malate dehydrogenase, mitochondrial</t>
  </si>
  <si>
    <t>Trifunctional enzyme subunit alpha, mitochondrial</t>
  </si>
  <si>
    <t>Eukaryotic translation initiation factor 2 subunit 3</t>
  </si>
  <si>
    <t>Isoform ID-B of DNA-binding protein inhibitor ID-1</t>
  </si>
  <si>
    <t>Leptin</t>
  </si>
  <si>
    <t>Centrin-2</t>
  </si>
  <si>
    <t>Eukaryotic translation initiation factor 2D</t>
  </si>
  <si>
    <t>Isoform 2 of Protein Wnt-5a</t>
  </si>
  <si>
    <t>Protein BUD31 homolog</t>
  </si>
  <si>
    <t>Ubiquitin-like modifier-activating enzyme 7</t>
  </si>
  <si>
    <t>Isoform 2 of N-alpha-acetyltransferase 10</t>
  </si>
  <si>
    <t>Tyrosine-protein kinase CSK</t>
  </si>
  <si>
    <t>Patatin-like phospholipase domain-containing protein 4</t>
  </si>
  <si>
    <t>Glycine--tRNA ligase</t>
  </si>
  <si>
    <t>Isoleucine--tRNA ligase, cytoplasmic</t>
  </si>
  <si>
    <t>Eukaryotic translation initiation factor 1</t>
  </si>
  <si>
    <t>Protein kinase C iota type</t>
  </si>
  <si>
    <t>Beta-centractin</t>
  </si>
  <si>
    <t>Isoform 2 of Enoyl-CoA delta isomerase 1, mitochondrial</t>
  </si>
  <si>
    <t>Signal transducer and activator of transcription 1-alpha/beta</t>
  </si>
  <si>
    <t>Signal transducer and activator of transcription 6</t>
  </si>
  <si>
    <t>Superkiller viralicidic activity 2-like 2</t>
  </si>
  <si>
    <t>Aldo-keto reductase family 1 member C3</t>
  </si>
  <si>
    <t>Isoform 6 of Rho GTPase-activating protein 25</t>
  </si>
  <si>
    <t>Phosphatidylinositol 4,5-bisphosphate 3-kinase catalytic subunit alpha isoform</t>
  </si>
  <si>
    <t>Serine/threonine-protein kinase mTOR</t>
  </si>
  <si>
    <t>Epidermal growth factor receptor substrate 15</t>
  </si>
  <si>
    <t>Caspase-3</t>
  </si>
  <si>
    <t>Caspase-2</t>
  </si>
  <si>
    <t>40S ribosomal protein S27</t>
  </si>
  <si>
    <t>Leucine-rich PPR motif-containing protein, mitochondrial</t>
  </si>
  <si>
    <t>3-ketoacyl-CoA thiolase, mitochondrial</t>
  </si>
  <si>
    <t>60S ribosomal protein L35</t>
  </si>
  <si>
    <t>Cyclin-dependent kinase inhibitor 2A, isoforms 1/2/3</t>
  </si>
  <si>
    <t>Cyclin-dependent kinase 4 inhibitor B</t>
  </si>
  <si>
    <t>Cyclin-dependent kinase 4 inhibitor C</t>
  </si>
  <si>
    <t>Lysosomal Pro-X carboxypeptidase</t>
  </si>
  <si>
    <t>Isoform C of Endothelin-converting enzyme 1</t>
  </si>
  <si>
    <t>Excitatory amino acid transporter 3</t>
  </si>
  <si>
    <t>Neutral amino acid transporter A</t>
  </si>
  <si>
    <t>Platelet-activating factor acetylhydrolase IB subunit alpha</t>
  </si>
  <si>
    <t>Cell surface glycoprotein MUC18</t>
  </si>
  <si>
    <t>Isoform 2 of Carnitine O-acetyltransferase</t>
  </si>
  <si>
    <t>Cathepsin O</t>
  </si>
  <si>
    <t>Cathepsin K</t>
  </si>
  <si>
    <t>Glycerol-3-phosphate dehydrogenase, mitochondrial</t>
  </si>
  <si>
    <t>Isoform 2 of Glycerol-3-phosphate dehydrogenase, mitochondrial</t>
  </si>
  <si>
    <t>Translocon-associated protein subunit alpha</t>
  </si>
  <si>
    <t>Tyrosine-protein phosphatase non-receptor type 9</t>
  </si>
  <si>
    <t>Ran-specific GTPase-activating protein</t>
  </si>
  <si>
    <t>Nicotinamide phosphoribosyltransferase</t>
  </si>
  <si>
    <t>26S protease regulatory subunit 6B</t>
  </si>
  <si>
    <t>Elongation factor Ts, mitochondrial</t>
  </si>
  <si>
    <t>Aspartoacylase</t>
  </si>
  <si>
    <t>Peptidyl-prolyl cis-trans isomerase C</t>
  </si>
  <si>
    <t>Voltage-dependent anion-selective channel protein 2</t>
  </si>
  <si>
    <t>Short/branched chain specific acyl-CoA dehydrogenase, mitochondrial</t>
  </si>
  <si>
    <t>Chromobox protein homolog 5</t>
  </si>
  <si>
    <t>Isoform Short of Ubiquitin carboxyl-terminal hydrolase 5</t>
  </si>
  <si>
    <t>Isoform 3 of Mitogen-activated protein kinase 8</t>
  </si>
  <si>
    <t>Isoform Alpha-1 of Mitogen-activated protein kinase 9</t>
  </si>
  <si>
    <t>Dual specificity mitogen-activated protein kinase kinase 4</t>
  </si>
  <si>
    <t>Ran GTPase-activating protein 1</t>
  </si>
  <si>
    <t>ATP-dependent DNA helicase Q1</t>
  </si>
  <si>
    <t>Isoform 2 of Putative ribosomal RNA methyltransferase NOP2</t>
  </si>
  <si>
    <t>Adapter molecule crk</t>
  </si>
  <si>
    <t>Isoform Crk-I of Adapter molecule crk</t>
  </si>
  <si>
    <t>Crk-like protein</t>
  </si>
  <si>
    <t>Translation initiation factor IF-2, mitochondrial</t>
  </si>
  <si>
    <t>Glutathione S-transferase Mu 5</t>
  </si>
  <si>
    <t>Cyclin-dependent kinase inhibitor 1B</t>
  </si>
  <si>
    <t>Dual specificity mitogen-activated protein kinase kinase 3</t>
  </si>
  <si>
    <t>Isoform 1 of Dual specificity mitogen-activated protein kinase kinase 3</t>
  </si>
  <si>
    <t>Isoform 1 of Lys-63-specific deubiquitinase BRCC36</t>
  </si>
  <si>
    <t>60S ribosomal protein L5</t>
  </si>
  <si>
    <t>60S ribosomal protein L21</t>
  </si>
  <si>
    <t>40S ribosomal protein S9</t>
  </si>
  <si>
    <t>40S ribosomal protein S10</t>
  </si>
  <si>
    <t>Microtubule-associated protein 1B</t>
  </si>
  <si>
    <t>Glucosamine-6-phosphate isomerase 1</t>
  </si>
  <si>
    <t>Isoform 4 of E3 ubiquitin-protein ligase NEDD4</t>
  </si>
  <si>
    <t>Utrophin</t>
  </si>
  <si>
    <t>Ras GTPase-activating-like protein IQGAP1</t>
  </si>
  <si>
    <t>Isoform GN-1 of Glycogenin-1</t>
  </si>
  <si>
    <t>Dolichyl-diphosphooligosaccharide--protein glycosyltransferase subunit STT3A</t>
  </si>
  <si>
    <t>Guanine nucleotide exchange factor MSS4</t>
  </si>
  <si>
    <t>Cytosolic phospholipase A2</t>
  </si>
  <si>
    <t>F-actin-capping protein subunit alpha-2</t>
  </si>
  <si>
    <t>F-actin-capping protein subunit beta</t>
  </si>
  <si>
    <t>Isoform 2 of F-actin-capping protein subunit beta</t>
  </si>
  <si>
    <t>Eukaryotic translation initiation factor 1A, X-chromosomal</t>
  </si>
  <si>
    <t>60S ribosomal protein L29</t>
  </si>
  <si>
    <t>Zinc finger protein 36, C3H1 type-like 2</t>
  </si>
  <si>
    <t>Cytochrome b-c1 complex subunit Rieske, mitochondrial</t>
  </si>
  <si>
    <t>Sodium- and chloride-dependent creatine transporter 1</t>
  </si>
  <si>
    <t>ATP synthase subunit O, mitochondrial</t>
  </si>
  <si>
    <t>Isoform 3 of LIM and senescent cell antigen-like-containing domain protein 1</t>
  </si>
  <si>
    <t>Glioma pathogenesis-related protein 1</t>
  </si>
  <si>
    <t>Prolyl endopeptidase</t>
  </si>
  <si>
    <t>NADP-dependent malic enzyme</t>
  </si>
  <si>
    <t>Iron-responsive element-binding protein 2</t>
  </si>
  <si>
    <t>Isoform A of Leptin receptor</t>
  </si>
  <si>
    <t>Transcription factor SOX-9</t>
  </si>
  <si>
    <t>Coatomer subunit delta</t>
  </si>
  <si>
    <t>Lanosterol synthase</t>
  </si>
  <si>
    <t>Isoform 2 of Serine/threonine-protein phosphatase 2B catalytic subunit gamma isoform</t>
  </si>
  <si>
    <t>Glutamate--cysteine ligase catalytic subunit</t>
  </si>
  <si>
    <t>Glutamate--cysteine ligase regulatory subunit</t>
  </si>
  <si>
    <t>CD151 antigen</t>
  </si>
  <si>
    <t>Protein PRRC2A</t>
  </si>
  <si>
    <t>Glutathione synthetase</t>
  </si>
  <si>
    <t>T-complex protein 1 subunit epsilon</t>
  </si>
  <si>
    <t>Nestin</t>
  </si>
  <si>
    <t>Heat shock 70 kDa protein 13</t>
  </si>
  <si>
    <t>Isocitrate dehydrogenase [NADP], mitochondrial</t>
  </si>
  <si>
    <t>Phosphatidylinositol transfer protein beta isoform</t>
  </si>
  <si>
    <t>Isoform 4 of Mannan-binding lectin serine protease 1</t>
  </si>
  <si>
    <t>Isoform 2 of CD97 antigen</t>
  </si>
  <si>
    <t>MARCKS-related protein</t>
  </si>
  <si>
    <t>Calcium signal-modulating cyclophilin ligand</t>
  </si>
  <si>
    <t>MAP kinase-activated protein kinase 2</t>
  </si>
  <si>
    <t>4-trimethylaminobutyraldehyde dehydrogenase</t>
  </si>
  <si>
    <t>60S ribosomal protein L34</t>
  </si>
  <si>
    <t>Ribose-5-phosphate isomerase</t>
  </si>
  <si>
    <t>Protein ERGIC-53</t>
  </si>
  <si>
    <t>Nuclear autoantigenic sperm protein</t>
  </si>
  <si>
    <t>Fatty acid synthase</t>
  </si>
  <si>
    <t>Protein farnesyltransferase/geranylgeranyltransferase type-1 subunit alpha</t>
  </si>
  <si>
    <t>Protein farnesyltransferase subunit beta</t>
  </si>
  <si>
    <t>Deoxyhypusine synthase</t>
  </si>
  <si>
    <t>T-complex protein 1 subunit gamma</t>
  </si>
  <si>
    <t>Isoform 1B of Beta-arrestin-1</t>
  </si>
  <si>
    <t>Elongation factor Tu, mitochondrial</t>
  </si>
  <si>
    <t>Isoform 2 of Alpha-aminoadipic semialdehyde dehydrogenase</t>
  </si>
  <si>
    <t>Ubiquitin-conjugating enzyme E2 R1</t>
  </si>
  <si>
    <t>Inositol polyphosphate 1-phosphatase</t>
  </si>
  <si>
    <t>Signal recognition particle 9 kDa protein</t>
  </si>
  <si>
    <t>Ubiquitin-conjugating enzyme E2 A</t>
  </si>
  <si>
    <t>Choline-phosphate cytidylyltransferase A</t>
  </si>
  <si>
    <t>Alanine--tRNA ligase, cytoplasmic</t>
  </si>
  <si>
    <t>Isoform 3 of Cysteine--tRNA ligase, cytoplasmic</t>
  </si>
  <si>
    <t>Serine--tRNA ligase, cytoplasmic</t>
  </si>
  <si>
    <t>Caspase-4</t>
  </si>
  <si>
    <t>Proteasome subunit beta type-2</t>
  </si>
  <si>
    <t>Isoform 2 of Very long-chain specific acyl-CoA dehydrogenase, mitochondrial</t>
  </si>
  <si>
    <t>Isoform 4 of YLP motif-containing protein 1</t>
  </si>
  <si>
    <t>Acyl-coenzyme A thioesterase 2, mitochondrial</t>
  </si>
  <si>
    <t>Transmembrane emp24 domain-containing protein 10</t>
  </si>
  <si>
    <t>RNA-binding protein 25</t>
  </si>
  <si>
    <t>Isoform 4 of Protein numb homolog</t>
  </si>
  <si>
    <t>Translation initiation factor eIF-2B subunit beta</t>
  </si>
  <si>
    <t>Histidine triad nucleotide-binding protein 1</t>
  </si>
  <si>
    <t>Nuclear pore complex protein Nup153</t>
  </si>
  <si>
    <t>E3 SUMO-protein ligase RanBP2</t>
  </si>
  <si>
    <t>Regulator of G-protein signaling 19</t>
  </si>
  <si>
    <t>Isoform 1 of Regulator of G-protein signaling 3</t>
  </si>
  <si>
    <t>Glycogen synthase kinase-3 alpha</t>
  </si>
  <si>
    <t>Glycogen synthase kinase-3 beta</t>
  </si>
  <si>
    <t>Cytosolic purine 5-nucleotidase</t>
  </si>
  <si>
    <t>Selenide, water dikinase 1</t>
  </si>
  <si>
    <t>5-formyltetrahydrofolate cyclo-ligase</t>
  </si>
  <si>
    <t>GMP synthase [glutamine-hydrolyzing]</t>
  </si>
  <si>
    <t>Double-strand break repair protein MRE11A</t>
  </si>
  <si>
    <t>Histamine N-methyltransferase</t>
  </si>
  <si>
    <t>Guanine nucleotide-binding protein G(q) subunit alpha</t>
  </si>
  <si>
    <t>Guanine nucleotide-binding protein G(I)/G(S)/G(O) subunit gamma-10</t>
  </si>
  <si>
    <t>Isocitrate dehydrogenase [NAD] subunit alpha, mitochondrial</t>
  </si>
  <si>
    <t>Sulfotransferase 1A3/1A4</t>
  </si>
  <si>
    <t>Sulfotransferase 1A1</t>
  </si>
  <si>
    <t>Cysteine-rich protein 1</t>
  </si>
  <si>
    <t>Matrix metalloproteinase-14</t>
  </si>
  <si>
    <t>Protoporphyrinogen oxidase</t>
  </si>
  <si>
    <t>Emerin</t>
  </si>
  <si>
    <t>Carnitine O-palmitoyltransferase 1, liver isoform</t>
  </si>
  <si>
    <t>Serpin B8</t>
  </si>
  <si>
    <t>Serpin B9</t>
  </si>
  <si>
    <t>PDZ and LIM domain protein 4</t>
  </si>
  <si>
    <t>Hsc70-interacting protein</t>
  </si>
  <si>
    <t>Vasodilator-stimulated phosphoprotein</t>
  </si>
  <si>
    <t>Isoform 2 of Dynamin-2</t>
  </si>
  <si>
    <t>Methionine aminopeptidase 2</t>
  </si>
  <si>
    <t>Bis(5-nucleosyl)-tetraphosphatase [asymmetrical]</t>
  </si>
  <si>
    <t>Biotin--protein ligase</t>
  </si>
  <si>
    <t>Ras association domain-containing protein 2</t>
  </si>
  <si>
    <t>Basal cell adhesion molecule</t>
  </si>
  <si>
    <t>Palmitoyl-protein thioesterase 1</t>
  </si>
  <si>
    <t>60S ribosomal protein L14</t>
  </si>
  <si>
    <t>T-complex protein 1 subunit theta</t>
  </si>
  <si>
    <t>T-complex protein 1 subunit delta</t>
  </si>
  <si>
    <t>Fragile X mental retardation syndrome-related protein 2</t>
  </si>
  <si>
    <t>Ras-related protein Rab-5C</t>
  </si>
  <si>
    <t>Ras-related protein Rab-7a</t>
  </si>
  <si>
    <t>Ras-related protein Rab-9A</t>
  </si>
  <si>
    <t>Ras-related protein Rab-13</t>
  </si>
  <si>
    <t>Ras-related protein Rab-28</t>
  </si>
  <si>
    <t>Isoform Short of Ras-related protein Rab-27A</t>
  </si>
  <si>
    <t>1-phosphatidylinositol 4,5-bisphosphate phosphodiesterase delta-1</t>
  </si>
  <si>
    <t>Death-associated protein 1</t>
  </si>
  <si>
    <t>Isoform 2 of 28S ribosomal protein S29, mitochondrial</t>
  </si>
  <si>
    <t>Dual specificity protein phosphatase 3</t>
  </si>
  <si>
    <t>Isoform Short of Probable global transcription activator SNF2L2</t>
  </si>
  <si>
    <t>Isocitrate dehydrogenase [NAD] subunit gamma, mitochondrial</t>
  </si>
  <si>
    <t>Galactokinase</t>
  </si>
  <si>
    <t>Translocon-associated protein subunit delta</t>
  </si>
  <si>
    <t>B-cell receptor-associated protein 31</t>
  </si>
  <si>
    <t>Thiopurine S-methyltransferase</t>
  </si>
  <si>
    <t>Methyl-CpG-binding protein 2</t>
  </si>
  <si>
    <t>Isoform 2 of Host cell factor 1</t>
  </si>
  <si>
    <t>Peroxisomal multifunctional enzyme type 2</t>
  </si>
  <si>
    <t>26S proteasome non-ATPase regulatory subunit 7</t>
  </si>
  <si>
    <t>Ubiquitin-conjugating enzyme E2 D1</t>
  </si>
  <si>
    <t>Sulfite oxidase, mitochondrial</t>
  </si>
  <si>
    <t>N-sulphoglucosamine sulphohydrolase</t>
  </si>
  <si>
    <t>Isoform 3 of Arylsulfatase D</t>
  </si>
  <si>
    <t>Signal transducer and activator of transcription 5B</t>
  </si>
  <si>
    <t>Isoform 3 of H(+)/Cl(-) exchange transporter 3</t>
  </si>
  <si>
    <t>H(+)/Cl(-) exchange transporter 5</t>
  </si>
  <si>
    <t>Plexin-A3</t>
  </si>
  <si>
    <t>Vesicle-associated membrane protein 7</t>
  </si>
  <si>
    <t>Ribosomal protein S6 kinase alpha-3</t>
  </si>
  <si>
    <t>Isoform 2 of 3-oxo-5-beta-steroid 4-dehydrogenase</t>
  </si>
  <si>
    <t>Hepatoma-derived growth factor</t>
  </si>
  <si>
    <t>Lumican</t>
  </si>
  <si>
    <t>Calponin-1</t>
  </si>
  <si>
    <t>Isoform 2 of CDK-activating kinase assembly factor MAT1</t>
  </si>
  <si>
    <t>NADH dehydrogenase [ubiquinone] 1 alpha subcomplex subunit 8</t>
  </si>
  <si>
    <t>Heterogeneous nuclear ribonucleoprotein A3</t>
  </si>
  <si>
    <t>Isoform 2 of Heterogeneous nuclear ribonucleoprotein M</t>
  </si>
  <si>
    <t>Importin subunit alpha-2</t>
  </si>
  <si>
    <t>Importin subunit alpha-1</t>
  </si>
  <si>
    <t>Rap1 GTPase-GDP dissociation stimulator 1</t>
  </si>
  <si>
    <t>Isoform 4 of Rap1 GTPase-GDP dissociation stimulator 1</t>
  </si>
  <si>
    <t>Rho GDP-dissociation inhibitor 1</t>
  </si>
  <si>
    <t>Heterogeneous nuclear ribonucleoprotein F</t>
  </si>
  <si>
    <t>Isoform 2 of Signal transducer and activator of transcription 2</t>
  </si>
  <si>
    <t>Transcription initiation factor IIA subunit 1</t>
  </si>
  <si>
    <t>Transcription initiation factor IIA subunit 2</t>
  </si>
  <si>
    <t>Isoform 3 of Guanine nucleotide exchange factor VAV2</t>
  </si>
  <si>
    <t>Ribonuclease UK114</t>
  </si>
  <si>
    <t>Spermine synthase</t>
  </si>
  <si>
    <t>Hexokinase-2</t>
  </si>
  <si>
    <t>Ephrin-B2</t>
  </si>
  <si>
    <t>Bifunctional heparan sulfate N-deacetylase/N-sulfotransferase 1</t>
  </si>
  <si>
    <t>Thimet oligopeptidase</t>
  </si>
  <si>
    <t>F-actin-capping protein subunit alpha-1</t>
  </si>
  <si>
    <t>Cysteine-rich protein 2</t>
  </si>
  <si>
    <t>Biliverdin reductase A</t>
  </si>
  <si>
    <t>Tricarboxylate transport protein, mitochondrial</t>
  </si>
  <si>
    <t>Arfaptin-2</t>
  </si>
  <si>
    <t>Arfaptin-1</t>
  </si>
  <si>
    <t>Isoform A of Arfaptin-1</t>
  </si>
  <si>
    <t>Nucleoside diphosphate-linked moiety X motif 6</t>
  </si>
  <si>
    <t>Isoform 2 of Cytosolic Fe-S cluster assembly factor NUBP1</t>
  </si>
  <si>
    <t>ATP-citrate synthase</t>
  </si>
  <si>
    <t>Methionine aminopeptidase 1</t>
  </si>
  <si>
    <t>Succinyl-CoA ligase [ADP/GDP-forming] subunit alpha, mitochondrial</t>
  </si>
  <si>
    <t>Diphosphomevalonate decarboxylase</t>
  </si>
  <si>
    <t>Geranylgeranyl transferase type-1 subunit beta</t>
  </si>
  <si>
    <t>Geranylgeranyl transferase type-2 subunit beta</t>
  </si>
  <si>
    <t>Coatomer subunit alpha</t>
  </si>
  <si>
    <t>Dipeptidyl peptidase 1</t>
  </si>
  <si>
    <t>Cytochrome c-type heme lyase</t>
  </si>
  <si>
    <t>Mitogen-activated protein kinase 12</t>
  </si>
  <si>
    <t>Sodium/myo-inositol cotransporter</t>
  </si>
  <si>
    <t>Pituitary tumor-transforming gene 1 protein-interacting protein</t>
  </si>
  <si>
    <t>Calcipressin-1</t>
  </si>
  <si>
    <t>Isoform B2 of Smoothelin</t>
  </si>
  <si>
    <t>Monocarboxylate transporter 1</t>
  </si>
  <si>
    <t>Isoform 2 of IST1 homolog</t>
  </si>
  <si>
    <t>Protein transport protein Sec24C</t>
  </si>
  <si>
    <t>Activated RNA polymerase II transcriptional coactivator p15</t>
  </si>
  <si>
    <t>Arginine--tRNA ligase, cytoplasmic</t>
  </si>
  <si>
    <t>Ataxin-1</t>
  </si>
  <si>
    <t>Atrophin-1</t>
  </si>
  <si>
    <t>Isoform 5 of Voltage-dependent L-type calcium channel subunit beta-3</t>
  </si>
  <si>
    <t>Tyrosine--tRNA ligase, cytoplasmic</t>
  </si>
  <si>
    <t>Ubiquitin carboxyl-terminal hydrolase 14</t>
  </si>
  <si>
    <t>Isoform 2 of 5-AMP-activated protein kinase subunit gamma-1</t>
  </si>
  <si>
    <t>5-AMP-activated protein kinase catalytic subunit alpha-2</t>
  </si>
  <si>
    <t>Heat shock-related 70 kDa protein 2</t>
  </si>
  <si>
    <t>Branched-chain-amino-acid aminotransferase, cytosolic</t>
  </si>
  <si>
    <t>Isoform 5 of Branched-chain-amino-acid aminotransferase, cytosolic</t>
  </si>
  <si>
    <t>Sodium/potassium-transporting ATPase subunit beta-3</t>
  </si>
  <si>
    <t>UV excision repair protein RAD23 homolog A</t>
  </si>
  <si>
    <t>UV excision repair protein RAD23 homolog B</t>
  </si>
  <si>
    <t>Alpha-N-acetylglucosaminidase</t>
  </si>
  <si>
    <t>Adenylate kinase 2, mitochondrial</t>
  </si>
  <si>
    <t>Isoform Short of Delta-1-pyrroline-5-carboxylate synthase</t>
  </si>
  <si>
    <t>Alpha-soluble NSF attachment protein</t>
  </si>
  <si>
    <t>[Protein ADP-ribosylarginine] hydrolase</t>
  </si>
  <si>
    <t>Eukaryotic translation initiation factor 5</t>
  </si>
  <si>
    <t>Isoform 2 of Solute carrier family 12 member 2</t>
  </si>
  <si>
    <t>26S proteasome non-ATPase regulatory subunit 4</t>
  </si>
  <si>
    <t>Developmentally-regulated GTP-binding protein 2</t>
  </si>
  <si>
    <t>GTP-binding protein RAD</t>
  </si>
  <si>
    <t>Isoform 3 of Exportin-2</t>
  </si>
  <si>
    <t>Transitional endoplasmic reticulum ATPase</t>
  </si>
  <si>
    <t>Microfibrillar-associated protein 1</t>
  </si>
  <si>
    <t>Mesencephalic astrocyte-derived neurotrophic factor</t>
  </si>
  <si>
    <t>Caspase-7</t>
  </si>
  <si>
    <t>Caspase-6</t>
  </si>
  <si>
    <t>Adenosine kinase</t>
  </si>
  <si>
    <t>Laminin subunit beta-2</t>
  </si>
  <si>
    <t>Cyclin-dependent kinase 4 inhibitor D</t>
  </si>
  <si>
    <t>Cadherin-6</t>
  </si>
  <si>
    <t>Cadherin-13</t>
  </si>
  <si>
    <t>Protein arginine N-methyltransferase 2</t>
  </si>
  <si>
    <t>Protein SEC13 homolog</t>
  </si>
  <si>
    <t>FAD-linked sulfhydryl oxidase ALR</t>
  </si>
  <si>
    <t>Heterogeneous nuclear ribonucleoprotein H2</t>
  </si>
  <si>
    <t>Succinyl-CoA:3-ketoacid coenzyme A transferase 1, mitochondrial</t>
  </si>
  <si>
    <t>Eukaryotic translation initiation factor 3 subunit B</t>
  </si>
  <si>
    <t>IgG receptor FcRn large subunit p51</t>
  </si>
  <si>
    <t>BH3-interacting domain death agonist</t>
  </si>
  <si>
    <t>Isoform 2 of NADH dehydrogenase [ubiquinone] flavoprotein 3, mitochondrial</t>
  </si>
  <si>
    <t>Methionine--tRNA ligase, cytoplasmic</t>
  </si>
  <si>
    <t>Integrin alpha-1</t>
  </si>
  <si>
    <t>Cx9C motif-containing protein 4</t>
  </si>
  <si>
    <t>AP-1 complex subunit sigma-2</t>
  </si>
  <si>
    <t>ATP synthase subunit epsilon, mitochondrial</t>
  </si>
  <si>
    <t>ATP synthase subunit e, mitochondrial</t>
  </si>
  <si>
    <t>Histone deacetylase 4</t>
  </si>
  <si>
    <t>Eukaryotic translation initiation factor 6</t>
  </si>
  <si>
    <t>Isoform 2 of C-terminal-binding protein 2</t>
  </si>
  <si>
    <t>Peroxisomal biogenesis factor 3</t>
  </si>
  <si>
    <t>Isoform 3 of 3-keto-steroid reductase</t>
  </si>
  <si>
    <t>Isoform 5 of Breast cancer anti-estrogen resistance protein 1</t>
  </si>
  <si>
    <t>Syntaxin-17</t>
  </si>
  <si>
    <t>RWD domain-containing protein 2B</t>
  </si>
  <si>
    <t>Uncharacterized protein C21orf59</t>
  </si>
  <si>
    <t>Isoform D of MAP3K7 C-terminal-like protein</t>
  </si>
  <si>
    <t>Isoform 2 of tRNA (guanine-N(7)-)-methyltransferase subunit WDR4</t>
  </si>
  <si>
    <t>Transmembrane protein 33</t>
  </si>
  <si>
    <t>Synaptojanin-2-binding protein</t>
  </si>
  <si>
    <t>Isoform 3 of Coronin-7</t>
  </si>
  <si>
    <t>Sorting nexin-16</t>
  </si>
  <si>
    <t>Sestrin-2</t>
  </si>
  <si>
    <t>Myotrophin</t>
  </si>
  <si>
    <t>Guanine nucleotide-binding protein G(I)/G(S)/G(O) subunit gamma-2</t>
  </si>
  <si>
    <t>Protein transport protein Sec61 subunit gamma</t>
  </si>
  <si>
    <t>Isoform 2 of Triosephosphate isomerase</t>
  </si>
  <si>
    <t>Isoform 4 of Triosephosphate isomerase</t>
  </si>
  <si>
    <t>Eukaryotic translation initiation factor 3 subunit E</t>
  </si>
  <si>
    <t>Protein transport protein Sec61 subunit beta</t>
  </si>
  <si>
    <t>Phosphatidylinositol 3,4,5-trisphosphate 3-phosphatase and dual-specificity protein phosphatase PTEN</t>
  </si>
  <si>
    <t>Serine/threonine-protein phosphatase 4 catalytic subunit</t>
  </si>
  <si>
    <t>Gamma-aminobutyric acid receptor-associated protein-like 2</t>
  </si>
  <si>
    <t>Reactive oxygen species modulator 1</t>
  </si>
  <si>
    <t>Isoform 2 of Ubiquitin-conjugating enzyme E2 G2</t>
  </si>
  <si>
    <t>Ras-related C3 botulinum toxin substrate 3</t>
  </si>
  <si>
    <t>Eukaryotic initiation factor 4A-I</t>
  </si>
  <si>
    <t>40S ribosomal protein S20</t>
  </si>
  <si>
    <t>Isoform 2 of Synaptosomal-associated protein 25</t>
  </si>
  <si>
    <t>Ribose-phosphate pyrophosphokinase 1</t>
  </si>
  <si>
    <t>26S proteasome complex subunit DSS1</t>
  </si>
  <si>
    <t>Protein S100-A10</t>
  </si>
  <si>
    <t>Cell division control protein 42 homolog</t>
  </si>
  <si>
    <t>Destrin</t>
  </si>
  <si>
    <t>Glia maturation factor beta</t>
  </si>
  <si>
    <t>Ras-related protein Rab-8A</t>
  </si>
  <si>
    <t>Signal recognition particle 54 kDa protein</t>
  </si>
  <si>
    <t>Ras-related protein Rab-4B</t>
  </si>
  <si>
    <t>Ras-related protein Rab-2A</t>
  </si>
  <si>
    <t>Ras-related protein Rab-5B</t>
  </si>
  <si>
    <t>Ras-related protein Rab-10</t>
  </si>
  <si>
    <t>Ubiquitin-conjugating enzyme E2 D3</t>
  </si>
  <si>
    <t>NEDD8-conjugating enzyme Ubc12</t>
  </si>
  <si>
    <t>Ubiquitin-conjugating enzyme E2 K</t>
  </si>
  <si>
    <t>Ubiquitin-conjugating enzyme E2 N</t>
  </si>
  <si>
    <t>Ras-related protein Rab-14</t>
  </si>
  <si>
    <t>Actin-related protein 3</t>
  </si>
  <si>
    <t>Actin-related protein 2</t>
  </si>
  <si>
    <t>Alpha-centractin</t>
  </si>
  <si>
    <t>COP9 signalosome complex subunit 2</t>
  </si>
  <si>
    <t>DNA-directed RNA polymerases I, II, and III subunit RPABC2</t>
  </si>
  <si>
    <t>ATP-binding cassette sub-family E member 1</t>
  </si>
  <si>
    <t>Ras-related protein Rap-1b</t>
  </si>
  <si>
    <t>Ras-related protein Rap-2b</t>
  </si>
  <si>
    <t>Isoform 2 of Protein max</t>
  </si>
  <si>
    <t>40S ribosomal protein S3a</t>
  </si>
  <si>
    <t>Proteasome activator complex subunit 3</t>
  </si>
  <si>
    <t>Protein mago nashi homolog</t>
  </si>
  <si>
    <t>60S ribosomal protein L27</t>
  </si>
  <si>
    <t>Transforming protein RhoA</t>
  </si>
  <si>
    <t>Rho-related GTP-binding protein RhoE</t>
  </si>
  <si>
    <t>N-alpha-acetyltransferase 20</t>
  </si>
  <si>
    <t>Neurocalcin-delta</t>
  </si>
  <si>
    <t>10 kDa heat shock protein, mitochondrial</t>
  </si>
  <si>
    <t>Prefoldin subunit 3</t>
  </si>
  <si>
    <t>Syntaxin-binding protein 1</t>
  </si>
  <si>
    <t>Beta-2-microglobulin</t>
  </si>
  <si>
    <t>Transforming growth factor beta-2</t>
  </si>
  <si>
    <t>cAMP-dependent protein kinase inhibitor alpha</t>
  </si>
  <si>
    <t>60S ribosomal protein L37</t>
  </si>
  <si>
    <t>Guanine nucleotide-binding protein G(I)/G(S)/G(O) subunit gamma-11</t>
  </si>
  <si>
    <t>Isoform 2 of Ubiquitin-fold modifier 1</t>
  </si>
  <si>
    <t>DDB1- and CUL4-associated factor 7</t>
  </si>
  <si>
    <t>WD repeat-containing protein 5</t>
  </si>
  <si>
    <t>Nuclear transport factor 2</t>
  </si>
  <si>
    <t>Isoform 3 of Heterogeneous nuclear ribonucleoprotein K</t>
  </si>
  <si>
    <t>14-3-3 protein gamma</t>
  </si>
  <si>
    <t>Ras-related protein R-Ras2</t>
  </si>
  <si>
    <t>Mitochondrial import inner membrane translocase subunit Tim10</t>
  </si>
  <si>
    <t>40S ribosomal protein S7</t>
  </si>
  <si>
    <t>Serine/threonine-protein phosphatase PP1-alpha catalytic subunit</t>
  </si>
  <si>
    <t>Serine/threonine-protein phosphatase PP1-beta catalytic subunit</t>
  </si>
  <si>
    <t>Neuronal calcium sensor 1</t>
  </si>
  <si>
    <t>26S protease regulatory subunit 4</t>
  </si>
  <si>
    <t>Isoform 2 of 26S protease regulatory subunit 8</t>
  </si>
  <si>
    <t>40S ribosomal protein S8</t>
  </si>
  <si>
    <t>40S ribosomal protein S16</t>
  </si>
  <si>
    <t>Ubiquitin-conjugating enzyme E2 G1</t>
  </si>
  <si>
    <t>14-3-3 protein epsilon</t>
  </si>
  <si>
    <t>40S ribosomal protein S14</t>
  </si>
  <si>
    <t>40S ribosomal protein S18</t>
  </si>
  <si>
    <t>40S ribosomal protein S29</t>
  </si>
  <si>
    <t>40S ribosomal protein S13</t>
  </si>
  <si>
    <t>40S ribosomal protein S11</t>
  </si>
  <si>
    <t>Small nuclear ribonucleoprotein E</t>
  </si>
  <si>
    <t>Small nuclear ribonucleoprotein F</t>
  </si>
  <si>
    <t>Small nuclear ribonucleoprotein G</t>
  </si>
  <si>
    <t>U6 snRNA-associated Sm-like protein LSm3</t>
  </si>
  <si>
    <t>U6 snRNA-associated Sm-like protein LSm6</t>
  </si>
  <si>
    <t>Small nuclear ribonucleoprotein Sm D1</t>
  </si>
  <si>
    <t>Small nuclear ribonucleoprotein Sm D2</t>
  </si>
  <si>
    <t>Thymosin beta-4</t>
  </si>
  <si>
    <t>ADP-ribosylation factor 6</t>
  </si>
  <si>
    <t>26S protease regulatory subunit 10B</t>
  </si>
  <si>
    <t>TATA box-binding protein-like protein 1</t>
  </si>
  <si>
    <t>60S ribosomal protein L7a</t>
  </si>
  <si>
    <t>DNA-directed RNA polymerase II subunit RPB7</t>
  </si>
  <si>
    <t>Eukaryotic peptide chain release factor subunit 1</t>
  </si>
  <si>
    <t>Isoform 4 of Cellular nucleic acid-binding protein</t>
  </si>
  <si>
    <t>40S ribosomal protein S4, X isoform</t>
  </si>
  <si>
    <t>Serine/threonine-protein phosphatase 2A catalytic subunit beta isoform</t>
  </si>
  <si>
    <t>Actin, aortic smooth muscle</t>
  </si>
  <si>
    <t>Rho-related GTP-binding protein RhoB</t>
  </si>
  <si>
    <t>60S ribosomal protein L23a</t>
  </si>
  <si>
    <t>40S ribosomal protein S6</t>
  </si>
  <si>
    <t>Histone H4</t>
  </si>
  <si>
    <t>Ras-related protein Rab-1A</t>
  </si>
  <si>
    <t>60S ribosomal protein L23</t>
  </si>
  <si>
    <t>Ras-related protein Rap-1A</t>
  </si>
  <si>
    <t>40S ribosomal protein S25</t>
  </si>
  <si>
    <t>40S ribosomal protein S28</t>
  </si>
  <si>
    <t>Guanine nucleotide-binding protein G(I)/G(S)/G(T) subunit beta-1</t>
  </si>
  <si>
    <t>E3 ubiquitin-protein ligase RBX1</t>
  </si>
  <si>
    <t>Guanine nucleotide-binding protein G(I)/G(S)/G(T) subunit beta-2</t>
  </si>
  <si>
    <t>60S ribosomal protein L30</t>
  </si>
  <si>
    <t>60S ribosomal protein L10a</t>
  </si>
  <si>
    <t>Isoform 2 of 60S ribosomal protein L11</t>
  </si>
  <si>
    <t>Peptidyl-prolyl cis-trans isomerase A</t>
  </si>
  <si>
    <t>Peptidyl-prolyl cis-trans isomerase FKBP1A</t>
  </si>
  <si>
    <t>Ubiquitin-40S ribosomal protein S27a</t>
  </si>
  <si>
    <t>Ubiquitin-60S ribosomal protein L40</t>
  </si>
  <si>
    <t>Growth factor receptor-bound protein 2</t>
  </si>
  <si>
    <t>Isoform 3 of Transformer-2 protein homolog beta</t>
  </si>
  <si>
    <t>Ras-related C3 botulinum toxin substrate 1</t>
  </si>
  <si>
    <t>AP-2 complex subunit beta</t>
  </si>
  <si>
    <t>Guanine nucleotide-binding protein G(s) subunit alpha isoforms short</t>
  </si>
  <si>
    <t>Isoform 3 of Guanine nucleotide-binding protein G(s) subunit alpha isoforms short</t>
  </si>
  <si>
    <t>Guanine nucleotide-binding protein G(i) subunit alpha-1</t>
  </si>
  <si>
    <t>14-3-3 protein zeta/delta</t>
  </si>
  <si>
    <t>Ubiquitin-conjugating enzyme E2 B</t>
  </si>
  <si>
    <t>Serine/threonine-protein phosphatase 2A 55 kDa regulatory subunit B alpha isoform</t>
  </si>
  <si>
    <t>Dynein light chain 1, cytoplasmic</t>
  </si>
  <si>
    <t>60S ribosomal protein L38</t>
  </si>
  <si>
    <t>Guanine nucleotide-binding protein G(I)/G(S)/G(O) subunit gamma-5</t>
  </si>
  <si>
    <t>Guanine nucleotide-binding protein subunit beta-2-like 1</t>
  </si>
  <si>
    <t>Nuclease-sensitive element-binding protein 1</t>
  </si>
  <si>
    <t>Tropomyosin alpha-4 chain</t>
  </si>
  <si>
    <t>Isoform 2 of Tropomyosin alpha-4 chain</t>
  </si>
  <si>
    <t>Ubiquitin-conjugating enzyme E2 L3</t>
  </si>
  <si>
    <t>Elongation factor 1-alpha 1</t>
  </si>
  <si>
    <t>Tubulin beta-4B chain</t>
  </si>
  <si>
    <t>Platelet-activating factor acetylhydrolase IB subunit beta</t>
  </si>
  <si>
    <t>Hemoglobin subunit beta</t>
  </si>
  <si>
    <t>Coxsackievirus and adenovirus receptor</t>
  </si>
  <si>
    <t>SH3 domain-binding protein 2</t>
  </si>
  <si>
    <t>Immunoglobulin-binding protein 1</t>
  </si>
  <si>
    <t>Tyrosine-protein phosphatase non-receptor type substrate 1</t>
  </si>
  <si>
    <t>Phosphoserine phosphatase</t>
  </si>
  <si>
    <t>Isoform 2 of General transcription factor II-I</t>
  </si>
  <si>
    <t>Phosphatidylinositol 5-phosphate 4-kinase type-2 beta</t>
  </si>
  <si>
    <t>T-complex protein 1 subunit beta</t>
  </si>
  <si>
    <t>mRNA export factor</t>
  </si>
  <si>
    <t>Glutathione S-transferase omega-1</t>
  </si>
  <si>
    <t>Disintegrin and metalloproteinase domain-containing protein 17</t>
  </si>
  <si>
    <t>Biogenesis of lysosome-related organelles complex 1 subunit 1</t>
  </si>
  <si>
    <t>Interleukin-13 receptor subunit alpha-1</t>
  </si>
  <si>
    <t>Death domain-containing protein CRADD</t>
  </si>
  <si>
    <t>Interferon-induced 35 kDa protein</t>
  </si>
  <si>
    <t>Metallothionein-1X</t>
  </si>
  <si>
    <t>Nucleobindin-2</t>
  </si>
  <si>
    <t>Brain acid soluble protein 1</t>
  </si>
  <si>
    <t>Isoform 2 of Protein FAM189B</t>
  </si>
  <si>
    <t>TATA element modulatory factor</t>
  </si>
  <si>
    <t>28S ribosomal protein S36, mitochondrial</t>
  </si>
  <si>
    <t>SAP domain-containing ribonucleoprotein</t>
  </si>
  <si>
    <t>Serine beta-lactamase-like protein LACTB, mitochondrial</t>
  </si>
  <si>
    <t>Conserved oligomeric Golgi complex subunit 7</t>
  </si>
  <si>
    <t>Thioredoxin-like protein 4A</t>
  </si>
  <si>
    <t>ADP-ribosylation factor 1</t>
  </si>
  <si>
    <t>ADP-ribosylation factor 5</t>
  </si>
  <si>
    <t>Enhancer of rudimentary homolog</t>
  </si>
  <si>
    <t>Rho-related GTP-binding protein RhoG</t>
  </si>
  <si>
    <t>60S ribosomal protein L19</t>
  </si>
  <si>
    <t>Isoform 4 of Small EDRK-rich factor 2</t>
  </si>
  <si>
    <t>Matrix-remodeling-associated protein 7</t>
  </si>
  <si>
    <t>Isoform 3 of Matrix-remodeling-associated protein 7</t>
  </si>
  <si>
    <t>Forkhead box protein K1</t>
  </si>
  <si>
    <t>Hydroxyacyl-thioester dehydratase type 2, mitochondrial</t>
  </si>
  <si>
    <t>Vacuolar fusion protein CCZ1 homolog</t>
  </si>
  <si>
    <t>Isoform 3 of Disabled homolog 2</t>
  </si>
  <si>
    <t>Isoform Short of Very low-density lipoprotein receptor</t>
  </si>
  <si>
    <t>Basement membrane-specific heparan sulfate proteoglycan core protein</t>
  </si>
  <si>
    <t>E3 ubiquitin-protein ligase XIAP</t>
  </si>
  <si>
    <t>Ephrin-B1</t>
  </si>
  <si>
    <t>Protein FAM3A</t>
  </si>
  <si>
    <t>Isoform 2 of RNA-binding protein 10</t>
  </si>
  <si>
    <t>Putative RNA-binding protein 3</t>
  </si>
  <si>
    <t>Isoform 2 of 55 kDa erythrocyte membrane protein</t>
  </si>
  <si>
    <t>Phosphatidylinositol transfer protein alpha isoform</t>
  </si>
  <si>
    <t>Isoform B of Phosphate carrier protein, mitochondrial</t>
  </si>
  <si>
    <t>Vigilin</t>
  </si>
  <si>
    <t>Transcription initiation factor IIB</t>
  </si>
  <si>
    <t>Cyclin-dependent kinase 6</t>
  </si>
  <si>
    <t>Cyclin-dependent kinase 5</t>
  </si>
  <si>
    <t>Cyclin-dependent kinase 16</t>
  </si>
  <si>
    <t>Transcriptional activator protein Pur-alpha</t>
  </si>
  <si>
    <t>Isoform 2 of Cdc42 effector protein 1</t>
  </si>
  <si>
    <t>Isoform 2 of Clathrin heavy chain 1</t>
  </si>
  <si>
    <t>Isoform 4 of Nuclear factor NF-kappa-B p100 subunit</t>
  </si>
  <si>
    <t>Peptidyl-prolyl cis-trans isomerase FKBP3</t>
  </si>
  <si>
    <t>Receptor expression-enhancing protein 5</t>
  </si>
  <si>
    <t>Sorbitol dehydrogenase</t>
  </si>
  <si>
    <t>Isoform Short of Heterogeneous nuclear ribonucleoprotein U</t>
  </si>
  <si>
    <t>Interferon regulatory factor 9</t>
  </si>
  <si>
    <t>Spectrin beta chain, non-erythrocytic 1</t>
  </si>
  <si>
    <t>Isoform 2 of Nucleolysin TIAR</t>
  </si>
  <si>
    <t>Protein SET</t>
  </si>
  <si>
    <t>N-acetylgalactosamine kinase</t>
  </si>
  <si>
    <t>Di-N-acetylchitobiase</t>
  </si>
  <si>
    <t>Isoform 2 of Adenylyl cyclase-associated protein 1</t>
  </si>
  <si>
    <t>Hydroxymethylglutaryl-CoA synthase, cytoplasmic</t>
  </si>
  <si>
    <t>Large neutral amino acids transporter small subunit 1</t>
  </si>
  <si>
    <t>Protein Dr1</t>
  </si>
  <si>
    <t>6-phosphofructokinase type C</t>
  </si>
  <si>
    <t>Cerebellar degeneration-related protein 2</t>
  </si>
  <si>
    <t>Inositol polyphosphate 5-phosphatase OCRL-1</t>
  </si>
  <si>
    <t>1-phosphatidylinositol 4,5-bisphosphate phosphodiesterase beta-3</t>
  </si>
  <si>
    <t>Tyrosine-protein kinase transmembrane receptor ROR2</t>
  </si>
  <si>
    <t>Transgelin</t>
  </si>
  <si>
    <t>Isoform 2 of N-acylethanolamine-hydrolyzing acid amidase</t>
  </si>
  <si>
    <t>Dihydroorotate dehydrogenase (quinone), mitochondrial</t>
  </si>
  <si>
    <t>Protein kinase C epsilon type</t>
  </si>
  <si>
    <t>Methylmalonate-semialdehyde dehydrogenase [acylating], mitochondrial</t>
  </si>
  <si>
    <t>Sterol 26-hydroxylase, mitochondrial</t>
  </si>
  <si>
    <t>D-beta-hydroxybutyrate dehydrogenase, mitochondrial</t>
  </si>
  <si>
    <t>Isoform 2 of Collagen alpha-1(VII) chain</t>
  </si>
  <si>
    <t>Amyloid beta A4 precursor protein-binding family A member 1</t>
  </si>
  <si>
    <t>60S ribosomal protein L18a</t>
  </si>
  <si>
    <t>Beta-1,3-galactosyl-O-glycosyl-glycoprotein beta-1,6-N-acetylglucosaminyltransferase</t>
  </si>
  <si>
    <t>Dual specificity mitogen-activated protein kinase kinase 1</t>
  </si>
  <si>
    <t>Peptidyl-prolyl cis-trans isomerase FKBP4</t>
  </si>
  <si>
    <t>Procollagen-lysine,2-oxoglutarate 5-dioxygenase 1</t>
  </si>
  <si>
    <t>Nucleobindin-1</t>
  </si>
  <si>
    <t>60S ribosomal protein L6</t>
  </si>
  <si>
    <t>Isoform 3 of A-kinase anchor protein 12</t>
  </si>
  <si>
    <t>Dystonin</t>
  </si>
  <si>
    <t>Isoform 3 of Dystonin</t>
  </si>
  <si>
    <t>Glutathione S-transferase Mu 4</t>
  </si>
  <si>
    <t>Caveolin-1</t>
  </si>
  <si>
    <t>Aminoacylase-1</t>
  </si>
  <si>
    <t>Tumor necrosis factor alpha-induced protein 2</t>
  </si>
  <si>
    <t>6-pyruvoyl tetrahydrobiopterin synthase</t>
  </si>
  <si>
    <t>Urokinase plasminogen activator surface receptor</t>
  </si>
  <si>
    <t>Antigen peptide transporter 2</t>
  </si>
  <si>
    <t>1,4-alpha-glucan-branching enzyme</t>
  </si>
  <si>
    <t>Isoform 5 of Copper-transporting ATPase 1</t>
  </si>
  <si>
    <t>Neurogenic locus notch homolog protein 2</t>
  </si>
  <si>
    <t>Lactoylglutathione lyase</t>
  </si>
  <si>
    <t>Activin receptor type-1</t>
  </si>
  <si>
    <t>Aldo-keto reductase family 1 member C1</t>
  </si>
  <si>
    <t>Single-stranded DNA-binding protein, mitochondrial</t>
  </si>
  <si>
    <t>Isoform Delta-RON of Macrophage-stimulating protein receptor</t>
  </si>
  <si>
    <t>14-3-3 protein eta</t>
  </si>
  <si>
    <t>Proteolipid protein 2</t>
  </si>
  <si>
    <t>Cleavage stimulation factor subunit 1</t>
  </si>
  <si>
    <t>Isoform III of Ubiquitin-protein ligase E3A</t>
  </si>
  <si>
    <t>Isoform 3 of Dynamin-1</t>
  </si>
  <si>
    <t>Tyrosine-protein phosphatase non-receptor type 12</t>
  </si>
  <si>
    <t>Isoform 2 of Serine/arginine-rich splicing factor 11</t>
  </si>
  <si>
    <t>Elongation factor 1-alpha 2</t>
  </si>
  <si>
    <t>Protein kinase C delta type</t>
  </si>
  <si>
    <t>Tyrosine-protein phosphatase non-receptor type 11</t>
  </si>
  <si>
    <t>3-ketodihydrosphingosine reductase</t>
  </si>
  <si>
    <t>Serine/threonine-protein phosphatase 2A regulatory subunit B subunit alpha</t>
  </si>
  <si>
    <t>Amidophosphoribosyltransferase</t>
  </si>
  <si>
    <t>Isoform 2 of Glutamine--fructose-6-phosphate aminotransferase [isomerizing] 1</t>
  </si>
  <si>
    <t>Exosome complex component RRP45</t>
  </si>
  <si>
    <t>Aldehyde oxidase</t>
  </si>
  <si>
    <t>Proteasome activator complex subunit 1</t>
  </si>
  <si>
    <t>Recombining binding protein suppressor of hairless</t>
  </si>
  <si>
    <t>Isoform 3 of Amyloid-like protein 2</t>
  </si>
  <si>
    <t>GA-binding protein alpha chain</t>
  </si>
  <si>
    <t>E3 ubiquitin-protein ligase RING1</t>
  </si>
  <si>
    <t>Peroxiredoxin-1</t>
  </si>
  <si>
    <t>Complement component 1 Q subcomponent-binding protein, mitochondrial</t>
  </si>
  <si>
    <t>Cytoskeleton-associated protein 4</t>
  </si>
  <si>
    <t>Isoform 2 of Collagen alpha-1(XVI) chain</t>
  </si>
  <si>
    <t>Zinc finger protein 36, C3H1 type-like 1</t>
  </si>
  <si>
    <t>Dermatopontin</t>
  </si>
  <si>
    <t>Isoform Epsilon of Apoptosis regulator BAX</t>
  </si>
  <si>
    <t>Isoform N of Kinesin light chain 1</t>
  </si>
  <si>
    <t>Activated CDC42 kinase 1</t>
  </si>
  <si>
    <t>Prolow-density lipoprotein receptor-related protein 1</t>
  </si>
  <si>
    <t>Rho GTPase-activating protein 1</t>
  </si>
  <si>
    <t>Isoform 2 of Serine/threonine-protein phosphatase 2B catalytic subunit alpha isoform</t>
  </si>
  <si>
    <t>ATP-dependent RNA helicase A</t>
  </si>
  <si>
    <t>Quinone oxidoreductase</t>
  </si>
  <si>
    <t>Sodium-dependent phosphate transporter 2</t>
  </si>
  <si>
    <t>Golgin subfamily A member 3</t>
  </si>
  <si>
    <t>Golgin subfamily A member 2</t>
  </si>
  <si>
    <t>Galectin-3-binding protein</t>
  </si>
  <si>
    <t>Peroxisomal bifunctional enzyme</t>
  </si>
  <si>
    <t>Testican-1</t>
  </si>
  <si>
    <t>Leukocyte surface antigen CD47</t>
  </si>
  <si>
    <t>Peptidyl-prolyl cis-trans isomerase D</t>
  </si>
  <si>
    <t>Isoform 2 of Calmodulin-regulated spectrin-associated protein 2</t>
  </si>
  <si>
    <t>Isoform 2 of Protein spire homolog 1</t>
  </si>
  <si>
    <t>Schlafen family member 5</t>
  </si>
  <si>
    <t>Mitotic-spindle organizing protein 1</t>
  </si>
  <si>
    <t>Protein VAC14 homolog</t>
  </si>
  <si>
    <t>KIAA0100 protein</t>
  </si>
  <si>
    <t>tRNA (cytosine(34)-C(5))-methyltransferase</t>
  </si>
  <si>
    <t>Isoform 3 of Histone-binding protein RBBP4</t>
  </si>
  <si>
    <t>Nuclear cap-binding protein subunit 1</t>
  </si>
  <si>
    <t>Alpha-1,6-mannosylglycoprotein 6-beta-N-acetylglucosaminyltransferase A</t>
  </si>
  <si>
    <t>Neuroblast differentiation-associated protein AHNAK</t>
  </si>
  <si>
    <t>Isoform 2 of Neuroblast differentiation-associated protein AHNAK</t>
  </si>
  <si>
    <t>FCH domain only protein 2</t>
  </si>
  <si>
    <t>Heat shock 70 kDa protein 14</t>
  </si>
  <si>
    <t>Secernin-3</t>
  </si>
  <si>
    <t>Fanconi anemia-associated protein of 100 kDa</t>
  </si>
  <si>
    <t>Ragulator complex protein LAMTOR4</t>
  </si>
  <si>
    <t>Isoform 4 of Nexilin</t>
  </si>
  <si>
    <t>Alpha-1,6-mannosyl-glycoprotein 2-beta-N-acetylglucosaminyltransferase</t>
  </si>
  <si>
    <t>Polypeptide N-acetylgalactosaminyltransferase 2</t>
  </si>
  <si>
    <t>Isoform B of AP-1 complex subunit beta-1</t>
  </si>
  <si>
    <t>Isoform C of AP-1 complex subunit beta-1</t>
  </si>
  <si>
    <t>Mitochondrial-processing peptidase subunit alpha</t>
  </si>
  <si>
    <t>CMP-N-acetylneuraminate-beta-galactosamide-alpha-2,3-sialyltransferase 1</t>
  </si>
  <si>
    <t>Isoform 3 of CMP-N-acetylneuraminate-beta-galactosamide-alpha-2,3-sialyltransferase 4</t>
  </si>
  <si>
    <t>Secernin-1</t>
  </si>
  <si>
    <t>Twinfilin-1</t>
  </si>
  <si>
    <t>Aspartyl/asparaginyl beta-hydroxylase</t>
  </si>
  <si>
    <t>Isoform 3 of A-kinase anchor protein 13</t>
  </si>
  <si>
    <t>Isoform 2 of EGF-containing fibulin-like extracellular matrix protein 1</t>
  </si>
  <si>
    <t>Follistatin-related protein 1</t>
  </si>
  <si>
    <t>Syntaxin-4</t>
  </si>
  <si>
    <t>G-rich sequence factor 1</t>
  </si>
  <si>
    <t>Splicing factor, suppressor of white-apricot homolog</t>
  </si>
  <si>
    <t>Splicing factor 3A subunit 3</t>
  </si>
  <si>
    <t>Dihydropyrimidine dehydrogenase [NADP(+)]</t>
  </si>
  <si>
    <t>Seprase</t>
  </si>
  <si>
    <t>Tumor suppressor p53-binding protein 1</t>
  </si>
  <si>
    <t>Transmembrane protein 115</t>
  </si>
  <si>
    <t>Interleukin enhancer-binding factor 2</t>
  </si>
  <si>
    <t>Interleukin enhancer-binding factor 3</t>
  </si>
  <si>
    <t>Vesicular integral-membrane protein VIP36</t>
  </si>
  <si>
    <t>Isoform 2 of Tyrosine-protein phosphatase non-receptor type 13</t>
  </si>
  <si>
    <t>Epidermal growth factor receptor kinase substrate 8</t>
  </si>
  <si>
    <t>Isoform 5 of Disks large homolog 1</t>
  </si>
  <si>
    <t>Transcription initiation factor TFIID subunit 10</t>
  </si>
  <si>
    <t>Unconventional myosin-Ie</t>
  </si>
  <si>
    <t>Nuclear inhibitor of protein phosphatase 1</t>
  </si>
  <si>
    <t>Protein tyrosine phosphatase type IVA 2</t>
  </si>
  <si>
    <t>Isoform 4 of Active breakpoint cluster region-related protein</t>
  </si>
  <si>
    <t>Vesicle transport protein SEC20</t>
  </si>
  <si>
    <t>Delta(3,5)-Delta(2,4)-dienoyl-CoA isomerase, mitochondrial</t>
  </si>
  <si>
    <t>Isoform 2 of Rho GTPase-activating protein 5</t>
  </si>
  <si>
    <t>Isoform 2 of Secretory phospholipase A2 receptor</t>
  </si>
  <si>
    <t>Isoform Alpha of Striatin-3</t>
  </si>
  <si>
    <t>Serine/threonine-protein kinase 4</t>
  </si>
  <si>
    <t>Protein flightless-1 homolog</t>
  </si>
  <si>
    <t>E3 ubiquitin-protein ligase TRIM32</t>
  </si>
  <si>
    <t>Bifunctional coenzyme A synthase</t>
  </si>
  <si>
    <t>Isoform 2 of Ubiquitin carboxyl-terminal hydrolase 4</t>
  </si>
  <si>
    <t>S-methyl-5-thioadenosine phosphorylase</t>
  </si>
  <si>
    <t>5-AMP-activated protein kinase catalytic subunit alpha-1</t>
  </si>
  <si>
    <t>Liprin-alpha-1</t>
  </si>
  <si>
    <t>TAR DNA-binding protein 43</t>
  </si>
  <si>
    <t>Heterogeneous nuclear ribonucleoprotein A0</t>
  </si>
  <si>
    <t>Serine/threonine-protein kinase PAK 1</t>
  </si>
  <si>
    <t>Protein FADD</t>
  </si>
  <si>
    <t>Peroxiredoxin-4</t>
  </si>
  <si>
    <t>Mitogen-activated protein kinase 7</t>
  </si>
  <si>
    <t>Serine/threonine-protein kinase PAK 2</t>
  </si>
  <si>
    <t>Chromobox protein homolog 3</t>
  </si>
  <si>
    <t>Serine/threonine-protein kinase 3</t>
  </si>
  <si>
    <t>Syntaxin-5</t>
  </si>
  <si>
    <t>26S proteasome non-ATPase regulatory subunit 2</t>
  </si>
  <si>
    <t>DnaJ homolog subfamily C member 3</t>
  </si>
  <si>
    <t>Selenium-binding protein 1</t>
  </si>
  <si>
    <t>Nucleoside diphosphate kinase 3</t>
  </si>
  <si>
    <t>Serine/arginine-rich splicing factor 9</t>
  </si>
  <si>
    <t>Isoform SRP40-4 of Serine/arginine-rich splicing factor 5</t>
  </si>
  <si>
    <t>Isoform SRP55-3 of Serine/arginine-rich splicing factor 6</t>
  </si>
  <si>
    <t>Transcription intermediary factor 1-beta</t>
  </si>
  <si>
    <t>Isoform B of Syntaxin-3</t>
  </si>
  <si>
    <t>Ras GTPase-activating protein-binding protein 1</t>
  </si>
  <si>
    <t>N-myc-interactor</t>
  </si>
  <si>
    <t>Inactive tyrosine-protein kinase 7</t>
  </si>
  <si>
    <t>Isoform 3 of Polyadenylate-binding protein 4</t>
  </si>
  <si>
    <t>Isoform 2 of Growth factor receptor-bound protein 10</t>
  </si>
  <si>
    <t>Interferon-induced protein with tetratricopeptide repeats 5</t>
  </si>
  <si>
    <t>Urea transporter 1</t>
  </si>
  <si>
    <t>Eukaryotic translation initiation factor 3 subunit I</t>
  </si>
  <si>
    <t>Isoform 4 of Serine/threonine-protein phosphatase 2A 56 kDa regulatory subunit gamma isoform</t>
  </si>
  <si>
    <t>C-terminal-binding protein 1</t>
  </si>
  <si>
    <t>Phosducin-like protein</t>
  </si>
  <si>
    <t>Isoform 2F of Cytoplasmic dynein 1 intermediate chain 2</t>
  </si>
  <si>
    <t>Integrin-linked protein kinase</t>
  </si>
  <si>
    <t>NAD(P) transhydrogenase, mitochondrial</t>
  </si>
  <si>
    <t>Alpha-1-syntrophin</t>
  </si>
  <si>
    <t>Beta-2-syntrophin</t>
  </si>
  <si>
    <t>Protein unc-119 homolog A</t>
  </si>
  <si>
    <t>Zinc transporter ZIP6</t>
  </si>
  <si>
    <t>Splicing factor 3B subunit 2</t>
  </si>
  <si>
    <t>Isoform 4 of Protein OS-9</t>
  </si>
  <si>
    <t>Isoform 3 of Golgin subfamily A member 4</t>
  </si>
  <si>
    <t>28 kDa heat- and acid-stable phosphoprotein</t>
  </si>
  <si>
    <t>Disintegrin and metalloproteinase domain-containing protein 9</t>
  </si>
  <si>
    <t>Isoform 10 of Disintegrin and metalloproteinase domain-containing protein 15</t>
  </si>
  <si>
    <t>Transmembrane emp24 domain-containing protein 1</t>
  </si>
  <si>
    <t>Peptidyl-prolyl cis-trans isomerase FKBP5</t>
  </si>
  <si>
    <t>Rho-associated protein kinase 1</t>
  </si>
  <si>
    <t>Isoform 2 of GRB2-associated-binding protein 1</t>
  </si>
  <si>
    <t>V-type proton ATPase 116 kDa subunit a isoform 3</t>
  </si>
  <si>
    <t>Isoform 3 of Phosphatidylinositol-binding clathrin assembly protein</t>
  </si>
  <si>
    <t>Myotubularin</t>
  </si>
  <si>
    <t>Sequestosome-1</t>
  </si>
  <si>
    <t>Isoform 3 of Metaxin-1</t>
  </si>
  <si>
    <t>Tubulin beta-3 chain</t>
  </si>
  <si>
    <t>Peptidyl-prolyl cis-trans isomerase NIMA-interacting 1</t>
  </si>
  <si>
    <t>Eukaryotic translation initiation factor 4E-binding protein 1</t>
  </si>
  <si>
    <t>Eukaryotic translation initiation factor 4E-binding protein 2</t>
  </si>
  <si>
    <t>Receptor-interacting serine/threonine-protein kinase 1</t>
  </si>
  <si>
    <t>NEDD8-activating enzyme E1 regulatory subunit</t>
  </si>
  <si>
    <t>Inositol-tetrakisphosphate 1-kinase</t>
  </si>
  <si>
    <t>SNW domain-containing protein 1</t>
  </si>
  <si>
    <t>Stromal interaction molecule 1</t>
  </si>
  <si>
    <t>Isoform Short of Transformer-2 protein homolog alpha</t>
  </si>
  <si>
    <t>Sorting nexin-1</t>
  </si>
  <si>
    <t>Periodic tryptophan protein 1 homolog</t>
  </si>
  <si>
    <t>Cullin-1</t>
  </si>
  <si>
    <t>Cullin-2</t>
  </si>
  <si>
    <t>Isoform 2 of Cullin-3</t>
  </si>
  <si>
    <t>Cullin-4A</t>
  </si>
  <si>
    <t>GDP-L-fucose synthase</t>
  </si>
  <si>
    <t>Ras-related protein Rab-31</t>
  </si>
  <si>
    <t>Ras-related protein Rab-32</t>
  </si>
  <si>
    <t>Trophoblast glycoprotein</t>
  </si>
  <si>
    <t>Isoform 5 of Four and a half LIM domains protein 1</t>
  </si>
  <si>
    <t>Four and a half LIM domains protein 3</t>
  </si>
  <si>
    <t>Ras and Rab interactor 1</t>
  </si>
  <si>
    <t>Isoform Alpha-7X1B of Integrin alpha-7</t>
  </si>
  <si>
    <t>Mannosyl-oligosaccharide glucosidase</t>
  </si>
  <si>
    <t>Isoform 2 of CD166 antigen</t>
  </si>
  <si>
    <t>ADP-ribosylation factor-related protein 1</t>
  </si>
  <si>
    <t>Spectrin alpha chain, non-erythrocytic 1</t>
  </si>
  <si>
    <t>Exosome complex component RRP4</t>
  </si>
  <si>
    <t>Bone morphogenetic protein receptor type-2</t>
  </si>
  <si>
    <t>Beta-1-syntrophin</t>
  </si>
  <si>
    <t>Tubulin beta-2A chain</t>
  </si>
  <si>
    <t>Bystin</t>
  </si>
  <si>
    <t>Isoform Short of Rap guanine nucleotide exchange factor 1</t>
  </si>
  <si>
    <t>Isopentenyl-diphosphate Delta-isomerase 1</t>
  </si>
  <si>
    <t>Core-binding factor subunit beta</t>
  </si>
  <si>
    <t>Isoform 2 of Core-binding factor subunit beta</t>
  </si>
  <si>
    <t>Isoform 2 of Nuclear transcription factor Y subunit gamma</t>
  </si>
  <si>
    <t>Isoform Beta of cGMP-dependent protein kinase 1</t>
  </si>
  <si>
    <t>Isoform 2 of Cytoskeleton-associated protein 5</t>
  </si>
  <si>
    <t>Cold-inducible RNA-binding protein</t>
  </si>
  <si>
    <t>Calcium/calmodulin-dependent protein kinase type 1</t>
  </si>
  <si>
    <t>Coactosin-like protein</t>
  </si>
  <si>
    <t>Cytochrome c oxidase copper chaperone</t>
  </si>
  <si>
    <t>Isoform 3 of Heterogeneous nuclear ribonucleoprotein D0</t>
  </si>
  <si>
    <t>Lysosome membrane protein 2</t>
  </si>
  <si>
    <t>Isoform 2 of Nidogen-2</t>
  </si>
  <si>
    <t>Isoform 4 of Low-density lipoprotein receptor-related protein 8</t>
  </si>
  <si>
    <t>Dystroglycan</t>
  </si>
  <si>
    <t>Isoform PDE1C1 of Calcium/calmodulin-dependent 3,5-cyclic nucleotide phosphodiesterase 1C</t>
  </si>
  <si>
    <t>Ubiquitin conjugation factor E4 A</t>
  </si>
  <si>
    <t>Scaffold attachment factor B2</t>
  </si>
  <si>
    <t>Eukaryotic translation initiation factor 3 subunit A</t>
  </si>
  <si>
    <t>Protein scribble homolog</t>
  </si>
  <si>
    <t>Malectin</t>
  </si>
  <si>
    <t>Tubulin--tyrosine ligase-like protein 12</t>
  </si>
  <si>
    <t>Dedicator of cytokinesis protein 1</t>
  </si>
  <si>
    <t>Isoform LCRMP-4 of Dihydropyrimidinase-related protein 3</t>
  </si>
  <si>
    <t>Cytoplasmic dynein 1 heavy chain 1</t>
  </si>
  <si>
    <t>Translation initiation factor eIF-2B subunit alpha</t>
  </si>
  <si>
    <t>Isoform 2 of Eukaryotic initiation factor 4A-II</t>
  </si>
  <si>
    <t>Transcription elongation factor B polypeptide 3</t>
  </si>
  <si>
    <t>Endonuclease G, mitochondrial</t>
  </si>
  <si>
    <t>Flotillin-2</t>
  </si>
  <si>
    <t>Reticulocalbin-2</t>
  </si>
  <si>
    <t>E3 ubiquitin/ISG15 ligase TRIM25</t>
  </si>
  <si>
    <t>Filamin-C</t>
  </si>
  <si>
    <t>Isoform 2 of Peptidyl-prolyl cis-trans isomerase FKBP8</t>
  </si>
  <si>
    <t>Protein FAM50A</t>
  </si>
  <si>
    <t>Frizzled-2</t>
  </si>
  <si>
    <t>Guanine nucleotide-binding protein subunit alpha-13</t>
  </si>
  <si>
    <t>Guanidinoacetate N-methyltransferase</t>
  </si>
  <si>
    <t>UDP-glucose 4-epimerase</t>
  </si>
  <si>
    <t>Leucine-rich repeat-containing protein 32</t>
  </si>
  <si>
    <t>Isoform 2 of Growth arrest-specific protein 6</t>
  </si>
  <si>
    <t>Isoform 2 of Caprin-1</t>
  </si>
  <si>
    <t>Isoform 3 of RNA-binding protein 39</t>
  </si>
  <si>
    <t>Isoform 3 of Enhancer of filamentation 1</t>
  </si>
  <si>
    <t>Protocadherin Fat 1</t>
  </si>
  <si>
    <t>Isoform 2 of Hyaluronan-binding protein 2</t>
  </si>
  <si>
    <t>Squalene monooxygenase</t>
  </si>
  <si>
    <t>Protein disulfide-isomerase A5</t>
  </si>
  <si>
    <t>Phosphoribosyl pyrophosphate synthase-associated protein 1</t>
  </si>
  <si>
    <t>Type I inositol 1,4,5-trisphosphate 5-phosphatase</t>
  </si>
  <si>
    <t>Ras GTPase-activating protein 3</t>
  </si>
  <si>
    <t>Interferon regulatory factor 3</t>
  </si>
  <si>
    <t>L antigen family member 3</t>
  </si>
  <si>
    <t>Isoform 3 of E3 ubiquitin-protein ligase TRIP12</t>
  </si>
  <si>
    <t>Isoform 4 of Mediator of DNA damage checkpoint protein 1</t>
  </si>
  <si>
    <t>Clathrin interactor 1</t>
  </si>
  <si>
    <t>BTB/POZ domain-containing protein KCTD2</t>
  </si>
  <si>
    <t>Phosphatidate phosphatase LPIN1</t>
  </si>
  <si>
    <t>Ubiquitin carboxyl-terminal hydrolase 10</t>
  </si>
  <si>
    <t>LDLR chaperone MESD</t>
  </si>
  <si>
    <t>Neutral alpha-glucosidase AB</t>
  </si>
  <si>
    <t>Raftlin</t>
  </si>
  <si>
    <t>Sarcospan</t>
  </si>
  <si>
    <t>Lamin-B receptor</t>
  </si>
  <si>
    <t>Major vault protein</t>
  </si>
  <si>
    <t>Isoform 3 of Latent-transforming growth factor beta-binding protein 1</t>
  </si>
  <si>
    <t>Isoform 2 of Golgin subfamily B member 1</t>
  </si>
  <si>
    <t>Caspase-8</t>
  </si>
  <si>
    <t>N-alpha-acetyltransferase 30</t>
  </si>
  <si>
    <t>LIM and SH3 domain protein 1</t>
  </si>
  <si>
    <t>Metal regulatory transcription factor 1</t>
  </si>
  <si>
    <t>Isoform 2 of Prostaglandin reductase 1</t>
  </si>
  <si>
    <t>Ras-related protein Rab-39A</t>
  </si>
  <si>
    <t>Zinc finger protein 638</t>
  </si>
  <si>
    <t>Importin subunit beta-1</t>
  </si>
  <si>
    <t>Nucleolar and coiled-body phosphoprotein 1</t>
  </si>
  <si>
    <t>Nuclear mitotic apparatus protein 1</t>
  </si>
  <si>
    <t>Isoform 3 of GTPase-activating protein and VPS9 domain-containing protein 1</t>
  </si>
  <si>
    <t>UBX domain-containing protein 2B</t>
  </si>
  <si>
    <t>Isoform 2 of N-alpha-acetyltransferase 25, NatB auxiliary subunit</t>
  </si>
  <si>
    <t>ER membrane protein complex subunit 2</t>
  </si>
  <si>
    <t>26S proteasome non-ATPase regulatory subunit 6</t>
  </si>
  <si>
    <t>Isoform 3 of Homocysteine-responsive endoplasmic reticulum-resident ubiquitin-like domain member 1 protein</t>
  </si>
  <si>
    <t>Lysosomal-associated transmembrane protein 4A</t>
  </si>
  <si>
    <t>MAD2L1-binding protein</t>
  </si>
  <si>
    <t>BRISC complex subunit Abro1</t>
  </si>
  <si>
    <t>Isoform 2 of Septin-2</t>
  </si>
  <si>
    <t>Exosome complex component RRP42</t>
  </si>
  <si>
    <t>Isoform 2 of 116 kDa U5 small nuclear ribonucleoprotein component</t>
  </si>
  <si>
    <t>Probable leucine--tRNA ligase, mitochondrial</t>
  </si>
  <si>
    <t>Sorting nexin-17</t>
  </si>
  <si>
    <t>Isoform 2 of Zinc transporter ZIP14</t>
  </si>
  <si>
    <t>Lysine--tRNA ligase</t>
  </si>
  <si>
    <t>Isoform Short of Eukaryotic translation initiation factor 4H</t>
  </si>
  <si>
    <t>Arf-GAP with coiled-coil, ANK repeat and PH domain-containing protein 2</t>
  </si>
  <si>
    <t>WD repeat-containing protein 43</t>
  </si>
  <si>
    <t>Peroxisomal acyl-coenzyme A oxidase 1</t>
  </si>
  <si>
    <t>Early endosome antigen 1</t>
  </si>
  <si>
    <t>Platelet-activating factor acetylhydrolase IB subunit gamma</t>
  </si>
  <si>
    <t>Procollagen C-endopeptidase enhancer 1</t>
  </si>
  <si>
    <t>[Pyruvate dehydrogenase [lipoamide]] kinase isozyme 1, mitochondrial</t>
  </si>
  <si>
    <t>[Pyruvate dehydrogenase [lipoamide]] kinase isozyme 2, mitochondrial</t>
  </si>
  <si>
    <t>Astrocytic phosphoprotein PEA-15</t>
  </si>
  <si>
    <t>Phosphoglucomutase-like protein 5</t>
  </si>
  <si>
    <t>Phosphomevalonate kinase</t>
  </si>
  <si>
    <t>Serine/threonine-protein kinase D1</t>
  </si>
  <si>
    <t>1-phosphatidylinositol 4,5-bisphosphate phosphodiesterase beta-4</t>
  </si>
  <si>
    <t>Isoform 3 of Plectin</t>
  </si>
  <si>
    <t>Isoform 4 of Plectin</t>
  </si>
  <si>
    <t>Isoform 8 of Plectin</t>
  </si>
  <si>
    <t>Nodal modulator 1</t>
  </si>
  <si>
    <t>Isoform 2 of Transcription elongation factor A protein-like 1</t>
  </si>
  <si>
    <t>Serine/threonine-protein phosphatase 2A 56 kDa regulatory subunit alpha isoform</t>
  </si>
  <si>
    <t>Isoform Beta-2 of Serine/threonine-protein phosphatase 2A 56 kDa regulatory subunit beta isoform</t>
  </si>
  <si>
    <t>Inorganic pyrophosphatase</t>
  </si>
  <si>
    <t>Serine/threonine-protein kinase 38</t>
  </si>
  <si>
    <t>Poliovirus receptor-related protein 1</t>
  </si>
  <si>
    <t>Isoform 2 of Non-POU domain-containing octamer-binding protein</t>
  </si>
  <si>
    <t>Serine/threonine-protein phosphatase 2A activator</t>
  </si>
  <si>
    <t>Nicotinate-nucleotide pyrophosphorylase [carboxylating]</t>
  </si>
  <si>
    <t>Rab GTPase-binding effector protein 1</t>
  </si>
  <si>
    <t>Isoform 2 of Ras GTPase-activating protein 2</t>
  </si>
  <si>
    <t>Ras-related protein Rab-35</t>
  </si>
  <si>
    <t>Isoform 2 of Retinoblastoma-binding protein 5</t>
  </si>
  <si>
    <t>Reticulocalbin-1</t>
  </si>
  <si>
    <t>RalA-binding protein 1</t>
  </si>
  <si>
    <t>Transmembrane emp24 domain-containing protein 2</t>
  </si>
  <si>
    <t>Poly(rC)-binding protein 1</t>
  </si>
  <si>
    <t>Transcription elongation factor B polypeptide 2</t>
  </si>
  <si>
    <t>GTP-binding protein Rheb</t>
  </si>
  <si>
    <t>Ubiquitin-protein ligase E3C</t>
  </si>
  <si>
    <t>Splicing factor 3B subunit 3</t>
  </si>
  <si>
    <t>Ras suppressor protein 1</t>
  </si>
  <si>
    <t>Calponin-3</t>
  </si>
  <si>
    <t>Scaffold attachment factor B1</t>
  </si>
  <si>
    <t>Splicing factor 3A subunit 2</t>
  </si>
  <si>
    <t>Protein phosphatase 1 regulatory subunit 7</t>
  </si>
  <si>
    <t>Protein transport protein Sec23B</t>
  </si>
  <si>
    <t>Isoform 2 of Cytohesin-1</t>
  </si>
  <si>
    <t>Splicing factor 3A subunit 1</t>
  </si>
  <si>
    <t>SH2 domain-containing adapter protein B</t>
  </si>
  <si>
    <t>Regucalcin</t>
  </si>
  <si>
    <t>Sperm surface protein Sp17</t>
  </si>
  <si>
    <t>Isoform 2 of Surfeit locus protein 1</t>
  </si>
  <si>
    <t>Transcription initiation factor TFIID subunit 7</t>
  </si>
  <si>
    <t>Isoform 4 of Microtubule-associated protein RP/EB family member 2</t>
  </si>
  <si>
    <t>Transforming growth factor-beta-induced protein ig-h3</t>
  </si>
  <si>
    <t>Na(+)/H(+) exchange regulatory cofactor NHE-RF2</t>
  </si>
  <si>
    <t>Tumor necrosis factor receptor type 1-associated DEATH domain protein</t>
  </si>
  <si>
    <t>Isoform 5 of Splicing factor 1</t>
  </si>
  <si>
    <t>Cdc42-interacting protein 4</t>
  </si>
  <si>
    <t>Isoform 2 of Cdc42-interacting protein 4</t>
  </si>
  <si>
    <t>Thyroid receptor-interacting protein 11</t>
  </si>
  <si>
    <t>Pachytene checkpoint protein 2 homolog</t>
  </si>
  <si>
    <t>Mediator of RNA polymerase II transcription subunit 1</t>
  </si>
  <si>
    <t>Isoform 3 of Probable JmjC domain-containing histone demethylation protein 2C</t>
  </si>
  <si>
    <t>Thyroid receptor-interacting protein 6</t>
  </si>
  <si>
    <t>Microtubule-associated protein RP/EB family member 1</t>
  </si>
  <si>
    <t>TSC22 domain family protein 1</t>
  </si>
  <si>
    <t>ELAV-like protein 1</t>
  </si>
  <si>
    <t>Sterol-4-alpha-carboxylate 3-dehydrogenase, decarboxylating</t>
  </si>
  <si>
    <t>Isoform 3 of NGFI-A-binding protein 2</t>
  </si>
  <si>
    <t>Ovarian cancer G-protein coupled receptor 1</t>
  </si>
  <si>
    <t>Isoform Del-1790 of Myosin light chain kinase, smooth muscle</t>
  </si>
  <si>
    <t>Isoform 2 of TGF-beta-activated kinase 1 and MAP3K7-binding protein 1</t>
  </si>
  <si>
    <t>Neutral amino acid transporter B(0)</t>
  </si>
  <si>
    <t>Mitogen-activated protein kinase 11</t>
  </si>
  <si>
    <t>Ras-related protein Rab-30</t>
  </si>
  <si>
    <t>Mitochondrial import receptor subunit TOM34</t>
  </si>
  <si>
    <t>Methylsterol monooxygenase 1</t>
  </si>
  <si>
    <t>Tubulin-specific chaperone E</t>
  </si>
  <si>
    <t>Tubulin-specific chaperone C</t>
  </si>
  <si>
    <t>Ubiquitin-conjugating enzyme E2 variant 2</t>
  </si>
  <si>
    <t>Isoform 2 of Serine/threonine-protein kinase STK11</t>
  </si>
  <si>
    <t>Isoform 2 of Syntaxin-binding protein 2</t>
  </si>
  <si>
    <t>Coiled-coil domain-containing protein 85B</t>
  </si>
  <si>
    <t>Vesicle-associated membrane protein 3</t>
  </si>
  <si>
    <t>Adipogenesis regulatory factor</t>
  </si>
  <si>
    <t>V-type proton ATPase subunit S1</t>
  </si>
  <si>
    <t>Ras-related protein Rab-11B</t>
  </si>
  <si>
    <t>Zyxin</t>
  </si>
  <si>
    <t>Heat shock protein beta-2</t>
  </si>
  <si>
    <t>Electron transfer flavoprotein-ubiquinone oxidoreductase, mitochondrial</t>
  </si>
  <si>
    <t>Beta-synuclein</t>
  </si>
  <si>
    <t>Septin-7</t>
  </si>
  <si>
    <t>Proteasomal ubiquitin receptor ADRM1</t>
  </si>
  <si>
    <t>Coiled-coil domain-containing protein 6</t>
  </si>
  <si>
    <t>Isoform 3 of UDP-N-acetylhexosamine pyrophosphorylase</t>
  </si>
  <si>
    <t>Transcription factor E2F4</t>
  </si>
  <si>
    <t>Isoform 2 of Insulin-like growth factor-binding protein 7</t>
  </si>
  <si>
    <t>Alpha-internexin</t>
  </si>
  <si>
    <t>Isoform 2 of Laminin subunit alpha-4</t>
  </si>
  <si>
    <t>Isoform 2 of 26S proteasome non-ATPase regulatory subunit 5</t>
  </si>
  <si>
    <t>Serine/threonine-protein kinase N1</t>
  </si>
  <si>
    <t>Serine/threonine-protein kinase N2</t>
  </si>
  <si>
    <t>DNA damage-binding protein 1</t>
  </si>
  <si>
    <t>Mitogen-activated protein kinase 14</t>
  </si>
  <si>
    <t>Isoform CSBP1 of Mitogen-activated protein kinase 14</t>
  </si>
  <si>
    <t>Hsp90 co-chaperone Cdc37</t>
  </si>
  <si>
    <t>Dihydropyrimidinase-related protein 2</t>
  </si>
  <si>
    <t>Calcium/calmodulin-dependent protein kinase type IV</t>
  </si>
  <si>
    <t>Histone-binding protein RBBP7</t>
  </si>
  <si>
    <t>Beta-sarcoglycan</t>
  </si>
  <si>
    <t>Extracellular matrix protein 1</t>
  </si>
  <si>
    <t>Isoform 2 of Cardiotrophin-1</t>
  </si>
  <si>
    <t>Isoform 5 of Occludin</t>
  </si>
  <si>
    <t>Male-enhanced antigen 1</t>
  </si>
  <si>
    <t>Drebrin</t>
  </si>
  <si>
    <t>MAP kinase-activated protein kinase 3</t>
  </si>
  <si>
    <t>Prostacyclin synthase</t>
  </si>
  <si>
    <t>Fascin</t>
  </si>
  <si>
    <t>Alpha-mannosidase 2</t>
  </si>
  <si>
    <t>NADH dehydrogenase [ubiquinone] 1 alpha subcomplex subunit 5</t>
  </si>
  <si>
    <t>Isoform ZG of Plasma membrane calcium-transporting ATPase 3</t>
  </si>
  <si>
    <t>Putative ATP-dependent Clp protease proteolytic subunit, mitochondrial</t>
  </si>
  <si>
    <t>Thiosulfate sulfurtransferase</t>
  </si>
  <si>
    <t>Isoform 2 of Hydroxyacylglutathione hydrolase, mitochondrial</t>
  </si>
  <si>
    <t>Reticulon-1</t>
  </si>
  <si>
    <t>Phosphoenolpyruvate carboxykinase [GTP], mitochondrial</t>
  </si>
  <si>
    <t>Uridine phosphorylase 1</t>
  </si>
  <si>
    <t>Discoidin domain-containing receptor 2</t>
  </si>
  <si>
    <t>Lanosterol 14-alpha demethylase</t>
  </si>
  <si>
    <t>UTP--glucose-1-phosphate uridylyltransferase</t>
  </si>
  <si>
    <t>Deoxyguanosine kinase, mitochondrial</t>
  </si>
  <si>
    <t>V-type proton ATPase subunit F</t>
  </si>
  <si>
    <t>Isoform 2 of Putative deoxyribonuclease TATDN3</t>
  </si>
  <si>
    <t>Proto-oncogene c-Rel</t>
  </si>
  <si>
    <t>UPF0532 protein C7orf60</t>
  </si>
  <si>
    <t>Inverted formin-2</t>
  </si>
  <si>
    <t>Sister chromatid cohesion protein PDS5 homolog A</t>
  </si>
  <si>
    <t>Rho GTPase-activating protein 31</t>
  </si>
  <si>
    <t>Isoform 2 of AP2-associated protein kinase 1</t>
  </si>
  <si>
    <t>Vimentin-type intermediate filament-associated coiled-coil protein</t>
  </si>
  <si>
    <t>Isoform 2 of Peroxisomal leader peptide-processing protease</t>
  </si>
  <si>
    <t>GDP-Man:Man(3)GlcNAc(2)-PP-Dol alpha-1,2-mannosyltransferase</t>
  </si>
  <si>
    <t>Glutamine-rich protein 1</t>
  </si>
  <si>
    <t>RELA protein</t>
  </si>
  <si>
    <t>WD40 repeat-containing protein SMU1</t>
  </si>
  <si>
    <t>Isoform 5 of Hereditary hemochromatosis protein</t>
  </si>
  <si>
    <t>Isoform 4 of Leucine-rich repeat flightless-interacting protein 1</t>
  </si>
  <si>
    <t>Prolyl 3-hydroxylase 1</t>
  </si>
  <si>
    <t>tRNA (guanine(37)-N1)-methyltransferase</t>
  </si>
  <si>
    <t>DNA-directed RNA polymerase I subunit RPA43</t>
  </si>
  <si>
    <t>Isoform 2 of MAP7 domain-containing protein 1</t>
  </si>
  <si>
    <t>UDP-N-acetylhexosamine pyrophosphorylase-like protein 1</t>
  </si>
  <si>
    <t>UPF0538 protein C2orf76</t>
  </si>
  <si>
    <t>Alpha-ketoglutarate-dependent dioxygenase alkB homolog 6</t>
  </si>
  <si>
    <t>Bifunctional ATP-dependent dihydroxyacetone kinase/FAD-AMP lyase (cyclizing)</t>
  </si>
  <si>
    <t>Protein LSM12 homolog</t>
  </si>
  <si>
    <t>Putative tRNA pseudouridine synthase Pus10</t>
  </si>
  <si>
    <t>Inactive hydroxysteroid dehydrogenase-like protein 1</t>
  </si>
  <si>
    <t>C9orf126 protein</t>
  </si>
  <si>
    <t>Mitochondrial 10-formyltetrahydrofolate dehydrogenase</t>
  </si>
  <si>
    <t>N-acetylglucosamine-1-phosphotransferase subunits alpha/beta</t>
  </si>
  <si>
    <t>Isoform 4 of Girdin</t>
  </si>
  <si>
    <t>Rab-like protein 6</t>
  </si>
  <si>
    <t>Tubulin beta-8 chain</t>
  </si>
  <si>
    <t>Mitochondrial import inner membrane translocase subunit TIM50</t>
  </si>
  <si>
    <t>Galectin-related protein</t>
  </si>
  <si>
    <t>Isoform 2 of Alpha-(1,3)-fucosyltransferase 11</t>
  </si>
  <si>
    <t>Isoform 2 of Cerebral dopamine neurotrophic factor</t>
  </si>
  <si>
    <t>UPF0489 protein C5orf22</t>
  </si>
  <si>
    <t>Cytochrome c oxidase assembly protein COX19</t>
  </si>
  <si>
    <t>Vacuolar protein sorting-associated protein 26B</t>
  </si>
  <si>
    <t>Protein CCSMST1</t>
  </si>
  <si>
    <t>NAD kinase domain-containing protein 1, mitochondrial</t>
  </si>
  <si>
    <t>BTB/POZ domain-containing protein KCTD21</t>
  </si>
  <si>
    <t>Isoform 2 of Glucoside xylosyltransferase 1</t>
  </si>
  <si>
    <t>Acyl-CoA synthetase family member 3, mitochondrial</t>
  </si>
  <si>
    <t>Isoform 4 of Prolyl endopeptidase-like</t>
  </si>
  <si>
    <t>TBC1 domain family member 10B</t>
  </si>
  <si>
    <t>Isoform 3 of Anoctamin-6</t>
  </si>
  <si>
    <t>Isoform 3 of 1-phosphatidylinositol 4,5-bisphosphate phosphodiesterase eta-1</t>
  </si>
  <si>
    <t>Isoform 3 of Filamin A-interacting protein 1-like</t>
  </si>
  <si>
    <t>Sushi, von Willebrand factor type A, EGF and pentraxin domain-containing protein 1</t>
  </si>
  <si>
    <t>Dynein light chain 1, axonemal</t>
  </si>
  <si>
    <t>GRIP1-associated protein 1</t>
  </si>
  <si>
    <t>Transmembrane protein 119</t>
  </si>
  <si>
    <t>B-cell CLL/lymphoma 7 protein family member A</t>
  </si>
  <si>
    <t>Peroxisomal 2,4-dienoyl-CoA reductase</t>
  </si>
  <si>
    <t>Isoform 2 of Membralin</t>
  </si>
  <si>
    <t>Uncharacterized protein C4orf46</t>
  </si>
  <si>
    <t>Rho GTPase-activating protein 29</t>
  </si>
  <si>
    <t>Isoform 2 of Programmed cell death protein 4</t>
  </si>
  <si>
    <t>Fibronectin type III domain-containing protein 3B</t>
  </si>
  <si>
    <t>Metallophosphoesterase 1</t>
  </si>
  <si>
    <t>Quinone oxidoreductase PIG3</t>
  </si>
  <si>
    <t>Transmembrane protein 35</t>
  </si>
  <si>
    <t>Protein Hikeshi</t>
  </si>
  <si>
    <t>Pleckstrin homology-like domain family A member 2</t>
  </si>
  <si>
    <t>Isoform 2 of PDZ and LIM domain protein 3</t>
  </si>
  <si>
    <t>Estradiol 17-beta-dehydrogenase 12</t>
  </si>
  <si>
    <t>Beta-lactamase-like protein 2</t>
  </si>
  <si>
    <t>Pyrroline-5-carboxylate reductase 3</t>
  </si>
  <si>
    <t>Protein LBH</t>
  </si>
  <si>
    <t>BolA-like protein 3</t>
  </si>
  <si>
    <t>HCLS1-binding protein 3</t>
  </si>
  <si>
    <t>Isoform 3 of Cytochrome b reductase 1</t>
  </si>
  <si>
    <t>Beta-actin-like protein 2</t>
  </si>
  <si>
    <t>Proline-rich protein 16</t>
  </si>
  <si>
    <t>OCIA domain-containing protein 2</t>
  </si>
  <si>
    <t>Vesicle transport protein SFT2C</t>
  </si>
  <si>
    <t>Inactive N-acetylated-alpha-linked acidic dipeptidase-like protein 2</t>
  </si>
  <si>
    <t>Putative heat shock protein HSP 90-beta 4</t>
  </si>
  <si>
    <t>Putative heat shock protein HSP 90-beta 2</t>
  </si>
  <si>
    <t>Putative heat shock protein HSP 90-alpha A4</t>
  </si>
  <si>
    <t>Isoform 3 of DDB1- and CUL4-associated factor 6</t>
  </si>
  <si>
    <t>Putative 60S ribosomal protein L39-like 5</t>
  </si>
  <si>
    <t>Isoform 6 of Protein YIF1B</t>
  </si>
  <si>
    <t>Oxidoreductase-like domain-containing protein 1</t>
  </si>
  <si>
    <t>UPF0692 protein C19orf54</t>
  </si>
  <si>
    <t>Ribonuclease ZC3H12A</t>
  </si>
  <si>
    <t>RILP-like protein 1</t>
  </si>
  <si>
    <t>PDZ domain-containing protein 11</t>
  </si>
  <si>
    <t>Tumor necrosis factor alpha-induced protein 8-like protein 3</t>
  </si>
  <si>
    <t>Isoform 2 of Probable E3 ubiquitin-protein ligase HERC4</t>
  </si>
  <si>
    <t>cAMP-dependent protein kinase inhibitor gamma</t>
  </si>
  <si>
    <t>Metalloproteinase inhibitor 1</t>
  </si>
  <si>
    <t>Transcription elongation factor A protein-like 8 (Fragment)</t>
  </si>
  <si>
    <t>Metaxin-3</t>
  </si>
  <si>
    <t>Rab-like protein 3</t>
  </si>
  <si>
    <t>2-methoxy-6-polyprenyl-1,4-benzoquinol methylase, mitochondrial</t>
  </si>
  <si>
    <t>SH3 domain-containing protein 19</t>
  </si>
  <si>
    <t>Tubulin beta chain</t>
  </si>
  <si>
    <t>Isoform 2 of Nodal modulator 2</t>
  </si>
  <si>
    <t>Probable glutamate--tRNA ligase, mitochondrial</t>
  </si>
  <si>
    <t>Methyltransferase-like protein 10</t>
  </si>
  <si>
    <t>Protein DPCD</t>
  </si>
  <si>
    <t>Rho-related GTP-binding protein RhoC (Fragment)</t>
  </si>
  <si>
    <t>Melanoma inhibitory activity protein 3</t>
  </si>
  <si>
    <t>Nucleoporin p58/p45 (Fragment)</t>
  </si>
  <si>
    <t>Serine/arginine-rich-splicing factor 10</t>
  </si>
  <si>
    <t>Presequence protease, mitochondrial</t>
  </si>
  <si>
    <t>Proline and serine-rich protein 1 (Fragment)</t>
  </si>
  <si>
    <t>NHL repeat-containing protein 3</t>
  </si>
  <si>
    <t>Proteasome assembly chaperone 4</t>
  </si>
  <si>
    <t>Isoform 2 of WD repeat-containing protein 44</t>
  </si>
  <si>
    <t>High mobility group nucleosome-binding domain-containing protein 5 (Fragment)</t>
  </si>
  <si>
    <t>Protein PRRC2B</t>
  </si>
  <si>
    <t>Isoform 2 of Tight junction-associated protein 1</t>
  </si>
  <si>
    <t>Isoform 3 of Cytochrome c oxidase assembly factor 6 homolog</t>
  </si>
  <si>
    <t>Torsin-1A-interacting protein 1</t>
  </si>
  <si>
    <t>Alanine--tRNA ligase, mitochondrial</t>
  </si>
  <si>
    <t>Folylpolyglutamate synthase, mitochondrial (Fragment)</t>
  </si>
  <si>
    <t>Torsin-2A</t>
  </si>
  <si>
    <t>FERM and PDZ domain-containing protein 3</t>
  </si>
  <si>
    <t>Isoform 3 of PCI domain-containing protein 2</t>
  </si>
  <si>
    <t>Intracellular hyaluronan-binding protein 4</t>
  </si>
  <si>
    <t>Engulfment and cell motility protein 2</t>
  </si>
  <si>
    <t>Solute carrier family 35 member C2</t>
  </si>
  <si>
    <t>Double-stranded RNA-binding protein Staufen homolog 1</t>
  </si>
  <si>
    <t>Transmembrane protein 230 (Fragment)</t>
  </si>
  <si>
    <t>Mortality factor 4-like protein 2 (Fragment)</t>
  </si>
  <si>
    <t>Crooked neck-like protein 1</t>
  </si>
  <si>
    <t>Uncharacterized protein KIAA1755</t>
  </si>
  <si>
    <t>Sorting nexin-21</t>
  </si>
  <si>
    <t>Long-chain fatty acid transport protein 3</t>
  </si>
  <si>
    <t>Collectin-12</t>
  </si>
  <si>
    <t>Isoform 4 of Cytospin-B</t>
  </si>
  <si>
    <t>Isoform 3 of Serine/threonine-protein phosphatase 4 regulatory subunit 3B</t>
  </si>
  <si>
    <t>WD repeat domain phosphoinositide-interacting protein 3</t>
  </si>
  <si>
    <t>Isoform 2 of WD repeat domain phosphoinositide-interacting protein 1</t>
  </si>
  <si>
    <t>EGF domain-specific O-linked N-acetylglucosamine transferase</t>
  </si>
  <si>
    <t>Tubulin-specific chaperone cofactor E-like protein</t>
  </si>
  <si>
    <t>Peroxisomal biogenesis factor 19 (Fragment)</t>
  </si>
  <si>
    <t>ATP synthase subunit b, mitochondrial</t>
  </si>
  <si>
    <t>Bcl-2-like protein 1 (Fragment)</t>
  </si>
  <si>
    <t>Dolichol-phosphate mannosyltransferase</t>
  </si>
  <si>
    <t>Proteasome inhibitor PI31 subunit</t>
  </si>
  <si>
    <t>Isoform 4 of Rab GTPase-activating protein 1-like</t>
  </si>
  <si>
    <t>Isoform 7 of Rab GTPase-activating protein 1-like</t>
  </si>
  <si>
    <t>Mitochondrial pyruvate carrier 2 (Fragment)</t>
  </si>
  <si>
    <t>Mitogen-activated protein kinase 13</t>
  </si>
  <si>
    <t>Cytochrome c oxidase protein 20 homolog</t>
  </si>
  <si>
    <t>HLA class I histocompatibility antigen, alpha chain G</t>
  </si>
  <si>
    <t>Exosome complex component MTR3</t>
  </si>
  <si>
    <t>Methylenetetrahydrofolate reductase</t>
  </si>
  <si>
    <t>Neural proliferation differentiation and control protein 1</t>
  </si>
  <si>
    <t>cGMP-dependent protein kinase 1</t>
  </si>
  <si>
    <t>Hippocampus abundant transcript-like protein 1</t>
  </si>
  <si>
    <t>Isoform 2 of Phytanoyl-CoA dioxygenase domain-containing protein 1</t>
  </si>
  <si>
    <t>HLA class I histocompatibility antigen, A-68 alpha chain</t>
  </si>
  <si>
    <t>Casein kinase 2, beta polypeptide, isoform CRA_d</t>
  </si>
  <si>
    <t>Dynamin-binding protein</t>
  </si>
  <si>
    <t>Low density lipoprotein receptor adapter protein 1</t>
  </si>
  <si>
    <t>Calcium/calmodulin-dependent protein kinase (CaM kinase) II gamma, isoform CRA_n</t>
  </si>
  <si>
    <t>Protein odr-4 homolog</t>
  </si>
  <si>
    <t>Rab GDP dissociation inhibitor beta (Fragment)</t>
  </si>
  <si>
    <t>DNL-type zinc finger protein</t>
  </si>
  <si>
    <t>Isoform 2 of NHS-like protein 1</t>
  </si>
  <si>
    <t>Ceramide synthase 2 (Fragment)</t>
  </si>
  <si>
    <t>Tumor protein p63-regulated gene 1-like protein</t>
  </si>
  <si>
    <t>Isoform 3 of Formin-binding protein 1-like</t>
  </si>
  <si>
    <t>Palmitoyl-protein thioesterase 1 (Fragment)</t>
  </si>
  <si>
    <t>SH3 domain-binding glutamic acid-rich-like protein 3</t>
  </si>
  <si>
    <t>Probable arginine--tRNA ligase, mitochondrial</t>
  </si>
  <si>
    <t>Pygopus homolog 2</t>
  </si>
  <si>
    <t>Cyclin-dependent kinases regulatory subunit 1</t>
  </si>
  <si>
    <t>Acyl-coenzyme A thioesterase THEM4</t>
  </si>
  <si>
    <t>FK506-binding protein 15</t>
  </si>
  <si>
    <t>G-protein-signaling modulator 2 (Fragment)</t>
  </si>
  <si>
    <t>Probable ATP-dependent RNA helicase DDX59</t>
  </si>
  <si>
    <t>Pumilio homolog 1</t>
  </si>
  <si>
    <t>Isoform 2 of Zinc finger CCCH domain-containing protein 13</t>
  </si>
  <si>
    <t>UPF0668 protein C10orf76</t>
  </si>
  <si>
    <t>Transmembrane protein 63B</t>
  </si>
  <si>
    <t>Isoform 2 of Ligand-dependent nuclear receptor-interacting factor 1</t>
  </si>
  <si>
    <t>Putative transferase CAF17, mitochondrial</t>
  </si>
  <si>
    <t>Probable inactive glycosyltransferase 25 family member 3</t>
  </si>
  <si>
    <t>Pleckstrin homology domain containing, family O member 1</t>
  </si>
  <si>
    <t>Isoform 3 of E3 ubiquitin-protein ligase UBR4</t>
  </si>
  <si>
    <t>Acyl-Coenzyme A dehydrogenase, C-4 to C-12 straight chain, isoform CRA_a</t>
  </si>
  <si>
    <t>Protein FAM219A (Fragment)</t>
  </si>
  <si>
    <t>Syntaxin-binding protein 5</t>
  </si>
  <si>
    <t>Rho GTPase-activating protein 21</t>
  </si>
  <si>
    <t>Isoform 2 of Calmodulin-regulated spectrin-associated protein 1</t>
  </si>
  <si>
    <t>Ubiquitin-associated protein 2</t>
  </si>
  <si>
    <t>UPF0553 protein C9orf64</t>
  </si>
  <si>
    <t>Protein FAM162B</t>
  </si>
  <si>
    <t>Protein FAM69A</t>
  </si>
  <si>
    <t>RAB6-interacting golgin</t>
  </si>
  <si>
    <t>Isoform 2 of Acyl-CoA-binding domain-containing protein 5</t>
  </si>
  <si>
    <t>Protein COX6A1P2</t>
  </si>
  <si>
    <t>Nuclear pore complex protein Nup133</t>
  </si>
  <si>
    <t>Isoform 2 of RNA-binding protein 26</t>
  </si>
  <si>
    <t>Mediator complex subunit 22</t>
  </si>
  <si>
    <t>Surfeit 4</t>
  </si>
  <si>
    <t>Adenylate kinase isoenzyme 1</t>
  </si>
  <si>
    <t>Pre-mRNA-splicing factor 18 (Fragment)</t>
  </si>
  <si>
    <t>Glycolipid transfer protein domain-containing protein 1</t>
  </si>
  <si>
    <t>Hermansky-Pudlak syndrome 1 protein (Fragment)</t>
  </si>
  <si>
    <t>Isoform 2 of Probable E3 ubiquitin-protein ligase Roquin</t>
  </si>
  <si>
    <t>Ribosyldihydronicotinamide dehydrogenase [quinone]</t>
  </si>
  <si>
    <t>Protein DDI1 homolog 2</t>
  </si>
  <si>
    <t>Uncharacterized protein C20orf194</t>
  </si>
  <si>
    <t>Histone deacetylase 1 (Fragment)</t>
  </si>
  <si>
    <t>NADH dehydrogenase [ubiquinone] 1 alpha subcomplex assembly factor 5</t>
  </si>
  <si>
    <t>5-nucleotidase domain-containing protein 1</t>
  </si>
  <si>
    <t>Voltage-gated potassium channel subunit beta-2 (Fragment)</t>
  </si>
  <si>
    <t>Transmembrane protein 189</t>
  </si>
  <si>
    <t>PX domain-containing protein 1</t>
  </si>
  <si>
    <t>Transmembrane and coiled-coil domain-containing protein 4</t>
  </si>
  <si>
    <t>Thiamine transporter 1</t>
  </si>
  <si>
    <t>Vesicle transport protein SFT2B</t>
  </si>
  <si>
    <t>Rootletin</t>
  </si>
  <si>
    <t>RNA-binding E3 ubiquitin-protein ligase MEX3C</t>
  </si>
  <si>
    <t>Complex III assembly factor LYRM7</t>
  </si>
  <si>
    <t>Isoform 4 of Vacuolar protein sorting-associated protein 53 homolog</t>
  </si>
  <si>
    <t>Striatin-interacting protein 1</t>
  </si>
  <si>
    <t>Alpha/beta hydrolase domain-containing protein 17B</t>
  </si>
  <si>
    <t>Isoform 2 of Regulation of nuclear pre-mRNA domain-containing protein 2</t>
  </si>
  <si>
    <t>Growth hormone-inducible transmembrane protein</t>
  </si>
  <si>
    <t>Isoform 2 of Tetratricopeptide repeat protein 39B</t>
  </si>
  <si>
    <t>E3 ubiquitin-protein ligase BRE1A</t>
  </si>
  <si>
    <t>Dynein light chain Tctex-type 1</t>
  </si>
  <si>
    <t>Ribonuclease P protein subunit p30 (Fragment)</t>
  </si>
  <si>
    <t>VWFA and cache domain-containing protein 1</t>
  </si>
  <si>
    <t>Zinc finger protein 318</t>
  </si>
  <si>
    <t>Uncharacterized protein C1orf53</t>
  </si>
  <si>
    <t>Isoform 2 of Leucine-rich repeat and calponin homology domain-containing protein 2</t>
  </si>
  <si>
    <t>UPF0369 protein C6orf57</t>
  </si>
  <si>
    <t>Microsomal glutathione S-transferase 3</t>
  </si>
  <si>
    <t>Pleckstrin homology domain-containing family M member 2</t>
  </si>
  <si>
    <t>Isoform 2 of Ubiquitin thioesterase OTU1</t>
  </si>
  <si>
    <t>Solute carrier family 2, facilitated glucose transporter member 8</t>
  </si>
  <si>
    <t>BRO1 domain-containing protein BROX</t>
  </si>
  <si>
    <t>Sorting nexin-30</t>
  </si>
  <si>
    <t>Isoform 2 of Disabled homolog 2-interacting protein</t>
  </si>
  <si>
    <t>Partitioning defective 3 homolog</t>
  </si>
  <si>
    <t>Lysophospholipase-like protein 1</t>
  </si>
  <si>
    <t>Platelet endothelial aggregation receptor 1</t>
  </si>
  <si>
    <t>Isoform 2 of Terminal uridylyltransferase 7</t>
  </si>
  <si>
    <t>Isoform 2 of Renalase</t>
  </si>
  <si>
    <t>N-alpha-acetyltransferase 35, NatC auxiliary subunit</t>
  </si>
  <si>
    <t>Isoform 2 of Transmembrane protein C9orf91</t>
  </si>
  <si>
    <t>Leucine-rich repeat-containing protein 16A</t>
  </si>
  <si>
    <t>CUGBP Elav-like family member 2</t>
  </si>
  <si>
    <t>BRI2, membrane form</t>
  </si>
  <si>
    <t>Protein FAM160B1</t>
  </si>
  <si>
    <t>Isoform 3 of Probable palmitoyltransferase ZDHHC20</t>
  </si>
  <si>
    <t>SPRY domain-containing protein 7</t>
  </si>
  <si>
    <t>NADH dehydrogenase (Ubiquinone) 1 beta subcomplex, 8, 19kDa, isoform CRA_a</t>
  </si>
  <si>
    <t>Protein QIL1</t>
  </si>
  <si>
    <t>E3 ubiquitin-protein ligase RNF123</t>
  </si>
  <si>
    <t>Isoform 3 of F-box/WD repeat-containing protein 9</t>
  </si>
  <si>
    <t>CD276 antigen</t>
  </si>
  <si>
    <t>Kynurenine formamidase</t>
  </si>
  <si>
    <t>E3 ubiquitin-protein ligase RNF213</t>
  </si>
  <si>
    <t>AP-1 complex-associated regulatory protein</t>
  </si>
  <si>
    <t>Isoform 3 of KN motif and ankyrin repeat domain-containing protein 2</t>
  </si>
  <si>
    <t>WASH complex subunit FAM21A</t>
  </si>
  <si>
    <t>Isoform 3 of Metalloreductase STEAP3</t>
  </si>
  <si>
    <t>Isoform 2 of TBC1 domain family member 9B</t>
  </si>
  <si>
    <t>Serine/threonine-protein phosphatase 2A 55 kDa regulatory subunit B delta isoform</t>
  </si>
  <si>
    <t>ADP-ribosylation factor-like protein 6-interacting protein 4</t>
  </si>
  <si>
    <t>Isoform 3 of Kazrin</t>
  </si>
  <si>
    <t>Digestive organ expansion factor homolog</t>
  </si>
  <si>
    <t>Glycosyltransferase 8 domain-containing protein 1</t>
  </si>
  <si>
    <t>Tensin-3</t>
  </si>
  <si>
    <t>Metallo-beta-lactamase domain-containing protein 2</t>
  </si>
  <si>
    <t>Putative uncharacterized protein DKFZp781L1143</t>
  </si>
  <si>
    <t>Isoform 6 of Rho GTPase-activating protein 17</t>
  </si>
  <si>
    <t>Uncharacterized protein DKFZp762I1415</t>
  </si>
  <si>
    <t>Isoform 3 of CWF19-like protein 1</t>
  </si>
  <si>
    <t>Isoform 2 of Cytospin-A</t>
  </si>
  <si>
    <t>Uncharacterized protein C12orf73</t>
  </si>
  <si>
    <t>Isoform 4 of Protein WWC2</t>
  </si>
  <si>
    <t>Isoform 2 of Scavenger receptor class A member 3</t>
  </si>
  <si>
    <t>NADH-cytochrome b5 reductase 2</t>
  </si>
  <si>
    <t>Atlastin-3</t>
  </si>
  <si>
    <t>Adenosine deaminase-like protein</t>
  </si>
  <si>
    <t>Nucleoredoxin</t>
  </si>
  <si>
    <t>Tetratricopeptide repeat protein 19, mitochondrial</t>
  </si>
  <si>
    <t>Isoform 5 of DNA-directed RNA polymerase II subunit GRINL1A, isoforms 4/5</t>
  </si>
  <si>
    <t>Vasorin</t>
  </si>
  <si>
    <t>Isoform 3 of Anamorsin</t>
  </si>
  <si>
    <t>Isoform 2 of AN1-type zinc finger protein 6</t>
  </si>
  <si>
    <t>SET and MYND domain-containing protein 5</t>
  </si>
  <si>
    <t>Putative peptidyl-tRNA hydrolase PTRHD1</t>
  </si>
  <si>
    <t>OTU domain-containing protein 7B</t>
  </si>
  <si>
    <t>Selenoprotein S</t>
  </si>
  <si>
    <t>THO complex subunit 7 homolog</t>
  </si>
  <si>
    <t>Glutamine-dependent NAD(+) synthetase</t>
  </si>
  <si>
    <t>Isoform 3 of Elongator complex protein 2</t>
  </si>
  <si>
    <t>Ragulator complex protein LAMTOR1</t>
  </si>
  <si>
    <t>Dehydrogenase/reductase SDR family member 7B</t>
  </si>
  <si>
    <t>Twinfilin-2</t>
  </si>
  <si>
    <t>Desumoylating isopeptidase 1</t>
  </si>
  <si>
    <t>Sesquipedalian-2</t>
  </si>
  <si>
    <t>Uncharacterized protein KIAA0930</t>
  </si>
  <si>
    <t>Em:AP000351.3 protein</t>
  </si>
  <si>
    <t>Transport and Golgi organization 2 homolog</t>
  </si>
  <si>
    <t>Isoform 2 of Serine/threonine-protein phosphatase 4 regulatory subunit 3A</t>
  </si>
  <si>
    <t>Ras-related protein Rab-12</t>
  </si>
  <si>
    <t>Isoform 3 of Protein SDE2 homolog</t>
  </si>
  <si>
    <t>Deoxyribonuclease</t>
  </si>
  <si>
    <t>Teneurin-4</t>
  </si>
  <si>
    <t>2-oxoglutarate and iron-dependent oxygenase domain-containing protein 2</t>
  </si>
  <si>
    <t>Uncharacterized family 31 glucosidase KIAA1161</t>
  </si>
  <si>
    <t>MFS-type transporter SLC18B1</t>
  </si>
  <si>
    <t>TMF-regulated nuclear protein 1</t>
  </si>
  <si>
    <t>Calcium-binding mitochondrial carrier protein SCaMC-1</t>
  </si>
  <si>
    <t>Receptor expression-enhancing protein 3</t>
  </si>
  <si>
    <t>All-trans-retinol 13,14-reductase</t>
  </si>
  <si>
    <t>RAD50-interacting protein 1</t>
  </si>
  <si>
    <t>Isoform 2 of Transmembrane protein 214</t>
  </si>
  <si>
    <t>Inactive Ufm1-specific protease 1</t>
  </si>
  <si>
    <t>3-hydroxyisobutyryl-CoA hydrolase, mitochondrial</t>
  </si>
  <si>
    <t>Ankyrin repeat domain-containing protein 54</t>
  </si>
  <si>
    <t>Transmembrane anterior posterior transformation protein 1 homolog</t>
  </si>
  <si>
    <t>Phostensin</t>
  </si>
  <si>
    <t>THO complex subunit 3</t>
  </si>
  <si>
    <t>Polymerase I and transcript release factor</t>
  </si>
  <si>
    <t>Cdc42 effector protein 5</t>
  </si>
  <si>
    <t>39S ribosomal protein L54, mitochondrial</t>
  </si>
  <si>
    <t>Endoplasmic reticulum aminopeptidase 2</t>
  </si>
  <si>
    <t>Parafibromin</t>
  </si>
  <si>
    <t>Isoform 4 of Polyamine-modulated factor 1</t>
  </si>
  <si>
    <t>39S ribosomal protein L14, mitochondrial</t>
  </si>
  <si>
    <t>Long-chain fatty acid transport protein 4</t>
  </si>
  <si>
    <t>Isoform 2 of Coiled-coil and C2 domain-containing protein 1A</t>
  </si>
  <si>
    <t>Methyltransferase-like protein 2B</t>
  </si>
  <si>
    <t>tRNA-dihydrouridine(16/17) synthase [NAD(P)(+)]-like</t>
  </si>
  <si>
    <t>UPF0598 protein C8orf82</t>
  </si>
  <si>
    <t>Enhancer of mRNA-decapping protein 4</t>
  </si>
  <si>
    <t>Putative protein arginine N-methyltransferase 10</t>
  </si>
  <si>
    <t>Isoform 5 of DENN domain-containing protein 1B</t>
  </si>
  <si>
    <t>SCY1-like protein 2</t>
  </si>
  <si>
    <t>Tetratricopeptide repeat protein 27</t>
  </si>
  <si>
    <t>Isoform 2 of NIPA-like protein 3</t>
  </si>
  <si>
    <t>Protein CASC4</t>
  </si>
  <si>
    <t>Adrenodoxin-like protein, mitochondrial</t>
  </si>
  <si>
    <t>WD repeat-containing protein 73</t>
  </si>
  <si>
    <t>Isoform 3 of Nuclear factor related to kappa-B-binding protein</t>
  </si>
  <si>
    <t>Mitotic-spindle organizing protein 2A</t>
  </si>
  <si>
    <t>Acylpyruvase FAHD1, mitochondrial</t>
  </si>
  <si>
    <t>Uncharacterized protein C8orf47</t>
  </si>
  <si>
    <t>Isoform 3 of RNA demethylase ALKBH5</t>
  </si>
  <si>
    <t>TLD domain-containing protein KIAA1609</t>
  </si>
  <si>
    <t>Integrator complex subunit 5</t>
  </si>
  <si>
    <t>Glucose 1,6-bisphosphate synthase</t>
  </si>
  <si>
    <t>Alpha- and gamma-adaptin-binding protein p34</t>
  </si>
  <si>
    <t>Tetratricopeptide repeat protein 37</t>
  </si>
  <si>
    <t>Isoform 3 of Serine/threonine-protein kinase ULK3</t>
  </si>
  <si>
    <t>Transmembrane protein 65</t>
  </si>
  <si>
    <t>Tetratricopeptide repeat protein 33</t>
  </si>
  <si>
    <t>Coiled-coil domain-containing protein 174</t>
  </si>
  <si>
    <t>Isoform 2 of Hydroxyacylglutathione hydrolase-like protein</t>
  </si>
  <si>
    <t>Tripartite motif-containing protein 65</t>
  </si>
  <si>
    <t>Isoform 5 of Zinc finger CCCH domain-containing protein 14</t>
  </si>
  <si>
    <t>Consortin</t>
  </si>
  <si>
    <t>2-oxoglutarate and iron-dependent oxygenase domain-containing protein 3</t>
  </si>
  <si>
    <t>La-related protein 1</t>
  </si>
  <si>
    <t>Protein TMED8</t>
  </si>
  <si>
    <t>Zinc transporter 9</t>
  </si>
  <si>
    <t>Isoform 1 of Peroxisomal N(1)-acetyl-spermine/spermidine oxidase</t>
  </si>
  <si>
    <t>Biogenesis of lysosome-related organelles complex 1 subunit 3</t>
  </si>
  <si>
    <t>Biogenesis of lysosome-related organelles complex 1 subunit 2</t>
  </si>
  <si>
    <t>Isoform 2 of Type-1 angiotensin II receptor-associated protein</t>
  </si>
  <si>
    <t>Isoform 4 of Nance-Horan syndrome protein</t>
  </si>
  <si>
    <t>Methionine aminopeptidase 1D, mitochondrial</t>
  </si>
  <si>
    <t>Monofunctional C1-tetrahydrofolate synthase, mitochondrial</t>
  </si>
  <si>
    <t>Isoform 3 of Aftiphilin</t>
  </si>
  <si>
    <t>Isoform 3 of Pre-mRNA 3-end-processing factor FIP1</t>
  </si>
  <si>
    <t>Isoform 3 of CREB-regulated transcription coactivator 3</t>
  </si>
  <si>
    <t>Isoform 3 of CREB-regulated transcription coactivator 1</t>
  </si>
  <si>
    <t>Chondroitin sulfate proteoglycan 4</t>
  </si>
  <si>
    <t>Isoform 2 of DBH-like monooxygenase protein 1</t>
  </si>
  <si>
    <t>All-trans retinoic acid-induced differentiation factor</t>
  </si>
  <si>
    <t>KDEL motif-containing protein 1</t>
  </si>
  <si>
    <t>UPF0723 protein C11orf83</t>
  </si>
  <si>
    <t>E3 ubiquitin-protein ligase LRSAM1</t>
  </si>
  <si>
    <t>Protein FAM198B</t>
  </si>
  <si>
    <t>Dehydrogenase/reductase SDR family member 11</t>
  </si>
  <si>
    <t>Isoform 3 of Lysocardiolipin acyltransferase 1</t>
  </si>
  <si>
    <t>Protein PET117 homolog, mitochondrial</t>
  </si>
  <si>
    <t>Bombesin receptor-activated protein C6orf89</t>
  </si>
  <si>
    <t>Arylsulfatase K</t>
  </si>
  <si>
    <t>Peptidyl-prolyl cis-trans isomerase CWC27 homolog</t>
  </si>
  <si>
    <t>Isoform 2 of Layilin</t>
  </si>
  <si>
    <t>Methyltransferase-like protein 7B</t>
  </si>
  <si>
    <t>Plexin domain-containing protein 2</t>
  </si>
  <si>
    <t>Isoform 6 of Seizure 6-like protein 2</t>
  </si>
  <si>
    <t>Isoform 4 of Cysteine-rich with EGF-like domain protein 2</t>
  </si>
  <si>
    <t>Collagen and calcium-binding EGF domain-containing protein 1</t>
  </si>
  <si>
    <t>WD repeat-containing protein 82</t>
  </si>
  <si>
    <t>Apolipoprotein O-like</t>
  </si>
  <si>
    <t>Isoform 3 of Protocadherin Fat 4</t>
  </si>
  <si>
    <t>Isoform 2 of Dipeptidyl peptidase 8</t>
  </si>
  <si>
    <t>Phosphofurin acidic cluster sorting protein 1</t>
  </si>
  <si>
    <t>Myosin phosphatase Rho-interacting protein</t>
  </si>
  <si>
    <t>Rab11 family-interacting protein 1</t>
  </si>
  <si>
    <t>Nicotinate phosphoribosyltransferase</t>
  </si>
  <si>
    <t>Beta-1,3-glucosyltransferase</t>
  </si>
  <si>
    <t>Isoform 3 of PERQ amino acid-rich with GYF domain-containing protein 2</t>
  </si>
  <si>
    <t>CD109 antigen</t>
  </si>
  <si>
    <t>Isoform 3 of Thyroid adenoma-associated protein</t>
  </si>
  <si>
    <t>Hydroxysteroid dehydrogenase-like protein 2</t>
  </si>
  <si>
    <t>Isoform 3 of Kynurenine--oxoglutarate transaminase 3</t>
  </si>
  <si>
    <t>Ceramide synthase 6</t>
  </si>
  <si>
    <t>Isoform 2 of Nesprin-3</t>
  </si>
  <si>
    <t>Uncharacterized protein encoded by LINC00322</t>
  </si>
  <si>
    <t>Isoform 2 of Zinc finger protein AEBP2</t>
  </si>
  <si>
    <t>GDP-D-glucose phosphorylase 1</t>
  </si>
  <si>
    <t>Probable C-mannosyltransferase DPY19L3</t>
  </si>
  <si>
    <t>Sulfhydryl oxidase 2</t>
  </si>
  <si>
    <t>Isoform 2 of Protein FAM65A</t>
  </si>
  <si>
    <t>Uncharacterized protein C1orf122</t>
  </si>
  <si>
    <t>Major facilitator superfamily domain-containing protein 6</t>
  </si>
  <si>
    <t>Isoform 2 of Transmembrane protein with metallophosphoesterase domain</t>
  </si>
  <si>
    <t>Isoform 3 of Ankyrin repeat domain-containing protein 13D</t>
  </si>
  <si>
    <t>Uncharacterized protein C15orf52</t>
  </si>
  <si>
    <t>Lipoma HMGIC fusion partner-like 2 protein</t>
  </si>
  <si>
    <t>8-oxo-dGDP phosphatase NUDT18</t>
  </si>
  <si>
    <t>TOM1-like protein 2</t>
  </si>
  <si>
    <t>Lysophospholipid acyltransferase 2</t>
  </si>
  <si>
    <t>Isoform 2 of Transmembrane and TPR repeat-containing protein 3</t>
  </si>
  <si>
    <t>General transcription factor IIH subunit 5</t>
  </si>
  <si>
    <t>Isoform 3 of Vacuolar protein sorting-associated protein 13C</t>
  </si>
  <si>
    <t>Acyl-CoA dehydrogenase family member 11</t>
  </si>
  <si>
    <t>Isoform RMO1ac of Ras-associated and pleckstrin homology domains-containing protein 1</t>
  </si>
  <si>
    <t>MOB kinase activator 2</t>
  </si>
  <si>
    <t>Inhibitor of nuclear factor kappa-B kinase-interacting protein</t>
  </si>
  <si>
    <t>Isoform 4 of Inhibitor of nuclear factor kappa-B kinase-interacting protein</t>
  </si>
  <si>
    <t>Ubiquitin-conjugating enzyme E2 R2</t>
  </si>
  <si>
    <t>Isoform 6 of La-related protein 4</t>
  </si>
  <si>
    <t>Isoform 2 of Tubulin alpha-1A chain</t>
  </si>
  <si>
    <t>MTSS1-like protein</t>
  </si>
  <si>
    <t>Coiled-coil domain-containing protein 80</t>
  </si>
  <si>
    <t>Isoform 5 of Butyrophilin subfamily 2 member A1</t>
  </si>
  <si>
    <t>Transcription elongation factor SPT6</t>
  </si>
  <si>
    <t>Isoform 2 of Transcription elongation factor SPT6</t>
  </si>
  <si>
    <t>Staphylococcal nuclease domain-containing protein 1</t>
  </si>
  <si>
    <t>Probable ATP-dependent RNA helicase DDX46</t>
  </si>
  <si>
    <t>Isoform 3 of Protein RUFY3</t>
  </si>
  <si>
    <t>Isoform 2 of Synaptic vesicle glycoprotein 2A</t>
  </si>
  <si>
    <t>Mitochondrial ribonuclease P protein 1</t>
  </si>
  <si>
    <t>Basic leucine zipper and W2 domain-containing protein 1</t>
  </si>
  <si>
    <t>Cytochrome b5 reductase 4</t>
  </si>
  <si>
    <t>Alpha/beta hydrolase domain-containing protein 13</t>
  </si>
  <si>
    <t>BTB/POZ domain-containing protein KCTD9</t>
  </si>
  <si>
    <t>Eukaryotic translation initiation factor 3 subunit M</t>
  </si>
  <si>
    <t>Isoform 2 of Arginine/serine-rich coiled-coil protein 2</t>
  </si>
  <si>
    <t>Ras-related GTP-binding protein A</t>
  </si>
  <si>
    <t>Cytoplasmic FMR1-interacting protein 1</t>
  </si>
  <si>
    <t>NADH dehydrogenase [ubiquinone] complex I, assembly factor 7</t>
  </si>
  <si>
    <t>Golgi to ER traffic protein 4 homolog</t>
  </si>
  <si>
    <t>Lysophosphatidylcholine acyltransferase 2</t>
  </si>
  <si>
    <t>Mitochondrial enolase superfamily member 1</t>
  </si>
  <si>
    <t>EPM2A-interacting protein 1</t>
  </si>
  <si>
    <t>Serine/threonine-protein kinase TAO1</t>
  </si>
  <si>
    <t>Rab11 family-interacting protein 2</t>
  </si>
  <si>
    <t>SH3 domain-binding protein 5-like</t>
  </si>
  <si>
    <t>Lysine-specific demethylase 3B</t>
  </si>
  <si>
    <t>Charged multivesicular body protein 1b</t>
  </si>
  <si>
    <t>Ribonucleoside-diphosphate reductase subunit M2 B</t>
  </si>
  <si>
    <t>Heparan sulfate 2-O-sulfotransferase 1</t>
  </si>
  <si>
    <t>Carbohydrate sulfotransferase 3</t>
  </si>
  <si>
    <t>Protein-methionine sulfoxide oxidase MICAL3</t>
  </si>
  <si>
    <t>Dymeclin</t>
  </si>
  <si>
    <t>PHD finger-like domain-containing protein 5A</t>
  </si>
  <si>
    <t>Thioredoxin-like protein AAED1</t>
  </si>
  <si>
    <t>G protein-regulated inducer of neurite outgrowth 1</t>
  </si>
  <si>
    <t>Isoform 4 of PTB-containing, cubilin and LRP1-interacting protein</t>
  </si>
  <si>
    <t>Elongation factor Tu GTP-binding domain-containing protein 1</t>
  </si>
  <si>
    <t>Probable C-mannosyltransferase DPY19L4</t>
  </si>
  <si>
    <t>Neuronal growth regulator 1</t>
  </si>
  <si>
    <t>LysM and putative peptidoglycan-binding domain-containing protein 3</t>
  </si>
  <si>
    <t>Isoform 2 of UPF0317 protein C14orf159, mitochondrial</t>
  </si>
  <si>
    <t>Uncharacterized protein C10orf118</t>
  </si>
  <si>
    <t>LisH domain-containing protein ARMC9</t>
  </si>
  <si>
    <t>Zinc finger FYVE domain-containing protein 16</t>
  </si>
  <si>
    <t>Ubiquitin-protein ligase E3B</t>
  </si>
  <si>
    <t>Nuclear fragile X mental retardation-interacting protein 2</t>
  </si>
  <si>
    <t>Isoform 2 of SUZ domain-containing protein 1</t>
  </si>
  <si>
    <t>Mitochondrial antiviral-signaling protein</t>
  </si>
  <si>
    <t>Cytochrome P450 2U1</t>
  </si>
  <si>
    <t>ATP-dependent RNA helicase DHX29</t>
  </si>
  <si>
    <t>Low-density lipoprotein receptor-related protein 10</t>
  </si>
  <si>
    <t>COMM domain-containing protein 6</t>
  </si>
  <si>
    <t>Isoform 2 of tRNA (guanine(10)-N2)-methyltransferase homolog</t>
  </si>
  <si>
    <t>HD domain-containing protein 2</t>
  </si>
  <si>
    <t>Isoform 3 of HAUS augmin-like complex subunit 6</t>
  </si>
  <si>
    <t>KDEL motif-containing protein 2</t>
  </si>
  <si>
    <t>Cytochrome c oxidase subunit 8C, mitochondrial</t>
  </si>
  <si>
    <t>Prolyl 4-hydroxylase subunit alpha-3</t>
  </si>
  <si>
    <t>HEAT repeat-containing protein 3</t>
  </si>
  <si>
    <t>L-xylulose reductase</t>
  </si>
  <si>
    <t>Isoform 2 of Golgin subfamily A member 7</t>
  </si>
  <si>
    <t>Isoform 3 of Rho GTPase-activating protein 22</t>
  </si>
  <si>
    <t>Wings apart-like protein homolog</t>
  </si>
  <si>
    <t>Isoform 2 of R3H and coiled-coil domain-containing protein 1-like</t>
  </si>
  <si>
    <t>Podocan</t>
  </si>
  <si>
    <t>Amyloid beta A4 precursor protein-binding family B member 1-interacting protein</t>
  </si>
  <si>
    <t>Calmodulin-lysine N-methyltransferase</t>
  </si>
  <si>
    <t>Isoform 2 of Coiled-coil domain-containing protein 91</t>
  </si>
  <si>
    <t>SLIT-ROBO Rho GTPase-activating protein 1</t>
  </si>
  <si>
    <t>Isoform 4 of E3 ubiquitin-protein ligase RBBP6</t>
  </si>
  <si>
    <t>E3 ubiquitin-protein ligase SH3RF1</t>
  </si>
  <si>
    <t>Protein prenyltransferase alpha subunit repeat-containing protein 1</t>
  </si>
  <si>
    <t>UPF0552 protein C15orf38</t>
  </si>
  <si>
    <t>Tectonin beta-propeller repeat-containing protein 1</t>
  </si>
  <si>
    <t>Rab9 effector protein with kelch motifs</t>
  </si>
  <si>
    <t>Allergin-1</t>
  </si>
  <si>
    <t>mTERF domain-containing protein 2</t>
  </si>
  <si>
    <t>Isoform 2 of tRNA-specific adenosine deaminase 2</t>
  </si>
  <si>
    <t>Isoform 2 of E3 ubiquitin-protein ligase HUWE1</t>
  </si>
  <si>
    <t>Cytoplasmic tRNA 2-thiolation protein 1</t>
  </si>
  <si>
    <t>PX domain-containing protein kinase-like protein</t>
  </si>
  <si>
    <t>Ubiquitin-conjugating enzyme E2 Q1</t>
  </si>
  <si>
    <t>Isoform 3 of Transmembrane emp24 domain-containing protein 4</t>
  </si>
  <si>
    <t>Calcium/calmodulin-dependent protein kinase II inhibitor 1</t>
  </si>
  <si>
    <t>Uncharacterized protein C11orf96</t>
  </si>
  <si>
    <t>Polypeptide N-acetylgalactosaminyltransferase 5</t>
  </si>
  <si>
    <t>Transmembrane protein 179B</t>
  </si>
  <si>
    <t>N-acetylgalactosaminyltransferase 7</t>
  </si>
  <si>
    <t>Amphoterin-induced protein 2</t>
  </si>
  <si>
    <t>Pleckstrin homology-like domain family B member 2</t>
  </si>
  <si>
    <t>Serologically defined colon cancer antigen 8</t>
  </si>
  <si>
    <t>Isoform 3 of Dehydrodolichyl diphosphate synthase</t>
  </si>
  <si>
    <t>Polypeptide N-acetylgalactosaminyltransferase 10</t>
  </si>
  <si>
    <t>Glutaredoxin-related protein 5, mitochondrial</t>
  </si>
  <si>
    <t>Trafficking protein particle complex subunit 6B</t>
  </si>
  <si>
    <t>C-type lectin domain family 14 member A</t>
  </si>
  <si>
    <t>Isoform 4 of Protein PAT1 homolog 1</t>
  </si>
  <si>
    <t>Transmembrane protein 150A</t>
  </si>
  <si>
    <t>Dipeptidyl peptidase 9</t>
  </si>
  <si>
    <t>Protein prune homolog</t>
  </si>
  <si>
    <t>Isoform 3 of 39S ribosomal protein L52, mitochondrial</t>
  </si>
  <si>
    <t>Histone-lysine N-methyltransferase setd3</t>
  </si>
  <si>
    <t>Full-length cDNA clone CS0DI002YH20 of Placenta of Homo sapiens (human)</t>
  </si>
  <si>
    <t>Acyl-coenzyme A thioesterase 1</t>
  </si>
  <si>
    <t>Iron-sulfur cluster assembly 2 homolog, mitochondrial</t>
  </si>
  <si>
    <t>N6-adenosine-methyltransferase 70 kDa subunit</t>
  </si>
  <si>
    <t>YrdC domain-containing protein, mitochondrial</t>
  </si>
  <si>
    <t>Pre-mRNA-processing factor 39</t>
  </si>
  <si>
    <t>Protein LYRIC</t>
  </si>
  <si>
    <t>Isoform 2 of Zinc finger protein 598</t>
  </si>
  <si>
    <t>Glycerol-3-phosphate acyltransferase 4</t>
  </si>
  <si>
    <t>Isoform 2 of Membrane-associated guanylate kinase, WW and PDZ domain-containing protein 2</t>
  </si>
  <si>
    <t>Kinectin</t>
  </si>
  <si>
    <t>Telomerase-binding protein EST1A</t>
  </si>
  <si>
    <t>Isoform 4 of B-cell CLL/lymphoma 9-like protein</t>
  </si>
  <si>
    <t>Isoform 2 of Pleckstrin homology-like domain family B member 1</t>
  </si>
  <si>
    <t>TXNDC5 protein</t>
  </si>
  <si>
    <t>Isoform 2 of 5-nucleotidase domain-containing protein 3</t>
  </si>
  <si>
    <t>Acetoacetyl-CoA synthetase</t>
  </si>
  <si>
    <t>Leucine zipper protein 1</t>
  </si>
  <si>
    <t>OSBPL6 protein</t>
  </si>
  <si>
    <t>Integral membrane protein GPR180</t>
  </si>
  <si>
    <t>Protein FAM160B2</t>
  </si>
  <si>
    <t>Uncharacterized protein C11orf74</t>
  </si>
  <si>
    <t>Isoform 2 of Vacuolar protein-sorting-associated protein 36</t>
  </si>
  <si>
    <t>Cullin-associated NEDD8-dissociated protein 1</t>
  </si>
  <si>
    <t>Glucocorticoid-induced transcript 1 protein</t>
  </si>
  <si>
    <t>Protein FAM134C</t>
  </si>
  <si>
    <t>Protein Hook homolog 3</t>
  </si>
  <si>
    <t>SEC14 domain and spectrin repeat-containing protein 1</t>
  </si>
  <si>
    <t>Low-density lipoprotein receptor-related protein 11</t>
  </si>
  <si>
    <t>Transmembrane protein adipocyte-associated 1</t>
  </si>
  <si>
    <t>Archaemetzincin-2</t>
  </si>
  <si>
    <t>Isoform 2 of Valacyclovir hydrolase</t>
  </si>
  <si>
    <t>Sodium-independent sulfate anion transporter</t>
  </si>
  <si>
    <t>Myotubularin-related protein 13</t>
  </si>
  <si>
    <t>FCH and double SH3 domains protein 1</t>
  </si>
  <si>
    <t>Nuclear receptor 2C2-associated protein</t>
  </si>
  <si>
    <t>Coiled-coil domain-containing protein 25</t>
  </si>
  <si>
    <t>Proline and serine-rich protein 2</t>
  </si>
  <si>
    <t>CST complex subunit TEN1</t>
  </si>
  <si>
    <t>Stimulator of interferon genes protein</t>
  </si>
  <si>
    <t>CCDC43 protein</t>
  </si>
  <si>
    <t>Cerebellar degeneration-related protein 2-like</t>
  </si>
  <si>
    <t>Transmembrane protein 17</t>
  </si>
  <si>
    <t>Ras-specific guanine nucleotide-releasing factor RalGPS2</t>
  </si>
  <si>
    <t>Isoform 1 of Histone-arginine methyltransferase CARM1</t>
  </si>
  <si>
    <t>Isoform 1 of Nitrilase homolog 1</t>
  </si>
  <si>
    <t>ATP-dependent RNA helicase DDX42</t>
  </si>
  <si>
    <t>Spermatogenesis-associated serine-rich protein 2</t>
  </si>
  <si>
    <t>CDK2-associated and cullin domain-containing protein 1</t>
  </si>
  <si>
    <t>Xylosyltransferase 1</t>
  </si>
  <si>
    <t>NADH dehydrogenase [ubiquinone] 1 alpha subcomplex subunit 11</t>
  </si>
  <si>
    <t>HEAT repeat-containing protein 2</t>
  </si>
  <si>
    <t>Syntaxin-12</t>
  </si>
  <si>
    <t>ERO1-like protein beta</t>
  </si>
  <si>
    <t>Decaprenyl-diphosphate synthase subunit 2</t>
  </si>
  <si>
    <t>Homer protein homolog 1</t>
  </si>
  <si>
    <t>Isoform 2 of Transcriptional repressor p66-alpha</t>
  </si>
  <si>
    <t>Copine-8</t>
  </si>
  <si>
    <t>Isoform 4 of G-protein-signaling modulator 1</t>
  </si>
  <si>
    <t>Ras-related protein Rab-43</t>
  </si>
  <si>
    <t>Tyrosine-protein kinase SgK223</t>
  </si>
  <si>
    <t>Isoform 2 of Calcium/calmodulin-dependent protein kinase type 1D</t>
  </si>
  <si>
    <t>TIR domain-containing adapter molecule 1</t>
  </si>
  <si>
    <t>ELKS/Rab6-interacting/CAST family member 1</t>
  </si>
  <si>
    <t>Cytokine receptor-like factor 3</t>
  </si>
  <si>
    <t>Trafficking protein particle complex subunit 5</t>
  </si>
  <si>
    <t>Spermatogenesis-associated protein 2-like protein</t>
  </si>
  <si>
    <t>RELT-like protein 1</t>
  </si>
  <si>
    <t>Isoform 4 of Transmembrane protein 126B</t>
  </si>
  <si>
    <t>5-phosphohydroxy-L-lysine phospho-lyase</t>
  </si>
  <si>
    <t>Phospholipase D3</t>
  </si>
  <si>
    <t>Laccase domain-containing protein 1</t>
  </si>
  <si>
    <t>Ankyrin repeat and MYND domain-containing protein 2</t>
  </si>
  <si>
    <t>LysM and putative peptidoglycan-binding domain-containing protein 2</t>
  </si>
  <si>
    <t>LIX1-like protein</t>
  </si>
  <si>
    <t>NudC domain-containing protein 3</t>
  </si>
  <si>
    <t>Isoform 3 of Protein AHNAK2</t>
  </si>
  <si>
    <t>Methylmalonic aciduria type A protein, mitochondrial</t>
  </si>
  <si>
    <t>Prolyl 3-hydroxylase 2</t>
  </si>
  <si>
    <t>Coiled-coil domain-containing protein 50</t>
  </si>
  <si>
    <t>Malonyl-CoA-acyl carrier protein transacylase, mitochondrial</t>
  </si>
  <si>
    <t>ATP-dependent (S)-NAD(P)H-hydrate dehydratase</t>
  </si>
  <si>
    <t>Mitofusin-1</t>
  </si>
  <si>
    <t>Choline transporter-like protein 2</t>
  </si>
  <si>
    <t>Inositol 1,4,5-trisphosphate receptor-interacting protein</t>
  </si>
  <si>
    <t>WD repeat and FYVE domain-containing protein 1</t>
  </si>
  <si>
    <t>Testis-expressed sequence 2 protein</t>
  </si>
  <si>
    <t>Isoform 2 of MAP7 domain-containing protein 3</t>
  </si>
  <si>
    <t>Protein NOXP20</t>
  </si>
  <si>
    <t>DCN1-like protein 3</t>
  </si>
  <si>
    <t>GRIP and coiled-coil domain-containing protein 2</t>
  </si>
  <si>
    <t>Iron-sulfur cluster co-chaperone protein HscB, mitochondrial</t>
  </si>
  <si>
    <t>E3 ubiquitin-protein ligase UBR1</t>
  </si>
  <si>
    <t>Isoform 4 of E3 ubiquitin-protein ligase UBR2</t>
  </si>
  <si>
    <t>Isoform 2 of Rho GTPase-activating protein 12</t>
  </si>
  <si>
    <t>Isoform 3 of Rho GTPase-activating protein 12</t>
  </si>
  <si>
    <t>Isoform 2 of Hydroxyacid-oxoacid transhydrogenase, mitochondrial</t>
  </si>
  <si>
    <t>Isoform 6 of Ankyrin repeat and KH domain-containing protein 1</t>
  </si>
  <si>
    <t>SURP and G-patch domain-containing protein 1</t>
  </si>
  <si>
    <t>Ubiquitin-conjugating enzyme E2 variant 3</t>
  </si>
  <si>
    <t>Isoform 2 of Cell division cycle and apoptosis regulator protein 1</t>
  </si>
  <si>
    <t>DnaJ homolog subfamily C member 10</t>
  </si>
  <si>
    <t>Isoform 4 of Mitochondrial Rho GTPase 1</t>
  </si>
  <si>
    <t>Isoform 2 of NAD-dependent protein deacetylase sirtuin-2</t>
  </si>
  <si>
    <t>Uncharacterized protein KIAA1704</t>
  </si>
  <si>
    <t>Isoform 3 of Neuropathy target esterase</t>
  </si>
  <si>
    <t>Isoform 3 of C-Maf-inducing protein</t>
  </si>
  <si>
    <t>Presqualene diphosphate phosphatase</t>
  </si>
  <si>
    <t>Intraflagellar transport protein 20 homolog</t>
  </si>
  <si>
    <t>MICAL-like protein 2</t>
  </si>
  <si>
    <t>Isoform 2 of Transmembrane protein 192</t>
  </si>
  <si>
    <t>Protein MB21D2</t>
  </si>
  <si>
    <t>Isoform 3 of Stromal membrane-associated protein 1</t>
  </si>
  <si>
    <t>DIS3-like exonuclease 2</t>
  </si>
  <si>
    <t>ATP-dependent RNA helicase SUPV3L1, mitochondrial</t>
  </si>
  <si>
    <t>Eukaryotic peptide chain release factor GTP-binding subunit ERF3B</t>
  </si>
  <si>
    <t>Exocyst complex component 8</t>
  </si>
  <si>
    <t>UPF0688 protein C1orf174</t>
  </si>
  <si>
    <t>Isoform 2 of E3 ubiquitin-protein ligase TRIM22</t>
  </si>
  <si>
    <t>UBA-like domain-containing protein 2</t>
  </si>
  <si>
    <t>Threonine synthase-like 1</t>
  </si>
  <si>
    <t>Uncharacterized protein KIAA2013</t>
  </si>
  <si>
    <t>Calcium uptake protein 2, mitochondrial</t>
  </si>
  <si>
    <t>Ankyrin repeat domain-containing protein 13A</t>
  </si>
  <si>
    <t>Isoform 3 of Phosphatase and actin regulator 4</t>
  </si>
  <si>
    <t>Metaxin 2</t>
  </si>
  <si>
    <t>RNA pseudouridylate synthase domain-containing protein 2</t>
  </si>
  <si>
    <t>ELMO domain-containing protein 2</t>
  </si>
  <si>
    <t>Aldehyde dehydrogenase family 16 member A1</t>
  </si>
  <si>
    <t>mRNA-decapping enzyme 1B</t>
  </si>
  <si>
    <t>Isoform 2 of Protein-associating with the carboxyl-terminal domain of ezrin</t>
  </si>
  <si>
    <t>Isoform 2 of Netrin receptor UNC5B</t>
  </si>
  <si>
    <t>Mastermind-like protein 2</t>
  </si>
  <si>
    <t>Isoform 3 of CKLF-like MARVEL transmembrane domain-containing protein 4</t>
  </si>
  <si>
    <t>Retinol dehydrogenase 10</t>
  </si>
  <si>
    <t>Uncharacterized protein C8orf59</t>
  </si>
  <si>
    <t>Protein FAM185A</t>
  </si>
  <si>
    <t>Vitamin K epoxide reductase complex subunit 1-like protein 1</t>
  </si>
  <si>
    <t>L-fucose kinase</t>
  </si>
  <si>
    <t>Citrate lyase subunit beta-like protein, mitochondrial</t>
  </si>
  <si>
    <t>Spartin</t>
  </si>
  <si>
    <t>Tetratricopeptide repeat protein 5</t>
  </si>
  <si>
    <t>Isoform 7 of Mesoderm induction early response protein 1</t>
  </si>
  <si>
    <t>Cell cycle exit and neuronal differentiation protein 1</t>
  </si>
  <si>
    <t>Regulatory-associated protein of mTOR</t>
  </si>
  <si>
    <t>Protein canopy homolog 4</t>
  </si>
  <si>
    <t>Sodium-dependent phosphate transport protein 2C</t>
  </si>
  <si>
    <t>Isoform 2 of ORM1-like protein 3</t>
  </si>
  <si>
    <t>Adenylosuccinate synthetase isozyme 1</t>
  </si>
  <si>
    <t>Isoform 2 of DBIRD complex subunit KIAA1967</t>
  </si>
  <si>
    <t>Mimitin, mitochondrial</t>
  </si>
  <si>
    <t>UPF0462 protein C4orf33</t>
  </si>
  <si>
    <t>Vacuolar protein sorting-associated protein 52 homolog</t>
  </si>
  <si>
    <t>Nuclear pore complex protein Nup93</t>
  </si>
  <si>
    <t>Cap-specific mRNA (nucleoside-2-O-)-methyltransferase 1</t>
  </si>
  <si>
    <t>Leucine-rich repeat-containing protein 47</t>
  </si>
  <si>
    <t>Carbonic anhydrase 13</t>
  </si>
  <si>
    <t>Isoform 2 of Zinc transporter ZIP11</t>
  </si>
  <si>
    <t>Isoform 3 of Rho guanine nucleotide exchange factor 28</t>
  </si>
  <si>
    <t>Ankyrin repeat domain-containing protein 35</t>
  </si>
  <si>
    <t>Isoform 3 of Armadillo repeat-containing protein 10</t>
  </si>
  <si>
    <t>Isoform 3 of GH3 domain-containing protein</t>
  </si>
  <si>
    <t>Pyridine nucleotide-disulfide oxidoreductase domain-containing protein 2</t>
  </si>
  <si>
    <t>Monoacylglycerol lipase ABHD12</t>
  </si>
  <si>
    <t>Coiled-coil domain-containing protein 23</t>
  </si>
  <si>
    <t>Glycerol-3-phosphate dehydrogenase 1-like protein</t>
  </si>
  <si>
    <t>Protein Dos</t>
  </si>
  <si>
    <t>Solute carrier family 35 member F6</t>
  </si>
  <si>
    <t>Rho GTPase-activating protein 18</t>
  </si>
  <si>
    <t>EH domain-binding protein 1-like protein 1</t>
  </si>
  <si>
    <t>MICAL-like protein 1</t>
  </si>
  <si>
    <t>Isoform 2 of Synaptopodin</t>
  </si>
  <si>
    <t>Formin-binding protein 4</t>
  </si>
  <si>
    <t>D-2-hydroxyglutarate dehydrogenase, mitochondrial</t>
  </si>
  <si>
    <t>Secreted frizzled-related protein 1</t>
  </si>
  <si>
    <t>RING1 and YY1-binding protein</t>
  </si>
  <si>
    <t>Isoform 2 of Probable hydrolase PNKD</t>
  </si>
  <si>
    <t>Misshapen-like kinase 1</t>
  </si>
  <si>
    <t>Mitochondrial import receptor subunit TOM5 homolog</t>
  </si>
  <si>
    <t>Isoform 2 of Kelch-like protein 36</t>
  </si>
  <si>
    <t>Guanosine-3,5-bis(diphosphate) 3-pyrophosphohydrolase MESH1</t>
  </si>
  <si>
    <t>Zinc-binding alcohol dehydrogenase domain-containing protein 2</t>
  </si>
  <si>
    <t>Isoform 2 of Coiled-coil domain-containing protein 82</t>
  </si>
  <si>
    <t>Membrane magnesium transporter 1</t>
  </si>
  <si>
    <t>Actin filament-associated protein 1</t>
  </si>
  <si>
    <t>Isoform 2 of Oxidation resistance protein 1</t>
  </si>
  <si>
    <t>Isoform 8 of Oxidation resistance protein 1</t>
  </si>
  <si>
    <t>Tetratricopeptide repeat protein 39C</t>
  </si>
  <si>
    <t>Protein FAM26E</t>
  </si>
  <si>
    <t>Isoform 2 of Small integral membrane protein 20</t>
  </si>
  <si>
    <t>Isoform 2 of Macoilin</t>
  </si>
  <si>
    <t>Isoform 4 of Protein FAM89B</t>
  </si>
  <si>
    <t>Dehydrogenase/reductase SDR family member on chromosome X</t>
  </si>
  <si>
    <t>Uncharacterized protein C12orf45</t>
  </si>
  <si>
    <t>Protein FAM63A</t>
  </si>
  <si>
    <t>CDGSH iron-sulfur domain-containing protein 2</t>
  </si>
  <si>
    <t>Ribonuclease P protein subunit p25-like protein</t>
  </si>
  <si>
    <t>ATP synthase mitochondrial F1 complex assembly factor 2</t>
  </si>
  <si>
    <t>Protein jagunal homolog 1</t>
  </si>
  <si>
    <t>39S ribosomal protein L50, mitochondrial</t>
  </si>
  <si>
    <t>Protein FAM101B</t>
  </si>
  <si>
    <t>Eukaryotic translation initiation factor 4E type 3</t>
  </si>
  <si>
    <t>COMM domain-containing protein 1</t>
  </si>
  <si>
    <t>Isoform 2 of Cleavage and polyadenylation specificity factor subunit 7</t>
  </si>
  <si>
    <t>Solute carrier family 15 member 4</t>
  </si>
  <si>
    <t>ADP-ribosylation factor GTPase-activating protein 2</t>
  </si>
  <si>
    <t>OTU domain-containing protein 6B</t>
  </si>
  <si>
    <t>UPF0690 protein C1orf52</t>
  </si>
  <si>
    <t>Methyltransferase-like protein 25</t>
  </si>
  <si>
    <t>ADP-ribosylation factor GTPase-activating protein 1</t>
  </si>
  <si>
    <t>PQ-loop repeat-containing protein 3</t>
  </si>
  <si>
    <t>Isoform 4 of ER membrane protein complex subunit 1</t>
  </si>
  <si>
    <t>Isoform 3 of Cyclin-Y-like protein 1</t>
  </si>
  <si>
    <t>ADP-ribosylation factor-like protein 10</t>
  </si>
  <si>
    <t>Prostaglandin reductase 2</t>
  </si>
  <si>
    <t>UPF0565 protein C2orf69</t>
  </si>
  <si>
    <t>Isoform 2 of Protein enabled homolog</t>
  </si>
  <si>
    <t>G patch domain-containing protein 11</t>
  </si>
  <si>
    <t>Uncharacterized protein C12orf29</t>
  </si>
  <si>
    <t>Isoform 2 of Nuclear envelope phosphatase-regulatory subunit 1</t>
  </si>
  <si>
    <t>Isoform 2 of Junction-mediating and -regulatory protein</t>
  </si>
  <si>
    <t>Isoform 2 of Activating signal cointegrator 1 complex subunit 1</t>
  </si>
  <si>
    <t>Leucine-rich repeat-containing protein 57</t>
  </si>
  <si>
    <t>Isoform 2 of WD repeat, SAM and U-box domain-containing protein 1</t>
  </si>
  <si>
    <t>Zinc finger protein 579</t>
  </si>
  <si>
    <t>Mixed lineage kinase domain-like protein</t>
  </si>
  <si>
    <t>Isoform 3 of Probable phospholipid-transporting ATPase IG</t>
  </si>
  <si>
    <t>NHL repeat-containing protein 2</t>
  </si>
  <si>
    <t>Late secretory pathway protein AVL9 homolog</t>
  </si>
  <si>
    <t>Xyloside xylosyltransferase 1</t>
  </si>
  <si>
    <t>Isoform 2 of Golgi membrane protein 1</t>
  </si>
  <si>
    <t>Procollagen galactosyltransferase 1</t>
  </si>
  <si>
    <t>Sulfatase-modifying factor 1</t>
  </si>
  <si>
    <t>Protein O-glucosyltransferase 1</t>
  </si>
  <si>
    <t>Isoform 4 of Ubiquitin-associated domain-containing protein 2</t>
  </si>
  <si>
    <t>Prenylcysteine oxidase-like</t>
  </si>
  <si>
    <t>Transmembrane protein 87A</t>
  </si>
  <si>
    <t>Retinol dehydrogenase 13</t>
  </si>
  <si>
    <t>ATPase family AAA domain-containing protein 1</t>
  </si>
  <si>
    <t>Saccharopine dehydrogenase-like oxidoreductase</t>
  </si>
  <si>
    <t>Protein FAM134A</t>
  </si>
  <si>
    <t>Isoform 2 of Plasminogen activator inhibitor 1 RNA-binding protein</t>
  </si>
  <si>
    <t>Keratinocyte-associated transmembrane protein 2</t>
  </si>
  <si>
    <t>LEM domain-containing protein 2</t>
  </si>
  <si>
    <t>Adaptin ear-binding coat-associated protein 1</t>
  </si>
  <si>
    <t>Group XV phospholipase A2</t>
  </si>
  <si>
    <t>Isoform 2 of Myotubularin-related protein 14</t>
  </si>
  <si>
    <t>NFATC2-interacting protein</t>
  </si>
  <si>
    <t>Isoform 4 of Sn1-specific diacylglycerol lipase beta</t>
  </si>
  <si>
    <t>Polypeptide N-acetylgalactosaminyltransferase 6</t>
  </si>
  <si>
    <t>Pyruvate dehydrogenase phosphatase regulatory subunit, mitochondrial</t>
  </si>
  <si>
    <t>NAD(P)H-hydrate epimerase</t>
  </si>
  <si>
    <t>RING finger protein 214</t>
  </si>
  <si>
    <t>Liprin-beta-2</t>
  </si>
  <si>
    <t>Isoform 2 of Protein LSM14 homolog A</t>
  </si>
  <si>
    <t>Isoform 3 of Cyclin-Y</t>
  </si>
  <si>
    <t>Paraneoplastic antigen Ma1</t>
  </si>
  <si>
    <t>LRRN4 C-terminal-like protein</t>
  </si>
  <si>
    <t>MAPK-interacting and spindle-stabilizing protein-like</t>
  </si>
  <si>
    <t>Probable aminopeptidase NPEPL1</t>
  </si>
  <si>
    <t>Isoform 3 of EH domain-binding protein 1</t>
  </si>
  <si>
    <t>Deleted in autism protein 1</t>
  </si>
  <si>
    <t>Transmembrane protein 104</t>
  </si>
  <si>
    <t>Isoform 2 of ATP-binding cassette sub-family F member 1</t>
  </si>
  <si>
    <t>Isoform 3 of Calcium uniporter protein, mitochondrial</t>
  </si>
  <si>
    <t>Glutathione S-transferase C-terminal domain-containing protein</t>
  </si>
  <si>
    <t>Isoform 2 of Phospholipase DDHD1</t>
  </si>
  <si>
    <t>PDZ domain-containing protein 8</t>
  </si>
  <si>
    <t>DCC-interacting protein 13-beta</t>
  </si>
  <si>
    <t>Zinc transporter 7</t>
  </si>
  <si>
    <t>Isoform 2 of Neuron navigator 1</t>
  </si>
  <si>
    <t>Isoform 2 of Vacuolar protein sorting-associated protein 37A</t>
  </si>
  <si>
    <t>F-box only protein 22</t>
  </si>
  <si>
    <t>Lysophosphatidylcholine acyltransferase 1</t>
  </si>
  <si>
    <t>Biorientation of chromosomes in cell division protein 1-like 1</t>
  </si>
  <si>
    <t>Isoform 2 of FAD synthase</t>
  </si>
  <si>
    <t>Folliculin</t>
  </si>
  <si>
    <t>Nucleoporin Nup43</t>
  </si>
  <si>
    <t>Nucleoporin Nup37</t>
  </si>
  <si>
    <t>Torsin-1A-interacting protein 2</t>
  </si>
  <si>
    <t>Alpha/beta hydrolase domain-containing protein 11</t>
  </si>
  <si>
    <t>Isoform 2 of Syntaxin-binding protein 6</t>
  </si>
  <si>
    <t>Neuroligin-2</t>
  </si>
  <si>
    <t>Cell adhesion molecule 4</t>
  </si>
  <si>
    <t>Isoform 3 of E3 ubiquitin-protein ligase Praja-1</t>
  </si>
  <si>
    <t>Tubulin--tyrosine ligase</t>
  </si>
  <si>
    <t>Small VCP/p97-interacting protein</t>
  </si>
  <si>
    <t>Atlastin-2</t>
  </si>
  <si>
    <t>Putative phospholipase B-like 2</t>
  </si>
  <si>
    <t>Phosphatidylcholine:ceramide cholinephosphotransferase 2</t>
  </si>
  <si>
    <t>Tudor domain-containing protein 7</t>
  </si>
  <si>
    <t>GTPase IMAP family member 7</t>
  </si>
  <si>
    <t>Protein NEDD1</t>
  </si>
  <si>
    <t>Anaphase-promoting complex subunit CDC26</t>
  </si>
  <si>
    <t>Isoform 2 of Nuclear receptor coactivator 7</t>
  </si>
  <si>
    <t>Isoform 2 of Multiple coagulation factor deficiency protein 2</t>
  </si>
  <si>
    <t>Protein phosphatase PTC7 homolog</t>
  </si>
  <si>
    <t>Isoform 2 of Vang-like protein 1</t>
  </si>
  <si>
    <t>Growth arrest and DNA damage-inducible proteins-interacting protein 1</t>
  </si>
  <si>
    <t>WD repeat-containing protein 48</t>
  </si>
  <si>
    <t>Isoform 2 of Centrosomal protein of 76 kDa</t>
  </si>
  <si>
    <t>Protein phosphatase 1 regulatory subunit 35</t>
  </si>
  <si>
    <t>Nuclear protein localization protein 4 homolog</t>
  </si>
  <si>
    <t>Uncharacterized protein CXorf38</t>
  </si>
  <si>
    <t>Isoform 3 of Spermatogenesis-associated protein 20</t>
  </si>
  <si>
    <t>Ras and Rab interactor 3</t>
  </si>
  <si>
    <t>Isoform 2 of Ganglioside-induced differentiation-associated protein 1</t>
  </si>
  <si>
    <t>Iron-sulfur protein NUBPL</t>
  </si>
  <si>
    <t>Abhydrolase domain-containing protein 4</t>
  </si>
  <si>
    <t>F-box only protein 30</t>
  </si>
  <si>
    <t>Isoform 3 of Adenosine 3-phospho 5-phosphosulfate transporter 1</t>
  </si>
  <si>
    <t>TXNDC9 protein</t>
  </si>
  <si>
    <t>Isoform 2 of Pumilio homolog 2</t>
  </si>
  <si>
    <t>T-cell immunomodulatory protein</t>
  </si>
  <si>
    <t>Isoform 2 of Golgin subfamily A member 5</t>
  </si>
  <si>
    <t>Isoform 2 of THAP domain-containing protein 6</t>
  </si>
  <si>
    <t>Probable cationic amino acid transporter</t>
  </si>
  <si>
    <t>NEDD8-activating enzyme E1 catalytic subunit</t>
  </si>
  <si>
    <t>Isoform 4 of Zinc finger and SCAN domain-containing protein 18</t>
  </si>
  <si>
    <t>N-acylneuraminate-9-phosphatase</t>
  </si>
  <si>
    <t>DnaJ homolog subfamily B member 14</t>
  </si>
  <si>
    <t>Guanine nucleotide exchange factor for Rab-3A</t>
  </si>
  <si>
    <t>Phosphatidylinositol 5-phosphate 4-kinase type-2 gamma</t>
  </si>
  <si>
    <t>Isoform 2 of TBC1 domain family member 15</t>
  </si>
  <si>
    <t>Retinol dehydrogenase 11</t>
  </si>
  <si>
    <t>Isoform 2 of Mitochondria-eating protein</t>
  </si>
  <si>
    <t>Leucine-rich repeat-containing protein 20</t>
  </si>
  <si>
    <t>UPF0729 protein C18orf32</t>
  </si>
  <si>
    <t>5(3)-deoxyribonucleotidase, cytosolic type</t>
  </si>
  <si>
    <t>Isoform 2 of Protein FAM45A</t>
  </si>
  <si>
    <t>Phosphatidylinositol 4-kinase type 2-beta</t>
  </si>
  <si>
    <t>Dolichyl-diphosphooligosaccharide--protein glycosyltransferase subunit STT3B</t>
  </si>
  <si>
    <t>Isoform 5 of Minor histocompatibility antigen H13</t>
  </si>
  <si>
    <t>Cytoplasmic dynein 2 light intermediate chain 1</t>
  </si>
  <si>
    <t>Isoform 6 of CD99 antigen-like protein 2</t>
  </si>
  <si>
    <t>Protein bicaudal D homolog 2</t>
  </si>
  <si>
    <t>Serine/threonine-protein kinase Nek9</t>
  </si>
  <si>
    <t>Alanine aminotransferase 2</t>
  </si>
  <si>
    <t>Pleckstrin homology domain-containing family O member 2</t>
  </si>
  <si>
    <t>Protein MGARP</t>
  </si>
  <si>
    <t>Biogenesis of lysosome-related organelles complex 1 subunit 5</t>
  </si>
  <si>
    <t>Isoform 3 of Breast carcinoma-amplified sequence 4</t>
  </si>
  <si>
    <t>Disks large homolog 5</t>
  </si>
  <si>
    <t>Glucosamine-6-phosphate isomerase 2</t>
  </si>
  <si>
    <t>Serine/threonine-protein kinase Nek7</t>
  </si>
  <si>
    <t>Isoform 3 of Arf-GAP with SH3 domain, ANK repeat and PH domain-containing protein 3</t>
  </si>
  <si>
    <t>Protein-methionine sulfoxide oxidase MICAL1</t>
  </si>
  <si>
    <t>Dynein heavy chain 5, axonemal</t>
  </si>
  <si>
    <t>Protein phosphatase Slingshot homolog 3</t>
  </si>
  <si>
    <t>Putative methyltransferase NSUN6</t>
  </si>
  <si>
    <t>D-tyrosyl-tRNA(Tyr) deacylase 1</t>
  </si>
  <si>
    <t>Probable glutathione peroxidase 8</t>
  </si>
  <si>
    <t>SH3 domain-containing RING finger protein 3</t>
  </si>
  <si>
    <t>Gem-associated protein 5</t>
  </si>
  <si>
    <t>Isoform 5 of Partitioning defective 3 homolog B</t>
  </si>
  <si>
    <t>Importin-4</t>
  </si>
  <si>
    <t>Arginine/serine-rich protein PNISR</t>
  </si>
  <si>
    <t>Isoform 2 of Serine/threonine-protein phosphatase 4 regulatory subunit 1</t>
  </si>
  <si>
    <t>Ubiquitin-associated and SH3 domain-containing protein B</t>
  </si>
  <si>
    <t>Leucine-rich repeat-containing protein 15</t>
  </si>
  <si>
    <t>Protein Shroom3</t>
  </si>
  <si>
    <t>WAS/WASL-interacting protein family member 2</t>
  </si>
  <si>
    <t>1-acylglycerol-3-phosphate O-acyltransferase ABHD5</t>
  </si>
  <si>
    <t>Histone-lysine N-methyltransferase SETD7</t>
  </si>
  <si>
    <t>Pyridine nucleotide-disulfide oxidoreductase domain-containing protein 1</t>
  </si>
  <si>
    <t>E3 ubiquitin-protein ligase RNF139</t>
  </si>
  <si>
    <t>Isoform 2 of Sec1 family domain-containing protein 2</t>
  </si>
  <si>
    <t>Isoform 2 of Stromal membrane-associated protein 2</t>
  </si>
  <si>
    <t>Zinc finger CCCH domain-containing protein 15</t>
  </si>
  <si>
    <t>Peptidyl-prolyl cis-trans isomerase-like 4</t>
  </si>
  <si>
    <t>Tsukushin</t>
  </si>
  <si>
    <t>Ras-related protein Rab-2B</t>
  </si>
  <si>
    <t>RelA-associated inhibitor</t>
  </si>
  <si>
    <t>Protein FAM172A</t>
  </si>
  <si>
    <t>UPF0444 transmembrane protein C12orf23</t>
  </si>
  <si>
    <t>Isoform 3 of Histone deacetylase 7</t>
  </si>
  <si>
    <t>Serine/threonine/tyrosine-interacting protein</t>
  </si>
  <si>
    <t>Isoform 2 of Phosphatidylglycerophosphatase and protein-tyrosine phosphatase 1</t>
  </si>
  <si>
    <t>Programmed cell death 6-interacting protein</t>
  </si>
  <si>
    <t>Sodium-dependent phosphate transporter 1</t>
  </si>
  <si>
    <t>Filamin-binding LIM protein 1</t>
  </si>
  <si>
    <t>UPF0235 protein C15orf40</t>
  </si>
  <si>
    <t>Cation transport regulator-like protein 2</t>
  </si>
  <si>
    <t>Charged multivesicular body protein 7</t>
  </si>
  <si>
    <t>Protein THEM6</t>
  </si>
  <si>
    <t>Isoform 4 of Protein prune homolog 2</t>
  </si>
  <si>
    <t>N-acetyltransferase 14</t>
  </si>
  <si>
    <t>Sorting nexin-33</t>
  </si>
  <si>
    <t>Lactation elevated protein 1</t>
  </si>
  <si>
    <t>RNA polymerase-associated protein LEO1</t>
  </si>
  <si>
    <t>40S ribosomal protein S21</t>
  </si>
  <si>
    <t>RING finger protein 141</t>
  </si>
  <si>
    <t>N(6)-adenine-specific DNA methyltransferase 2</t>
  </si>
  <si>
    <t>NudC domain-containing protein 2</t>
  </si>
  <si>
    <t>U4/U6.U5 small nuclear ribonucleoprotein 27 kDa protein</t>
  </si>
  <si>
    <t>Sec1 family domain-containing protein 1</t>
  </si>
  <si>
    <t>Isoform 3 of Ubiquitin-conjugating enzyme E2 Q2</t>
  </si>
  <si>
    <t>Soluble calcium-activated nucleotidase 1</t>
  </si>
  <si>
    <t>Trafficking protein particle complex subunit 12</t>
  </si>
  <si>
    <t>Ubiquitin-like domain-containing CTD phosphatase 1</t>
  </si>
  <si>
    <t>tRNA-splicing endonuclease subunit Sen15</t>
  </si>
  <si>
    <t>PEST proteolytic signal-containing nuclear protein</t>
  </si>
  <si>
    <t>SPRY domain-containing protein 4</t>
  </si>
  <si>
    <t>Isoform 2 of Lysosomal protein NCU-G1</t>
  </si>
  <si>
    <t>Probable tRNA pseudouridine synthase 1</t>
  </si>
  <si>
    <t>Choline transporter-like protein 1</t>
  </si>
  <si>
    <t>Ataxin-2-like protein</t>
  </si>
  <si>
    <t>Cytoglobin</t>
  </si>
  <si>
    <t>Reticulon-4-interacting protein 1, mitochondrial</t>
  </si>
  <si>
    <t>Selenoprotein M</t>
  </si>
  <si>
    <t>Negative elongation factor B</t>
  </si>
  <si>
    <t>Isoform 3 of Palladin</t>
  </si>
  <si>
    <t>Isoform 2 of Splicing regulatory glutamine/lysine-rich protein 1</t>
  </si>
  <si>
    <t>Gem-associated protein 6</t>
  </si>
  <si>
    <t>Isoform 2 of Caskin-2</t>
  </si>
  <si>
    <t>Isoform 4 of ATR-interacting protein</t>
  </si>
  <si>
    <t>Paraspeckle component 1</t>
  </si>
  <si>
    <t>Nesprin-2</t>
  </si>
  <si>
    <t>Isoform 2 of Acyl-coenzyme A thioesterase 11</t>
  </si>
  <si>
    <t>Transcriptional repressor p66-beta</t>
  </si>
  <si>
    <t>DnaJ homolog subfamily C member 9</t>
  </si>
  <si>
    <t>Isoform 3 of Beta-catenin-like protein 1</t>
  </si>
  <si>
    <t>Protein phosphatase Slingshot homolog 1</t>
  </si>
  <si>
    <t>Cysteine protease ATG4A</t>
  </si>
  <si>
    <t>Protein ELYS</t>
  </si>
  <si>
    <t>Ovarian cancer-associated gene 2 protein</t>
  </si>
  <si>
    <t>Protein LZIC</t>
  </si>
  <si>
    <t>Immunity-related GTPase family Q protein</t>
  </si>
  <si>
    <t>C-type lectin domain family 2 member B</t>
  </si>
  <si>
    <t>ATP-dependent RNA helicase DDX1</t>
  </si>
  <si>
    <t>Isoform 3 of SEC14-like protein 1</t>
  </si>
  <si>
    <t>Zinc transporter SLC39A7</t>
  </si>
  <si>
    <t>Piezo-type mechanosensitive ion channel component 1</t>
  </si>
  <si>
    <t>Protein FAM3C</t>
  </si>
  <si>
    <t>T-complex protein 1 subunit zeta-2</t>
  </si>
  <si>
    <t>SHC-transforming protein 3</t>
  </si>
  <si>
    <t>Uncharacterized protein KIAA0247</t>
  </si>
  <si>
    <t>Golgi-specific brefeldin A-resistance guanine nucleotide exchange factor 1</t>
  </si>
  <si>
    <t>RNA polymerase-associated protein RTF1 homolog</t>
  </si>
  <si>
    <t>Transmembrane 9 superfamily member 4</t>
  </si>
  <si>
    <t>Retrograde Golgi transport protein RGP1 homolog</t>
  </si>
  <si>
    <t>Isoform 2 of Protein FAM168A</t>
  </si>
  <si>
    <t>AP-3 complex subunit sigma-1</t>
  </si>
  <si>
    <t>Hamartin</t>
  </si>
  <si>
    <t>UBX domain-containing protein 4</t>
  </si>
  <si>
    <t>Isoform 3 of Sodium/hydrogen exchanger 6</t>
  </si>
  <si>
    <t>Protein NDRG1</t>
  </si>
  <si>
    <t>Isoform Beta of Heat shock protein 105 kDa</t>
  </si>
  <si>
    <t>Cell differentiation protein RCD1 homolog</t>
  </si>
  <si>
    <t>TBC1 domain family member 5</t>
  </si>
  <si>
    <t>La-related protein 4B</t>
  </si>
  <si>
    <t>Translational activator GCN1</t>
  </si>
  <si>
    <t>Pre-mRNA-splicing factor ATP-dependent RNA helicase PRP16</t>
  </si>
  <si>
    <t>Ankyrin repeat and SAM domain-containing protein 1A</t>
  </si>
  <si>
    <t>Peroxidasin homolog</t>
  </si>
  <si>
    <t>Isoform 2 of Delta-sarcoglycan</t>
  </si>
  <si>
    <t>Protein FAN</t>
  </si>
  <si>
    <t>Neurogranin</t>
  </si>
  <si>
    <t>Acidic leucine-rich nuclear phosphoprotein 32 family member B</t>
  </si>
  <si>
    <t>Poliovirus receptor-related protein 2</t>
  </si>
  <si>
    <t>Isoform Alpha of Poliovirus receptor-related protein 2</t>
  </si>
  <si>
    <t>Geranylgeranyl transferase type-2 subunit alpha</t>
  </si>
  <si>
    <t>Isoform 2 of Protein TFG</t>
  </si>
  <si>
    <t>USP6 N-terminal-like protein</t>
  </si>
  <si>
    <t>Actin-related protein 2/3 complex subunit 1A</t>
  </si>
  <si>
    <t>11-cis retinol dehydrogenase</t>
  </si>
  <si>
    <t>Isoform 2 of Signal transducing adapter molecule 1</t>
  </si>
  <si>
    <t>CREB-binding protein</t>
  </si>
  <si>
    <t>Symplekin</t>
  </si>
  <si>
    <t>Isoform Short of TATA-binding protein-associated factor 2N</t>
  </si>
  <si>
    <t>Golgin subfamily A member 1</t>
  </si>
  <si>
    <t>Hyaluronan synthase 2</t>
  </si>
  <si>
    <t>Gamma-glutamyl hydrolase</t>
  </si>
  <si>
    <t>Isoform 4 of X-linked retinitis pigmentosa GTPase regulator</t>
  </si>
  <si>
    <t>Isoform 3 of Bcl-2-like protein 2</t>
  </si>
  <si>
    <t>TRAF family member-associated NF-kappa-B activator</t>
  </si>
  <si>
    <t>Isoform 3 of Neogenin</t>
  </si>
  <si>
    <t>Phosphomannomutase 1</t>
  </si>
  <si>
    <t>Osteoclast-stimulating factor 1</t>
  </si>
  <si>
    <t>Isoform 3 of Rho guanine nucleotide exchange factor 1</t>
  </si>
  <si>
    <t>DNA repair endonuclease XPF</t>
  </si>
  <si>
    <t>Ubiquitin fusion degradation protein 1 homolog</t>
  </si>
  <si>
    <t>Golgi apparatus protein 1</t>
  </si>
  <si>
    <t>Isoform 2 of Regulator of nonsense transcripts 1</t>
  </si>
  <si>
    <t>COP9 signalosome complex subunit 5</t>
  </si>
  <si>
    <t>G patch domain and KOW motifs-containing protein</t>
  </si>
  <si>
    <t>Ras-related protein Rab-8B</t>
  </si>
  <si>
    <t>Bcl2 antagonist of cell death</t>
  </si>
  <si>
    <t>Far upstream element-binding protein 2</t>
  </si>
  <si>
    <t>Glutaryl-CoA dehydrogenase, mitochondrial</t>
  </si>
  <si>
    <t>GTP-binding protein Rit1</t>
  </si>
  <si>
    <t>Peroxisomal membrane protein PEX13</t>
  </si>
  <si>
    <t>Isoform 2 of Transportin-1</t>
  </si>
  <si>
    <t>Isoform 2 of Rho guanine nucleotide exchange factor 2</t>
  </si>
  <si>
    <t>Ribosomal RNA small subunit methyltransferase NEP1</t>
  </si>
  <si>
    <t>Glomulin</t>
  </si>
  <si>
    <t>Ubiquitin carboxyl-terminal hydrolase 13</t>
  </si>
  <si>
    <t>Isoform 2 of Probable ubiquitin carboxyl-terminal hydrolase FAF-X</t>
  </si>
  <si>
    <t>Isoform 2 of N-acetyltransferase 6</t>
  </si>
  <si>
    <t>Cullin-5</t>
  </si>
  <si>
    <t>Lipoma-preferred partner</t>
  </si>
  <si>
    <t>Exostosin-2</t>
  </si>
  <si>
    <t>Isoform 2 of Secretory carrier-associated membrane protein 4</t>
  </si>
  <si>
    <t>Transcription elongation factor A protein-like 3</t>
  </si>
  <si>
    <t>Pre-rRNA-processing protein TSR2 homolog</t>
  </si>
  <si>
    <t>Riboflavin kinase</t>
  </si>
  <si>
    <t>UPF0556 protein C19orf10</t>
  </si>
  <si>
    <t>E3 ubiquitin-protein ligase RNF34</t>
  </si>
  <si>
    <t>Isoform 3 of Transmembrane protein 54</t>
  </si>
  <si>
    <t>Protein YIPF5</t>
  </si>
  <si>
    <t>Isoform 3 of GPI transamidase component PIG-T</t>
  </si>
  <si>
    <t>Isoform 3 of Immunoglobulin superfamily member 8</t>
  </si>
  <si>
    <t>Ras-related protein Rab-24</t>
  </si>
  <si>
    <t>Zinc finger protein 622</t>
  </si>
  <si>
    <t>Isoform 3 of Ribosome-releasing factor 2, mitochondrial</t>
  </si>
  <si>
    <t>Isoform 2 of 7-methylguanosine phosphate-specific 5-nucleotidase</t>
  </si>
  <si>
    <t>Isoform 2 of Nicalin</t>
  </si>
  <si>
    <t>Isoform 2 of Endoplasmic reticulum-Golgi intermediate compartment protein 1</t>
  </si>
  <si>
    <t>Isoform 3 of tRNA modification GTPase GTPBP3, mitochondrial</t>
  </si>
  <si>
    <t>Protein TBRG4</t>
  </si>
  <si>
    <t>MOSC domain-containing protein 2, mitochondrial</t>
  </si>
  <si>
    <t>Protein phosphatase 1 regulatory subunit 14A</t>
  </si>
  <si>
    <t>Coiled-coil domain-containing protein 102A</t>
  </si>
  <si>
    <t>Coiled-coil domain-containing protein 47</t>
  </si>
  <si>
    <t>Mitoferrin-2</t>
  </si>
  <si>
    <t>Synapse-associated protein 1</t>
  </si>
  <si>
    <t>Exocyst complex component 4</t>
  </si>
  <si>
    <t>Isoform 2 of Putative monooxygenase p33MONOX</t>
  </si>
  <si>
    <t>Isochorismatase domain-containing protein 2, mitochondrial</t>
  </si>
  <si>
    <t>Protein N-terminal asparagine amidohydrolase</t>
  </si>
  <si>
    <t>Fermitin family homolog 2</t>
  </si>
  <si>
    <t>Patatin-like phospholipase domain-containing protein 2</t>
  </si>
  <si>
    <t>Far upstream element-binding protein 1</t>
  </si>
  <si>
    <t>Isoform 2 of Far upstream element-binding protein 1</t>
  </si>
  <si>
    <t>Solute carrier family 25 member 46</t>
  </si>
  <si>
    <t>Leucine-rich repeat-containing protein 59</t>
  </si>
  <si>
    <t>Ras-related protein Rab-7b</t>
  </si>
  <si>
    <t>Isoform 1 of Vesicle transport through interaction with t-SNAREs homolog 1A</t>
  </si>
  <si>
    <t>Mas-related G-protein coupled receptor member F</t>
  </si>
  <si>
    <t>Isoform 2 of Pre-B-cell leukemia transcription factor-interacting protein 1</t>
  </si>
  <si>
    <t>Mitochondrial calcium uniporter regulator 1</t>
  </si>
  <si>
    <t>Uncharacterized protein KIAA1143</t>
  </si>
  <si>
    <t>Ribulose-phosphate 3-epimerase</t>
  </si>
  <si>
    <t>Peptidyl-prolyl cis-trans isomerase FKBP10</t>
  </si>
  <si>
    <t>Tetratricopeptide repeat protein 28</t>
  </si>
  <si>
    <t>Isoform 2 of Uncharacterized protein C18orf25</t>
  </si>
  <si>
    <t>Exosome complex component RRP43</t>
  </si>
  <si>
    <t>Proline-rich AKT1 substrate 1</t>
  </si>
  <si>
    <t>UPF0693 protein C10orf32</t>
  </si>
  <si>
    <t>Mitochondrial import receptor subunit TOM6 homolog</t>
  </si>
  <si>
    <t>Cyclic AMP-responsive element-binding protein 3-like protein 1</t>
  </si>
  <si>
    <t>E3 ubiquitin-protein ligase RNF25</t>
  </si>
  <si>
    <t>Axin interactor, dorsalization-associated protein</t>
  </si>
  <si>
    <t>ADP-ribosylation factor-like protein 8A</t>
  </si>
  <si>
    <t>Protein FAM105B</t>
  </si>
  <si>
    <t>Coiled-coil-helix-coiled-coil-helix domain-containing protein 1</t>
  </si>
  <si>
    <t>Peptidylprolyl isomerase domain and WD repeat-containing protein 1</t>
  </si>
  <si>
    <t>Sel1 repeat-containing protein 1</t>
  </si>
  <si>
    <t>Isoform 2 of Phosphotriesterase-related protein</t>
  </si>
  <si>
    <t>MOB kinase activator 3A</t>
  </si>
  <si>
    <t>Autophagy-related protein 2 homolog B</t>
  </si>
  <si>
    <t>TBC1 domain family member 20</t>
  </si>
  <si>
    <t>Protein FAM136A</t>
  </si>
  <si>
    <t>FGGY carbohydrate kinase domain-containing protein</t>
  </si>
  <si>
    <t>EF-hand domain-containing protein D2</t>
  </si>
  <si>
    <t>Aldose 1-epimerase</t>
  </si>
  <si>
    <t>Pyrroline-5-carboxylate reductase 2</t>
  </si>
  <si>
    <t>m7GpppX diphosphatase</t>
  </si>
  <si>
    <t>Protein phosphatase 1 regulatory subunit 14B</t>
  </si>
  <si>
    <t>Isoform 4 of Serologically defined colon cancer antigen 3</t>
  </si>
  <si>
    <t>Isoform 4 of 5-methylcytosine rRNA methyltransferase NSUN4</t>
  </si>
  <si>
    <t>Inactive rhomboid protein 1</t>
  </si>
  <si>
    <t>F-box/LRR-repeat protein 8</t>
  </si>
  <si>
    <t>Phosphopantothenoylcysteine decarboxylase</t>
  </si>
  <si>
    <t>Collagen triple helix repeat-containing protein 1</t>
  </si>
  <si>
    <t>Isochorismatase domain-containing protein 1</t>
  </si>
  <si>
    <t>GRIP and coiled-coil domain-containing protein 1</t>
  </si>
  <si>
    <t>FLYWCH family member 2</t>
  </si>
  <si>
    <t>Solute carrier family 25 member 36</t>
  </si>
  <si>
    <t>FAS-associated factor 2</t>
  </si>
  <si>
    <t>Coiled-coil domain-containing protein 124</t>
  </si>
  <si>
    <t>Isoform 3 of FAD-dependent oxidoreductase domain-containing protein 1</t>
  </si>
  <si>
    <t>Optineurin</t>
  </si>
  <si>
    <t>Isoform 2 of AP-2 complex subunit mu</t>
  </si>
  <si>
    <t>Isoform 3 of Gamma-tubulin complex component 3</t>
  </si>
  <si>
    <t>Probable RNA polymerase II nuclear localization protein SLC7A6OS</t>
  </si>
  <si>
    <t>BTB/POZ domain-containing protein KCTD12</t>
  </si>
  <si>
    <t>Reticulocalbin-3</t>
  </si>
  <si>
    <t>Isoform 2 of Mitochondrial import inner membrane translocase subunit TIM14</t>
  </si>
  <si>
    <t>Regulator of microtubule dynamics protein 1</t>
  </si>
  <si>
    <t>Enoyl-CoA hydratase domain-containing protein 3, mitochondrial</t>
  </si>
  <si>
    <t>Protein shisa-4</t>
  </si>
  <si>
    <t>U8 snoRNA-decapping enzyme</t>
  </si>
  <si>
    <t>Anaphase-promoting complex subunit 16</t>
  </si>
  <si>
    <t>Protein DGCR14</t>
  </si>
  <si>
    <t>Carboxymethylenebutenolidase homolog</t>
  </si>
  <si>
    <t>U5 small nuclear ribonucleoprotein 40 kDa protein</t>
  </si>
  <si>
    <t>StAR-related lipid transfer protein 4</t>
  </si>
  <si>
    <t>Isoform C of Galectin-12</t>
  </si>
  <si>
    <t>Cysteine protease ATG4C</t>
  </si>
  <si>
    <t>Inositol-trisphosphate 3-kinase C</t>
  </si>
  <si>
    <t>RING finger and SPRY domain-containing protein 1</t>
  </si>
  <si>
    <t>Tripartite motif-containing protein 44</t>
  </si>
  <si>
    <t>Endoplasmic reticulum lectin 1</t>
  </si>
  <si>
    <t>Protein FAM122A</t>
  </si>
  <si>
    <t>Isoform 3 of Ribosome-recycling factor, mitochondrial</t>
  </si>
  <si>
    <t>Isoform 2 of NAD-dependent protein deacetylase sirtuin-1</t>
  </si>
  <si>
    <t>Protein YIPF6</t>
  </si>
  <si>
    <t>Nucleoporin SEH1</t>
  </si>
  <si>
    <t>Mitochondrial assembly of ribosomal large subunit protein 1</t>
  </si>
  <si>
    <t>Transcription elongation factor A protein-like 4</t>
  </si>
  <si>
    <t>KIF1-binding protein</t>
  </si>
  <si>
    <t>Glucosamine 6-phosphate N-acetyltransferase</t>
  </si>
  <si>
    <t>39S ribosomal protein L53, mitochondrial</t>
  </si>
  <si>
    <t>Trans-L-3-hydroxyproline dehydratase</t>
  </si>
  <si>
    <t>Isoform 2 of DAZ-associated protein 1</t>
  </si>
  <si>
    <t>Small glutamine-rich tetratricopeptide repeat-containing protein beta</t>
  </si>
  <si>
    <t>Protein SAAL1</t>
  </si>
  <si>
    <t>Coiled-coil domain-containing protein 51</t>
  </si>
  <si>
    <t>C1GALT1-specific chaperone 1</t>
  </si>
  <si>
    <t>RNA-binding protein 33</t>
  </si>
  <si>
    <t>Dysbindin</t>
  </si>
  <si>
    <t>Small integral membrane protein 12</t>
  </si>
  <si>
    <t>Multivesicular body subunit 12A</t>
  </si>
  <si>
    <t>Cob(I)yrinic acid a,c-diamide adenosyltransferase, mitochondrial</t>
  </si>
  <si>
    <t>Probable inactive tRNA-specific adenosine deaminase-like protein 3</t>
  </si>
  <si>
    <t>Diamine acetyltransferase 2</t>
  </si>
  <si>
    <t>Isoform 2 of Nuclear receptor-binding factor 2</t>
  </si>
  <si>
    <t>UDP-N-acetylglucosamine transferase subunit ALG14 homolog</t>
  </si>
  <si>
    <t>Interleukin-17 receptor A</t>
  </si>
  <si>
    <t>CB1 cannabinoid receptor-interacting protein 1</t>
  </si>
  <si>
    <t>Isoform 4 of Phosphoinositide-3-kinase-interacting protein 1</t>
  </si>
  <si>
    <t>Isoform 2 of Protein MEF2BNB</t>
  </si>
  <si>
    <t>AMSH-like protease</t>
  </si>
  <si>
    <t>Dynein light chain 2, cytoplasmic</t>
  </si>
  <si>
    <t>Copine-2</t>
  </si>
  <si>
    <t>Protein S100-A16</t>
  </si>
  <si>
    <t>Signal-induced proliferation-associated protein 1</t>
  </si>
  <si>
    <t>Intraflagellar transport protein 43 homolog</t>
  </si>
  <si>
    <t>DPH3 homolog</t>
  </si>
  <si>
    <t>tRNA (adenine(58)-N(1))-methyltransferase catalytic subunit TRMT61A</t>
  </si>
  <si>
    <t>Charged multivesicular body protein 6</t>
  </si>
  <si>
    <t>Phosphoglucomutase-2</t>
  </si>
  <si>
    <t>Mediator of RNA polymerase II transcription subunit 8</t>
  </si>
  <si>
    <t>Coiled-coil domain-containing protein 104</t>
  </si>
  <si>
    <t>tRNA-dihydrouridine(47) synthase [NAD(P)(+)]-like</t>
  </si>
  <si>
    <t>Diphosphoinositol polyphosphate phosphohydrolase 3-beta</t>
  </si>
  <si>
    <t>Protein LTV1 homolog</t>
  </si>
  <si>
    <t>Serine dehydratase-like</t>
  </si>
  <si>
    <t>Pyridoxal phosphate phosphatase</t>
  </si>
  <si>
    <t>E3 ubiquitin-protein ligase RNF185</t>
  </si>
  <si>
    <t>DCN1-like protein 1</t>
  </si>
  <si>
    <t>Fumarylacetoacetate hydrolase domain-containing protein 2A</t>
  </si>
  <si>
    <t>Isoform 2 of Scavenger receptor class F member 2</t>
  </si>
  <si>
    <t>Uncharacterized protein C17orf59</t>
  </si>
  <si>
    <t>Alpha/beta hydrolase domain-containing protein 17A</t>
  </si>
  <si>
    <t>Methionine--tRNA ligase, mitochondrial</t>
  </si>
  <si>
    <t>Putative ataxin-7-like protein 3B</t>
  </si>
  <si>
    <t>Methylthioribulose-1-phosphate dehydratase</t>
  </si>
  <si>
    <t>Zinc finger C2HC domain-containing protein 1A</t>
  </si>
  <si>
    <t>Vacuolar-sorting protein SNF8</t>
  </si>
  <si>
    <t>Zinc finger CCCH-type antiviral protein 1-like</t>
  </si>
  <si>
    <t>Isoform 4 of Uncharacterized protein C1orf159</t>
  </si>
  <si>
    <t>Protein N-terminal glutamine amidohydrolase</t>
  </si>
  <si>
    <t>PDZ and LIM domain protein 5</t>
  </si>
  <si>
    <t>Cysteine-rich with EGF-like domain protein 1</t>
  </si>
  <si>
    <t>ERO1-like protein alpha</t>
  </si>
  <si>
    <t>UPF0562 protein C7orf55</t>
  </si>
  <si>
    <t>Isoform 2 of CDKN2AIP N-terminal-like protein</t>
  </si>
  <si>
    <t>Receptor expression-enhancing protein 6</t>
  </si>
  <si>
    <t>Serine/threonine-protein phosphatase PGAM5, mitochondrial</t>
  </si>
  <si>
    <t>DDRGK domain-containing protein 1</t>
  </si>
  <si>
    <t>Selenocysteine lyase</t>
  </si>
  <si>
    <t>Protein preY, mitochondrial</t>
  </si>
  <si>
    <t>Far upstream element-binding protein 3</t>
  </si>
  <si>
    <t>Splicing factor 45</t>
  </si>
  <si>
    <t>Cytochrome c oxidase assembly protein COX14</t>
  </si>
  <si>
    <t>Williams-Beuren syndrome chromosomal region 16 protein</t>
  </si>
  <si>
    <t>Succinyl-CoA ligase [GDP-forming] subunit beta, mitochondrial</t>
  </si>
  <si>
    <t>F-box/LRR-repeat protein 20</t>
  </si>
  <si>
    <t>Mannose-1-phosphate guanyltransferase alpha</t>
  </si>
  <si>
    <t>Biorientation of chromosomes in cell division protein 1</t>
  </si>
  <si>
    <t>Alpha/beta hydrolase domain-containing protein 14B</t>
  </si>
  <si>
    <t>Isoform 2 of Peptide-N(4)-(N-acetyl-beta-glucosaminyl)asparagine amidase</t>
  </si>
  <si>
    <t>Up-regulated during skeletal muscle growth protein 5</t>
  </si>
  <si>
    <t>PRKC apoptosis WT1 regulator protein</t>
  </si>
  <si>
    <t>Isoform 2 of E3 ubiquitin-protein ligase Itchy homolog</t>
  </si>
  <si>
    <t>Kin of IRRE-like protein 1</t>
  </si>
  <si>
    <t>Isoform 2 of Epithelial-stromal interaction protein 1</t>
  </si>
  <si>
    <t>Leucine-rich repeats and immunoglobulin-like domains protein 1</t>
  </si>
  <si>
    <t>Conserved oligomeric Golgi complex subunit 3</t>
  </si>
  <si>
    <t>CDK5 regulatory subunit-associated protein 3</t>
  </si>
  <si>
    <t>Isoform 2 of Vam6/Vps39-like protein</t>
  </si>
  <si>
    <t>Deubiquitinating protein VCIP135</t>
  </si>
  <si>
    <t>Protein disulfide-isomerase TMX3</t>
  </si>
  <si>
    <t>E3 ubiquitin-protein ligase ZFP91</t>
  </si>
  <si>
    <t>Protocadherin-16</t>
  </si>
  <si>
    <t>PDZ and LIM domain protein 2</t>
  </si>
  <si>
    <t>Isoform 2 of E3 ubiquitin-protein ligase RNF170</t>
  </si>
  <si>
    <t>Isoform 2 of Cleft lip and palate transmembrane protein 1-like protein</t>
  </si>
  <si>
    <t>Lymphokine-activated killer T-cell-originated protein kinase</t>
  </si>
  <si>
    <t>ADP-ribosylation factor-like protein 5B</t>
  </si>
  <si>
    <t>DnaJ homolog subfamily C member 1</t>
  </si>
  <si>
    <t>Protein FAM84A</t>
  </si>
  <si>
    <t>Exocyst complex component 2</t>
  </si>
  <si>
    <t>Cytosolic non-specific dipeptidase</t>
  </si>
  <si>
    <t>Zinc finger RNA-binding protein</t>
  </si>
  <si>
    <t>EPH receptor B4, isoform CRA_b</t>
  </si>
  <si>
    <t>Sorting nexin-27</t>
  </si>
  <si>
    <t>Isoform 5 of Kinesin-like protein KIF16B</t>
  </si>
  <si>
    <t>Sentrin-specific protease 8</t>
  </si>
  <si>
    <t>Dehydrogenase/reductase SDR family member 1</t>
  </si>
  <si>
    <t>Isoform 2 of Bcl10-interacting CARD protein</t>
  </si>
  <si>
    <t>Isoform 2 of Cyclic nucleotide-binding domain-containing protein 2</t>
  </si>
  <si>
    <t>Protein PRRC1</t>
  </si>
  <si>
    <t>Isoform 4 of F-box/LRR-repeat protein 18</t>
  </si>
  <si>
    <t>Protein HEXIM2</t>
  </si>
  <si>
    <t>Isoform 2 of Transmembrane protein 68</t>
  </si>
  <si>
    <t>Isoform 2 of BTB/POZ domain-containing protein KCTD7</t>
  </si>
  <si>
    <t>Conserved oligomeric Golgi complex subunit 8</t>
  </si>
  <si>
    <t>WD repeat-containing protein 92</t>
  </si>
  <si>
    <t>Isoform 2 of AP-4 complex accessory subunit tepsin</t>
  </si>
  <si>
    <t>Isoform 2 of Lysophospholipid acyltransferase 7</t>
  </si>
  <si>
    <t>Rab-interacting lysosomal protein</t>
  </si>
  <si>
    <t>Zinc finger matrin-type protein 2</t>
  </si>
  <si>
    <t>Coiled-coil domain-containing protein 115</t>
  </si>
  <si>
    <t>Nucleosome assembly protein 1-like 5</t>
  </si>
  <si>
    <t>Isoform A of Chloride intracellular channel protein 6</t>
  </si>
  <si>
    <t>Arf-GAP with GTPase, ANK repeat and PH domain-containing protein 3</t>
  </si>
  <si>
    <t>Isoform 3 of Arf-GAP with Rho-GAP domain, ANK repeat and PH domain-containing protein 1</t>
  </si>
  <si>
    <t>Arf-GAP with coiled-coil, ANK repeat and PH domain-containing protein 3</t>
  </si>
  <si>
    <t>Importin-9</t>
  </si>
  <si>
    <t>Discoidin, CUB and LCCL domain-containing protein 2</t>
  </si>
  <si>
    <t>Isoform 2 of G-protein coupled receptor 124</t>
  </si>
  <si>
    <t>Rho guanine nucleotide exchange factor 17</t>
  </si>
  <si>
    <t>Methylmalonyl-CoA epimerase, mitochondrial</t>
  </si>
  <si>
    <t>RNA-binding protein 14</t>
  </si>
  <si>
    <t>Isoform 2 of E3 ubiquitin-protein ligase NEDD4-like</t>
  </si>
  <si>
    <t>Isoform 6 of Protein quaking</t>
  </si>
  <si>
    <t>Isoform 4 of Serine/threonine-protein kinase Nek1</t>
  </si>
  <si>
    <t>Pseudouridylate synthase 7 homolog</t>
  </si>
  <si>
    <t>Isoform 2 of Perilipin-4</t>
  </si>
  <si>
    <t>Isoform 2 of CCA tRNA nucleotidyltransferase 1, mitochondrial</t>
  </si>
  <si>
    <t>Alsin</t>
  </si>
  <si>
    <t>Isoform 2 of Transmembrane protein 237</t>
  </si>
  <si>
    <t>Alpha-ketoglutarate-dependent dioxygenase alkB homolog 3</t>
  </si>
  <si>
    <t>Rho GTPase-activating protein 7</t>
  </si>
  <si>
    <t>Serine/threonine-protein phosphatase 1 regulatory subunit 10</t>
  </si>
  <si>
    <t>Sodium-coupled neutral amino acid transporter 2</t>
  </si>
  <si>
    <t>Proton myo-inositol cotransporter</t>
  </si>
  <si>
    <t>Myotubularin-related protein 9</t>
  </si>
  <si>
    <t>Vacuolar protein sorting-associated protein 35</t>
  </si>
  <si>
    <t>Transcriptional activator protein Pur-beta</t>
  </si>
  <si>
    <t>Exportin-6</t>
  </si>
  <si>
    <t>Isoform 4 of Membrane-associated guanylate kinase, WW and PDZ domain-containing protein 1</t>
  </si>
  <si>
    <t>Pannexin-1</t>
  </si>
  <si>
    <t>Nucleus accumbens-associated protein 1</t>
  </si>
  <si>
    <t>Isoform 2 of Sorting nexin-18</t>
  </si>
  <si>
    <t>Isoform 3 of Mediator of RNA polymerase II transcription subunit 15</t>
  </si>
  <si>
    <t>Elongation factor G, mitochondrial</t>
  </si>
  <si>
    <t>Endoplasmic reticulum-Golgi intermediate compartment protein 2</t>
  </si>
  <si>
    <t>Calcium/calmodulin-dependent protein kinase kinase 2</t>
  </si>
  <si>
    <t>NudC domain-containing protein 1</t>
  </si>
  <si>
    <t>Isoform 5 of Protein LAP2</t>
  </si>
  <si>
    <t>Isoform 3 of Formin-binding protein 1</t>
  </si>
  <si>
    <t>Isoform 2 of Hemicentin-1</t>
  </si>
  <si>
    <t>UPF0585 protein C16orf13</t>
  </si>
  <si>
    <t>TP53-regulating kinase</t>
  </si>
  <si>
    <t>Isoform 2 of GPI transamidase component PIG-S</t>
  </si>
  <si>
    <t>Chloride channel CLIC-like protein 1</t>
  </si>
  <si>
    <t>Ubiquitin-like protein 7</t>
  </si>
  <si>
    <t>Pleckstrin homology domain-containing family F member 1</t>
  </si>
  <si>
    <t>Neurabin-2</t>
  </si>
  <si>
    <t>Isoform 2 of Disrupted in renal carcinoma protein 2</t>
  </si>
  <si>
    <t>Glutathione peroxidase 7</t>
  </si>
  <si>
    <t>Cytochrome P450 2S1</t>
  </si>
  <si>
    <t>Protein IWS1 homolog</t>
  </si>
  <si>
    <t>2-aminoethanethiol dioxygenase</t>
  </si>
  <si>
    <t>Isoform 2 of Remodeling and spacing factor 1</t>
  </si>
  <si>
    <t>RUN and FYVE domain-containing protein 1</t>
  </si>
  <si>
    <t>Msx2-interacting protein</t>
  </si>
  <si>
    <t>MMS19 nucleotide excision repair protein homolog</t>
  </si>
  <si>
    <t>Sodium/hydrogen exchanger 7</t>
  </si>
  <si>
    <t>Niban-like protein 1</t>
  </si>
  <si>
    <t>Isoform 3 of ATP-dependent zinc metalloprotease YME1L1</t>
  </si>
  <si>
    <t>Regulator of microtubule dynamics protein 3</t>
  </si>
  <si>
    <t>Transcription factor 12</t>
  </si>
  <si>
    <t>C-Myc-binding protein</t>
  </si>
  <si>
    <t>Peroxisomal acyl-coenzyme A oxidase 2</t>
  </si>
  <si>
    <t>Tubulin-folding cofactor B</t>
  </si>
  <si>
    <t>Proteasome subunit beta type-7</t>
  </si>
  <si>
    <t>Ethanolamine-phosphate cytidylyltransferase</t>
  </si>
  <si>
    <t>26S proteasome non-ATPase regulatory subunit 1</t>
  </si>
  <si>
    <t>Stromal cell-derived factor 2</t>
  </si>
  <si>
    <t>Prefoldin subunit 5</t>
  </si>
  <si>
    <t>Platelet-activating factor acetylhydrolase 2, cytoplasmic</t>
  </si>
  <si>
    <t>E3 ubiquitin-protein ligase RING2</t>
  </si>
  <si>
    <t>Protein DJ-1</t>
  </si>
  <si>
    <t>Isoform 2 of Eyes absent homolog 3</t>
  </si>
  <si>
    <t>Sialidase-1</t>
  </si>
  <si>
    <t>Sortilin</t>
  </si>
  <si>
    <t>Synaptic vesicle membrane protein VAT-1 homolog</t>
  </si>
  <si>
    <t>Perilipin-2</t>
  </si>
  <si>
    <t>DnaJ homolog subfamily C member 2</t>
  </si>
  <si>
    <t>Nuclear pore complex protein Nup88</t>
  </si>
  <si>
    <t>Isoform 2 of Plakophilin-4</t>
  </si>
  <si>
    <t>Neuroserpin</t>
  </si>
  <si>
    <t>TSC22 domain family protein 3</t>
  </si>
  <si>
    <t>Protein S100-A13</t>
  </si>
  <si>
    <t>Mitochondrial import inner membrane translocase subunit Tim17-A</t>
  </si>
  <si>
    <t>Translin-associated protein X</t>
  </si>
  <si>
    <t>Tetratricopeptide repeat protein 1</t>
  </si>
  <si>
    <t>DnaJ homolog subfamily C member 7</t>
  </si>
  <si>
    <t>Protein C10</t>
  </si>
  <si>
    <t>Oncostatin-M-specific receptor subunit beta</t>
  </si>
  <si>
    <t>Calcineurin B homologous protein 1</t>
  </si>
  <si>
    <t>Cell growth regulator with EF hand domain protein 1</t>
  </si>
  <si>
    <t>Monoglyceride lipase</t>
  </si>
  <si>
    <t>Isoform 4 of Ataxin-2</t>
  </si>
  <si>
    <t>Docking protein 1</t>
  </si>
  <si>
    <t>Methionine synthase</t>
  </si>
  <si>
    <t>3-hydroxyacyl-CoA dehydrogenase type-2</t>
  </si>
  <si>
    <t>Sigma non-opioid intracellular receptor 1</t>
  </si>
  <si>
    <t>Isoform 3 of Heterogeneous nuclear ribonucleoprotein A/B</t>
  </si>
  <si>
    <t>Nucleosome assembly protein 1-like 4</t>
  </si>
  <si>
    <t>Gamma-soluble NSF attachment protein</t>
  </si>
  <si>
    <t>Thioredoxin, mitochondrial</t>
  </si>
  <si>
    <t>ATP synthase subunit s, mitochondrial</t>
  </si>
  <si>
    <t>Mitochondrial intermediate peptidase</t>
  </si>
  <si>
    <t>Transmembrane 9 superfamily member 2</t>
  </si>
  <si>
    <t>Equilibrative nucleoside transporter 1</t>
  </si>
  <si>
    <t>T-complex protein 1 subunit eta</t>
  </si>
  <si>
    <t>Isoform 2 of Tyrosine-protein phosphatase non-receptor type 18</t>
  </si>
  <si>
    <t>Endophilin-A2</t>
  </si>
  <si>
    <t>Retinoic acid receptor responder protein 2</t>
  </si>
  <si>
    <t>Isoform 5 of A-kinase anchor protein 9</t>
  </si>
  <si>
    <t>Protein NipSnap homolog 1</t>
  </si>
  <si>
    <t>Actin-related protein 2/3 complex subunit 5-like protein</t>
  </si>
  <si>
    <t>UPF0415 protein C7orf25</t>
  </si>
  <si>
    <t>Zinc finger FYVE domain-containing protein 21</t>
  </si>
  <si>
    <t>Programmed cell death 1 ligand 2</t>
  </si>
  <si>
    <t>Isoform 4 of Zinc phosphodiesterase ELAC protein 2</t>
  </si>
  <si>
    <t>Uncharacterized protein C19orf43</t>
  </si>
  <si>
    <t>O-acetyl-ADP-ribose deacetylase MACROD1</t>
  </si>
  <si>
    <t>Evolutionarily conserved signaling intermediate in Toll pathway, mitochondrial</t>
  </si>
  <si>
    <t>Vitamin K epoxide reductase complex subunit 1</t>
  </si>
  <si>
    <t>Diphthamide biosynthesis protein 2</t>
  </si>
  <si>
    <t>Myb-binding protein 1A</t>
  </si>
  <si>
    <t>Transmembrane protein 47</t>
  </si>
  <si>
    <t>Fermitin family homolog 1</t>
  </si>
  <si>
    <t>Mitochondrial genome maintenance exonuclease 1</t>
  </si>
  <si>
    <t>FYVE and coiled-coil domain-containing protein 1</t>
  </si>
  <si>
    <t>Isoform 2 of Mitochondrial 2-oxodicarboxylate carrier</t>
  </si>
  <si>
    <t>Acyl-CoA-binding domain-containing protein 6</t>
  </si>
  <si>
    <t>Coronin-1B</t>
  </si>
  <si>
    <t>Thioredoxin domain-containing protein 17</t>
  </si>
  <si>
    <t>Calcineurin-like phosphoesterase domain-containing protein 1</t>
  </si>
  <si>
    <t>Vacuolar protein-sorting-associated protein 25</t>
  </si>
  <si>
    <t>Isoform 2 of Receptor expression-enhancing protein 2</t>
  </si>
  <si>
    <t>45 kDa calcium-binding protein</t>
  </si>
  <si>
    <t>Programmed cell death protein 2-like</t>
  </si>
  <si>
    <t>Proteasomal ATPase-associated factor 1</t>
  </si>
  <si>
    <t>Isoform 2 of Partner of Y14 and mago</t>
  </si>
  <si>
    <t>Apoptosis-inducing factor 2</t>
  </si>
  <si>
    <t>Isoform 2 of ADP-dependent glucokinase</t>
  </si>
  <si>
    <t>La-related protein 6</t>
  </si>
  <si>
    <t>Mitochondrial nucleoid factor 1</t>
  </si>
  <si>
    <t>Suppressor of IKBKE 1</t>
  </si>
  <si>
    <t>Protein pelota homolog</t>
  </si>
  <si>
    <t>Isoform 2 of Redox-regulatory protein FAM213A</t>
  </si>
  <si>
    <t>E3 ubiquitin-protein ligase TRIM56</t>
  </si>
  <si>
    <t>Anaphase-promoting complex subunit 13</t>
  </si>
  <si>
    <t>Endoplasmic reticulum resident protein 44</t>
  </si>
  <si>
    <t>Latexin</t>
  </si>
  <si>
    <t>Transmembrane protein 175</t>
  </si>
  <si>
    <t>Autophagy-related protein 101</t>
  </si>
  <si>
    <t>Cancer-related nucleoside-triphosphatase</t>
  </si>
  <si>
    <t>Homocysteine-responsive endoplasmic reticulum-resident ubiquitin-like domain member 2 protein</t>
  </si>
  <si>
    <t>Agmatinase, mitochondrial</t>
  </si>
  <si>
    <t>Uncharacterized protein C19orf52</t>
  </si>
  <si>
    <t>Protease-associated domain-containing protein 1</t>
  </si>
  <si>
    <t>Translational activator of cytochrome c oxidase 1</t>
  </si>
  <si>
    <t>Haloacid dehalogenase-like hydrolase domain-containing protein 3</t>
  </si>
  <si>
    <t>Isoform 3 of Uncharacterized protein C17orf80</t>
  </si>
  <si>
    <t>Isoform 2 of Extended synaptotagmin-1</t>
  </si>
  <si>
    <t>Ubiquitin-associated domain-containing protein 1</t>
  </si>
  <si>
    <t>Transmembrane protein 204</t>
  </si>
  <si>
    <t>Protein YIPF4</t>
  </si>
  <si>
    <t>Isoform 2 of Rhotekin</t>
  </si>
  <si>
    <t>UPF0183 protein C16orf70</t>
  </si>
  <si>
    <t>Coiled-coil-helix-coiled-coil-helix domain-containing protein 5</t>
  </si>
  <si>
    <t>Protein canopy homolog 3</t>
  </si>
  <si>
    <t>Chitobiosyldiphosphodolichol beta-mannosyltransferase</t>
  </si>
  <si>
    <t>Alpha-ketoglutarate-dependent dioxygenase alkB homolog 7</t>
  </si>
  <si>
    <t>Proteasome assembly chaperone 3</t>
  </si>
  <si>
    <t>COP9 signalosome complex subunit 4</t>
  </si>
  <si>
    <t>Isoform 4 of WW domain-containing adapter protein with coiled-coil</t>
  </si>
  <si>
    <t>Death-inducer obliterator 1</t>
  </si>
  <si>
    <t>Isoform 2 of Mini-chromosome maintenance complex-binding protein</t>
  </si>
  <si>
    <t>RNMT-activating mini protein</t>
  </si>
  <si>
    <t>Acidic leucine-rich nuclear phosphoprotein 32 family member E</t>
  </si>
  <si>
    <t>Mediator of RNA polymerase II transcription subunit 10</t>
  </si>
  <si>
    <t>Leucine-rich repeat-containing protein 1</t>
  </si>
  <si>
    <t>Phosphatidylinositol 4-kinase type 2-alpha</t>
  </si>
  <si>
    <t>Transmembrane protein 43</t>
  </si>
  <si>
    <t>WD repeat-containing protein 85</t>
  </si>
  <si>
    <t>Alpha-tocopherol transfer protein-like</t>
  </si>
  <si>
    <t>Plasma alpha-L-fucosidase</t>
  </si>
  <si>
    <t>Protein FAM203A</t>
  </si>
  <si>
    <t>Dehydrogenase/reductase SDR family member 4</t>
  </si>
  <si>
    <t>Thiamine-triphosphatase</t>
  </si>
  <si>
    <t>Isoform 3 of Lipase maturation factor 2</t>
  </si>
  <si>
    <t>NADH dehydrogenase [ubiquinone] 1 alpha subcomplex assembly factor 3</t>
  </si>
  <si>
    <t>Isoform 2 of Multiple myeloma tumor-associated protein 2</t>
  </si>
  <si>
    <t>Deoxyhypusine hydroxylase</t>
  </si>
  <si>
    <t>Isoform 2 of MAP kinase-interacting serine/threonine-protein kinase 1</t>
  </si>
  <si>
    <t>Isoform 2 of Transmembrane protein 70, mitochondrial</t>
  </si>
  <si>
    <t>Spondin-2</t>
  </si>
  <si>
    <t>Mediator of RNA polymerase II transcription subunit 18</t>
  </si>
  <si>
    <t>Iron-sulfur cluster assembly 1 homolog, mitochondrial</t>
  </si>
  <si>
    <t>Tubulin beta-6 chain</t>
  </si>
  <si>
    <t>Uncharacterized protein C9orf142</t>
  </si>
  <si>
    <t>Isoform 2 of Heterogeneous nuclear ribonucleoprotein U-like protein 1</t>
  </si>
  <si>
    <t>Isoform 3 of Protein misato homolog 1</t>
  </si>
  <si>
    <t>Isoform 3 of Oxidoreductase HTATIP2</t>
  </si>
  <si>
    <t>Telomerase Cajal body protein 1</t>
  </si>
  <si>
    <t>3-hydroxybutyrate dehydrogenase type 2</t>
  </si>
  <si>
    <t>UPF0184 protein C9orf16</t>
  </si>
  <si>
    <t>Uncharacterized protein C1orf50</t>
  </si>
  <si>
    <t>Methylthioribose-1-phosphate isomerase</t>
  </si>
  <si>
    <t>Monoacylglycerol lipase ABHD6</t>
  </si>
  <si>
    <t>WD repeat-containing protein 18</t>
  </si>
  <si>
    <t>THUMP domain-containing protein 3</t>
  </si>
  <si>
    <t>1,2-dihydroxy-3-keto-5-methylthiopentene dioxygenase</t>
  </si>
  <si>
    <t>Isoform 2 of RING finger protein 126</t>
  </si>
  <si>
    <t>Trans-2-enoyl-CoA reductase, mitochondrial</t>
  </si>
  <si>
    <t>N-terminal Xaa-Pro-Lys N-methyltransferase 1</t>
  </si>
  <si>
    <t>Katanin p80 WD40 repeat-containing subunit B1</t>
  </si>
  <si>
    <t>Adenosine monophosphate-protein transferase FICD</t>
  </si>
  <si>
    <t>Isoform 2 of Target of rapamycin complex subunit LST8</t>
  </si>
  <si>
    <t>Transmembrane protein 109</t>
  </si>
  <si>
    <t>Protein PBDC1</t>
  </si>
  <si>
    <t>Phosphatidylserine synthase 2</t>
  </si>
  <si>
    <t>Dual specificity protein phosphatase 23</t>
  </si>
  <si>
    <t>Transmembrane emp24 domain-containing protein 9</t>
  </si>
  <si>
    <t>Selenoprotein O</t>
  </si>
  <si>
    <t>Gamma-glutamylaminecyclotransferase</t>
  </si>
  <si>
    <t>Tubulin polymerization-promoting protein family member 3</t>
  </si>
  <si>
    <t>Isoform 2 of Elongation of very long chain fatty acids protein 1</t>
  </si>
  <si>
    <t>DET1- and DDB1-associated protein 1</t>
  </si>
  <si>
    <t>Katanin p60 ATPase-containing subunit A-like 1</t>
  </si>
  <si>
    <t>Intraflagellar transport protein 27 homolog</t>
  </si>
  <si>
    <t>Isoform 2 of ADP-ribose pyrophosphatase, mitochondrial</t>
  </si>
  <si>
    <t>Threonine--tRNA ligase, mitochondrial</t>
  </si>
  <si>
    <t>Acetyl-CoA acetyltransferase, cytosolic</t>
  </si>
  <si>
    <t>FUN14 domain-containing protein 2</t>
  </si>
  <si>
    <t>RNA polymerase II-associated protein 1</t>
  </si>
  <si>
    <t>Splicing factor 3B subunit 5</t>
  </si>
  <si>
    <t>Sideroflexin-3</t>
  </si>
  <si>
    <t>Kanadaptin</t>
  </si>
  <si>
    <t>Single stranded DNA binding protein-4</t>
  </si>
  <si>
    <t>Protein LSM14 homolog B</t>
  </si>
  <si>
    <t>Tapasin-related protein</t>
  </si>
  <si>
    <t>Junctional adhesion molecule C</t>
  </si>
  <si>
    <t>Histidine triad nucleotide-binding protein 2, mitochondrial</t>
  </si>
  <si>
    <t>Sphingosine-1-phosphate phosphatase 1</t>
  </si>
  <si>
    <t>Oxysterol-binding protein-related protein 10</t>
  </si>
  <si>
    <t>Rab11 family-interacting protein 5</t>
  </si>
  <si>
    <t>N-alpha-acetyltransferase 15, NatA auxiliary subunit</t>
  </si>
  <si>
    <t>Bcl-2-like protein 13</t>
  </si>
  <si>
    <t>Solute carrier family 12 member 9</t>
  </si>
  <si>
    <t>Isoform 5 of Serrate RNA effector molecule homolog</t>
  </si>
  <si>
    <t>Queuine tRNA-ribosyltransferase</t>
  </si>
  <si>
    <t>Transmembrane protein 59</t>
  </si>
  <si>
    <t>Uncharacterized protein C14orf142</t>
  </si>
  <si>
    <t>Oxysterol-binding protein-related protein 1</t>
  </si>
  <si>
    <t>Isoform 1 of Cat eye syndrome critical region protein 5</t>
  </si>
  <si>
    <t>Inosine triphosphate pyrophosphatase</t>
  </si>
  <si>
    <t>Charged multivesicular body protein 4a</t>
  </si>
  <si>
    <t>Polymerase delta-interacting protein 3</t>
  </si>
  <si>
    <t>Guanine nucleotide-binding protein subunit beta-like protein 1</t>
  </si>
  <si>
    <t>39S ribosomal protein L32, mitochondrial</t>
  </si>
  <si>
    <t>39S ribosomal protein L1, mitochondrial</t>
  </si>
  <si>
    <t>RanBP-type and C3HC4-type zinc finger-containing protein 1</t>
  </si>
  <si>
    <t>Sulfiredoxin-1</t>
  </si>
  <si>
    <t>Neurolysin, mitochondrial</t>
  </si>
  <si>
    <t>Centrosomal protein of 41 kDa</t>
  </si>
  <si>
    <t>Isoform 3 of TBC1 domain family member 2A</t>
  </si>
  <si>
    <t>Isoform 4 of Pantothenate kinase 2, mitochondrial</t>
  </si>
  <si>
    <t>Isoform 2 of FERM domain-containing protein 8</t>
  </si>
  <si>
    <t>Equilibrative nucleoside transporter 3</t>
  </si>
  <si>
    <t>tRNA pseudouridine(38/39) synthase</t>
  </si>
  <si>
    <t>Tether containing UBX domain for GLUT4</t>
  </si>
  <si>
    <t>Isoform 3 of Oxysterol-binding protein-related protein 8</t>
  </si>
  <si>
    <t>F-box-like/WD repeat-containing protein TBL1XR1</t>
  </si>
  <si>
    <t>Ubiquitin-like protein 5</t>
  </si>
  <si>
    <t>Group XIIA secretory phospholipase A2</t>
  </si>
  <si>
    <t>NKG2D ligand 3</t>
  </si>
  <si>
    <t>NKG2D ligand 2</t>
  </si>
  <si>
    <t>Protein Niban</t>
  </si>
  <si>
    <t>Uridine-cytidine kinase 2</t>
  </si>
  <si>
    <t>Isoform 2 of Apoptosis inhibitor 5</t>
  </si>
  <si>
    <t>Protein sprouty homolog 4</t>
  </si>
  <si>
    <t>Protein dpy-30 homolog</t>
  </si>
  <si>
    <t>Isoform Beta of Tripartite motif-containing protein 4</t>
  </si>
  <si>
    <t>Protein FAM117A</t>
  </si>
  <si>
    <t>RING finger protein unkempt homolog</t>
  </si>
  <si>
    <t>Alpha-ketoglutarate-dependent dioxygenase FTO</t>
  </si>
  <si>
    <t>Isoform 2 of Palmitoyltransferase ZDHHC5</t>
  </si>
  <si>
    <t>Transport and Golgi organization 6 homolog</t>
  </si>
  <si>
    <t>182 kDa tankyrase-1-binding protein</t>
  </si>
  <si>
    <t>Ubiquitin-conjugating enzyme E2 O</t>
  </si>
  <si>
    <t>Isoform 2 of Protein TANC1</t>
  </si>
  <si>
    <t>Isoform 2 of Protein tweety homolog 3</t>
  </si>
  <si>
    <t>Myotubularin-related protein 12</t>
  </si>
  <si>
    <t>Isoform 2 of STE20-related kinase adapter protein beta</t>
  </si>
  <si>
    <t>Ribosome biogenesis protein WDR12</t>
  </si>
  <si>
    <t>UPF0687 protein C20orf27</t>
  </si>
  <si>
    <t>Neurensin-2</t>
  </si>
  <si>
    <t>PITH domain-containing protein 1</t>
  </si>
  <si>
    <t>Derlin-2</t>
  </si>
  <si>
    <t>COMM domain-containing protein 5</t>
  </si>
  <si>
    <t>WD repeat-containing protein 61</t>
  </si>
  <si>
    <t>Isoform 2 of SRA stem-loop-interacting RNA-binding protein, mitochondrial</t>
  </si>
  <si>
    <t>Serine racemase</t>
  </si>
  <si>
    <t>Isoform 2 of Coiled-coil domain-containing protein 90B, mitochondrial</t>
  </si>
  <si>
    <t>Isoform 2 of NIF3-like protein 1</t>
  </si>
  <si>
    <t>Egl nine homolog 1</t>
  </si>
  <si>
    <t>Carboxy-terminal domain RNA polymerase II polypeptide A small phosphatase 1</t>
  </si>
  <si>
    <t>Protein FAM192A</t>
  </si>
  <si>
    <t>WW domain-containing transcription regulator protein 1</t>
  </si>
  <si>
    <t>Twisted gastrulation protein homolog 1</t>
  </si>
  <si>
    <t>Ubiquitin-like modifier-activating enzyme 5</t>
  </si>
  <si>
    <t>Phospholysine phosphohistidine inorganic pyrophosphate phosphatase</t>
  </si>
  <si>
    <t>Isoform 3 of Mitochondrial fission regulator 1-like</t>
  </si>
  <si>
    <t>GTP-binding protein SAR1b</t>
  </si>
  <si>
    <t>Polyadenylate-binding protein-interacting protein 1</t>
  </si>
  <si>
    <t>Isoform 2 of Caseinolytic peptidase B protein homolog</t>
  </si>
  <si>
    <t>Ras-related protein Rab-33B</t>
  </si>
  <si>
    <t>Protein FAM107B</t>
  </si>
  <si>
    <t>Isoform 2 of Kinesin light chain 2</t>
  </si>
  <si>
    <t>Integrin-linked kinase-associated serine/threonine phosphatase 2C</t>
  </si>
  <si>
    <t>5-3 exoribonuclease 2</t>
  </si>
  <si>
    <t>Toll-interacting protein</t>
  </si>
  <si>
    <t>Sharpin</t>
  </si>
  <si>
    <t>Nuclear speckle splicing regulatory protein 1</t>
  </si>
  <si>
    <t>Serine/threonine-protein kinase SIK2</t>
  </si>
  <si>
    <t>Cleavage stimulation factor subunit 2 tau variant</t>
  </si>
  <si>
    <t>Ras-related protein Rab-6C</t>
  </si>
  <si>
    <t>Isoform 3 of Cytosolic 5-nucleotidase 3A</t>
  </si>
  <si>
    <t>Protein FAM49A</t>
  </si>
  <si>
    <t>Haloacid dehalogenase-like hydrolase domain-containing protein 2</t>
  </si>
  <si>
    <t>Guanylate-binding protein 3</t>
  </si>
  <si>
    <t>Glutamyl-tRNA(Gln) amidotransferase subunit A, mitochondrial</t>
  </si>
  <si>
    <t>Magnesium transporter protein 1</t>
  </si>
  <si>
    <t>Ras-related protein Rab-1B</t>
  </si>
  <si>
    <t>Testis-specific Y-encoded-like protein 1</t>
  </si>
  <si>
    <t>VIP36-like protein</t>
  </si>
  <si>
    <t>Protein SMG9</t>
  </si>
  <si>
    <t>Ester hydrolase C11orf54</t>
  </si>
  <si>
    <t>Protein ITFG3</t>
  </si>
  <si>
    <t>Beta-soluble NSF attachment protein</t>
  </si>
  <si>
    <t>Nucleotide exchange factor SIL1</t>
  </si>
  <si>
    <t>Isoform 2 of Methyltransferase-like protein 9</t>
  </si>
  <si>
    <t>Interferon regulatory factor 2-binding protein-like</t>
  </si>
  <si>
    <t>Glycosyltransferase 8 domain-containing protein 2</t>
  </si>
  <si>
    <t>Nuclear ubiquitous casein and cyclin-dependent kinase substrate 1</t>
  </si>
  <si>
    <t>Thioredoxin-related transmembrane protein 4</t>
  </si>
  <si>
    <t>Isoform 3 of Activating signal cointegrator 1 complex subunit 2</t>
  </si>
  <si>
    <t>Isoform 3 of Regulator of nonsense transcripts 3A</t>
  </si>
  <si>
    <t>Protein Wnt-5b</t>
  </si>
  <si>
    <t>Rabenosyn-5</t>
  </si>
  <si>
    <t>Iron-sulfur cluster assembly enzyme ISCU, mitochondrial</t>
  </si>
  <si>
    <t>Isoform 2 of Oxysterol-binding protein-related protein 2</t>
  </si>
  <si>
    <t>Autophagy protein 5</t>
  </si>
  <si>
    <t>WD repeat-containing protein 13</t>
  </si>
  <si>
    <t>Tetraspanin-10</t>
  </si>
  <si>
    <t>Mediator of RNA polymerase II transcription subunit 28</t>
  </si>
  <si>
    <t>EH domain-containing protein 4</t>
  </si>
  <si>
    <t>Uncharacterized protein C1orf21</t>
  </si>
  <si>
    <t>Vacuolar protein sorting-associated protein 33B</t>
  </si>
  <si>
    <t>Isoform 2 of Vacuolar protein sorting-associated protein 16 homolog</t>
  </si>
  <si>
    <t>Vacuolar protein sorting-associated protein 11 homolog</t>
  </si>
  <si>
    <t>Mitochondrial folate transporter/carrier</t>
  </si>
  <si>
    <t>Isoform 1 of TRIO and F-actin-binding protein</t>
  </si>
  <si>
    <t>Golgin-45</t>
  </si>
  <si>
    <t>Peptidyl-prolyl cis-trans isomerase-like 3</t>
  </si>
  <si>
    <t>Phosducin-like protein 3</t>
  </si>
  <si>
    <t>Serine/threonine-protein kinase TAO3</t>
  </si>
  <si>
    <t>Rab3 GTPase-activating protein non-catalytic subunit</t>
  </si>
  <si>
    <t>Isoform 3 of Diphthine synthase</t>
  </si>
  <si>
    <t>Inorganic pyrophosphatase 2, mitochondrial</t>
  </si>
  <si>
    <t>39S ribosomal protein L46, mitochondrial</t>
  </si>
  <si>
    <t>Pinin</t>
  </si>
  <si>
    <t>Isoform 2 of Band 4.1-like protein 4B</t>
  </si>
  <si>
    <t>Isoform 2 of Transmembrane protein 245</t>
  </si>
  <si>
    <t>BTB/POZ domain-containing adapter for CUL3-mediated RhoA degradation protein 3</t>
  </si>
  <si>
    <t>Isoform 2 of UPF0696 protein C11orf68</t>
  </si>
  <si>
    <t>Isoform 2 of UDP-N-acetylglucosamine--dolichyl-phosphate N-acetylglucosaminephosphotransferase</t>
  </si>
  <si>
    <t>BolA-like protein 2</t>
  </si>
  <si>
    <t>Thioredoxin-interacting protein</t>
  </si>
  <si>
    <t>Thioredoxin-related transmembrane protein 1</t>
  </si>
  <si>
    <t>Golgi resident protein GCP60</t>
  </si>
  <si>
    <t>Cdc42 effector protein 4</t>
  </si>
  <si>
    <t>Tyrosine-protein phosphatase non-receptor type 23</t>
  </si>
  <si>
    <t>Isoform 2 of Protein unc-45 homolog A</t>
  </si>
  <si>
    <t>Isoform 3 of Major facilitator superfamily domain-containing protein 1</t>
  </si>
  <si>
    <t>Pancreatic progenitor cell differentiation and proliferation factor</t>
  </si>
  <si>
    <t>Isoform 2 of DnaJ homolog subfamily C member 5</t>
  </si>
  <si>
    <t>Uncharacterized protein C1orf198</t>
  </si>
  <si>
    <t>Charged multivesicular body protein 4b</t>
  </si>
  <si>
    <t>Isoform 2 of RWD domain-containing protein 1</t>
  </si>
  <si>
    <t>CUE domain-containing protein 2</t>
  </si>
  <si>
    <t>F-box/LRR-repeat protein 15</t>
  </si>
  <si>
    <t>Fructosamine-3-kinase</t>
  </si>
  <si>
    <t>Microtubule-associated proteins 1A/1B light chain 3A</t>
  </si>
  <si>
    <t>15 kDa interferon-responsive protein</t>
  </si>
  <si>
    <t>Torsin-3A</t>
  </si>
  <si>
    <t>Aminopeptidase B</t>
  </si>
  <si>
    <t>Golgi phosphoprotein 3-like</t>
  </si>
  <si>
    <t>Golgi phosphoprotein 3</t>
  </si>
  <si>
    <t>Isoform 2 of Band 4.1-like protein 1</t>
  </si>
  <si>
    <t>Golgi-associated plant pathogenesis-related protein 1</t>
  </si>
  <si>
    <t>Zinc fingers and homeoboxes protein 3</t>
  </si>
  <si>
    <t>EH domain-containing protein 1</t>
  </si>
  <si>
    <t>Isoform 2 of E3 ubiquitin-protein ligase NRDP1</t>
  </si>
  <si>
    <t>Isoform 2 of Regulator of cell cycle RGCC</t>
  </si>
  <si>
    <t>Alpha-1,3/1,6-mannosyltransferase ALG2</t>
  </si>
  <si>
    <t>Probable inactive protein kinase-like protein SgK196</t>
  </si>
  <si>
    <t>Rab GTPase-binding effector protein 2</t>
  </si>
  <si>
    <t>CUB domain-containing protein 1</t>
  </si>
  <si>
    <t>Isoform 2 of UPF0428 protein CXorf56</t>
  </si>
  <si>
    <t>MIP18 family protein FAM96A</t>
  </si>
  <si>
    <t>CST complex subunit STN1</t>
  </si>
  <si>
    <t>Protein bicaudal C homolog 1</t>
  </si>
  <si>
    <t>CXADR-like membrane protein</t>
  </si>
  <si>
    <t>XK-related protein 8</t>
  </si>
  <si>
    <t>Coiled-coil domain-containing protein 134</t>
  </si>
  <si>
    <t>Uncharacterized protein C6orf106</t>
  </si>
  <si>
    <t>Cytosolic Fe-S cluster assembly factor NARFL</t>
  </si>
  <si>
    <t>Acyl-CoA synthetase short-chain family member 3, mitochondrial</t>
  </si>
  <si>
    <t>5-azacytidine-induced protein 2</t>
  </si>
  <si>
    <t>Epidermal growth factor receptor kinase substrate 8-like protein 2</t>
  </si>
  <si>
    <t>RNA polymerase II-associated protein 3</t>
  </si>
  <si>
    <t>Alpha-1,2-mannosyltransferase ALG9</t>
  </si>
  <si>
    <t>Anthrax toxin receptor 1</t>
  </si>
  <si>
    <t>Isoform 2 of Transmembrane protein 134</t>
  </si>
  <si>
    <t>WD repeat-containing protein 55</t>
  </si>
  <si>
    <t>dCTP pyrophosphatase 1</t>
  </si>
  <si>
    <t>Zinc phosphodiesterase ELAC protein 1</t>
  </si>
  <si>
    <t>Isoform 2 of SH2 domain-containing protein 4A</t>
  </si>
  <si>
    <t>Pseudopodium-enriched atypical kinase 1</t>
  </si>
  <si>
    <t>Histone-lysine N-methyltransferase SMYD3</t>
  </si>
  <si>
    <t>Isoform 2 of Syncoilin</t>
  </si>
  <si>
    <t>Mth938 domain-containing protein</t>
  </si>
  <si>
    <t>Dedicator of cytokinesis protein 5</t>
  </si>
  <si>
    <t>Probable cation-transporting ATPase 13A3</t>
  </si>
  <si>
    <t>Putative transmembrane protein 185B</t>
  </si>
  <si>
    <t>Isoform 2 of Rab-like protein 5</t>
  </si>
  <si>
    <t>Prostaglandin E synthase 2</t>
  </si>
  <si>
    <t>Phosphorylated adapter RNA export protein</t>
  </si>
  <si>
    <t>Ubiquitin-conjugating enzyme E2 Z</t>
  </si>
  <si>
    <t>Gem-associated protein 7</t>
  </si>
  <si>
    <t>Acyl-CoA dehydrogenase family member 9, mitochondrial</t>
  </si>
  <si>
    <t>Isoform 2 of 5-nucleotidase domain-containing protein 2</t>
  </si>
  <si>
    <t>Caspase activity and apoptosis inhibitor 1</t>
  </si>
  <si>
    <t>Nucleolar protein 11</t>
  </si>
  <si>
    <t>Uncharacterized protein C10orf88</t>
  </si>
  <si>
    <t>Protein FAM188A</t>
  </si>
  <si>
    <t>MOB kinase activator 1A</t>
  </si>
  <si>
    <t>AN1-type zinc finger protein 3</t>
  </si>
  <si>
    <t>Pleckstrin homology domain-containing family F member 2</t>
  </si>
  <si>
    <t>Golgi reassembly-stacking protein 2</t>
  </si>
  <si>
    <t>Isoform 2 of Hematological and neurological expressed 1-like protein</t>
  </si>
  <si>
    <t>Mitochondrial glutamate carrier 1</t>
  </si>
  <si>
    <t>Proline-serine-threonine phosphatase-interacting protein 2</t>
  </si>
  <si>
    <t>Mediator of RNA polymerase II transcription subunit 20</t>
  </si>
  <si>
    <t>Queuine tRNA-ribosyltransferase subunit QTRTD1</t>
  </si>
  <si>
    <t>WD repeat-containing protein 54</t>
  </si>
  <si>
    <t>UPF0364 protein C6orf211</t>
  </si>
  <si>
    <t>Leucine-rich repeat-containing protein 40</t>
  </si>
  <si>
    <t>Isoform 4 of Histone-lysine N-methyltransferase EHMT1</t>
  </si>
  <si>
    <t>Sideroflexin-1</t>
  </si>
  <si>
    <t>Vacuolar protein sorting-associated protein 37B</t>
  </si>
  <si>
    <t>Calcium-binding protein 39-like</t>
  </si>
  <si>
    <t>Isoform 2 of JmjC domain-containing protein 4</t>
  </si>
  <si>
    <t>GPN-loop GTPase 2</t>
  </si>
  <si>
    <t>Ketosamine-3-kinase</t>
  </si>
  <si>
    <t>TBC1 domain family member 17</t>
  </si>
  <si>
    <t>Probable cysteine--tRNA ligase, mitochondrial</t>
  </si>
  <si>
    <t>Phosphopantothenate--cysteine ligase</t>
  </si>
  <si>
    <t>WD repeat-containing protein 41</t>
  </si>
  <si>
    <t>Isoform 2 of Sialate O-acetylesterase</t>
  </si>
  <si>
    <t>Pleckstrin homology domain-containing family A member 5</t>
  </si>
  <si>
    <t>E3 ubiquitin-protein ligase SMURF2</t>
  </si>
  <si>
    <t>Arginyl aminopeptidase-like 1</t>
  </si>
  <si>
    <t>Guanine nucleotide-binding protein subunit beta-4</t>
  </si>
  <si>
    <t>Exportin-5</t>
  </si>
  <si>
    <t>Tumor necrosis factor receptor superfamily member 27</t>
  </si>
  <si>
    <t>GrpE protein homolog 1, mitochondrial</t>
  </si>
  <si>
    <t>UPF0160 protein MYG1, mitochondrial</t>
  </si>
  <si>
    <t>Bcl-2-like protein 12</t>
  </si>
  <si>
    <t>Pleckstrin homology domain-containing family A member 2</t>
  </si>
  <si>
    <t>Pleckstrin homology domain-containing family A member 3</t>
  </si>
  <si>
    <t>Retinoid-inducible serine carboxypeptidase</t>
  </si>
  <si>
    <t>Calcyclin-binding protein</t>
  </si>
  <si>
    <t>Ras-related GTP-binding protein C</t>
  </si>
  <si>
    <t>Retinol dehydrogenase 14</t>
  </si>
  <si>
    <t>Beta-parvin</t>
  </si>
  <si>
    <t>Arsenite methyltransferase</t>
  </si>
  <si>
    <t>Plasminogen receptor (KT)</t>
  </si>
  <si>
    <t>NmrA-like family domain-containing protein 1</t>
  </si>
  <si>
    <t>1-acyl-sn-glycerol-3-phosphate acyltransferase alpha</t>
  </si>
  <si>
    <t>Putative sodium-coupled neutral amino acid transporter 10</t>
  </si>
  <si>
    <t>Ethanolamine kinase 1</t>
  </si>
  <si>
    <t>Isoform 2 of Aryl hydrocarbon receptor nuclear translocator 2</t>
  </si>
  <si>
    <t>Mitochondrial thiamine pyrophosphate carrier</t>
  </si>
  <si>
    <t>Echinoderm microtubule-associated protein-like 4</t>
  </si>
  <si>
    <t>Isoform 2 of Glyoxalase domain-containing protein 4</t>
  </si>
  <si>
    <t>WAP four-disulfide core domain protein 1</t>
  </si>
  <si>
    <t>Methylcrotonoyl-CoA carboxylase beta chain, mitochondrial</t>
  </si>
  <si>
    <t>Protein TANC2</t>
  </si>
  <si>
    <t>Ectopic P granules protein 5 homolog</t>
  </si>
  <si>
    <t>Zinc finger protein 532</t>
  </si>
  <si>
    <t>Methyltransferase-like protein 14</t>
  </si>
  <si>
    <t>Isoform 3 of Nck-associated protein 5-like</t>
  </si>
  <si>
    <t>Isoform 4 of Synaptotagmin-like protein 2</t>
  </si>
  <si>
    <t>Synaptic vesicle membrane protein VAT-1 homolog-like</t>
  </si>
  <si>
    <t>Roundabout homolog 2</t>
  </si>
  <si>
    <t>Transmembrane protein 8A</t>
  </si>
  <si>
    <t>Isoform 2 of GPN-loop GTPase 1</t>
  </si>
  <si>
    <t>Stromal cell-derived factor 2-like protein 1</t>
  </si>
  <si>
    <t>Isoform 1S of Casein kinase I isoform gamma-1</t>
  </si>
  <si>
    <t>Endosialin</t>
  </si>
  <si>
    <t>Prolactin regulatory element-binding protein</t>
  </si>
  <si>
    <t>Steroid receptor RNA activator 1</t>
  </si>
  <si>
    <t>Isoform B of Probable cation-transporting ATPase 13A1</t>
  </si>
  <si>
    <t>Transmembrane 9 superfamily member 3</t>
  </si>
  <si>
    <t>Ran guanine nucleotide release factor</t>
  </si>
  <si>
    <t>Adipocyte plasma membrane-associated protein</t>
  </si>
  <si>
    <t>Isoform 2 of Thioredoxin reductase 2, mitochondrial</t>
  </si>
  <si>
    <t>Isoform 2 of ATP-binding cassette sub-family B member 6, mitochondrial</t>
  </si>
  <si>
    <t>ADP-ribosylation factor GTPase-activating protein 3</t>
  </si>
  <si>
    <t>Ras-related protein Rab-18</t>
  </si>
  <si>
    <t>Isoform 2 of Palmdelphin</t>
  </si>
  <si>
    <t>RNA polymerase II subunit A C-terminal domain phosphatase SSU72</t>
  </si>
  <si>
    <t>Vacuolar protein sorting-associated protein VTA1 homolog</t>
  </si>
  <si>
    <t>Isoform 3 of Calcium-independent phospholipase A2-gamma</t>
  </si>
  <si>
    <t>Tumor necrosis factor receptor superfamily member 12A</t>
  </si>
  <si>
    <t>ER membrane protein complex subunit 7</t>
  </si>
  <si>
    <t>Mid1-interacting protein 1</t>
  </si>
  <si>
    <t>Isoform 2 of Enhancer of yellow 2 transcription factor homolog</t>
  </si>
  <si>
    <t>Glycerophosphocholine phosphodiesterase GPCPD1</t>
  </si>
  <si>
    <t>Exosome complex component RRP41</t>
  </si>
  <si>
    <t>CD320 antigen</t>
  </si>
  <si>
    <t>Probable tRNA threonylcarbamoyladenosine biosynthesis protein OSGEP</t>
  </si>
  <si>
    <t>Lysophosphatidic acid phosphatase type 6</t>
  </si>
  <si>
    <t>mRNA-decapping enzyme 1A</t>
  </si>
  <si>
    <t>Acyl-coenzyme A thioesterase 13</t>
  </si>
  <si>
    <t>Mediator of RNA polymerase II transcription subunit 4</t>
  </si>
  <si>
    <t>Translocase of inner mitochondrial membrane domain-containing protein 1</t>
  </si>
  <si>
    <t>Isoform 4 of Synembryn-A</t>
  </si>
  <si>
    <t>Protein GPR108</t>
  </si>
  <si>
    <t>Cas scaffolding protein family member 4</t>
  </si>
  <si>
    <t>Fructose-2,6-bisphosphatase TIGAR</t>
  </si>
  <si>
    <t>Reticulon-4</t>
  </si>
  <si>
    <t>Isoform 5 of Reticulon-4</t>
  </si>
  <si>
    <t>Histidine triad nucleotide-binding protein 3</t>
  </si>
  <si>
    <t>Protein MANBAL</t>
  </si>
  <si>
    <t>Regulation of nuclear pre-mRNA domain-containing protein 1B</t>
  </si>
  <si>
    <t>Isoform 2 of Probable Xaa-Pro aminopeptidase 3</t>
  </si>
  <si>
    <t>Omega-amidase NIT2</t>
  </si>
  <si>
    <t>Cell death regulator Aven</t>
  </si>
  <si>
    <t>Poliovirus receptor-related protein 3</t>
  </si>
  <si>
    <t>Kinesin-like protein KIF13B</t>
  </si>
  <si>
    <t>Isoform 3 of Xaa-Pro aminopeptidase 1</t>
  </si>
  <si>
    <t>Bridging integrator 3</t>
  </si>
  <si>
    <t>StAR-related lipid transfer protein 7, mitochondrial</t>
  </si>
  <si>
    <t>PDZ and LIM domain protein 7</t>
  </si>
  <si>
    <t>Acetyl-coenzyme A synthetase, cytoplasmic</t>
  </si>
  <si>
    <t>Isoform 2 of Diablo homolog, mitochondrial</t>
  </si>
  <si>
    <t>Nucleolar RNA helicase 2</t>
  </si>
  <si>
    <t>GTP-binding protein SAR1a</t>
  </si>
  <si>
    <t>DNA polymerase epsilon subunit 4</t>
  </si>
  <si>
    <t>Sialic acid synthase</t>
  </si>
  <si>
    <t>Isoform 2 of Histone-lysine N-methyltransferase ASH1L</t>
  </si>
  <si>
    <t>Translation initiation factor eIF-2B subunit gamma</t>
  </si>
  <si>
    <t>Sialin</t>
  </si>
  <si>
    <t>Carbohydrate sulfotransferase 12</t>
  </si>
  <si>
    <t>Spectrin beta chain, non-erythrocytic 5</t>
  </si>
  <si>
    <t>Isoform 2 of SH2B adapter protein 1</t>
  </si>
  <si>
    <t>CTP synthase 2</t>
  </si>
  <si>
    <t>DNA polymerase epsilon subunit 3</t>
  </si>
  <si>
    <t>Chromatin accessibility complex protein 1</t>
  </si>
  <si>
    <t>Phosphoribosyltransferase domain-containing protein 1</t>
  </si>
  <si>
    <t>N-lysine methyltransferase SMYD2</t>
  </si>
  <si>
    <t>Isoform 2 of Epimerase family protein SDR39U1</t>
  </si>
  <si>
    <t>Yae1 domain-containing protein 1</t>
  </si>
  <si>
    <t>ATP-binding cassette sub-family B member 10, mitochondrial</t>
  </si>
  <si>
    <t>Isoform 3 of Olfactomedin-like protein 3</t>
  </si>
  <si>
    <t>L-aminoadipate-semialdehyde dehydrogenase-phosphopantetheinyl transferase</t>
  </si>
  <si>
    <t>Methyltransferase-like protein 5</t>
  </si>
  <si>
    <t>Oligosaccharyltransferase complex subunit OSTC</t>
  </si>
  <si>
    <t>COX assembly mitochondrial protein 2 homolog</t>
  </si>
  <si>
    <t>Phospholipid scramblase 4</t>
  </si>
  <si>
    <t>Ubiquilin-4</t>
  </si>
  <si>
    <t>CDC42 small effector protein 1</t>
  </si>
  <si>
    <t>Sorting nexin-15</t>
  </si>
  <si>
    <t>Heme-binding protein 1</t>
  </si>
  <si>
    <t>Ras-related protein Rab-6B</t>
  </si>
  <si>
    <t>Dual specificity protein phosphatase 22</t>
  </si>
  <si>
    <t>14 kDa phosphohistidine phosphatase</t>
  </si>
  <si>
    <t>Serine incorporator 1</t>
  </si>
  <si>
    <t>SOSS complex subunit C</t>
  </si>
  <si>
    <t>Rho GTPase-activating protein 35</t>
  </si>
  <si>
    <t>Protein FAM114A2</t>
  </si>
  <si>
    <t>Phospholipid scramblase 3</t>
  </si>
  <si>
    <t>1-acyl-sn-glycerol-3-phosphate acyltransferase delta</t>
  </si>
  <si>
    <t>Isoform 2 of 1-acyl-sn-glycerol-3-phosphate acyltransferase gamma</t>
  </si>
  <si>
    <t>Latent-transforming growth factor beta-binding protein 3</t>
  </si>
  <si>
    <t>Mitochondrial import receptor subunit TOM22 homolog</t>
  </si>
  <si>
    <t>LanC-like protein 2</t>
  </si>
  <si>
    <t>Isoform 4 of Kinesin-like protein KIF15</t>
  </si>
  <si>
    <t>Transmembrane 7 superfamily member 3</t>
  </si>
  <si>
    <t>Beta-catenin-interacting protein 1</t>
  </si>
  <si>
    <t>Isoform 5 of Homer protein homolog 3</t>
  </si>
  <si>
    <t>Phenylalanine--tRNA ligase beta subunit</t>
  </si>
  <si>
    <t>Isoleucine--tRNA ligase, mitochondrial</t>
  </si>
  <si>
    <t>Isoform B of Protein FAM207A</t>
  </si>
  <si>
    <t>Isoform 1 of Protein C19orf12</t>
  </si>
  <si>
    <t>Nuclear receptor-binding protein 2</t>
  </si>
  <si>
    <t>BMP-2-inducible protein kinase</t>
  </si>
  <si>
    <t>StAR-related lipid transfer protein 5</t>
  </si>
  <si>
    <t>Ubiquitin-like-conjugating enzyme ATG3</t>
  </si>
  <si>
    <t>NAD-dependent protein deacetylase sirtuin-3, mitochondrial</t>
  </si>
  <si>
    <t>Phosphatidylinositide phosphatase SAC1</t>
  </si>
  <si>
    <t>Isoform 2 of Obg-like ATPase 1</t>
  </si>
  <si>
    <t>UDP-glucuronic acid/UDP-N-acetylgalactosamine transporter</t>
  </si>
  <si>
    <t>Isoform 2 of Ethylmalonyl-CoA decarboxylase</t>
  </si>
  <si>
    <t>Isoform 3 of Ethylmalonyl-CoA decarboxylase</t>
  </si>
  <si>
    <t>Isoform 2 of E3 ubiquitin-protein ligase RNF146</t>
  </si>
  <si>
    <t>RNA-binding protein 12</t>
  </si>
  <si>
    <t>LYR motif-containing protein 2</t>
  </si>
  <si>
    <t>p53 and DNA damage-regulated protein 1</t>
  </si>
  <si>
    <t>Mycophenolic acid acyl-glucuronide esterase, mitochondrial</t>
  </si>
  <si>
    <t>Isoform 3 of UPF0515 protein C19orf66</t>
  </si>
  <si>
    <t>Transmembrane protein 106B</t>
  </si>
  <si>
    <t>Isoform 3 of Probable lysosomal cobalamin transporter</t>
  </si>
  <si>
    <t>Biogenesis of lysosome-related organelles complex 1 subunit 4</t>
  </si>
  <si>
    <t>Protein lin-7 homolog C</t>
  </si>
  <si>
    <t>Gamma-taxilin</t>
  </si>
  <si>
    <t>SPATS2-like protein</t>
  </si>
  <si>
    <t>Ufm1-specific protease 2</t>
  </si>
  <si>
    <t>Isoform 2 of ATP-binding cassette sub-family F member 3</t>
  </si>
  <si>
    <t>Protein FAM49B</t>
  </si>
  <si>
    <t>AP-5 complex subunit sigma-1</t>
  </si>
  <si>
    <t>ATP-dependent RNA helicase DDX19A</t>
  </si>
  <si>
    <t>TBC1 domain family member 23</t>
  </si>
  <si>
    <t>Probable 8-oxo-dGTP diphosphatase NUDT15</t>
  </si>
  <si>
    <t>MRG/MORF4L-binding protein</t>
  </si>
  <si>
    <t>Isoform 2 of Exocyst complex component 1</t>
  </si>
  <si>
    <t>Isoform 3 of Integrator complex subunit 9</t>
  </si>
  <si>
    <t>Cell cycle control protein 50A</t>
  </si>
  <si>
    <t>Isoform 2 of Septin-11</t>
  </si>
  <si>
    <t>Transmembrane protein 184C</t>
  </si>
  <si>
    <t>Putative sodium-coupled neutral amino acid transporter 7</t>
  </si>
  <si>
    <t>Pantothenate kinase 4</t>
  </si>
  <si>
    <t>TBC1 domain family member 13</t>
  </si>
  <si>
    <t>Trimethyllysine dioxygenase, mitochondrial</t>
  </si>
  <si>
    <t>Isoform 2 of ATPase family AAA domain-containing protein 3A</t>
  </si>
  <si>
    <t>ADP-ribosylation factor-like protein 8B</t>
  </si>
  <si>
    <t>Protein eva-1 homolog B</t>
  </si>
  <si>
    <t>Isoform 3 of Protein arginine N-methyltransferase 7</t>
  </si>
  <si>
    <t>DnaJ homolog subfamily C member 17</t>
  </si>
  <si>
    <t>Protein kintoun</t>
  </si>
  <si>
    <t>Pyridoxine-5-phosphate oxidase</t>
  </si>
  <si>
    <t>Armadillo repeat-containing protein 1</t>
  </si>
  <si>
    <t>E3 ubiquitin-protein ligase RLIM</t>
  </si>
  <si>
    <t>Notchless protein homolog 1</t>
  </si>
  <si>
    <t>Kelch repeat and BTB domain-containing protein 4</t>
  </si>
  <si>
    <t>Adaptin ear-binding coat-associated protein 2</t>
  </si>
  <si>
    <t>Anoctamin-10</t>
  </si>
  <si>
    <t>Isoform 4 of BSD domain-containing protein 1</t>
  </si>
  <si>
    <t>WD repeat-containing protein 70</t>
  </si>
  <si>
    <t>Transmembrane protein 51</t>
  </si>
  <si>
    <t>Mediator of RNA polymerase II transcription subunit 9</t>
  </si>
  <si>
    <t>Isoform 2 of Arginine and glutamate-rich protein 1</t>
  </si>
  <si>
    <t>Transmembrane protein 248</t>
  </si>
  <si>
    <t>Transmembrane protein 242</t>
  </si>
  <si>
    <t>CUE domain-containing protein 1</t>
  </si>
  <si>
    <t>Peptidyl-prolyl cis-trans isomerase FKBP14</t>
  </si>
  <si>
    <t>Phosphoprotein associated with glycosphingolipid-enriched microdomains 1</t>
  </si>
  <si>
    <t>Uncharacterized protein C14orf119</t>
  </si>
  <si>
    <t>PIH1 domain-containing protein 1</t>
  </si>
  <si>
    <t>Protein FAM118A</t>
  </si>
  <si>
    <t>Hypoxia-inducible factor 1-alpha inhibitor</t>
  </si>
  <si>
    <t>3-oxoacyl-[acyl-carrier-protein] synthase, mitochondrial</t>
  </si>
  <si>
    <t>Glucose-induced degradation protein 8 homolog</t>
  </si>
  <si>
    <t>UPF0587 protein C1orf123</t>
  </si>
  <si>
    <t>Nicotinamide riboside kinase 1</t>
  </si>
  <si>
    <t>Probable tRNA(His) guanylyltransferase</t>
  </si>
  <si>
    <t>UPF0609 protein C4orf27</t>
  </si>
  <si>
    <t>Interleukin-1 receptor-associated kinase 4</t>
  </si>
  <si>
    <t>Transmembrane protein 160</t>
  </si>
  <si>
    <t>Thioredoxin-like protein 4B</t>
  </si>
  <si>
    <t>tRNA selenocysteine 1-associated protein 1</t>
  </si>
  <si>
    <t>COMM domain-containing protein 8</t>
  </si>
  <si>
    <t>NADH dehydrogenase [ubiquinone] 1 beta subcomplex subunit 11, mitochondrial</t>
  </si>
  <si>
    <t>OCIA domain-containing protein 1</t>
  </si>
  <si>
    <t>Poly(ADP-ribose) glycohydrolase ARH3</t>
  </si>
  <si>
    <t>E3 ubiquitin-protein ligase MARCH5</t>
  </si>
  <si>
    <t>Huntingtin-interacting protein K</t>
  </si>
  <si>
    <t>Inositol monophosphatase 3</t>
  </si>
  <si>
    <t>Mediator of RNA polymerase II transcription subunit 29</t>
  </si>
  <si>
    <t>tRNA-dihydrouridine(20) synthase [NAD(P)+]-like</t>
  </si>
  <si>
    <t>CKLF-like MARVEL transmembrane domain-containing protein 6</t>
  </si>
  <si>
    <t>WW domain binding protein 1-like</t>
  </si>
  <si>
    <t>NAD-dependent protein deacylase sirtuin-5, mitochondrial</t>
  </si>
  <si>
    <t>DDB1- and CUL4-associated factor 16</t>
  </si>
  <si>
    <t>Transmembrane prolyl 4-hydroxylase</t>
  </si>
  <si>
    <t>tRNA (guanine(26)-N(2))-dimethyltransferase</t>
  </si>
  <si>
    <t>Pyroglutamyl-peptidase 1</t>
  </si>
  <si>
    <t>Isoform 2 of Ganglioside-induced differentiation-associated protein 2</t>
  </si>
  <si>
    <t>Isoform 2 of Nuclear distribution protein nudE homolog 1</t>
  </si>
  <si>
    <t>BRCA1-A complex subunit BRE</t>
  </si>
  <si>
    <t>ADP-ribosylation factor-like protein 15</t>
  </si>
  <si>
    <t>CDKN2A-interacting protein</t>
  </si>
  <si>
    <t>Alpha-ketoglutarate-dependent dioxygenase alkB homolog 4</t>
  </si>
  <si>
    <t>Serine/threonine-protein phosphatase 4 regulatory subunit 2</t>
  </si>
  <si>
    <t>Dipeptidyl peptidase 3</t>
  </si>
  <si>
    <t>Isoform 2 of Sphingosine kinase 1</t>
  </si>
  <si>
    <t>Telomeric repeat-binding factor 2-interacting protein 1</t>
  </si>
  <si>
    <t>Isoform 2 of Bcl-2-associated transcription factor 1</t>
  </si>
  <si>
    <t>Cytochrome c oxidase assembly factor 4 homolog, mitochondrial</t>
  </si>
  <si>
    <t>TGF-beta-activated kinase 1 and MAP3K7-binding protein 2</t>
  </si>
  <si>
    <t>39S ribosomal protein L39, mitochondrial</t>
  </si>
  <si>
    <t>Isoform 2 of Mitogen-activated protein kinase kinase kinase MLT</t>
  </si>
  <si>
    <t>Tropomodulin-3</t>
  </si>
  <si>
    <t>BET1-like protein</t>
  </si>
  <si>
    <t>Isoform 2 of UDP-glucose:glycoprotein glucosyltransferase 1</t>
  </si>
  <si>
    <t>Isoform 2 of FAST kinase domain-containing protein 2</t>
  </si>
  <si>
    <t>Very-long-chain enoyl-CoA reductase</t>
  </si>
  <si>
    <t>Endoplasmic reticulum aminopeptidase 1</t>
  </si>
  <si>
    <t>Isoform 2 of Endoplasmic reticulum aminopeptidase 1</t>
  </si>
  <si>
    <t>Ubiquitin-associated protein 1</t>
  </si>
  <si>
    <t>Actin-related protein 10</t>
  </si>
  <si>
    <t>Vesicle transport protein USE1</t>
  </si>
  <si>
    <t>CDGSH iron-sulfur domain-containing protein 1</t>
  </si>
  <si>
    <t>Podocalyxin-like protein 2</t>
  </si>
  <si>
    <t>Formin-2</t>
  </si>
  <si>
    <t>Uncharacterized protein C9orf78</t>
  </si>
  <si>
    <t>Isoform D of Constitutive coactivator of PPAR-gamma-like protein 1</t>
  </si>
  <si>
    <t>Isoform 7 of Molybdenum cofactor biosynthesis protein 1</t>
  </si>
  <si>
    <t>Glycerophosphodiester phosphodiesterase 1</t>
  </si>
  <si>
    <t>SWI/SNF-related matrix-associated actin-dependent regulator of chromatin subfamily A-like protein 1</t>
  </si>
  <si>
    <t>Glycolipid transfer protein</t>
  </si>
  <si>
    <t>Isoform 2 of Maspardin</t>
  </si>
  <si>
    <t>Isoform 2 of Upstream-binding protein 1</t>
  </si>
  <si>
    <t>Hexaprenyldihydroxybenzoate methyltransferase, mitochondrial</t>
  </si>
  <si>
    <t>Isoform 2 of Mitochondrial carrier homolog 1</t>
  </si>
  <si>
    <t>Diphosphoinositol polyphosphate phosphohydrolase 2</t>
  </si>
  <si>
    <t>Isoform 2 of Diphosphoinositol polyphosphate phosphohydrolase 2</t>
  </si>
  <si>
    <t>Hsp70-binding protein 1</t>
  </si>
  <si>
    <t>Methionine adenosyltransferase 2 subunit beta</t>
  </si>
  <si>
    <t>Isoform 2 of Methionine adenosyltransferase 2 subunit beta</t>
  </si>
  <si>
    <t>Isoform 6 of Myoferlin</t>
  </si>
  <si>
    <t>Isoform 2 of Intersectin-2</t>
  </si>
  <si>
    <t>Isoform 2 of Glioma tumor suppressor candidate region gene 1 protein</t>
  </si>
  <si>
    <t>EH domain-containing protein 3</t>
  </si>
  <si>
    <t>EH domain-containing protein 2</t>
  </si>
  <si>
    <t>Isoform 3 of Aryl-hydrocarbon-interacting protein-like 1</t>
  </si>
  <si>
    <t>Isoform 3 of NCK-interacting protein with SH3 domain</t>
  </si>
  <si>
    <t>Isoform 3 of Programmed cell death 1 ligand 1</t>
  </si>
  <si>
    <t>Bifunctional apoptosis regulator</t>
  </si>
  <si>
    <t>Isoform 2 of Opioid growth factor receptor</t>
  </si>
  <si>
    <t>LIM and cysteine-rich domains protein 1</t>
  </si>
  <si>
    <t>Cysteine-rich motor neuron 1 protein</t>
  </si>
  <si>
    <t>MAGUK p55 subfamily member 6</t>
  </si>
  <si>
    <t>Charged multivesicular body protein 5</t>
  </si>
  <si>
    <t>COMM domain-containing protein 9</t>
  </si>
  <si>
    <t>Spliceosome-associated protein CWC15 homolog</t>
  </si>
  <si>
    <t>Thymocyte nuclear protein 1</t>
  </si>
  <si>
    <t>NADH dehydrogenase [ubiquinone] 1 alpha subcomplex assembly factor 4</t>
  </si>
  <si>
    <t>Very-long-chain (3R)-3-hydroxyacyl-[acyl-carrier protein] dehydratase 3</t>
  </si>
  <si>
    <t>ER membrane protein complex subunit 3</t>
  </si>
  <si>
    <t>[Pyruvate dehydrogenase [acetyl-transferring]]-phosphatase 1, mitochondrial</t>
  </si>
  <si>
    <t>E3 ubiquitin-protein ligase KCMF1</t>
  </si>
  <si>
    <t>Isoform 4 of Ankycorbin</t>
  </si>
  <si>
    <t>Vesicle-associated membrane protein-associated protein A</t>
  </si>
  <si>
    <t>E3 ubiquitin-protein ligase RNF181</t>
  </si>
  <si>
    <t>GSK3-beta interaction protein</t>
  </si>
  <si>
    <t>Cytochrome c oxidase assembly protein COX16 homolog, mitochondrial</t>
  </si>
  <si>
    <t>SH3 domain-binding protein 4</t>
  </si>
  <si>
    <t>Costars family protein ABRACL</t>
  </si>
  <si>
    <t>DNA-directed RNA polymerase I subunit RPA12</t>
  </si>
  <si>
    <t>Isoform 2 of Calcium-binding and coiled-coil domain-containing protein 1</t>
  </si>
  <si>
    <t>Vacuolar protein sorting-associated protein 18 homolog</t>
  </si>
  <si>
    <t>Protein RCC2</t>
  </si>
  <si>
    <t>Isoform 2 of LisH domain and HEAT repeat-containing protein KIAA1468</t>
  </si>
  <si>
    <t>Disco-interacting protein 2 homolog B</t>
  </si>
  <si>
    <t>Junctional protein associated with coronary artery disease</t>
  </si>
  <si>
    <t>SLAIN motif-containing protein 2</t>
  </si>
  <si>
    <t>BRCA2 and CDKN1A-interacting protein</t>
  </si>
  <si>
    <t>Isoform 2 of BRCA2 and CDKN1A-interacting protein</t>
  </si>
  <si>
    <t>Coatomer subunit zeta-2</t>
  </si>
  <si>
    <t>CTTNBP2 N-terminal-like protein</t>
  </si>
  <si>
    <t>UPF0501 protein KIAA1430</t>
  </si>
  <si>
    <t>Transmembrane protein 181</t>
  </si>
  <si>
    <t>Protocadherin-10</t>
  </si>
  <si>
    <t>Ribosome-binding protein 1</t>
  </si>
  <si>
    <t>Isoform 1 of Ribosome-binding protein 1</t>
  </si>
  <si>
    <t>Ankyrin repeat and IBR domain-containing protein 1</t>
  </si>
  <si>
    <t>Ubiquitin carboxyl-terminal hydrolase 35</t>
  </si>
  <si>
    <t>Cleavage and polyadenylation specificity factor subunit 2</t>
  </si>
  <si>
    <t>Isoform 2 of Eukaryotic translation initiation factor 2-alpha kinase 4</t>
  </si>
  <si>
    <t>RNA-binding protein 27</t>
  </si>
  <si>
    <t>Ankyrin repeat and FYVE domain-containing protein 1</t>
  </si>
  <si>
    <t>Dolichol-phosphate mannosyltransferase subunit 3</t>
  </si>
  <si>
    <t>Protein IMPACT</t>
  </si>
  <si>
    <t>Ataxin-10</t>
  </si>
  <si>
    <t>Neurochondrin</t>
  </si>
  <si>
    <t>Isoform 2 of Epidermal growth factor receptor substrate 15-like 1</t>
  </si>
  <si>
    <t>Battenin</t>
  </si>
  <si>
    <t>SUMO-activating enzyme subunit 1</t>
  </si>
  <si>
    <t>Coatomer subunit gamma-2</t>
  </si>
  <si>
    <t>RING-box protein 2</t>
  </si>
  <si>
    <t>Isoform 2 of Phosphatidylinositol 4-kinase beta</t>
  </si>
  <si>
    <t>C-type mannose receptor 2</t>
  </si>
  <si>
    <t>Guanine nucleotide-binding protein G(I)/G(S)/G(O) subunit gamma-12</t>
  </si>
  <si>
    <t>Isoform B of Methionine synthase reductase</t>
  </si>
  <si>
    <t>Protein UXT</t>
  </si>
  <si>
    <t>Isoform 2 of Copine-7</t>
  </si>
  <si>
    <t>7-dehydrocholesterol reductase</t>
  </si>
  <si>
    <t>Tumor necrosis factor receptor superfamily member 10D</t>
  </si>
  <si>
    <t>Isoform 3 of Spastin</t>
  </si>
  <si>
    <t>tRNA (guanine-N(7)-)-methyltransferase</t>
  </si>
  <si>
    <t>Isoform 4 of PTB domain-containing engulfment adapter protein 1</t>
  </si>
  <si>
    <t>Vacuolar protein sorting-associated protein 29</t>
  </si>
  <si>
    <t>Glyoxylate reductase/hydroxypyruvate reductase</t>
  </si>
  <si>
    <t>Cathepsin Z</t>
  </si>
  <si>
    <t>Ribosomal protein S6 kinase beta-2</t>
  </si>
  <si>
    <t>E3 ubiquitin-protein ligase RNF14</t>
  </si>
  <si>
    <t>SUMO-activating enzyme subunit 2</t>
  </si>
  <si>
    <t>Isoform 2 of Alpha-catulin</t>
  </si>
  <si>
    <t>Protein FAM8A1</t>
  </si>
  <si>
    <t>Protein sel-1 homolog 1</t>
  </si>
  <si>
    <t>Peflin</t>
  </si>
  <si>
    <t>COP9 signalosome complex subunit 7a</t>
  </si>
  <si>
    <t>Heat shock protein beta-7</t>
  </si>
  <si>
    <t>Alpha-aminoadipic semialdehyde synthase, mitochondrial</t>
  </si>
  <si>
    <t>Isoform 2 of CAP-Gly domain-containing linker protein 2</t>
  </si>
  <si>
    <t>Cytochrome b-c1 complex subunit 9</t>
  </si>
  <si>
    <t>Isoform 6 of Tight junction protein ZO-2</t>
  </si>
  <si>
    <t>DnaJ homolog subfamily B member 4</t>
  </si>
  <si>
    <t>Mucosa-associated lymphoid tissue lymphoma translocation protein 1</t>
  </si>
  <si>
    <t>Craniofacial development protein 1</t>
  </si>
  <si>
    <t>Isoform 2 of Putative tRNA (cytidine(32)/guanosine(34)-2-O)-methyltransferase</t>
  </si>
  <si>
    <t>Vesicle transport through interaction with t-SNAREs homolog 1B</t>
  </si>
  <si>
    <t>STE20/SPS1-related proline-alanine-rich protein kinase</t>
  </si>
  <si>
    <t>Isoform 1 of Gamma-adducin</t>
  </si>
  <si>
    <t>UPF0449 protein C19orf25</t>
  </si>
  <si>
    <t>Protein NipSnap homolog 3A</t>
  </si>
  <si>
    <t>CGG triplet repeat-binding protein 1</t>
  </si>
  <si>
    <t>Isoform 2 of Phosphatidylserine decarboxylase proenzyme</t>
  </si>
  <si>
    <t>ATP-binding cassette sub-family F member 2</t>
  </si>
  <si>
    <t>Testin</t>
  </si>
  <si>
    <t>Secretion-regulating guanine nucleotide exchange factor</t>
  </si>
  <si>
    <t>LIM domain-containing protein 1</t>
  </si>
  <si>
    <t>Translocation protein SEC63 homolog</t>
  </si>
  <si>
    <t>Isoform 2 of Calcium channel flower homolog</t>
  </si>
  <si>
    <t>Isoform 2 of Solute carrier family 2, facilitated glucose transporter member 6</t>
  </si>
  <si>
    <t>Sushi domain-containing protein 2</t>
  </si>
  <si>
    <t>Protein NDRG3</t>
  </si>
  <si>
    <t>Armadillo repeat-containing X-linked protein 3</t>
  </si>
  <si>
    <t>Switch-associated protein 70</t>
  </si>
  <si>
    <t>SUN domain-containing protein 2</t>
  </si>
  <si>
    <t>Ragulator complex protein LAMTOR3</t>
  </si>
  <si>
    <t>Isoform 2 of AF4/FMR2 family member 4</t>
  </si>
  <si>
    <t>Cysteine and histidine-rich domain-containing protein 1</t>
  </si>
  <si>
    <t>Serine/threonine-protein kinase TBK1</t>
  </si>
  <si>
    <t>Isoform 5 of Septin-9</t>
  </si>
  <si>
    <t>Ubiquilin-2</t>
  </si>
  <si>
    <t>Metalloreductase STEAP1</t>
  </si>
  <si>
    <t>Prenylcysteine oxidase 1</t>
  </si>
  <si>
    <t>Sedoheptulokinase</t>
  </si>
  <si>
    <t>Dipeptidyl peptidase 2</t>
  </si>
  <si>
    <t>Transmembrane protein 2</t>
  </si>
  <si>
    <t>Ubiquitin carboxyl-terminal hydrolase 25</t>
  </si>
  <si>
    <t>B-cell receptor-associated protein 29</t>
  </si>
  <si>
    <t>NADH-cytochrome b5 reductase 1</t>
  </si>
  <si>
    <t>Brain-specific angiogenesis inhibitor 1-associated protein 2-like protein 1</t>
  </si>
  <si>
    <t>Prefoldin subunit 2</t>
  </si>
  <si>
    <t>GPN-loop GTPase 3</t>
  </si>
  <si>
    <t>Isoform 4 of Poly(U)-binding-splicing factor PUF60</t>
  </si>
  <si>
    <t>Nuclear receptor-binding protein</t>
  </si>
  <si>
    <t>Enolase-phosphatase E1</t>
  </si>
  <si>
    <t>Fasciculation and elongation protein zeta-2</t>
  </si>
  <si>
    <t>Ena/VASP-like protein</t>
  </si>
  <si>
    <t>Isoform 2 of V-type proton ATPase subunit H</t>
  </si>
  <si>
    <t>Transgelin-3</t>
  </si>
  <si>
    <t>Importin-11</t>
  </si>
  <si>
    <t>tRNA methyltransferase 112 homolog</t>
  </si>
  <si>
    <t>Isoform 2 of Carboxypeptidase A4</t>
  </si>
  <si>
    <t>Leucine carboxyl methyltransferase 1</t>
  </si>
  <si>
    <t>Isoform 2 of Vacuolar protein sorting-associated protein 51 homolog</t>
  </si>
  <si>
    <t>ATPase inhibitor, mitochondrial</t>
  </si>
  <si>
    <t>Palmitoyltransferase ZDHHC2</t>
  </si>
  <si>
    <t>GTP:AMP phosphotransferase AK3, mitochondrial</t>
  </si>
  <si>
    <t>Isoform 3 of Short coiled-coil protein</t>
  </si>
  <si>
    <t>Isoform 3 of Leucyl-cystinyl aminopeptidase</t>
  </si>
  <si>
    <t>Gamma-glutamyltransferase 7</t>
  </si>
  <si>
    <t>Isoform 5 of Mitochondrial peptide methionine sulfoxide reductase</t>
  </si>
  <si>
    <t>tRNA (adenine(58)-N(1))-methyltransferase non-catalytic subunit TRM6</t>
  </si>
  <si>
    <t>Isoform 2 of Motile sperm domain-containing protein 1</t>
  </si>
  <si>
    <t>N-acetylglucosamine-1-phosphotransferase subunit gamma</t>
  </si>
  <si>
    <t>ERBB receptor feedback inhibitor 1</t>
  </si>
  <si>
    <t>Calcium-binding mitochondrial carrier protein Aralar2</t>
  </si>
  <si>
    <t>Tubulin epsilon chain</t>
  </si>
  <si>
    <t>Drebrin-like protein</t>
  </si>
  <si>
    <t>Isoform 2 of Drebrin-like protein</t>
  </si>
  <si>
    <t>Isoform 2 of Dynactin subunit 4</t>
  </si>
  <si>
    <t>Cell division cycle protein 23 homolog</t>
  </si>
  <si>
    <t>Anaphase-promoting complex subunit 4</t>
  </si>
  <si>
    <t>Isoform 2 of Anaphase-promoting complex subunit 2</t>
  </si>
  <si>
    <t>Heat shock protein beta-8</t>
  </si>
  <si>
    <t>ADP-ribosylation factor-binding protein GGA2</t>
  </si>
  <si>
    <t>Isoform 4 of ADP-ribosylation factor-binding protein GGA1</t>
  </si>
  <si>
    <t>Stomatin-like protein 2, mitochondrial</t>
  </si>
  <si>
    <t>Isoform 2 of N-acetylglucosamine-1-phosphodiester alpha-N-acetylglucosaminidase</t>
  </si>
  <si>
    <t>Nocturnin</t>
  </si>
  <si>
    <t>Vacuolar protein sorting-associated protein 28 homolog</t>
  </si>
  <si>
    <t>U6 snRNA-associated Sm-like protein LSm7</t>
  </si>
  <si>
    <t>Lariat debranching enzyme</t>
  </si>
  <si>
    <t>Hematological and neurological expressed 1 protein</t>
  </si>
  <si>
    <t>Isoform 3 of F-box only protein 9</t>
  </si>
  <si>
    <t>F-box only protein 3</t>
  </si>
  <si>
    <t>A-kinase anchor protein 11</t>
  </si>
  <si>
    <t>DnaJ homolog subfamily C member 12</t>
  </si>
  <si>
    <t>F-box/LRR-repeat protein 2</t>
  </si>
  <si>
    <t>Isoform 5 of TRAF2 and NCK-interacting protein kinase</t>
  </si>
  <si>
    <t>Cleavage and polyadenylation specificity factor subunit 3</t>
  </si>
  <si>
    <t>DCC-interacting protein 13-alpha</t>
  </si>
  <si>
    <t>Peroxisomal carnitine O-octanoyltransferase</t>
  </si>
  <si>
    <t>Poly [ADP-ribose] polymerase 4</t>
  </si>
  <si>
    <t>ADP-sugar pyrophosphatase</t>
  </si>
  <si>
    <t>Phosphatidylcholine transfer protein</t>
  </si>
  <si>
    <t>Probable ergosterol biosynthetic protein 28</t>
  </si>
  <si>
    <t>Protein kinase C and casein kinase substrate in neurons protein 3</t>
  </si>
  <si>
    <t>Isoform 2 of F-box only protein 5</t>
  </si>
  <si>
    <t>F-box only protein 4</t>
  </si>
  <si>
    <t>Thyrotropin-releasing hormone-degrading ectoenzyme</t>
  </si>
  <si>
    <t>Isobutyryl-CoA dehydrogenase, mitochondrial</t>
  </si>
  <si>
    <t>E3 ubiquitin-protein ligase AMFR</t>
  </si>
  <si>
    <t>Protein argonaute-2</t>
  </si>
  <si>
    <t>Integrin alpha-11</t>
  </si>
  <si>
    <t>Isoform 2 of Nuclear pore complex protein Nup50</t>
  </si>
  <si>
    <t>CCR4-NOT transcription complex subunit 11</t>
  </si>
  <si>
    <t>BAG family molecular chaperone regulator 5</t>
  </si>
  <si>
    <t>Ras-related protein Rab-21</t>
  </si>
  <si>
    <t>Ras-related protein Rab-22A</t>
  </si>
  <si>
    <t>Proteasome activator complex subunit 2</t>
  </si>
  <si>
    <t>Ras-related protein Rab-23</t>
  </si>
  <si>
    <t>Malignant T-cell-amplified sequence 1</t>
  </si>
  <si>
    <t>Probable palmitoyltransferase ZDHHC8</t>
  </si>
  <si>
    <t>Zinc transporter ZIP10</t>
  </si>
  <si>
    <t>Isoform 5 of Kinase D-interacting substrate of 220 kDa</t>
  </si>
  <si>
    <t>Arf-GAP with SH3 domain, ANK repeat and PH domain-containing protein 1</t>
  </si>
  <si>
    <t>Isoform 4 of MKL/myocardin-like protein 2</t>
  </si>
  <si>
    <t>Protein HEG homolog 1</t>
  </si>
  <si>
    <t>Zinc finger MIZ domain-containing protein 1</t>
  </si>
  <si>
    <t>Ankyrin repeat domain-containing protein 50</t>
  </si>
  <si>
    <t>Isoform 2 of TBC1 domain family member 24</t>
  </si>
  <si>
    <t>Pre-mRNA-splicing factor ISY1 homolog</t>
  </si>
  <si>
    <t>E3 ubiquitin-protein ligase HECTD1</t>
  </si>
  <si>
    <t>Coronin-1C</t>
  </si>
  <si>
    <t>Isoform 2 of Apoptosis-associated speck-like protein containing a CARD</t>
  </si>
  <si>
    <t>Neurogenic locus notch homolog protein 3</t>
  </si>
  <si>
    <t>Intercellular adhesion molecule 5</t>
  </si>
  <si>
    <t>Isoform 3 of NFU1 iron-sulfur cluster scaffold homolog, mitochondrial</t>
  </si>
  <si>
    <t>Pre-mRNA-processing factor 19</t>
  </si>
  <si>
    <t>Synaptopodin-2</t>
  </si>
  <si>
    <t>Isoform 2 of Ubiquilin-1</t>
  </si>
  <si>
    <t>Suppressor of fused homolog</t>
  </si>
  <si>
    <t>Neudesin</t>
  </si>
  <si>
    <t>Isoform 2 of Sorting nexin-12</t>
  </si>
  <si>
    <t>Isoform 5 of Synergin gamma</t>
  </si>
  <si>
    <t>Vacuolar protein sorting-associated protein 4A</t>
  </si>
  <si>
    <t>Isoform B of Ras GTPase-activating protein-binding protein 2</t>
  </si>
  <si>
    <t>E3 ubiquitin-protein ligase CHIP</t>
  </si>
  <si>
    <t>Protein kinase C and casein kinase substrate in neurons protein 2</t>
  </si>
  <si>
    <t>Melanoma-associated antigen D2</t>
  </si>
  <si>
    <t>Sorting nexin-7</t>
  </si>
  <si>
    <t>Sorting nexin-6</t>
  </si>
  <si>
    <t>Dual specificity protein phosphatase 12</t>
  </si>
  <si>
    <t>Syntaxin-8</t>
  </si>
  <si>
    <t>26S proteasome non-ATPase regulatory subunit 13</t>
  </si>
  <si>
    <t>FAS-associated factor 1</t>
  </si>
  <si>
    <t>Endothelial protein C receptor</t>
  </si>
  <si>
    <t>Peptidyl-prolyl cis-trans isomerase E</t>
  </si>
  <si>
    <t>COP9 signalosome complex subunit 3</t>
  </si>
  <si>
    <t>Multiple inositol polyphosphate phosphatase 1</t>
  </si>
  <si>
    <t>Isoform 2 of Transcription termination factor 2</t>
  </si>
  <si>
    <t>Frizzled-1</t>
  </si>
  <si>
    <t>A disintegrin and metalloproteinase with thrombospondin motifs 8</t>
  </si>
  <si>
    <t>Conserved oligomeric Golgi complex subunit 5</t>
  </si>
  <si>
    <t>Isoform 5 of Solute carrier family 12 member 4</t>
  </si>
  <si>
    <t>Isoform 2 of AP-4 complex subunit epsilon-1</t>
  </si>
  <si>
    <t>Protein SCAF8</t>
  </si>
  <si>
    <t>Serine/threonine-protein phosphatase 6 regulatory subunit 1</t>
  </si>
  <si>
    <t>Isoform Beta of E3 ubiquitin-protein ligase TRIM33</t>
  </si>
  <si>
    <t>Isoform 2 of Uncharacterized protein KIAA1107</t>
  </si>
  <si>
    <t>Isoform 2 of Trinucleotide repeat-containing gene 6B protein</t>
  </si>
  <si>
    <t>Protein SMG5</t>
  </si>
  <si>
    <t>Isoform 2 of Exocyst complex component 7</t>
  </si>
  <si>
    <t>Ubiquitin carboxyl-terminal hydrolase 24</t>
  </si>
  <si>
    <t>Isoform 2 of TBC1 domain family member 2B</t>
  </si>
  <si>
    <t>Microtubule-associated protein RP/EB family member 3</t>
  </si>
  <si>
    <t>Isoform 2 of Hermansky-Pudlak syndrome 5 protein</t>
  </si>
  <si>
    <t>Isoform 2 of Leucine-rich repeat protein SHOC-2</t>
  </si>
  <si>
    <t>Serine/arginine repetitive matrix protein 2</t>
  </si>
  <si>
    <t>Proliferation-associated protein 2G4</t>
  </si>
  <si>
    <t>Isoform 2 of Brain-specific angiogenesis inhibitor 1-associated protein 2</t>
  </si>
  <si>
    <t>Isoform 2 of GRB2-associated-binding protein 2</t>
  </si>
  <si>
    <t>Charged multivesicular body protein 2b</t>
  </si>
  <si>
    <t>Myotubularin-related protein 6</t>
  </si>
  <si>
    <t>Isoform 3 of Bifunctional UDP-N-acetylglucosamine 2-epimerase/N-acetylmannosamine kinase</t>
  </si>
  <si>
    <t>UPF0568 protein C14orf166</t>
  </si>
  <si>
    <t>RuvB-like 2</t>
  </si>
  <si>
    <t>Peptidyl-prolyl cis-trans isomerase NIMA-interacting 4</t>
  </si>
  <si>
    <t>HIG1 domain family member 1A, mitochondrial</t>
  </si>
  <si>
    <t>Isoform 2 of RAC-gamma serine/threonine-protein kinase</t>
  </si>
  <si>
    <t>Proteasome maturation protein</t>
  </si>
  <si>
    <t>Potassium channel subfamily K member 6</t>
  </si>
  <si>
    <t>Choline/ethanolamine kinase</t>
  </si>
  <si>
    <t>Phospholipase A-2-activating protein</t>
  </si>
  <si>
    <t>RuvB-like 1</t>
  </si>
  <si>
    <t>Nuclear migration protein nudC</t>
  </si>
  <si>
    <t>Mitochondrial chaperone BCS1</t>
  </si>
  <si>
    <t>Cofilin-2</t>
  </si>
  <si>
    <t>Histone chaperone ASF1A</t>
  </si>
  <si>
    <t>Developmentally-regulated GTP-binding protein 1</t>
  </si>
  <si>
    <t>Trafficking protein particle complex subunit 4</t>
  </si>
  <si>
    <t>Nck-associated protein 1</t>
  </si>
  <si>
    <t>Protein canopy homolog 2</t>
  </si>
  <si>
    <t>Uronyl 2-sulfotransferase</t>
  </si>
  <si>
    <t>Nuclease EXOG, mitochondrial</t>
  </si>
  <si>
    <t>Carbonic anhydrase 5B, mitochondrial</t>
  </si>
  <si>
    <t>Exocyst complex component 6B</t>
  </si>
  <si>
    <t>Isoform 4 of A-kinase anchor protein 2</t>
  </si>
  <si>
    <t>Disco-interacting protein 2 homolog C</t>
  </si>
  <si>
    <t>Epididymis-specific alpha-mannosidase</t>
  </si>
  <si>
    <t>Probable phospholipid-transporting ATPase IF</t>
  </si>
  <si>
    <t>GDP-fucose protein O-fucosyltransferase 2</t>
  </si>
  <si>
    <t>Serine/threonine-protein kinase 38-like</t>
  </si>
  <si>
    <t>Isoform 2 of Fibronectin type-III domain-containing protein 3A</t>
  </si>
  <si>
    <t>Nischarin</t>
  </si>
  <si>
    <t>WD repeat-containing protein 37</t>
  </si>
  <si>
    <t>Isoform B of Band 4.1-like protein 3</t>
  </si>
  <si>
    <t>Angiomotin-like protein 2</t>
  </si>
  <si>
    <t>Exosome complex exonuclease RRP44</t>
  </si>
  <si>
    <t>Glutathione S-transferase kappa 1</t>
  </si>
  <si>
    <t>Ragulator complex protein LAMTOR2</t>
  </si>
  <si>
    <t>28S ribosomal protein S28, mitochondrial</t>
  </si>
  <si>
    <t>Cytochrome c oxidase assembly protein 3 homolog, mitochondrial</t>
  </si>
  <si>
    <t>Isoform 2 of Lambda-crystallin homolog</t>
  </si>
  <si>
    <t>Translation machinery-associated protein 7</t>
  </si>
  <si>
    <t>Polymerase delta-interacting protein 2</t>
  </si>
  <si>
    <t>AP-3 complex subunit mu-1</t>
  </si>
  <si>
    <t>Mitogen-activated protein kinase kinase kinase 2</t>
  </si>
  <si>
    <t>Inner nuclear membrane protein Man1</t>
  </si>
  <si>
    <t>Conserved oligomeric Golgi complex subunit 6</t>
  </si>
  <si>
    <t>Thyroid hormone receptor-associated protein 3</t>
  </si>
  <si>
    <t>ARF GTPase-activating protein GIT1</t>
  </si>
  <si>
    <t>DNA-directed RNA polymerase III subunit RPC10</t>
  </si>
  <si>
    <t>Suppressor of G2 allele of SKP1 homolog</t>
  </si>
  <si>
    <t>Isoform 2 of Suppressor of G2 allele of SKP1 homolog</t>
  </si>
  <si>
    <t>Tyrosine--tRNA ligase, mitochondrial</t>
  </si>
  <si>
    <t>Isoform 3 of Ubiquinone biosynthesis monooxygenase COQ6</t>
  </si>
  <si>
    <t>Putative N-acetylglucosamine-6-phosphate deacetylase</t>
  </si>
  <si>
    <t>Acyl-coenzyme A thioesterase 9, mitochondrial</t>
  </si>
  <si>
    <t>Nitric oxide synthase-interacting protein</t>
  </si>
  <si>
    <t>Protein MEMO1</t>
  </si>
  <si>
    <t>Isoform 2 of Thioredoxin-related transmembrane protein 2</t>
  </si>
  <si>
    <t>U6 snRNA-associated Sm-like protein LSm2</t>
  </si>
  <si>
    <t>Endophilin-B1</t>
  </si>
  <si>
    <t>Complex I intermediate-associated protein 30, mitochondrial</t>
  </si>
  <si>
    <t>Calcium-binding protein 39</t>
  </si>
  <si>
    <t>Putative RNA-binding protein Luc7-like 2</t>
  </si>
  <si>
    <t>Ubiquitin-conjugating enzyme E2 J1</t>
  </si>
  <si>
    <t>Isoform 2 of Dehydrogenase/reductase SDR family member 7</t>
  </si>
  <si>
    <t>Isoform 3 of MOB-like protein phocein</t>
  </si>
  <si>
    <t>Ribosome maturation protein SBDS</t>
  </si>
  <si>
    <t>Transmembrane emp24 domain-containing protein 7</t>
  </si>
  <si>
    <t>RRP15-like protein</t>
  </si>
  <si>
    <t>Nucleolar protein 16</t>
  </si>
  <si>
    <t>Isoform 2 of TP53RK-binding protein</t>
  </si>
  <si>
    <t>RING finger protein 11</t>
  </si>
  <si>
    <t>Peptidyl-prolyl cis-trans isomerase-like 1</t>
  </si>
  <si>
    <t>Ubiquitin-fold modifier-conjugating enzyme 1</t>
  </si>
  <si>
    <t>Mitotic spindle-associated MMXD complex subunit MIP18</t>
  </si>
  <si>
    <t>Methionine-R-sulfoxide reductase B2, mitochondrial</t>
  </si>
  <si>
    <t>Mitochondrial fission 1 protein</t>
  </si>
  <si>
    <t>Adenylate kinase isoenzyme 6</t>
  </si>
  <si>
    <t>Vesicle transport protein GOT1B</t>
  </si>
  <si>
    <t>Hepatoma-derived growth factor-related protein 3</t>
  </si>
  <si>
    <t>BolA-like protein 1</t>
  </si>
  <si>
    <t>Charged multivesicular body protein 3</t>
  </si>
  <si>
    <t>Serine-threonine kinase receptor-associated protein</t>
  </si>
  <si>
    <t>tRNA-splicing ligase RtcB homolog</t>
  </si>
  <si>
    <t>F-box only protein 7</t>
  </si>
  <si>
    <t>SH3 domain-binding protein 1</t>
  </si>
  <si>
    <t>Ras-related protein Rap-2c</t>
  </si>
  <si>
    <t>Isoform 3 of StAR-related lipid transfer protein 13</t>
  </si>
  <si>
    <t>Rab GTPase-activating protein 1</t>
  </si>
  <si>
    <t>Transmembrane emp24 domain-containing protein 3</t>
  </si>
  <si>
    <t>TSC22 domain family protein 4</t>
  </si>
  <si>
    <t>Zinc finger protein 330</t>
  </si>
  <si>
    <t>R3H and coiled-coil domain-containing protein 1</t>
  </si>
  <si>
    <t>Nucleolar complex protein 2 homolog</t>
  </si>
  <si>
    <t>60S ribosomal protein L36</t>
  </si>
  <si>
    <t>RWD domain-containing protein 3</t>
  </si>
  <si>
    <t>Coiled-coil domain-containing protein 9</t>
  </si>
  <si>
    <t>Isoform 4 of Deoxynucleoside triphosphate triphosphohydrolase SAMHD1</t>
  </si>
  <si>
    <t>Isoform 3 of HBS1-like protein</t>
  </si>
  <si>
    <t>5-AMP-activated protein kinase subunit beta-1</t>
  </si>
  <si>
    <t>Talin-1</t>
  </si>
  <si>
    <t>Protein SOGA2</t>
  </si>
  <si>
    <t>Isoform 2 of Protein FAM115A</t>
  </si>
  <si>
    <t>Isoform 2 of WASH complex subunit FAM21C</t>
  </si>
  <si>
    <t>Ubiquitin carboxyl-terminal hydrolase 15</t>
  </si>
  <si>
    <t>FERM, RhoGEF and pleckstrin domain-containing protein 1</t>
  </si>
  <si>
    <t>Talin-2</t>
  </si>
  <si>
    <t>Rap guanine nucleotide exchange factor 2</t>
  </si>
  <si>
    <t>Insulin receptor substrate 2</t>
  </si>
  <si>
    <t>Lysyl oxidase homolog 2</t>
  </si>
  <si>
    <t>Absent in melanoma 1 protein</t>
  </si>
  <si>
    <t>Mitogen-activated protein kinase kinase kinase kinase 5</t>
  </si>
  <si>
    <t>Isoform 6 of Cysteine protease ATG4B</t>
  </si>
  <si>
    <t>Isoform 4 of WD repeat domain phosphoinositide-interacting protein 2</t>
  </si>
  <si>
    <t>Methylmalonic aciduria and homocystinuria type C protein</t>
  </si>
  <si>
    <t>AFG3-like protein 2</t>
  </si>
  <si>
    <t>E3 ubiquitin-protein ligase ARIH1</t>
  </si>
  <si>
    <t>U6 snRNA-associated Sm-like protein LSm4</t>
  </si>
  <si>
    <t>RING finger protein 114</t>
  </si>
  <si>
    <t>Sorting and assembly machinery component 50 homolog</t>
  </si>
  <si>
    <t>Cold shock domain-containing protein C2</t>
  </si>
  <si>
    <t>Protein phosphatase methylesterase 1</t>
  </si>
  <si>
    <t>Ankyrin repeat and SOCS box protein 1</t>
  </si>
  <si>
    <t>Mitochondrial import inner membrane translocase subunit Tim22</t>
  </si>
  <si>
    <t>Isoform 2 of YTH domain family protein 2</t>
  </si>
  <si>
    <t>RNA polymerase II subunit A C-terminal domain phosphatase</t>
  </si>
  <si>
    <t>Isoform 2 of Nucleoside diphosphate kinase 7</t>
  </si>
  <si>
    <t>Pleckstrin homology-like domain family A member 3</t>
  </si>
  <si>
    <t>Mitochondrial import inner membrane translocase subunit Tim10 B</t>
  </si>
  <si>
    <t>Mitochondrial import inner membrane translocase subunit Tim9</t>
  </si>
  <si>
    <t>Isoform 2 of Ubiquitin carboxyl-terminal hydrolase isozyme L5</t>
  </si>
  <si>
    <t>CD2-associated protein</t>
  </si>
  <si>
    <t>V-type proton ATPase subunit D</t>
  </si>
  <si>
    <t>Transportin-3</t>
  </si>
  <si>
    <t>Mitochondrial import inner membrane translocase subunit Tim13</t>
  </si>
  <si>
    <t>Signal recognition particle receptor subunit beta</t>
  </si>
  <si>
    <t>HemK methyltransferase family member 2</t>
  </si>
  <si>
    <t>Isoform 2 of Collagen type IV alpha-3-binding protein</t>
  </si>
  <si>
    <t>Mannose-1-phosphate guanyltransferase beta</t>
  </si>
  <si>
    <t>Trafficking protein particle complex subunit 1</t>
  </si>
  <si>
    <t>Transient receptor potential cation channel subfamily V member 2</t>
  </si>
  <si>
    <t>Serine/threonine-protein kinase MRCK beta</t>
  </si>
  <si>
    <t>RNA-binding protein 8A</t>
  </si>
  <si>
    <t>Isoform 2 of Protein TSSC4</t>
  </si>
  <si>
    <t>Melanoma-associated antigen D1</t>
  </si>
  <si>
    <t>Sorting nexin-9</t>
  </si>
  <si>
    <t>Sorting nexin-8</t>
  </si>
  <si>
    <t>Sorting nexin-5</t>
  </si>
  <si>
    <t>Cytosolic Fe-S cluster assembly factor NUBP2</t>
  </si>
  <si>
    <t>Heme-binding protein 2</t>
  </si>
  <si>
    <t>Host cell factor 2</t>
  </si>
  <si>
    <t>MORF4 family-associated protein 1</t>
  </si>
  <si>
    <t>Isoform 4 of Leucine-rich repeat flightless-interacting protein 2</t>
  </si>
  <si>
    <t>FH1/FH2 domain-containing protein 1</t>
  </si>
  <si>
    <t>Phosphoserine aminotransferase</t>
  </si>
  <si>
    <t>Mitochondrial ornithine transporter 1</t>
  </si>
  <si>
    <t>Glypican-6</t>
  </si>
  <si>
    <t>Isoform 1 of Neuroplastin</t>
  </si>
  <si>
    <t>Carboxypeptidase Q</t>
  </si>
  <si>
    <t>Dolichyl-phosphate beta-glucosyltransferase</t>
  </si>
  <si>
    <t>Coatomer subunit gamma-1</t>
  </si>
  <si>
    <t>Ancient ubiquitous protein 1</t>
  </si>
  <si>
    <t>Isoform 2 of Peptidyl-prolyl cis-trans isomerase FKBP7</t>
  </si>
  <si>
    <t>Isoform 2 of ADP-ribosylation factor-like protein 5A</t>
  </si>
  <si>
    <t>Lipoma HMGIC fusion partner</t>
  </si>
  <si>
    <t>Chloride intracellular channel protein 4</t>
  </si>
  <si>
    <t>Isoform Cytoplasmic of Cysteine desulfurase, mitochondrial</t>
  </si>
  <si>
    <t>UPF0468 protein C16orf80</t>
  </si>
  <si>
    <t>Isoform 2 of EP300-interacting inhibitor of differentiation 1</t>
  </si>
  <si>
    <t>EMILIN-1</t>
  </si>
  <si>
    <t>Mitochondrial carrier homolog 2</t>
  </si>
  <si>
    <t>Brefeldin A-inhibited guanine nucleotide-exchange protein 2</t>
  </si>
  <si>
    <t>Brefeldin A-inhibited guanine nucleotide-exchange protein 1</t>
  </si>
  <si>
    <t>Mitotic spindle assembly checkpoint protein MAD1</t>
  </si>
  <si>
    <t>Isoform A of Serine/threonine-protein kinase 24</t>
  </si>
  <si>
    <t>COMM domain-containing protein 10</t>
  </si>
  <si>
    <t>Cytoplasmic dynein 1 light intermediate chain 1</t>
  </si>
  <si>
    <t>Coiled-coil-helix-coiled-coil-helix domain-containing protein 2, mitochondrial</t>
  </si>
  <si>
    <t>Epsin-1</t>
  </si>
  <si>
    <t>Testis-expressed sequence 264 protein</t>
  </si>
  <si>
    <t>Isoform 3 of Adenylate kinase isoenzyme 5</t>
  </si>
  <si>
    <t>Isoform 3 of Casein kinase I isoform gamma-3</t>
  </si>
  <si>
    <t>Zinc transporter 1</t>
  </si>
  <si>
    <t>Cytochrome c oxidase assembly protein COX11, mitochondrial</t>
  </si>
  <si>
    <t>Sulfide:quinone oxidoreductase, mitochondrial</t>
  </si>
  <si>
    <t>Isoform 5 of Roundabout homolog 1</t>
  </si>
  <si>
    <t>Isoform T1 of Sestrin-1</t>
  </si>
  <si>
    <t>Stonin-1</t>
  </si>
  <si>
    <t>Isoform 5 of Nuclear receptor coactivator 3</t>
  </si>
  <si>
    <t>Numb-like protein</t>
  </si>
  <si>
    <t>Isoform 2 of Protein piccolo</t>
  </si>
  <si>
    <t>Calpain-7</t>
  </si>
  <si>
    <t>Wiskott-Aldrich syndrome protein family member 2</t>
  </si>
  <si>
    <t>Bis(5-adenosyl)-triphosphatase ENPP4</t>
  </si>
  <si>
    <t>Roundabout homolog 2 (Fragment)</t>
  </si>
  <si>
    <t>Motile sperm domain-containing protein 2</t>
  </si>
  <si>
    <t>26S proteasome non-ATPase regulatory subunit 8</t>
  </si>
  <si>
    <t>GDH/6PGL endoplasmic bifunctional protein</t>
  </si>
  <si>
    <t>Polycomb complex protein BMI-1</t>
  </si>
  <si>
    <t>Ran-binding protein 10</t>
  </si>
  <si>
    <t>Neuroblastoma suppressor of tumorigenicity 1 (Fragment)</t>
  </si>
  <si>
    <t>YTH domain family protein 3</t>
  </si>
  <si>
    <t>Uncharacterized protein C16orf74</t>
  </si>
  <si>
    <t>Protein S100-A6 (Fragment)</t>
  </si>
  <si>
    <t>DENN domain-containing protein 4C</t>
  </si>
  <si>
    <t>Pleckstrin homology-like domain family A member 1</t>
  </si>
  <si>
    <t>26S protease regulatory subunit 6A</t>
  </si>
  <si>
    <t>TMEM129</t>
  </si>
  <si>
    <t>UBA6</t>
  </si>
  <si>
    <t>UHRF1BP1L</t>
  </si>
  <si>
    <t>ARHGAP10</t>
  </si>
  <si>
    <t>ILVBL</t>
  </si>
  <si>
    <t>C17orf89</t>
  </si>
  <si>
    <t>SH3PXD2B</t>
  </si>
  <si>
    <t>ACO2</t>
  </si>
  <si>
    <t>PMEPA1</t>
  </si>
  <si>
    <t>AAR2</t>
  </si>
  <si>
    <t>PRNP</t>
  </si>
  <si>
    <t>NBAS</t>
  </si>
  <si>
    <t>KIAA1467</t>
  </si>
  <si>
    <t>FUOM</t>
  </si>
  <si>
    <t>SBNO1</t>
  </si>
  <si>
    <t>ISPD</t>
  </si>
  <si>
    <t>LCHN</t>
  </si>
  <si>
    <t>UCC1</t>
  </si>
  <si>
    <t>MBLAC1</t>
  </si>
  <si>
    <t>XIRP2</t>
  </si>
  <si>
    <t>CNOT1</t>
  </si>
  <si>
    <t>RAB3GAP1</t>
  </si>
  <si>
    <t>BST1</t>
  </si>
  <si>
    <t>PGP</t>
  </si>
  <si>
    <t>C5orf51</t>
  </si>
  <si>
    <t>RCCD1</t>
  </si>
  <si>
    <t>HCFC1</t>
  </si>
  <si>
    <t>TSPAN14</t>
  </si>
  <si>
    <t>OFD1</t>
  </si>
  <si>
    <t>CHMP1A</t>
  </si>
  <si>
    <t>PRCC</t>
  </si>
  <si>
    <t>TLCD2</t>
  </si>
  <si>
    <t>DYNLT3</t>
  </si>
  <si>
    <t>HN1L</t>
  </si>
  <si>
    <t>YIF1A</t>
  </si>
  <si>
    <t>TUBAL3</t>
  </si>
  <si>
    <t>GATSL2</t>
  </si>
  <si>
    <t>UNC119B</t>
  </si>
  <si>
    <t>HSPB11</t>
  </si>
  <si>
    <t>METTL15</t>
  </si>
  <si>
    <t>MAP2K5</t>
  </si>
  <si>
    <t>GPR89C</t>
  </si>
  <si>
    <t>ZMYM3</t>
  </si>
  <si>
    <t>BGN</t>
  </si>
  <si>
    <t>CNIH4</t>
  </si>
  <si>
    <t>SEPT8</t>
  </si>
  <si>
    <t>DIAPH2</t>
  </si>
  <si>
    <t>SHROOM1</t>
  </si>
  <si>
    <t>ANXA6</t>
  </si>
  <si>
    <t>CD9</t>
  </si>
  <si>
    <t>DNASE1L1</t>
  </si>
  <si>
    <t>FAM127A</t>
  </si>
  <si>
    <t>ZBTB8OS</t>
  </si>
  <si>
    <t>HSPA8</t>
  </si>
  <si>
    <t>MLLT4</t>
  </si>
  <si>
    <t>JAM2</t>
  </si>
  <si>
    <t>RTFDC1</t>
  </si>
  <si>
    <t>LYRM9</t>
  </si>
  <si>
    <t>SNRPB</t>
  </si>
  <si>
    <t>ARMC8</t>
  </si>
  <si>
    <t>hCG_1988162</t>
  </si>
  <si>
    <t>DSCR3</t>
  </si>
  <si>
    <t>TMEM147</t>
  </si>
  <si>
    <t>SUMO3</t>
  </si>
  <si>
    <t>TUBA4A</t>
  </si>
  <si>
    <t>TSSC1</t>
  </si>
  <si>
    <t>FAM171A2</t>
  </si>
  <si>
    <t>BICD1</t>
  </si>
  <si>
    <t>CDH2</t>
  </si>
  <si>
    <t>RAI1</t>
  </si>
  <si>
    <t>NUDT19</t>
  </si>
  <si>
    <t>RAB34</t>
  </si>
  <si>
    <t>PIK3C3</t>
  </si>
  <si>
    <t>STX1A</t>
  </si>
  <si>
    <t>MIF4GD</t>
  </si>
  <si>
    <t>SRRM1</t>
  </si>
  <si>
    <t>PFKFB2</t>
  </si>
  <si>
    <t>EIF3L</t>
  </si>
  <si>
    <t>SMCR7L</t>
  </si>
  <si>
    <t>TBC1D22A</t>
  </si>
  <si>
    <t>EWSR1</t>
  </si>
  <si>
    <t>CPNE1</t>
  </si>
  <si>
    <t>HP1BP3</t>
  </si>
  <si>
    <t>BAG6</t>
  </si>
  <si>
    <t>ABHD16A</t>
  </si>
  <si>
    <t>VARS</t>
  </si>
  <si>
    <t>PSMB9</t>
  </si>
  <si>
    <t>APOC3</t>
  </si>
  <si>
    <t>TSPO</t>
  </si>
  <si>
    <t>NHP2L1</t>
  </si>
  <si>
    <t>HMGCL</t>
  </si>
  <si>
    <t>PIGK</t>
  </si>
  <si>
    <t>RASAL2</t>
  </si>
  <si>
    <t>NRD1</t>
  </si>
  <si>
    <t>OSBPL9</t>
  </si>
  <si>
    <t>EIF4ENIF1</t>
  </si>
  <si>
    <t>RERE</t>
  </si>
  <si>
    <t>TSPAN2</t>
  </si>
  <si>
    <t>DYNLRB1</t>
  </si>
  <si>
    <t>TMED5</t>
  </si>
  <si>
    <t>CDC37L1</t>
  </si>
  <si>
    <t>FAM155A</t>
  </si>
  <si>
    <t>PHYH</t>
  </si>
  <si>
    <t>ARHGEF7</t>
  </si>
  <si>
    <t>PALM2-AKAP2</t>
  </si>
  <si>
    <t>GNAQ</t>
  </si>
  <si>
    <t>UBE2J2</t>
  </si>
  <si>
    <t>SEPT6</t>
  </si>
  <si>
    <t>EXOSC1</t>
  </si>
  <si>
    <t>CD58</t>
  </si>
  <si>
    <t>EIF4G3</t>
  </si>
  <si>
    <t>PRSS3</t>
  </si>
  <si>
    <t>GUK1</t>
  </si>
  <si>
    <t>SOAT1</t>
  </si>
  <si>
    <t>PSAP</t>
  </si>
  <si>
    <t>TAP1</t>
  </si>
  <si>
    <t>JMJD6</t>
  </si>
  <si>
    <t>CCDC92</t>
  </si>
  <si>
    <t>EIF3S3</t>
  </si>
  <si>
    <t>EIF3F</t>
  </si>
  <si>
    <t>LZTFL1</t>
  </si>
  <si>
    <t>MXRA8</t>
  </si>
  <si>
    <t>CA12</t>
  </si>
  <si>
    <t>PLTP</t>
  </si>
  <si>
    <t>SOD2</t>
  </si>
  <si>
    <t>FBXO18</t>
  </si>
  <si>
    <t>PHF23</t>
  </si>
  <si>
    <t>AP1G1</t>
  </si>
  <si>
    <t>CDIPT</t>
  </si>
  <si>
    <t>DHFR</t>
  </si>
  <si>
    <t>CNN2</t>
  </si>
  <si>
    <t>ANXA4</t>
  </si>
  <si>
    <t>SLC35A2</t>
  </si>
  <si>
    <t>PRNPIP</t>
  </si>
  <si>
    <t>NDUFA13</t>
  </si>
  <si>
    <t>DEK</t>
  </si>
  <si>
    <t>PIGX</t>
  </si>
  <si>
    <t>CTNNB1</t>
  </si>
  <si>
    <t>RYR2</t>
  </si>
  <si>
    <t>PIP4K2A</t>
  </si>
  <si>
    <t>MAP1S</t>
  </si>
  <si>
    <t>RPS6KC1</t>
  </si>
  <si>
    <t>BNIP3</t>
  </si>
  <si>
    <t>LRRC28</t>
  </si>
  <si>
    <t>TMEM165</t>
  </si>
  <si>
    <t>RAB5A</t>
  </si>
  <si>
    <t>SNRPD3</t>
  </si>
  <si>
    <t>CS</t>
  </si>
  <si>
    <t>SLC23A2</t>
  </si>
  <si>
    <t>ZYG11B</t>
  </si>
  <si>
    <t>ATP5C1</t>
  </si>
  <si>
    <t>CRYBG3</t>
  </si>
  <si>
    <t>NQO1</t>
  </si>
  <si>
    <t>RPS6KB1</t>
  </si>
  <si>
    <t>PGS1</t>
  </si>
  <si>
    <t>PTGES3</t>
  </si>
  <si>
    <t>SNX11</t>
  </si>
  <si>
    <t>TOX4</t>
  </si>
  <si>
    <t>EIF2A</t>
  </si>
  <si>
    <t>LPAR1</t>
  </si>
  <si>
    <t>ZDHHC18</t>
  </si>
  <si>
    <t>PGD</t>
  </si>
  <si>
    <t>NAA40</t>
  </si>
  <si>
    <t>HIST2H2BF</t>
  </si>
  <si>
    <t>SEC61A1</t>
  </si>
  <si>
    <t>ASB6</t>
  </si>
  <si>
    <t>CHM</t>
  </si>
  <si>
    <t>VDR</t>
  </si>
  <si>
    <t>C9orf41</t>
  </si>
  <si>
    <t>KIAA0513</t>
  </si>
  <si>
    <t>ANXA7</t>
  </si>
  <si>
    <t>SLC9A1</t>
  </si>
  <si>
    <t>BPNT1</t>
  </si>
  <si>
    <t>POFUT1</t>
  </si>
  <si>
    <t>RBKS</t>
  </si>
  <si>
    <t>ANXA11</t>
  </si>
  <si>
    <t>EIF3D</t>
  </si>
  <si>
    <t>HACL1</t>
  </si>
  <si>
    <t>QARS</t>
  </si>
  <si>
    <t>FXR1</t>
  </si>
  <si>
    <t>NUP35</t>
  </si>
  <si>
    <t>GPR176</t>
  </si>
  <si>
    <t>PEX5</t>
  </si>
  <si>
    <t>MSANTD2</t>
  </si>
  <si>
    <t>ARMC6</t>
  </si>
  <si>
    <t>RIOK3</t>
  </si>
  <si>
    <t>SLC35B3</t>
  </si>
  <si>
    <t>SDC4</t>
  </si>
  <si>
    <t>SFRS3</t>
  </si>
  <si>
    <t>STOM</t>
  </si>
  <si>
    <t>HADHB</t>
  </si>
  <si>
    <t>METTL13</t>
  </si>
  <si>
    <t>SPARCL1</t>
  </si>
  <si>
    <t>CTTN</t>
  </si>
  <si>
    <t>DVL3</t>
  </si>
  <si>
    <t>MPV17</t>
  </si>
  <si>
    <t>SYNGR1</t>
  </si>
  <si>
    <t>NCOA1</t>
  </si>
  <si>
    <t>TSPAN9</t>
  </si>
  <si>
    <t>RFT1</t>
  </si>
  <si>
    <t>C2orf43</t>
  </si>
  <si>
    <t>CABIN1</t>
  </si>
  <si>
    <t>EML3</t>
  </si>
  <si>
    <t>NTM</t>
  </si>
  <si>
    <t>PDDC1</t>
  </si>
  <si>
    <t>PDIA6</t>
  </si>
  <si>
    <t>MFSD8</t>
  </si>
  <si>
    <t>PPM1F</t>
  </si>
  <si>
    <t>TXNRD1</t>
  </si>
  <si>
    <t>COG2</t>
  </si>
  <si>
    <t>TSPAN5</t>
  </si>
  <si>
    <t>ALAD</t>
  </si>
  <si>
    <t>NPEPPS</t>
  </si>
  <si>
    <t>FGD4</t>
  </si>
  <si>
    <t>DNASE2</t>
  </si>
  <si>
    <t>WBP4</t>
  </si>
  <si>
    <t>P2RX4</t>
  </si>
  <si>
    <t>CCBL1</t>
  </si>
  <si>
    <t>SLC6A9</t>
  </si>
  <si>
    <t>STMN3</t>
  </si>
  <si>
    <t>F11R</t>
  </si>
  <si>
    <t>SLC27A1</t>
  </si>
  <si>
    <t>DECR1</t>
  </si>
  <si>
    <t>SMPDL3A</t>
  </si>
  <si>
    <t>TMEM106A</t>
  </si>
  <si>
    <t>USP7</t>
  </si>
  <si>
    <t>DHCR24</t>
  </si>
  <si>
    <t>GPRC5B</t>
  </si>
  <si>
    <t>ATP6AP2</t>
  </si>
  <si>
    <t>ATP1B1</t>
  </si>
  <si>
    <t>SH3GLB2</t>
  </si>
  <si>
    <t>PPP2R5E</t>
  </si>
  <si>
    <t>SART3</t>
  </si>
  <si>
    <t>SCARB1</t>
  </si>
  <si>
    <t>COX18</t>
  </si>
  <si>
    <t>EDEM3</t>
  </si>
  <si>
    <t>MPDZ</t>
  </si>
  <si>
    <t>RLTPR</t>
  </si>
  <si>
    <t>TAX1BP1</t>
  </si>
  <si>
    <t>RPL31</t>
  </si>
  <si>
    <t>STK16</t>
  </si>
  <si>
    <t>SUMO1</t>
  </si>
  <si>
    <t>PTMA</t>
  </si>
  <si>
    <t>COQ10B</t>
  </si>
  <si>
    <t>AGFG1</t>
  </si>
  <si>
    <t>USP39</t>
  </si>
  <si>
    <t>RHBDD1</t>
  </si>
  <si>
    <t>COA5</t>
  </si>
  <si>
    <t>IMMT</t>
  </si>
  <si>
    <t>TBC1D14</t>
  </si>
  <si>
    <t>PLCB2</t>
  </si>
  <si>
    <t>PEX7</t>
  </si>
  <si>
    <t>BAK1</t>
  </si>
  <si>
    <t>WASH3P</t>
  </si>
  <si>
    <t>C3orf18</t>
  </si>
  <si>
    <t>ASNSD1</t>
  </si>
  <si>
    <t>ZC3HC1</t>
  </si>
  <si>
    <t>CCDC126</t>
  </si>
  <si>
    <t>PFN2</t>
  </si>
  <si>
    <t>SRI</t>
  </si>
  <si>
    <t>IL1RAP</t>
  </si>
  <si>
    <t>MEGF9</t>
  </si>
  <si>
    <t>UBE2F</t>
  </si>
  <si>
    <t>UBE2E1</t>
  </si>
  <si>
    <t>TAMM41</t>
  </si>
  <si>
    <t>IQCJ-SCHIP1</t>
  </si>
  <si>
    <t>PHC2</t>
  </si>
  <si>
    <t>PDCD10</t>
  </si>
  <si>
    <t>TMEM98</t>
  </si>
  <si>
    <t>C16orf62</t>
  </si>
  <si>
    <t>PLSCR1</t>
  </si>
  <si>
    <t>HDAC10</t>
  </si>
  <si>
    <t>GTPBP10</t>
  </si>
  <si>
    <t>RBMS3</t>
  </si>
  <si>
    <t>RPSA</t>
  </si>
  <si>
    <t>NMD3</t>
  </si>
  <si>
    <t>SSR3</t>
  </si>
  <si>
    <t>SRSF7</t>
  </si>
  <si>
    <t>SNAP29</t>
  </si>
  <si>
    <t>BSDC1</t>
  </si>
  <si>
    <t>TFPI</t>
  </si>
  <si>
    <t>SIDT2</t>
  </si>
  <si>
    <t>DRAP1</t>
  </si>
  <si>
    <t>FOSL2</t>
  </si>
  <si>
    <t>TMUB1</t>
  </si>
  <si>
    <t>NCOR2</t>
  </si>
  <si>
    <t>EIF4E2</t>
  </si>
  <si>
    <t>MTMR2</t>
  </si>
  <si>
    <t>CDC42EP3</t>
  </si>
  <si>
    <t>OSCP1</t>
  </si>
  <si>
    <t>YIPF1</t>
  </si>
  <si>
    <t>GPS1</t>
  </si>
  <si>
    <t>BAG3</t>
  </si>
  <si>
    <t>CYCS</t>
  </si>
  <si>
    <t>ITM2C</t>
  </si>
  <si>
    <t>AAMP</t>
  </si>
  <si>
    <t>APEH</t>
  </si>
  <si>
    <t>VPS8</t>
  </si>
  <si>
    <t>ITGB1</t>
  </si>
  <si>
    <t>SLC38A5</t>
  </si>
  <si>
    <t>MYADM</t>
  </si>
  <si>
    <t>ARVCF</t>
  </si>
  <si>
    <t>ITGA6</t>
  </si>
  <si>
    <t>POLR2H</t>
  </si>
  <si>
    <t>APAF1</t>
  </si>
  <si>
    <t>SEPT5</t>
  </si>
  <si>
    <t>PPIG</t>
  </si>
  <si>
    <t>IP6K1</t>
  </si>
  <si>
    <t>NRF1</t>
  </si>
  <si>
    <t>STARD3NL</t>
  </si>
  <si>
    <t>CCDC58</t>
  </si>
  <si>
    <t>NME6</t>
  </si>
  <si>
    <t>PPIH</t>
  </si>
  <si>
    <t>FOXP2</t>
  </si>
  <si>
    <t>STK11IP</t>
  </si>
  <si>
    <t>SEC22A</t>
  </si>
  <si>
    <t>CHCHD3</t>
  </si>
  <si>
    <t>SLC46A1</t>
  </si>
  <si>
    <t>ZNF513</t>
  </si>
  <si>
    <t>BET1</t>
  </si>
  <si>
    <t>ACTB</t>
  </si>
  <si>
    <t>EIF4A2</t>
  </si>
  <si>
    <t>L2HGDH</t>
  </si>
  <si>
    <t>RPL24</t>
  </si>
  <si>
    <t>LPP</t>
  </si>
  <si>
    <t>SYPL1</t>
  </si>
  <si>
    <t>NRCAM</t>
  </si>
  <si>
    <t>INPP5K</t>
  </si>
  <si>
    <t>RFC4</t>
  </si>
  <si>
    <t>PCBP4</t>
  </si>
  <si>
    <t>UBE2H</t>
  </si>
  <si>
    <t>RAPH1</t>
  </si>
  <si>
    <t>BTN3A3</t>
  </si>
  <si>
    <t>SDC3</t>
  </si>
  <si>
    <t>EIF4G2</t>
  </si>
  <si>
    <t>IFIT1</t>
  </si>
  <si>
    <t>TMEM23</t>
  </si>
  <si>
    <t>RPL32</t>
  </si>
  <si>
    <t>NDOR1</t>
  </si>
  <si>
    <t>TAPBP</t>
  </si>
  <si>
    <t>CAMK2D</t>
  </si>
  <si>
    <t>POLR3G</t>
  </si>
  <si>
    <t>ERCC6</t>
  </si>
  <si>
    <t>COX7C</t>
  </si>
  <si>
    <t>PLRG1</t>
  </si>
  <si>
    <t>MFAP3L</t>
  </si>
  <si>
    <t>AMACR</t>
  </si>
  <si>
    <t>EIF4E</t>
  </si>
  <si>
    <t>HSD17B11</t>
  </si>
  <si>
    <t>TNFAIP8</t>
  </si>
  <si>
    <t>ARHGAP24</t>
  </si>
  <si>
    <t>RPS23</t>
  </si>
  <si>
    <t>CDV3</t>
  </si>
  <si>
    <t>EMB</t>
  </si>
  <si>
    <t>ALG13</t>
  </si>
  <si>
    <t>IDUA</t>
  </si>
  <si>
    <t>CDC42SE2</t>
  </si>
  <si>
    <t>IK</t>
  </si>
  <si>
    <t>GRAMD3</t>
  </si>
  <si>
    <t>HEXB</t>
  </si>
  <si>
    <t>SLC38A9</t>
  </si>
  <si>
    <t>SEC31A</t>
  </si>
  <si>
    <t>SPRY1</t>
  </si>
  <si>
    <t>HNRNPD</t>
  </si>
  <si>
    <t>STX18</t>
  </si>
  <si>
    <t>DCK</t>
  </si>
  <si>
    <t>MYO10</t>
  </si>
  <si>
    <t>COL12A1</t>
  </si>
  <si>
    <t>SLC9B2</t>
  </si>
  <si>
    <t>MRPS27</t>
  </si>
  <si>
    <t>SERINC5</t>
  </si>
  <si>
    <t>CCNH</t>
  </si>
  <si>
    <t>RNASET2</t>
  </si>
  <si>
    <t>COX7A2</t>
  </si>
  <si>
    <t>CLDND1</t>
  </si>
  <si>
    <t>MFSD10</t>
  </si>
  <si>
    <t>RFESD</t>
  </si>
  <si>
    <t>VWA8</t>
  </si>
  <si>
    <t>REEP5</t>
  </si>
  <si>
    <t>IMPA1</t>
  </si>
  <si>
    <t>TATDN1</t>
  </si>
  <si>
    <t>STMN2</t>
  </si>
  <si>
    <t>DERL1</t>
  </si>
  <si>
    <t>GTF2E2</t>
  </si>
  <si>
    <t>SLC36A1</t>
  </si>
  <si>
    <t>TCEB1</t>
  </si>
  <si>
    <t>UQCRB</t>
  </si>
  <si>
    <t>TTI2</t>
  </si>
  <si>
    <t>TMEM55A</t>
  </si>
  <si>
    <t>CHCHD7</t>
  </si>
  <si>
    <t>PSD3</t>
  </si>
  <si>
    <t>AP3M2</t>
  </si>
  <si>
    <t>ZFAND1</t>
  </si>
  <si>
    <t>SKP1</t>
  </si>
  <si>
    <t>SGK3</t>
  </si>
  <si>
    <t>CETN3</t>
  </si>
  <si>
    <t>PIGG</t>
  </si>
  <si>
    <t>COPS6</t>
  </si>
  <si>
    <t>NUDT12</t>
  </si>
  <si>
    <t>ATHL1</t>
  </si>
  <si>
    <t>DNPEP</t>
  </si>
  <si>
    <t>ASAH1</t>
  </si>
  <si>
    <t>KIAA0319L</t>
  </si>
  <si>
    <t>NCSTN</t>
  </si>
  <si>
    <t>RIMS1</t>
  </si>
  <si>
    <t>C12orf43</t>
  </si>
  <si>
    <t>CALCOCO2</t>
  </si>
  <si>
    <t>CD44</t>
  </si>
  <si>
    <t>TOM1</t>
  </si>
  <si>
    <t>PDXDC1</t>
  </si>
  <si>
    <t>PRRC2C</t>
  </si>
  <si>
    <t>STXBP4</t>
  </si>
  <si>
    <t>IFI16</t>
  </si>
  <si>
    <t>PTPRM</t>
  </si>
  <si>
    <t>NDUFV2</t>
  </si>
  <si>
    <t>SNCA</t>
  </si>
  <si>
    <t>NAA50</t>
  </si>
  <si>
    <t>LTF</t>
  </si>
  <si>
    <t>TSEN34</t>
  </si>
  <si>
    <t>TUBGCP6</t>
  </si>
  <si>
    <t>YIPF3</t>
  </si>
  <si>
    <t>ACIN1</t>
  </si>
  <si>
    <t>SMN1</t>
  </si>
  <si>
    <t>MKL1</t>
  </si>
  <si>
    <t>SYNJ2</t>
  </si>
  <si>
    <t>PAPSS2</t>
  </si>
  <si>
    <t>GMIP</t>
  </si>
  <si>
    <t>ATP2C1</t>
  </si>
  <si>
    <t>TNS1</t>
  </si>
  <si>
    <t>ITSN1</t>
  </si>
  <si>
    <t>EIF2B4</t>
  </si>
  <si>
    <t>MAST2</t>
  </si>
  <si>
    <t>ZC3H18</t>
  </si>
  <si>
    <t>HEPH</t>
  </si>
  <si>
    <t>TTC38</t>
  </si>
  <si>
    <t>HSPA4L</t>
  </si>
  <si>
    <t>PSEN1</t>
  </si>
  <si>
    <t>SDC2</t>
  </si>
  <si>
    <t>ITGA2</t>
  </si>
  <si>
    <t>AMOTL1</t>
  </si>
  <si>
    <t>NDUFA10</t>
  </si>
  <si>
    <t>PLAU</t>
  </si>
  <si>
    <t>PCM1</t>
  </si>
  <si>
    <t>RPS24</t>
  </si>
  <si>
    <t>RBMS1</t>
  </si>
  <si>
    <t>RCHY1</t>
  </si>
  <si>
    <t>BZW2</t>
  </si>
  <si>
    <t>CD36</t>
  </si>
  <si>
    <t>GDI2</t>
  </si>
  <si>
    <t>CSNK2A1</t>
  </si>
  <si>
    <t>NAV3</t>
  </si>
  <si>
    <t>DKK3</t>
  </si>
  <si>
    <t>NUP54</t>
  </si>
  <si>
    <t>LTBP4</t>
  </si>
  <si>
    <t>PRKDC</t>
  </si>
  <si>
    <t>PCCB</t>
  </si>
  <si>
    <t>CAPN5</t>
  </si>
  <si>
    <t>ZFAND2B</t>
  </si>
  <si>
    <t>MAP4</t>
  </si>
  <si>
    <t>ATG16L1</t>
  </si>
  <si>
    <t>HDHD1</t>
  </si>
  <si>
    <t>YWHAZ</t>
  </si>
  <si>
    <t>MYO6</t>
  </si>
  <si>
    <t>MON1B</t>
  </si>
  <si>
    <t>SEPT10</t>
  </si>
  <si>
    <t>ABI2</t>
  </si>
  <si>
    <t>IQGAP2</t>
  </si>
  <si>
    <t>ZMIZ2</t>
  </si>
  <si>
    <t>NDUFB5</t>
  </si>
  <si>
    <t>MPP2</t>
  </si>
  <si>
    <t>EIF4B</t>
  </si>
  <si>
    <t>DCTN1</t>
  </si>
  <si>
    <t>NCBP2</t>
  </si>
  <si>
    <t>RAVER1</t>
  </si>
  <si>
    <t>HEATR5A</t>
  </si>
  <si>
    <t>ALYREF</t>
  </si>
  <si>
    <t>SDHA</t>
  </si>
  <si>
    <t>COG1</t>
  </si>
  <si>
    <t>PAICS</t>
  </si>
  <si>
    <t>AGK</t>
  </si>
  <si>
    <t>LIMK1</t>
  </si>
  <si>
    <t>EIF2B5</t>
  </si>
  <si>
    <t>FNIP1</t>
  </si>
  <si>
    <t>UBR7</t>
  </si>
  <si>
    <t>GOSR1</t>
  </si>
  <si>
    <t>HNRNPH1</t>
  </si>
  <si>
    <t>MYO1B</t>
  </si>
  <si>
    <t>DMD</t>
  </si>
  <si>
    <t>KIF13A</t>
  </si>
  <si>
    <t>ITGB6</t>
  </si>
  <si>
    <t>SGCE</t>
  </si>
  <si>
    <t>XPO7</t>
  </si>
  <si>
    <t>NRP1</t>
  </si>
  <si>
    <t>DIP2A</t>
  </si>
  <si>
    <t>PDPK1</t>
  </si>
  <si>
    <t>DIAPH1</t>
  </si>
  <si>
    <t>NUP155</t>
  </si>
  <si>
    <t>ACSF2</t>
  </si>
  <si>
    <t>HADH</t>
  </si>
  <si>
    <t>TBL2</t>
  </si>
  <si>
    <t>MAPK8IP3</t>
  </si>
  <si>
    <t>RABGEF1</t>
  </si>
  <si>
    <t>PPP2R5D</t>
  </si>
  <si>
    <t>FCHSD2</t>
  </si>
  <si>
    <t>CEP97</t>
  </si>
  <si>
    <t>EPHA4</t>
  </si>
  <si>
    <t>SFXN4</t>
  </si>
  <si>
    <t>RASA1</t>
  </si>
  <si>
    <t>SERPING1</t>
  </si>
  <si>
    <t>TSN</t>
  </si>
  <si>
    <t>COPS8</t>
  </si>
  <si>
    <t>PRDX3</t>
  </si>
  <si>
    <t>CYP20A1</t>
  </si>
  <si>
    <t>TCOF1</t>
  </si>
  <si>
    <t>SSFA2</t>
  </si>
  <si>
    <t>MROH1</t>
  </si>
  <si>
    <t>PRKCDBP</t>
  </si>
  <si>
    <t>THY1</t>
  </si>
  <si>
    <t>TCP11L1</t>
  </si>
  <si>
    <t>PDE4DIP</t>
  </si>
  <si>
    <t>UBXN1</t>
  </si>
  <si>
    <t>CSF1</t>
  </si>
  <si>
    <t>CYHR1</t>
  </si>
  <si>
    <t>CD81</t>
  </si>
  <si>
    <t>FAM160A2</t>
  </si>
  <si>
    <t>EEF1D</t>
  </si>
  <si>
    <t>PARP10</t>
  </si>
  <si>
    <t>SNX19</t>
  </si>
  <si>
    <t>AMPD3</t>
  </si>
  <si>
    <t>PRMT1</t>
  </si>
  <si>
    <t>SERPINH1</t>
  </si>
  <si>
    <t>TP53I11</t>
  </si>
  <si>
    <t>TMEM123</t>
  </si>
  <si>
    <t>TTC9C</t>
  </si>
  <si>
    <t>RPL8</t>
  </si>
  <si>
    <t>SPCS2</t>
  </si>
  <si>
    <t>HYOU1</t>
  </si>
  <si>
    <t>EI24</t>
  </si>
  <si>
    <t>GPAA1</t>
  </si>
  <si>
    <t>RPL27A</t>
  </si>
  <si>
    <t>DCUN1D5</t>
  </si>
  <si>
    <t>USP47</t>
  </si>
  <si>
    <t>C11orf58</t>
  </si>
  <si>
    <t>ME3</t>
  </si>
  <si>
    <t>USF1</t>
  </si>
  <si>
    <t>CLNS1A</t>
  </si>
  <si>
    <t>FAM118B</t>
  </si>
  <si>
    <t>LMO7</t>
  </si>
  <si>
    <t>HSF1</t>
  </si>
  <si>
    <t>TSPAN4</t>
  </si>
  <si>
    <t>EBAG9</t>
  </si>
  <si>
    <t>RDX</t>
  </si>
  <si>
    <t>DERA</t>
  </si>
  <si>
    <t>EPPK1</t>
  </si>
  <si>
    <t>NAGK</t>
  </si>
  <si>
    <t>NDUFS8</t>
  </si>
  <si>
    <t>SC5D</t>
  </si>
  <si>
    <t>TUB</t>
  </si>
  <si>
    <t>CARD16</t>
  </si>
  <si>
    <t>PFDN4</t>
  </si>
  <si>
    <t>CD59</t>
  </si>
  <si>
    <t>FAU</t>
  </si>
  <si>
    <t>CRYAB</t>
  </si>
  <si>
    <t>CTSB</t>
  </si>
  <si>
    <t>UVRAG</t>
  </si>
  <si>
    <t>MAF1</t>
  </si>
  <si>
    <t>SLC22A18</t>
  </si>
  <si>
    <t>EIF1AD</t>
  </si>
  <si>
    <t>EFEMP2</t>
  </si>
  <si>
    <t>FADS3</t>
  </si>
  <si>
    <t>SCYL1</t>
  </si>
  <si>
    <t>NEDD8-MDP1</t>
  </si>
  <si>
    <t>TM9SF1</t>
  </si>
  <si>
    <t>TUBGCP2</t>
  </si>
  <si>
    <t>PFKFB3</t>
  </si>
  <si>
    <t>MYH14</t>
  </si>
  <si>
    <t>XPO4</t>
  </si>
  <si>
    <t>C1RL</t>
  </si>
  <si>
    <t>WNK1</t>
  </si>
  <si>
    <t>SMAD5</t>
  </si>
  <si>
    <t>CHD4</t>
  </si>
  <si>
    <t>PODXL</t>
  </si>
  <si>
    <t>DNMT1</t>
  </si>
  <si>
    <t>SUCLA2</t>
  </si>
  <si>
    <t>ATE1</t>
  </si>
  <si>
    <t>LTBR</t>
  </si>
  <si>
    <t>PTPRK</t>
  </si>
  <si>
    <t>DNAJB11</t>
  </si>
  <si>
    <t>BRI3</t>
  </si>
  <si>
    <t>DAD1</t>
  </si>
  <si>
    <t>CCDC53</t>
  </si>
  <si>
    <t>GPNMB</t>
  </si>
  <si>
    <t>GALNT1</t>
  </si>
  <si>
    <t>STRN4</t>
  </si>
  <si>
    <t>OTUB1</t>
  </si>
  <si>
    <t>DGKH</t>
  </si>
  <si>
    <t>ATP6V0D1</t>
  </si>
  <si>
    <t>PXN</t>
  </si>
  <si>
    <t>FARP2</t>
  </si>
  <si>
    <t>EXTL2</t>
  </si>
  <si>
    <t>TRIM59</t>
  </si>
  <si>
    <t>DHX36</t>
  </si>
  <si>
    <t>SLC3A2</t>
  </si>
  <si>
    <t>FAM120B</t>
  </si>
  <si>
    <t>GABARAPL1</t>
  </si>
  <si>
    <t>TRIM21</t>
  </si>
  <si>
    <t>SEC23IP</t>
  </si>
  <si>
    <t>RRN3</t>
  </si>
  <si>
    <t>FERMT3</t>
  </si>
  <si>
    <t>FBLN2</t>
  </si>
  <si>
    <t>ABI1</t>
  </si>
  <si>
    <t>L1CAM</t>
  </si>
  <si>
    <t>PCMTD1</t>
  </si>
  <si>
    <t>LRBA</t>
  </si>
  <si>
    <t>GOPC</t>
  </si>
  <si>
    <t>STARD10</t>
  </si>
  <si>
    <t>TMEM135</t>
  </si>
  <si>
    <t>WSB2</t>
  </si>
  <si>
    <t>ANKLE2</t>
  </si>
  <si>
    <t>VMP1</t>
  </si>
  <si>
    <t>KIAA1715</t>
  </si>
  <si>
    <t>DCTN2</t>
  </si>
  <si>
    <t>PRPF4B</t>
  </si>
  <si>
    <t>NRP2</t>
  </si>
  <si>
    <t>RBPMS</t>
  </si>
  <si>
    <t>SEC23A</t>
  </si>
  <si>
    <t>SHROOM2</t>
  </si>
  <si>
    <t>MANSC1</t>
  </si>
  <si>
    <t>TMEM117</t>
  </si>
  <si>
    <t>COLGALT2</t>
  </si>
  <si>
    <t>LRCH3</t>
  </si>
  <si>
    <t>TSG101</t>
  </si>
  <si>
    <t>RRP12</t>
  </si>
  <si>
    <t>KPNA6</t>
  </si>
  <si>
    <t>ATP5J2</t>
  </si>
  <si>
    <t>WLS</t>
  </si>
  <si>
    <t>VPS37C</t>
  </si>
  <si>
    <t>EVI5</t>
  </si>
  <si>
    <t>KLHL42</t>
  </si>
  <si>
    <t>AMPH</t>
  </si>
  <si>
    <t>ATP6V0A1</t>
  </si>
  <si>
    <t>BRK1</t>
  </si>
  <si>
    <t>MAP4K3</t>
  </si>
  <si>
    <t>TUBA1C</t>
  </si>
  <si>
    <t>IFNGR1</t>
  </si>
  <si>
    <t>CDC42BPA</t>
  </si>
  <si>
    <t>NDUFS7</t>
  </si>
  <si>
    <t>BCKDHA</t>
  </si>
  <si>
    <t>NAT1</t>
  </si>
  <si>
    <t>CLASP2</t>
  </si>
  <si>
    <t>OXNAD1</t>
  </si>
  <si>
    <t>LARS</t>
  </si>
  <si>
    <t>CDK17</t>
  </si>
  <si>
    <t>WBP11</t>
  </si>
  <si>
    <t>VDAC3</t>
  </si>
  <si>
    <t>MSRB3</t>
  </si>
  <si>
    <t>MFGE8</t>
  </si>
  <si>
    <t>OGDH</t>
  </si>
  <si>
    <t>SLC16A7</t>
  </si>
  <si>
    <t>INPP4A</t>
  </si>
  <si>
    <t>TRAP1</t>
  </si>
  <si>
    <t>XRCC1</t>
  </si>
  <si>
    <t>MVK</t>
  </si>
  <si>
    <t>CLPTM1</t>
  </si>
  <si>
    <t>EPN2</t>
  </si>
  <si>
    <t>KDM1A</t>
  </si>
  <si>
    <t>PDE12</t>
  </si>
  <si>
    <t>PPP3R1</t>
  </si>
  <si>
    <t>MAP2K7</t>
  </si>
  <si>
    <t>NME2</t>
  </si>
  <si>
    <t>CNOT2</t>
  </si>
  <si>
    <t>CAD</t>
  </si>
  <si>
    <t>HVCN1</t>
  </si>
  <si>
    <t>C12orf75</t>
  </si>
  <si>
    <t>METAP2</t>
  </si>
  <si>
    <t>TMEM19</t>
  </si>
  <si>
    <t>NEK3</t>
  </si>
  <si>
    <t>NFYB</t>
  </si>
  <si>
    <t>PLXNA1</t>
  </si>
  <si>
    <t>FKBP11</t>
  </si>
  <si>
    <t>POC1B-GALNT4</t>
  </si>
  <si>
    <t>CD63</t>
  </si>
  <si>
    <t>NAP1L1</t>
  </si>
  <si>
    <t>TENC1</t>
  </si>
  <si>
    <t>DDX23</t>
  </si>
  <si>
    <t>COPZ1</t>
  </si>
  <si>
    <t>PACS2</t>
  </si>
  <si>
    <t>CSRP2</t>
  </si>
  <si>
    <t>MON2</t>
  </si>
  <si>
    <t>TSPAN31</t>
  </si>
  <si>
    <t>SMARCC2</t>
  </si>
  <si>
    <t>SCAF11</t>
  </si>
  <si>
    <t>GIT2</t>
  </si>
  <si>
    <t>ARL1</t>
  </si>
  <si>
    <t>DNAJC14</t>
  </si>
  <si>
    <t>NACA</t>
  </si>
  <si>
    <t>C17orf49</t>
  </si>
  <si>
    <t>CHPT1</t>
  </si>
  <si>
    <t>ACAD10</t>
  </si>
  <si>
    <t>SLC11A2</t>
  </si>
  <si>
    <t>BTD</t>
  </si>
  <si>
    <t>RBMS2</t>
  </si>
  <si>
    <t>HNRNPA1</t>
  </si>
  <si>
    <t>TRIM5</t>
  </si>
  <si>
    <t>EML1</t>
  </si>
  <si>
    <t>UBAP2L</t>
  </si>
  <si>
    <t>GPHN</t>
  </si>
  <si>
    <t>SLC4A7</t>
  </si>
  <si>
    <t>FAM162A</t>
  </si>
  <si>
    <t>TIA1</t>
  </si>
  <si>
    <t>PPP1R12B</t>
  </si>
  <si>
    <t>UNC13B</t>
  </si>
  <si>
    <t>IGF2BP2</t>
  </si>
  <si>
    <t>RFC5</t>
  </si>
  <si>
    <t>CLASP1</t>
  </si>
  <si>
    <t>MTMR1</t>
  </si>
  <si>
    <t>UCKL1</t>
  </si>
  <si>
    <t>NABP1</t>
  </si>
  <si>
    <t>DENND2A</t>
  </si>
  <si>
    <t>MRPL40</t>
  </si>
  <si>
    <t>RNF149</t>
  </si>
  <si>
    <t>KIF21A</t>
  </si>
  <si>
    <t>ATL1</t>
  </si>
  <si>
    <t>PHC3</t>
  </si>
  <si>
    <t>PELP1</t>
  </si>
  <si>
    <t>MYO5A</t>
  </si>
  <si>
    <t>DNMT3A</t>
  </si>
  <si>
    <t>MMADHC</t>
  </si>
  <si>
    <t>SEC62</t>
  </si>
  <si>
    <t>CPSF6</t>
  </si>
  <si>
    <t>NDUFV1</t>
  </si>
  <si>
    <t>OTUD4</t>
  </si>
  <si>
    <t>FAM91A1</t>
  </si>
  <si>
    <t>CASP1</t>
  </si>
  <si>
    <t>GSDMD</t>
  </si>
  <si>
    <t>DSCAML1</t>
  </si>
  <si>
    <t>PON2</t>
  </si>
  <si>
    <t>TJP1</t>
  </si>
  <si>
    <t>HBA2</t>
  </si>
  <si>
    <t>LOH12CR1</t>
  </si>
  <si>
    <t>ZEB1</t>
  </si>
  <si>
    <t>ISYNA1</t>
  </si>
  <si>
    <t>NUP107</t>
  </si>
  <si>
    <t>ATF7IP</t>
  </si>
  <si>
    <t>RPL18</t>
  </si>
  <si>
    <t>TMEM189</t>
  </si>
  <si>
    <t>ACYP1</t>
  </si>
  <si>
    <t>SPATA7</t>
  </si>
  <si>
    <t>DCAF8</t>
  </si>
  <si>
    <t>ATXN3</t>
  </si>
  <si>
    <t>SIX4</t>
  </si>
  <si>
    <t>VIPAS39</t>
  </si>
  <si>
    <t>AP4S1</t>
  </si>
  <si>
    <t>FBLN5</t>
  </si>
  <si>
    <t>LTBP2</t>
  </si>
  <si>
    <t>FAM177A1</t>
  </si>
  <si>
    <t>CTAGE5</t>
  </si>
  <si>
    <t>SERPINA3</t>
  </si>
  <si>
    <t>ZFYVE1</t>
  </si>
  <si>
    <t>GSTZ1</t>
  </si>
  <si>
    <t>CDK2</t>
  </si>
  <si>
    <t>WARS</t>
  </si>
  <si>
    <t>PSMA6</t>
  </si>
  <si>
    <t>TMEM48</t>
  </si>
  <si>
    <t>ARID1B</t>
  </si>
  <si>
    <t>PAPOLA</t>
  </si>
  <si>
    <t>LAMB1</t>
  </si>
  <si>
    <t>TIMM8B</t>
  </si>
  <si>
    <t>ABCB8</t>
  </si>
  <si>
    <t>COMP</t>
  </si>
  <si>
    <t>TMPO</t>
  </si>
  <si>
    <t>GPR107</t>
  </si>
  <si>
    <t>USP11</t>
  </si>
  <si>
    <t>SOS1</t>
  </si>
  <si>
    <t>NKIRAS1</t>
  </si>
  <si>
    <t>CELF1</t>
  </si>
  <si>
    <t>WIPI1</t>
  </si>
  <si>
    <t>TMOD2</t>
  </si>
  <si>
    <t>PDIA3</t>
  </si>
  <si>
    <t>COBLL1</t>
  </si>
  <si>
    <t>MYL6</t>
  </si>
  <si>
    <t>PUS1</t>
  </si>
  <si>
    <t>WDR45</t>
  </si>
  <si>
    <t>LEPREL2</t>
  </si>
  <si>
    <t>TACC1</t>
  </si>
  <si>
    <t>PPT2</t>
  </si>
  <si>
    <t>MVB12B</t>
  </si>
  <si>
    <t>PRKAG2</t>
  </si>
  <si>
    <t>TH1L</t>
  </si>
  <si>
    <t>CLCN7</t>
  </si>
  <si>
    <t>AMPD2</t>
  </si>
  <si>
    <t>MYD88</t>
  </si>
  <si>
    <t>NAPEPLD</t>
  </si>
  <si>
    <t>SH3PXD2A</t>
  </si>
  <si>
    <t>ATP11A</t>
  </si>
  <si>
    <t>PHF8</t>
  </si>
  <si>
    <t>DOCK4</t>
  </si>
  <si>
    <t>PTGDS</t>
  </si>
  <si>
    <t>EPB41L2</t>
  </si>
  <si>
    <t>PREP</t>
  </si>
  <si>
    <t>UFM1</t>
  </si>
  <si>
    <t>ARFGAP3</t>
  </si>
  <si>
    <t>PYCRL</t>
  </si>
  <si>
    <t>NME4</t>
  </si>
  <si>
    <t>SP3</t>
  </si>
  <si>
    <t>CALM2</t>
  </si>
  <si>
    <t>THOC2</t>
  </si>
  <si>
    <t>PLXNB2</t>
  </si>
  <si>
    <t>STIM2</t>
  </si>
  <si>
    <t>TMEM222</t>
  </si>
  <si>
    <t>MCM2</t>
  </si>
  <si>
    <t>CHIC2</t>
  </si>
  <si>
    <t>DGKQ</t>
  </si>
  <si>
    <t>PCBD2</t>
  </si>
  <si>
    <t>C5orf24</t>
  </si>
  <si>
    <t>APBB2</t>
  </si>
  <si>
    <t>ARHGEF10</t>
  </si>
  <si>
    <t>ZDHHC14</t>
  </si>
  <si>
    <t>UBE2W</t>
  </si>
  <si>
    <t>BNIP3L</t>
  </si>
  <si>
    <t>TXNRD3</t>
  </si>
  <si>
    <t>PTK2</t>
  </si>
  <si>
    <t>MTFR1</t>
  </si>
  <si>
    <t>ADAM19</t>
  </si>
  <si>
    <t>ADAR</t>
  </si>
  <si>
    <t>RUFY2</t>
  </si>
  <si>
    <t>SIGIRR</t>
  </si>
  <si>
    <t>UBQLN1</t>
  </si>
  <si>
    <t>REPS1</t>
  </si>
  <si>
    <t>PPP1R16A</t>
  </si>
  <si>
    <t>PPP5C</t>
  </si>
  <si>
    <t>SSSCA1</t>
  </si>
  <si>
    <t>RNASEH2C</t>
  </si>
  <si>
    <t>RPS2</t>
  </si>
  <si>
    <t>MAPK3</t>
  </si>
  <si>
    <t>MAN1B1</t>
  </si>
  <si>
    <t>CADM1</t>
  </si>
  <si>
    <t>REXO2</t>
  </si>
  <si>
    <t>ARHGDIB</t>
  </si>
  <si>
    <t>ARHGAP23</t>
  </si>
  <si>
    <t>MRVI1</t>
  </si>
  <si>
    <t>METTL7A</t>
  </si>
  <si>
    <t>FERMT2</t>
  </si>
  <si>
    <t>CCDC85C</t>
  </si>
  <si>
    <t>EMC4</t>
  </si>
  <si>
    <t>C15orf48</t>
  </si>
  <si>
    <t>ANXA2</t>
  </si>
  <si>
    <t>IL16</t>
  </si>
  <si>
    <t>GMPR2</t>
  </si>
  <si>
    <t>RPL28</t>
  </si>
  <si>
    <t>ALDH1A2</t>
  </si>
  <si>
    <t>C15orf57</t>
  </si>
  <si>
    <t>SEC11A</t>
  </si>
  <si>
    <t>DPH6</t>
  </si>
  <si>
    <t>UACA</t>
  </si>
  <si>
    <t>LSAMP</t>
  </si>
  <si>
    <t>CD55</t>
  </si>
  <si>
    <t>DBNDD1</t>
  </si>
  <si>
    <t>DDX17</t>
  </si>
  <si>
    <t>NUB1</t>
  </si>
  <si>
    <t>NOL3</t>
  </si>
  <si>
    <t>COMMD4</t>
  </si>
  <si>
    <t>SIN3A</t>
  </si>
  <si>
    <t>SPNS1</t>
  </si>
  <si>
    <t>TMEM219</t>
  </si>
  <si>
    <t>TSC2</t>
  </si>
  <si>
    <t>NUDT21</t>
  </si>
  <si>
    <t>BLOC1S6</t>
  </si>
  <si>
    <t>PRICKLE2</t>
  </si>
  <si>
    <t>CARHSP1</t>
  </si>
  <si>
    <t>TRAPPC2L</t>
  </si>
  <si>
    <t>HEXA</t>
  </si>
  <si>
    <t>COQ7</t>
  </si>
  <si>
    <t>TK2</t>
  </si>
  <si>
    <t>UBE2I</t>
  </si>
  <si>
    <t>FUS</t>
  </si>
  <si>
    <t>RNPS1</t>
  </si>
  <si>
    <t>ORAOV1</t>
  </si>
  <si>
    <t>ALDOA</t>
  </si>
  <si>
    <t>EDC3</t>
  </si>
  <si>
    <t>ARPP19</t>
  </si>
  <si>
    <t>SNAPC5</t>
  </si>
  <si>
    <t>DDX19B</t>
  </si>
  <si>
    <t>MT3</t>
  </si>
  <si>
    <t>hCG_2044799</t>
  </si>
  <si>
    <t>DCTN5</t>
  </si>
  <si>
    <t>ZFYVE19</t>
  </si>
  <si>
    <t>UQCRC2</t>
  </si>
  <si>
    <t>UBFD1</t>
  </si>
  <si>
    <t>ABAT</t>
  </si>
  <si>
    <t>FAM219B</t>
  </si>
  <si>
    <t>EIF3C</t>
  </si>
  <si>
    <t>VWA9</t>
  </si>
  <si>
    <t>C16orf58</t>
  </si>
  <si>
    <t>KCTD5</t>
  </si>
  <si>
    <t>CTU2</t>
  </si>
  <si>
    <t>METTL22</t>
  </si>
  <si>
    <t>ADPGK</t>
  </si>
  <si>
    <t>MAP1LC3B</t>
  </si>
  <si>
    <t>PKM</t>
  </si>
  <si>
    <t>RNF166</t>
  </si>
  <si>
    <t>ARL2BP</t>
  </si>
  <si>
    <t>OGFOD1</t>
  </si>
  <si>
    <t>NOB1</t>
  </si>
  <si>
    <t>CDH11</t>
  </si>
  <si>
    <t>LONP2</t>
  </si>
  <si>
    <t>C16orf45</t>
  </si>
  <si>
    <t>TMEM62</t>
  </si>
  <si>
    <t>GABARAP</t>
  </si>
  <si>
    <t>LGALS8</t>
  </si>
  <si>
    <t>PPP6R3</t>
  </si>
  <si>
    <t>ESYT2</t>
  </si>
  <si>
    <t>ERGIC3</t>
  </si>
  <si>
    <t>TPRN</t>
  </si>
  <si>
    <t>MPC1</t>
  </si>
  <si>
    <t>PCMT1</t>
  </si>
  <si>
    <t>COL5A1</t>
  </si>
  <si>
    <t>GTF3C5</t>
  </si>
  <si>
    <t>WRB</t>
  </si>
  <si>
    <t>SP140L</t>
  </si>
  <si>
    <t>IFITM2</t>
  </si>
  <si>
    <t>P4HB</t>
  </si>
  <si>
    <t>OTUD5</t>
  </si>
  <si>
    <t>NHEJ1</t>
  </si>
  <si>
    <t>IL10RB</t>
  </si>
  <si>
    <t>IQSEC1</t>
  </si>
  <si>
    <t>BRD8</t>
  </si>
  <si>
    <t>RANBP1</t>
  </si>
  <si>
    <t>MZT2B</t>
  </si>
  <si>
    <t>AP1S1</t>
  </si>
  <si>
    <t>TMEM87B</t>
  </si>
  <si>
    <t>CC2D1B</t>
  </si>
  <si>
    <t>APOO</t>
  </si>
  <si>
    <t>IRAK1</t>
  </si>
  <si>
    <t>PPM1N</t>
  </si>
  <si>
    <t>CMC1</t>
  </si>
  <si>
    <t>ELN</t>
  </si>
  <si>
    <t>ATG2A</t>
  </si>
  <si>
    <t>FLVCR1</t>
  </si>
  <si>
    <t>MDFIC</t>
  </si>
  <si>
    <t>MBNL1</t>
  </si>
  <si>
    <t>FXN</t>
  </si>
  <si>
    <t>XRN1</t>
  </si>
  <si>
    <t>IAH1</t>
  </si>
  <si>
    <t>GPM6B</t>
  </si>
  <si>
    <t>EFR3A</t>
  </si>
  <si>
    <t>SEPN1</t>
  </si>
  <si>
    <t>SGIP1</t>
  </si>
  <si>
    <t>MICU1</t>
  </si>
  <si>
    <t>MECOM</t>
  </si>
  <si>
    <t>WASH6P</t>
  </si>
  <si>
    <t>GOSR2</t>
  </si>
  <si>
    <t>RNF167</t>
  </si>
  <si>
    <t>NSF</t>
  </si>
  <si>
    <t>FAM195A</t>
  </si>
  <si>
    <t>ALOX15B</t>
  </si>
  <si>
    <t>MYL4</t>
  </si>
  <si>
    <t>SLC25A11</t>
  </si>
  <si>
    <t>ELP5</t>
  </si>
  <si>
    <t>CLUH</t>
  </si>
  <si>
    <t>DVL2</t>
  </si>
  <si>
    <t>RUNX2</t>
  </si>
  <si>
    <t>TOM1L1</t>
  </si>
  <si>
    <t>EIF5A</t>
  </si>
  <si>
    <t>ATPAF1</t>
  </si>
  <si>
    <t>FAM195B</t>
  </si>
  <si>
    <t>LSMD1</t>
  </si>
  <si>
    <t>NFKBIB</t>
  </si>
  <si>
    <t>TMEM159</t>
  </si>
  <si>
    <t>FOPNL</t>
  </si>
  <si>
    <t>ANK2</t>
  </si>
  <si>
    <t>FABP5</t>
  </si>
  <si>
    <t>CACTIN</t>
  </si>
  <si>
    <t>NPC2</t>
  </si>
  <si>
    <t>LDLR</t>
  </si>
  <si>
    <t>PI4KA</t>
  </si>
  <si>
    <t>KIAA0368</t>
  </si>
  <si>
    <t>PSMD9</t>
  </si>
  <si>
    <t>NOMO3</t>
  </si>
  <si>
    <t>CHFR</t>
  </si>
  <si>
    <t>BNIP2</t>
  </si>
  <si>
    <t>NCEH1</t>
  </si>
  <si>
    <t>TBC1D8B</t>
  </si>
  <si>
    <t>CCS</t>
  </si>
  <si>
    <t>CEP290</t>
  </si>
  <si>
    <t>RGMB</t>
  </si>
  <si>
    <t>CYB5B</t>
  </si>
  <si>
    <t>COG4</t>
  </si>
  <si>
    <t>CHID1</t>
  </si>
  <si>
    <t>SEC16A</t>
  </si>
  <si>
    <t>FAM63B</t>
  </si>
  <si>
    <t>FBXL7</t>
  </si>
  <si>
    <t>BRAP</t>
  </si>
  <si>
    <t>PARVA</t>
  </si>
  <si>
    <t>FGFR1</t>
  </si>
  <si>
    <t>FHL2</t>
  </si>
  <si>
    <t>MYO18A</t>
  </si>
  <si>
    <t>SRSF2</t>
  </si>
  <si>
    <t>SIPA1L1</t>
  </si>
  <si>
    <t>PTPRA</t>
  </si>
  <si>
    <t>ANKRD46</t>
  </si>
  <si>
    <t>NUP98</t>
  </si>
  <si>
    <t>PHACTR2</t>
  </si>
  <si>
    <t>TM2D1</t>
  </si>
  <si>
    <t>SIK3</t>
  </si>
  <si>
    <t>KIF3A</t>
  </si>
  <si>
    <t>CSAD</t>
  </si>
  <si>
    <t>CAMKK1</t>
  </si>
  <si>
    <t>SYNJ1</t>
  </si>
  <si>
    <t>LUC7L3</t>
  </si>
  <si>
    <t>TRABD</t>
  </si>
  <si>
    <t>MPST</t>
  </si>
  <si>
    <t>HDAC2</t>
  </si>
  <si>
    <t>PHB2</t>
  </si>
  <si>
    <t>MAP1A</t>
  </si>
  <si>
    <t>ANTXR2</t>
  </si>
  <si>
    <t>TMEM45A</t>
  </si>
  <si>
    <t>OLA1</t>
  </si>
  <si>
    <t>PTRH2</t>
  </si>
  <si>
    <t>C6orf203</t>
  </si>
  <si>
    <t>PPP1R37</t>
  </si>
  <si>
    <t>THUMPD1</t>
  </si>
  <si>
    <t>SHANK2</t>
  </si>
  <si>
    <t>FAM213B</t>
  </si>
  <si>
    <t>RAN</t>
  </si>
  <si>
    <t>GBA</t>
  </si>
  <si>
    <t>SUMF2</t>
  </si>
  <si>
    <t>APOL2</t>
  </si>
  <si>
    <t>CEP170B</t>
  </si>
  <si>
    <t>BABAM1</t>
  </si>
  <si>
    <t>CDKN1A</t>
  </si>
  <si>
    <t>CCDC12</t>
  </si>
  <si>
    <t>SEPHS2</t>
  </si>
  <si>
    <t>CORIN</t>
  </si>
  <si>
    <t>TBCD</t>
  </si>
  <si>
    <t>SS18</t>
  </si>
  <si>
    <t>CBX1</t>
  </si>
  <si>
    <t>TRAPPC8</t>
  </si>
  <si>
    <t>GGA3</t>
  </si>
  <si>
    <t>NUP85</t>
  </si>
  <si>
    <t>DDX5</t>
  </si>
  <si>
    <t>SRSF1</t>
  </si>
  <si>
    <t>CHERP</t>
  </si>
  <si>
    <t>PSMB3</t>
  </si>
  <si>
    <t>SMARCE1</t>
  </si>
  <si>
    <t>SCO1</t>
  </si>
  <si>
    <t>SCRN2</t>
  </si>
  <si>
    <t>SNRPN</t>
  </si>
  <si>
    <t>ERBB2</t>
  </si>
  <si>
    <t>SAP30BP</t>
  </si>
  <si>
    <t>GDPD1</t>
  </si>
  <si>
    <t>RPL17</t>
  </si>
  <si>
    <t>YTHDC1</t>
  </si>
  <si>
    <t>CDK11B</t>
  </si>
  <si>
    <t>EIF4A1</t>
  </si>
  <si>
    <t>NAT9</t>
  </si>
  <si>
    <t>ALDH3A2</t>
  </si>
  <si>
    <t>DSC3</t>
  </si>
  <si>
    <t>MYL12A</t>
  </si>
  <si>
    <t>ZNF207</t>
  </si>
  <si>
    <t>YES1</t>
  </si>
  <si>
    <t>VAMP2</t>
  </si>
  <si>
    <t>COPRS</t>
  </si>
  <si>
    <t>CYB561</t>
  </si>
  <si>
    <t>RNF135</t>
  </si>
  <si>
    <t>SKA2</t>
  </si>
  <si>
    <t>SAMD4A</t>
  </si>
  <si>
    <t>NHP2</t>
  </si>
  <si>
    <t>MAST4</t>
  </si>
  <si>
    <t>BAG1</t>
  </si>
  <si>
    <t>CHCHD6</t>
  </si>
  <si>
    <t>LMNB2</t>
  </si>
  <si>
    <t>TMCO1</t>
  </si>
  <si>
    <t>HYI</t>
  </si>
  <si>
    <t>ARSG</t>
  </si>
  <si>
    <t>RWDD4</t>
  </si>
  <si>
    <t>CUL4B</t>
  </si>
  <si>
    <t>MLX</t>
  </si>
  <si>
    <t>PTPN2</t>
  </si>
  <si>
    <t>YIPF2</t>
  </si>
  <si>
    <t>SMAD4</t>
  </si>
  <si>
    <t>RPS15</t>
  </si>
  <si>
    <t>SPC24</t>
  </si>
  <si>
    <t>AP1M1</t>
  </si>
  <si>
    <t>FAM210A</t>
  </si>
  <si>
    <t>H3F3B</t>
  </si>
  <si>
    <t>STAT5A</t>
  </si>
  <si>
    <t>LONP1</t>
  </si>
  <si>
    <t>PPL</t>
  </si>
  <si>
    <t>ACOT7</t>
  </si>
  <si>
    <t>TMUB2</t>
  </si>
  <si>
    <t>CAPS</t>
  </si>
  <si>
    <t>CDC37</t>
  </si>
  <si>
    <t>PRKCSH</t>
  </si>
  <si>
    <t>STX10</t>
  </si>
  <si>
    <t>KATNAL2</t>
  </si>
  <si>
    <t>TMEM205</t>
  </si>
  <si>
    <t>ACTG1</t>
  </si>
  <si>
    <t>UBALD1</t>
  </si>
  <si>
    <t>GLYR1</t>
  </si>
  <si>
    <t>ELOF1</t>
  </si>
  <si>
    <t>NFIX</t>
  </si>
  <si>
    <t>C18orf8</t>
  </si>
  <si>
    <t>ELK1</t>
  </si>
  <si>
    <t>PSMG2</t>
  </si>
  <si>
    <t>UBXN6</t>
  </si>
  <si>
    <t>MGRN1</t>
  </si>
  <si>
    <t>QPCTL</t>
  </si>
  <si>
    <t>FXYD1</t>
  </si>
  <si>
    <t>TPM4</t>
  </si>
  <si>
    <t>FARSA</t>
  </si>
  <si>
    <t>RBM42</t>
  </si>
  <si>
    <t>EIF3K</t>
  </si>
  <si>
    <t>BLMH</t>
  </si>
  <si>
    <t>FSTL3</t>
  </si>
  <si>
    <t>G6PC3</t>
  </si>
  <si>
    <t>TUBB6</t>
  </si>
  <si>
    <t>DCAKD</t>
  </si>
  <si>
    <t>SARS2</t>
  </si>
  <si>
    <t>PAF1</t>
  </si>
  <si>
    <t>IRF3</t>
  </si>
  <si>
    <t>KPTN</t>
  </si>
  <si>
    <t>ZNF428</t>
  </si>
  <si>
    <t>KXD1</t>
  </si>
  <si>
    <t>ZC3H4</t>
  </si>
  <si>
    <t>TUBB4A</t>
  </si>
  <si>
    <t>RPL13A</t>
  </si>
  <si>
    <t>SAMD4B</t>
  </si>
  <si>
    <t>JOSD2</t>
  </si>
  <si>
    <t>RPS5</t>
  </si>
  <si>
    <t>AP2S1</t>
  </si>
  <si>
    <t>ESM1</t>
  </si>
  <si>
    <t>EMC10</t>
  </si>
  <si>
    <t>AKT1S1</t>
  </si>
  <si>
    <t>MYO9B</t>
  </si>
  <si>
    <t>DMPK</t>
  </si>
  <si>
    <t>FSD1</t>
  </si>
  <si>
    <t>RABAC1</t>
  </si>
  <si>
    <t>AGPS</t>
  </si>
  <si>
    <t>UBXN8</t>
  </si>
  <si>
    <t>KIF2A</t>
  </si>
  <si>
    <t>DDX39A</t>
  </si>
  <si>
    <t>PDLIM1</t>
  </si>
  <si>
    <t>SNAP23</t>
  </si>
  <si>
    <t>AIP</t>
  </si>
  <si>
    <t>GTPBP1</t>
  </si>
  <si>
    <t>STXBP3</t>
  </si>
  <si>
    <t>AP3B1</t>
  </si>
  <si>
    <t>APBB1</t>
  </si>
  <si>
    <t>TNFRSF10A</t>
  </si>
  <si>
    <t>NFKBIE</t>
  </si>
  <si>
    <t>PSMD11</t>
  </si>
  <si>
    <t>PSMD12</t>
  </si>
  <si>
    <t>ATOX1</t>
  </si>
  <si>
    <t>PGRMC1</t>
  </si>
  <si>
    <t>SUPT5H</t>
  </si>
  <si>
    <t>DFFA</t>
  </si>
  <si>
    <t>HIP1</t>
  </si>
  <si>
    <t>CLIC1</t>
  </si>
  <si>
    <t>TNFRSF11B</t>
  </si>
  <si>
    <t>WWP2</t>
  </si>
  <si>
    <t>PDHX</t>
  </si>
  <si>
    <t>QSOX1</t>
  </si>
  <si>
    <t>DCTN6</t>
  </si>
  <si>
    <t>SLC33A1</t>
  </si>
  <si>
    <t>WASL</t>
  </si>
  <si>
    <t>IPO5</t>
  </si>
  <si>
    <t>EEF2K</t>
  </si>
  <si>
    <t>SAP18</t>
  </si>
  <si>
    <t>IGF2BP3</t>
  </si>
  <si>
    <t>DNM1L</t>
  </si>
  <si>
    <t>RTCA</t>
  </si>
  <si>
    <t>PIK3R2</t>
  </si>
  <si>
    <t>GOLIM4</t>
  </si>
  <si>
    <t>MANBA</t>
  </si>
  <si>
    <t>PLOD2</t>
  </si>
  <si>
    <t>EXOC5</t>
  </si>
  <si>
    <t>HMGN4</t>
  </si>
  <si>
    <t>NDUFA4</t>
  </si>
  <si>
    <t>PSMD14</t>
  </si>
  <si>
    <t>ZNF593</t>
  </si>
  <si>
    <t>BIN1</t>
  </si>
  <si>
    <t>KPNA3</t>
  </si>
  <si>
    <t>STK25</t>
  </si>
  <si>
    <t>VWA5A</t>
  </si>
  <si>
    <t>SDCBP</t>
  </si>
  <si>
    <t>DDX3X</t>
  </si>
  <si>
    <t>CYR61</t>
  </si>
  <si>
    <t>PIR</t>
  </si>
  <si>
    <t>KPNA4</t>
  </si>
  <si>
    <t>TRIM38</t>
  </si>
  <si>
    <t>PPP6C</t>
  </si>
  <si>
    <t>CES2</t>
  </si>
  <si>
    <t>MAN2B1</t>
  </si>
  <si>
    <t>PDXK</t>
  </si>
  <si>
    <t>PPAP2B</t>
  </si>
  <si>
    <t>ARID1A</t>
  </si>
  <si>
    <t>ISLR</t>
  </si>
  <si>
    <t>CDK2AP1</t>
  </si>
  <si>
    <t>C2CD2L</t>
  </si>
  <si>
    <t>TMEM194A</t>
  </si>
  <si>
    <t>TRAFD1</t>
  </si>
  <si>
    <t>COX7A2L</t>
  </si>
  <si>
    <t>HSPB6</t>
  </si>
  <si>
    <t>NDUFAB1</t>
  </si>
  <si>
    <t>CYB561D2</t>
  </si>
  <si>
    <t>COPE</t>
  </si>
  <si>
    <t>CDC42EP2</t>
  </si>
  <si>
    <t>AP3D1</t>
  </si>
  <si>
    <t>DVL1</t>
  </si>
  <si>
    <t>TOR1A</t>
  </si>
  <si>
    <t>TOR1B</t>
  </si>
  <si>
    <t>STX16</t>
  </si>
  <si>
    <t>ADAM10</t>
  </si>
  <si>
    <t>IMPA2</t>
  </si>
  <si>
    <t>ACOT8</t>
  </si>
  <si>
    <t>PDCD5</t>
  </si>
  <si>
    <t>PRMT5</t>
  </si>
  <si>
    <t>SLC9A3R1</t>
  </si>
  <si>
    <t>TNFRSF10B</t>
  </si>
  <si>
    <t>FPGT</t>
  </si>
  <si>
    <t>TPP1</t>
  </si>
  <si>
    <t>TCERG1</t>
  </si>
  <si>
    <t>TNPO2</t>
  </si>
  <si>
    <t>MRAS</t>
  </si>
  <si>
    <t>PSMA7</t>
  </si>
  <si>
    <t>SCAMP3</t>
  </si>
  <si>
    <t>OPLAH</t>
  </si>
  <si>
    <t>BACH1</t>
  </si>
  <si>
    <t>IFIT3</t>
  </si>
  <si>
    <t>TAX1BP3</t>
  </si>
  <si>
    <t>GIPC1</t>
  </si>
  <si>
    <t>LIN7A</t>
  </si>
  <si>
    <t>IKBKB</t>
  </si>
  <si>
    <t>TIMM23</t>
  </si>
  <si>
    <t>HAT1</t>
  </si>
  <si>
    <t>UBE2L6</t>
  </si>
  <si>
    <t>CASK</t>
  </si>
  <si>
    <t>UQCRQ</t>
  </si>
  <si>
    <t>HGS</t>
  </si>
  <si>
    <t>RAB7L1</t>
  </si>
  <si>
    <t>CLGN</t>
  </si>
  <si>
    <t>PPP1R12A</t>
  </si>
  <si>
    <t>GAK</t>
  </si>
  <si>
    <t>HNRPDL</t>
  </si>
  <si>
    <t>XPO1</t>
  </si>
  <si>
    <t>TECPR2</t>
  </si>
  <si>
    <t>SYNM</t>
  </si>
  <si>
    <t>KIAA0355</t>
  </si>
  <si>
    <t>KIF3B</t>
  </si>
  <si>
    <t>PFAS</t>
  </si>
  <si>
    <t>NACAD</t>
  </si>
  <si>
    <t>ARHGEF11</t>
  </si>
  <si>
    <t>LSM1</t>
  </si>
  <si>
    <t>NPC1</t>
  </si>
  <si>
    <t>DEGS1</t>
  </si>
  <si>
    <t>SCAMP1</t>
  </si>
  <si>
    <t>SCAMP2</t>
  </si>
  <si>
    <t>ARPC1B</t>
  </si>
  <si>
    <t>ARPC2</t>
  </si>
  <si>
    <t>ARPC3</t>
  </si>
  <si>
    <t>POLR1C</t>
  </si>
  <si>
    <t>PGRMC2</t>
  </si>
  <si>
    <t>RGL2</t>
  </si>
  <si>
    <t>PFDN6</t>
  </si>
  <si>
    <t>GNPAT</t>
  </si>
  <si>
    <t>CASC3</t>
  </si>
  <si>
    <t>VGF</t>
  </si>
  <si>
    <t>CLIC2</t>
  </si>
  <si>
    <t>ACOX3</t>
  </si>
  <si>
    <t>RER1</t>
  </si>
  <si>
    <t>SPTLC1</t>
  </si>
  <si>
    <t>SPTLC2</t>
  </si>
  <si>
    <t>OGT</t>
  </si>
  <si>
    <t>PMM2</t>
  </si>
  <si>
    <t>INPP4B</t>
  </si>
  <si>
    <t>MID1</t>
  </si>
  <si>
    <t>HMGB3</t>
  </si>
  <si>
    <t>PPM1G</t>
  </si>
  <si>
    <t>INPPL1</t>
  </si>
  <si>
    <t>BCAT2</t>
  </si>
  <si>
    <t>NCAM2</t>
  </si>
  <si>
    <t>IPO8</t>
  </si>
  <si>
    <t>STX7</t>
  </si>
  <si>
    <t>SLC16A6</t>
  </si>
  <si>
    <t>SLC16A3</t>
  </si>
  <si>
    <t>SLC31A1</t>
  </si>
  <si>
    <t>ABCC4</t>
  </si>
  <si>
    <t>CD3EAP</t>
  </si>
  <si>
    <t>P4HA2</t>
  </si>
  <si>
    <t>YKT6</t>
  </si>
  <si>
    <t>ARPC5</t>
  </si>
  <si>
    <t>POLR2D</t>
  </si>
  <si>
    <t>NKX2-8</t>
  </si>
  <si>
    <t>RNF113A</t>
  </si>
  <si>
    <t>DHX15</t>
  </si>
  <si>
    <t>RNMT</t>
  </si>
  <si>
    <t>ASAP2</t>
  </si>
  <si>
    <t>FLRT2</t>
  </si>
  <si>
    <t>PLXNB1</t>
  </si>
  <si>
    <t>PJA2</t>
  </si>
  <si>
    <t>PHGDH</t>
  </si>
  <si>
    <t>NDUFS4</t>
  </si>
  <si>
    <t>ARHGAP6</t>
  </si>
  <si>
    <t>DYNC1LI2</t>
  </si>
  <si>
    <t>PSMD3</t>
  </si>
  <si>
    <t>PAPSS1</t>
  </si>
  <si>
    <t>ZW10</t>
  </si>
  <si>
    <t>EFS</t>
  </si>
  <si>
    <t>SART1</t>
  </si>
  <si>
    <t>DAPK3</t>
  </si>
  <si>
    <t>TGFB1I1</t>
  </si>
  <si>
    <t>AP5Z1</t>
  </si>
  <si>
    <t>HSPA12A</t>
  </si>
  <si>
    <t>CTIF</t>
  </si>
  <si>
    <t>PPIP5K2</t>
  </si>
  <si>
    <t>MAP3K7</t>
  </si>
  <si>
    <t>LYRM1</t>
  </si>
  <si>
    <t>RIPK2</t>
  </si>
  <si>
    <t>PRPF3</t>
  </si>
  <si>
    <t>TXNL1</t>
  </si>
  <si>
    <t>TPD52L2</t>
  </si>
  <si>
    <t>EMC8</t>
  </si>
  <si>
    <t>HTRA2</t>
  </si>
  <si>
    <t>AKR7A2</t>
  </si>
  <si>
    <t>TGOLN2</t>
  </si>
  <si>
    <t>LAMTOR5</t>
  </si>
  <si>
    <t>B3GNT1</t>
  </si>
  <si>
    <t>WIPF1</t>
  </si>
  <si>
    <t>ATP8B1</t>
  </si>
  <si>
    <t>FOXO3</t>
  </si>
  <si>
    <t>RNF13</t>
  </si>
  <si>
    <t>DENR</t>
  </si>
  <si>
    <t>XPOT</t>
  </si>
  <si>
    <t>DNPH1</t>
  </si>
  <si>
    <t>TIMM44</t>
  </si>
  <si>
    <t>TRAPPC3</t>
  </si>
  <si>
    <t>CHMP2A</t>
  </si>
  <si>
    <t>NCK2</t>
  </si>
  <si>
    <t>TSPAN6</t>
  </si>
  <si>
    <t>RGS10</t>
  </si>
  <si>
    <t>NDUFB3</t>
  </si>
  <si>
    <t>NDUFA2</t>
  </si>
  <si>
    <t>ASNA1</t>
  </si>
  <si>
    <t>BUB3</t>
  </si>
  <si>
    <t>ACTN4</t>
  </si>
  <si>
    <t>WBSCR22</t>
  </si>
  <si>
    <t>TRIAP1</t>
  </si>
  <si>
    <t>HTATSF1</t>
  </si>
  <si>
    <t>CYTH3</t>
  </si>
  <si>
    <t>STX6</t>
  </si>
  <si>
    <t>SYNGR2</t>
  </si>
  <si>
    <t>SGTA</t>
  </si>
  <si>
    <t>ENSA</t>
  </si>
  <si>
    <t>SLC25A20</t>
  </si>
  <si>
    <t>NARS</t>
  </si>
  <si>
    <t>SSNA1</t>
  </si>
  <si>
    <t>LANCL1</t>
  </si>
  <si>
    <t>RRP9</t>
  </si>
  <si>
    <t>SCO2</t>
  </si>
  <si>
    <t>HYAL3</t>
  </si>
  <si>
    <t>IDH3B</t>
  </si>
  <si>
    <t>CALU</t>
  </si>
  <si>
    <t>EDIL3</t>
  </si>
  <si>
    <t>AHCYL1</t>
  </si>
  <si>
    <t>KIF1C</t>
  </si>
  <si>
    <t>NDUFS5</t>
  </si>
  <si>
    <t>PDE6D</t>
  </si>
  <si>
    <t>AKR1B10</t>
  </si>
  <si>
    <t>TIMM8A</t>
  </si>
  <si>
    <t>GMFG</t>
  </si>
  <si>
    <t>SH3BP5</t>
  </si>
  <si>
    <t>PRPSAP2</t>
  </si>
  <si>
    <t>SPAG9</t>
  </si>
  <si>
    <t>SUSD5</t>
  </si>
  <si>
    <t>SIPA1L3</t>
  </si>
  <si>
    <t>LCMT2</t>
  </si>
  <si>
    <t>OPA1</t>
  </si>
  <si>
    <t>PIP5K1C</t>
  </si>
  <si>
    <t>TBC1D4</t>
  </si>
  <si>
    <t>ECE2</t>
  </si>
  <si>
    <t>TBC1D12</t>
  </si>
  <si>
    <t>FZD6</t>
  </si>
  <si>
    <t>FADS1</t>
  </si>
  <si>
    <t>DFNA5</t>
  </si>
  <si>
    <t>LY75</t>
  </si>
  <si>
    <t>MAN1A2</t>
  </si>
  <si>
    <t>ACSL4</t>
  </si>
  <si>
    <t>SNX3</t>
  </si>
  <si>
    <t>MGEA5</t>
  </si>
  <si>
    <t>ADCY9</t>
  </si>
  <si>
    <t>SORBS3</t>
  </si>
  <si>
    <t>SYNCRIP</t>
  </si>
  <si>
    <t>TPST1</t>
  </si>
  <si>
    <t>B4GALT4</t>
  </si>
  <si>
    <t>RANBP6</t>
  </si>
  <si>
    <t>GMDS</t>
  </si>
  <si>
    <t>NMT2</t>
  </si>
  <si>
    <t>PLOD3</t>
  </si>
  <si>
    <t>SEP15</t>
  </si>
  <si>
    <t>TSPAN3</t>
  </si>
  <si>
    <t>EXOC3</t>
  </si>
  <si>
    <t>PLIN3</t>
  </si>
  <si>
    <t>RAD1</t>
  </si>
  <si>
    <t>PRMT3</t>
  </si>
  <si>
    <t>UGDH</t>
  </si>
  <si>
    <t>TPST2</t>
  </si>
  <si>
    <t>LPXN</t>
  </si>
  <si>
    <t>CTNND1</t>
  </si>
  <si>
    <t>ICMT</t>
  </si>
  <si>
    <t>SNX2</t>
  </si>
  <si>
    <t>USO1</t>
  </si>
  <si>
    <t>CCDC22</t>
  </si>
  <si>
    <t>PQBP1</t>
  </si>
  <si>
    <t>TIMM17B</t>
  </si>
  <si>
    <t>PRAF2</t>
  </si>
  <si>
    <t>EIF5B</t>
  </si>
  <si>
    <t>EDF1</t>
  </si>
  <si>
    <t>DNAJA2</t>
  </si>
  <si>
    <t>BRD4</t>
  </si>
  <si>
    <t>CUTA</t>
  </si>
  <si>
    <t>SMPD2</t>
  </si>
  <si>
    <t>PFDN1</t>
  </si>
  <si>
    <t>PPP1R11</t>
  </si>
  <si>
    <t>NBN</t>
  </si>
  <si>
    <t>ABCB7</t>
  </si>
  <si>
    <t>SRGAP2</t>
  </si>
  <si>
    <t>FAM20B</t>
  </si>
  <si>
    <t>EFCAB14</t>
  </si>
  <si>
    <t>WDR1</t>
  </si>
  <si>
    <t>FZD7</t>
  </si>
  <si>
    <t>MEGF6</t>
  </si>
  <si>
    <t>ATP9A</t>
  </si>
  <si>
    <t>N4BP1</t>
  </si>
  <si>
    <t>ROCK2</t>
  </si>
  <si>
    <t>CPNE3</t>
  </si>
  <si>
    <t>ATG13</t>
  </si>
  <si>
    <t>HIP1R</t>
  </si>
  <si>
    <t>CAND2</t>
  </si>
  <si>
    <t>TSC22D2</t>
  </si>
  <si>
    <t>DNAJC13</t>
  </si>
  <si>
    <t>PPP6R2</t>
  </si>
  <si>
    <t>CNOT3</t>
  </si>
  <si>
    <t>ANKRD17</t>
  </si>
  <si>
    <t>XYLB</t>
  </si>
  <si>
    <t>COQ9</t>
  </si>
  <si>
    <t>GGCT</t>
  </si>
  <si>
    <t>RTN2</t>
  </si>
  <si>
    <t>NDUFS2</t>
  </si>
  <si>
    <t>ZNF259</t>
  </si>
  <si>
    <t>GBAS</t>
  </si>
  <si>
    <t>SNN</t>
  </si>
  <si>
    <t>SEMA7A</t>
  </si>
  <si>
    <t>TBCA</t>
  </si>
  <si>
    <t>ATP6V1G1</t>
  </si>
  <si>
    <t>VPS4B</t>
  </si>
  <si>
    <t>ENTPD5</t>
  </si>
  <si>
    <t>SH3BGRL</t>
  </si>
  <si>
    <t>FLNB</t>
  </si>
  <si>
    <t>NCOR1</t>
  </si>
  <si>
    <t>VAMP4</t>
  </si>
  <si>
    <t>NDUFS6</t>
  </si>
  <si>
    <t>PEX14</t>
  </si>
  <si>
    <t>SPAG7</t>
  </si>
  <si>
    <t>SEC22B</t>
  </si>
  <si>
    <t>PRPF40A</t>
  </si>
  <si>
    <t>LRCH4</t>
  </si>
  <si>
    <t>VPS26A</t>
  </si>
  <si>
    <t>NDUFB1</t>
  </si>
  <si>
    <t>PMPCB</t>
  </si>
  <si>
    <t>KATNA1</t>
  </si>
  <si>
    <t>PSIP1</t>
  </si>
  <si>
    <t>ERLIN1</t>
  </si>
  <si>
    <t>NDUFS3</t>
  </si>
  <si>
    <t>CLN5</t>
  </si>
  <si>
    <t>HSBP1</t>
  </si>
  <si>
    <t>ECI2</t>
  </si>
  <si>
    <t>BANF1</t>
  </si>
  <si>
    <t>SF3B1</t>
  </si>
  <si>
    <t>CSDE1</t>
  </si>
  <si>
    <t>GCAT</t>
  </si>
  <si>
    <t>NPM3</t>
  </si>
  <si>
    <t>LYPLA1</t>
  </si>
  <si>
    <t>SERPINB7</t>
  </si>
  <si>
    <t>TRMU</t>
  </si>
  <si>
    <t>TIPRL</t>
  </si>
  <si>
    <t>PPM1B</t>
  </si>
  <si>
    <t>ADAP1</t>
  </si>
  <si>
    <t>RP2</t>
  </si>
  <si>
    <t>CRTAP</t>
  </si>
  <si>
    <t>SLC25A12</t>
  </si>
  <si>
    <t>PALM</t>
  </si>
  <si>
    <t>RNASEH2A</t>
  </si>
  <si>
    <t>CDC123</t>
  </si>
  <si>
    <t>BCAR3</t>
  </si>
  <si>
    <t>RPP40</t>
  </si>
  <si>
    <t>EIF3G</t>
  </si>
  <si>
    <t>EIF3J</t>
  </si>
  <si>
    <t>CBR3</t>
  </si>
  <si>
    <t>PSMD10</t>
  </si>
  <si>
    <t>ZMPSTE24</t>
  </si>
  <si>
    <t>IDH1</t>
  </si>
  <si>
    <t>ATRN</t>
  </si>
  <si>
    <t>RBBP9</t>
  </si>
  <si>
    <t>STAM2</t>
  </si>
  <si>
    <t>ALDH1L1</t>
  </si>
  <si>
    <t>TUSC2</t>
  </si>
  <si>
    <t>DHRS3</t>
  </si>
  <si>
    <t>PAK3</t>
  </si>
  <si>
    <t>ARL6IP5</t>
  </si>
  <si>
    <t>BCAS2</t>
  </si>
  <si>
    <t>DCTN3</t>
  </si>
  <si>
    <t>DNAJC8</t>
  </si>
  <si>
    <t>SMNDC1</t>
  </si>
  <si>
    <t>ATP5H</t>
  </si>
  <si>
    <t>FLOT1</t>
  </si>
  <si>
    <t>TRIO</t>
  </si>
  <si>
    <t>ATP5L</t>
  </si>
  <si>
    <t>CPD</t>
  </si>
  <si>
    <t>GLRX3</t>
  </si>
  <si>
    <t>WFS1</t>
  </si>
  <si>
    <t>CLPX</t>
  </si>
  <si>
    <t>SEC14L2</t>
  </si>
  <si>
    <t>STC2</t>
  </si>
  <si>
    <t>SNCG</t>
  </si>
  <si>
    <t>CIAO1</t>
  </si>
  <si>
    <t>PDE5A</t>
  </si>
  <si>
    <t>DFFB</t>
  </si>
  <si>
    <t>ZFAND5</t>
  </si>
  <si>
    <t>SRP72</t>
  </si>
  <si>
    <t>JTB</t>
  </si>
  <si>
    <t>DDAH1</t>
  </si>
  <si>
    <t>URI1</t>
  </si>
  <si>
    <t>B3GAT3</t>
  </si>
  <si>
    <t>STK10</t>
  </si>
  <si>
    <t>KBTBD11</t>
  </si>
  <si>
    <t>TOMM70A</t>
  </si>
  <si>
    <t>IPO13</t>
  </si>
  <si>
    <t>DDHD2</t>
  </si>
  <si>
    <t>MYO1D</t>
  </si>
  <si>
    <t>MICAL2</t>
  </si>
  <si>
    <t>KIAA0754</t>
  </si>
  <si>
    <t>SEC24D</t>
  </si>
  <si>
    <t>NFASC</t>
  </si>
  <si>
    <t>UFL1</t>
  </si>
  <si>
    <t>TMCC1</t>
  </si>
  <si>
    <t>SASH1</t>
  </si>
  <si>
    <t>UBXN7</t>
  </si>
  <si>
    <t>KLHL18</t>
  </si>
  <si>
    <t>PROSC</t>
  </si>
  <si>
    <t>ERLIN2</t>
  </si>
  <si>
    <t>ENDOD1</t>
  </si>
  <si>
    <t>CDK14</t>
  </si>
  <si>
    <t>USP19</t>
  </si>
  <si>
    <t>WDR47</t>
  </si>
  <si>
    <t>AP2A2</t>
  </si>
  <si>
    <t>HEXIM1</t>
  </si>
  <si>
    <t>INMT</t>
  </si>
  <si>
    <t>DIRAS1</t>
  </si>
  <si>
    <t>PRSS23</t>
  </si>
  <si>
    <t>SCAF4</t>
  </si>
  <si>
    <t>S1PR2</t>
  </si>
  <si>
    <t>NDUFB6</t>
  </si>
  <si>
    <t>MFN2</t>
  </si>
  <si>
    <t>UBE4B</t>
  </si>
  <si>
    <t>ZFPL1</t>
  </si>
  <si>
    <t>NDUFA3</t>
  </si>
  <si>
    <t>VAMP5</t>
  </si>
  <si>
    <t>RTN3</t>
  </si>
  <si>
    <t>LETM1</t>
  </si>
  <si>
    <t>MBLL</t>
  </si>
  <si>
    <t>STBD1</t>
  </si>
  <si>
    <t>ZRANB2</t>
  </si>
  <si>
    <t>SNX4</t>
  </si>
  <si>
    <t>VENTX</t>
  </si>
  <si>
    <t>CCNDBP1</t>
  </si>
  <si>
    <t>VAPB</t>
  </si>
  <si>
    <t>SNAPIN</t>
  </si>
  <si>
    <t>MPZL1</t>
  </si>
  <si>
    <t>NDUFC2</t>
  </si>
  <si>
    <t>FKBP9</t>
  </si>
  <si>
    <t>PGLS</t>
  </si>
  <si>
    <t>ATG7</t>
  </si>
  <si>
    <t>TRIM16</t>
  </si>
  <si>
    <t>FARS2</t>
  </si>
  <si>
    <t>LYPLA2</t>
  </si>
  <si>
    <t>IPO7</t>
  </si>
  <si>
    <t>ARIH2</t>
  </si>
  <si>
    <t>PGM3</t>
  </si>
  <si>
    <t>MOCS3</t>
  </si>
  <si>
    <t>CD2BP2</t>
  </si>
  <si>
    <t>ZFYVE9</t>
  </si>
  <si>
    <t>SVIL</t>
  </si>
  <si>
    <t>BAG4</t>
  </si>
  <si>
    <t>AHSA1</t>
  </si>
  <si>
    <t>PARN</t>
  </si>
  <si>
    <t>TGDS</t>
  </si>
  <si>
    <t>PSMG1</t>
  </si>
  <si>
    <t>SEC24A</t>
  </si>
  <si>
    <t>SEC24B</t>
  </si>
  <si>
    <t>SLC2A10</t>
  </si>
  <si>
    <t>NADK</t>
  </si>
  <si>
    <t>TDP2</t>
  </si>
  <si>
    <t>ETHE1</t>
  </si>
  <si>
    <t>ACSL3</t>
  </si>
  <si>
    <t>CNOT4</t>
  </si>
  <si>
    <t>STAMBP</t>
  </si>
  <si>
    <t>ASMTL</t>
  </si>
  <si>
    <t>CDS2</t>
  </si>
  <si>
    <t>FGFR1OP</t>
  </si>
  <si>
    <t>RAB3D</t>
  </si>
  <si>
    <t>OXSR1</t>
  </si>
  <si>
    <t>GGPS1</t>
  </si>
  <si>
    <t>NAA38</t>
  </si>
  <si>
    <t>AP2A1</t>
  </si>
  <si>
    <t>DDX58</t>
  </si>
  <si>
    <t>TTC4</t>
  </si>
  <si>
    <t>TMEM50A</t>
  </si>
  <si>
    <t>SDPR</t>
  </si>
  <si>
    <t>BAG2</t>
  </si>
  <si>
    <t>CRYZL1</t>
  </si>
  <si>
    <t>AIFM1</t>
  </si>
  <si>
    <t>CLIC3</t>
  </si>
  <si>
    <t>EML2</t>
  </si>
  <si>
    <t>GNA14</t>
  </si>
  <si>
    <t>NUDT14</t>
  </si>
  <si>
    <t>TSPAN13</t>
  </si>
  <si>
    <t>FADS2</t>
  </si>
  <si>
    <t>DDAH2</t>
  </si>
  <si>
    <t>C6orf47</t>
  </si>
  <si>
    <t>TXNDC12</t>
  </si>
  <si>
    <t>ECD</t>
  </si>
  <si>
    <t>SYF2</t>
  </si>
  <si>
    <t>ITGBL1</t>
  </si>
  <si>
    <t>RECK</t>
  </si>
  <si>
    <t>NUDT3</t>
  </si>
  <si>
    <t>BCL10</t>
  </si>
  <si>
    <t>NDUFB10</t>
  </si>
  <si>
    <t>MOCS2</t>
  </si>
  <si>
    <t>TOMM40</t>
  </si>
  <si>
    <t>PEX11B</t>
  </si>
  <si>
    <t>PAK4</t>
  </si>
  <si>
    <t>CHEK2</t>
  </si>
  <si>
    <t>ACTL6A</t>
  </si>
  <si>
    <t>CYB5A</t>
  </si>
  <si>
    <t>ADH1B</t>
  </si>
  <si>
    <t>LDHA</t>
  </si>
  <si>
    <t>ALDH1A1</t>
  </si>
  <si>
    <t>GLUD1</t>
  </si>
  <si>
    <t>CYB5R3</t>
  </si>
  <si>
    <t>GSR</t>
  </si>
  <si>
    <t>MT-CO2</t>
  </si>
  <si>
    <t>SOD1</t>
  </si>
  <si>
    <t>PNP</t>
  </si>
  <si>
    <t>HPRT1</t>
  </si>
  <si>
    <t>GOT2</t>
  </si>
  <si>
    <t>ABL1</t>
  </si>
  <si>
    <t>EGFR</t>
  </si>
  <si>
    <t>PGK1</t>
  </si>
  <si>
    <t>C1R</t>
  </si>
  <si>
    <t>HP</t>
  </si>
  <si>
    <t>ADA</t>
  </si>
  <si>
    <t>ASS1</t>
  </si>
  <si>
    <t>A2M</t>
  </si>
  <si>
    <t>C3</t>
  </si>
  <si>
    <t>CST3</t>
  </si>
  <si>
    <t>NRAS</t>
  </si>
  <si>
    <t>HRAS</t>
  </si>
  <si>
    <t>KRAS</t>
  </si>
  <si>
    <t>TGFB1</t>
  </si>
  <si>
    <t>HBZ</t>
  </si>
  <si>
    <t>COL1A1</t>
  </si>
  <si>
    <t>COL2A1</t>
  </si>
  <si>
    <t>COL3A1</t>
  </si>
  <si>
    <t>COL4A1</t>
  </si>
  <si>
    <t>LMNA</t>
  </si>
  <si>
    <t>APOE</t>
  </si>
  <si>
    <t>APOA2</t>
  </si>
  <si>
    <t>FN1</t>
  </si>
  <si>
    <t>TFRC</t>
  </si>
  <si>
    <t>TF</t>
  </si>
  <si>
    <t>HPX</t>
  </si>
  <si>
    <t>FTL</t>
  </si>
  <si>
    <t>FTH1</t>
  </si>
  <si>
    <t>MT2A</t>
  </si>
  <si>
    <t>MT-ATP8</t>
  </si>
  <si>
    <t>CAT</t>
  </si>
  <si>
    <t>FUCA1</t>
  </si>
  <si>
    <t>CSTB</t>
  </si>
  <si>
    <t>ANXA1</t>
  </si>
  <si>
    <t>NR3C1</t>
  </si>
  <si>
    <t>OAT</t>
  </si>
  <si>
    <t>A1BG</t>
  </si>
  <si>
    <t>GAPDH</t>
  </si>
  <si>
    <t>ASL</t>
  </si>
  <si>
    <t>CAPNS1</t>
  </si>
  <si>
    <t>MT1A</t>
  </si>
  <si>
    <t>HSPB1</t>
  </si>
  <si>
    <t>RPN1</t>
  </si>
  <si>
    <t>RPN2</t>
  </si>
  <si>
    <t>GNAI2</t>
  </si>
  <si>
    <t>GYPC</t>
  </si>
  <si>
    <t>ATP1A1</t>
  </si>
  <si>
    <t>APP</t>
  </si>
  <si>
    <t>APOD</t>
  </si>
  <si>
    <t>ALDH2</t>
  </si>
  <si>
    <t>ITGB3</t>
  </si>
  <si>
    <t>HMGN1</t>
  </si>
  <si>
    <t>SERPINB2</t>
  </si>
  <si>
    <t>SERPINE1</t>
  </si>
  <si>
    <t>SLC25A5</t>
  </si>
  <si>
    <t>ISG15</t>
  </si>
  <si>
    <t>ALPL</t>
  </si>
  <si>
    <t>EIF2S1</t>
  </si>
  <si>
    <t>HMGN2</t>
  </si>
  <si>
    <t>FGF1</t>
  </si>
  <si>
    <t>ICAM1</t>
  </si>
  <si>
    <t>RPLP1</t>
  </si>
  <si>
    <t>RPLP2</t>
  </si>
  <si>
    <t>RPLP0</t>
  </si>
  <si>
    <t>JUN</t>
  </si>
  <si>
    <t>FABP3</t>
  </si>
  <si>
    <t>SSB</t>
  </si>
  <si>
    <t>COL5A2</t>
  </si>
  <si>
    <t>UROD</t>
  </si>
  <si>
    <t>FYN</t>
  </si>
  <si>
    <t>GLA</t>
  </si>
  <si>
    <t>GSN</t>
  </si>
  <si>
    <t>ATP5B</t>
  </si>
  <si>
    <t>ENO1</t>
  </si>
  <si>
    <t>PYGL</t>
  </si>
  <si>
    <t>GPI</t>
  </si>
  <si>
    <t>NPM1</t>
  </si>
  <si>
    <t>ITGAV</t>
  </si>
  <si>
    <t>SERPINE2</t>
  </si>
  <si>
    <t>EPHX1</t>
  </si>
  <si>
    <t>DBI</t>
  </si>
  <si>
    <t>LDHB</t>
  </si>
  <si>
    <t>GPX1</t>
  </si>
  <si>
    <t>PGK2</t>
  </si>
  <si>
    <t>H1F0</t>
  </si>
  <si>
    <t>CTSD</t>
  </si>
  <si>
    <t>CAPN1</t>
  </si>
  <si>
    <t>IVL</t>
  </si>
  <si>
    <t>DCN</t>
  </si>
  <si>
    <t>CTSL1</t>
  </si>
  <si>
    <t>PFN1</t>
  </si>
  <si>
    <t>BPGM</t>
  </si>
  <si>
    <t>APRT</t>
  </si>
  <si>
    <t>EPRS</t>
  </si>
  <si>
    <t>HSP90AA1</t>
  </si>
  <si>
    <t>GALT</t>
  </si>
  <si>
    <t>UQCRH</t>
  </si>
  <si>
    <t>FH</t>
  </si>
  <si>
    <t>ERCC1</t>
  </si>
  <si>
    <t>THBS1</t>
  </si>
  <si>
    <t>SP1</t>
  </si>
  <si>
    <t>HSPA1A</t>
  </si>
  <si>
    <t>COL1A2</t>
  </si>
  <si>
    <t>PFKM</t>
  </si>
  <si>
    <t>HSP90AB1</t>
  </si>
  <si>
    <t>SRPR</t>
  </si>
  <si>
    <t>ASNS</t>
  </si>
  <si>
    <t>MMP2</t>
  </si>
  <si>
    <t>SOD3</t>
  </si>
  <si>
    <t>HMBS</t>
  </si>
  <si>
    <t>MME</t>
  </si>
  <si>
    <t>INHBA</t>
  </si>
  <si>
    <t>PDHA1</t>
  </si>
  <si>
    <t>COL4A2</t>
  </si>
  <si>
    <t>CYC1</t>
  </si>
  <si>
    <t>MFI2</t>
  </si>
  <si>
    <t>MYL3</t>
  </si>
  <si>
    <t>CFH</t>
  </si>
  <si>
    <t>SNRNP70</t>
  </si>
  <si>
    <t>ITGA5</t>
  </si>
  <si>
    <t>NFIC</t>
  </si>
  <si>
    <t>VIM</t>
  </si>
  <si>
    <t>GNAI3</t>
  </si>
  <si>
    <t>ANXA5</t>
  </si>
  <si>
    <t>STS</t>
  </si>
  <si>
    <t>SNRPA</t>
  </si>
  <si>
    <t>FGF2</t>
  </si>
  <si>
    <t>ENO2</t>
  </si>
  <si>
    <t>ACAA1</t>
  </si>
  <si>
    <t>SRP19</t>
  </si>
  <si>
    <t>GSTP1</t>
  </si>
  <si>
    <t>SNRPC</t>
  </si>
  <si>
    <t>LGALS1</t>
  </si>
  <si>
    <t>QDPR</t>
  </si>
  <si>
    <t>HMGB1</t>
  </si>
  <si>
    <t>CLTA</t>
  </si>
  <si>
    <t>CLTB</t>
  </si>
  <si>
    <t>CNP</t>
  </si>
  <si>
    <t>HMOX1</t>
  </si>
  <si>
    <t>PDGFRB</t>
  </si>
  <si>
    <t>DLD</t>
  </si>
  <si>
    <t>SNRPA1</t>
  </si>
  <si>
    <t>CTSH</t>
  </si>
  <si>
    <t>COX6C</t>
  </si>
  <si>
    <t>PARP1</t>
  </si>
  <si>
    <t>ALOX5</t>
  </si>
  <si>
    <t>UCHL1</t>
  </si>
  <si>
    <t>LTA4H</t>
  </si>
  <si>
    <t>ALDOC</t>
  </si>
  <si>
    <t>CISD3</t>
  </si>
  <si>
    <t>ATXN1L</t>
  </si>
  <si>
    <t>POLR2M</t>
  </si>
  <si>
    <t>CHTF8</t>
  </si>
  <si>
    <t>TMSB15B</t>
  </si>
  <si>
    <t>RPS17L</t>
  </si>
  <si>
    <t>SMIM13</t>
  </si>
  <si>
    <t>FDX1</t>
  </si>
  <si>
    <t>RAP2A</t>
  </si>
  <si>
    <t>SRGN</t>
  </si>
  <si>
    <t>TROVE2</t>
  </si>
  <si>
    <t>COX8A</t>
  </si>
  <si>
    <t>GAA</t>
  </si>
  <si>
    <t>RRAS</t>
  </si>
  <si>
    <t>ARAF</t>
  </si>
  <si>
    <t>DLAT</t>
  </si>
  <si>
    <t>PTPRF</t>
  </si>
  <si>
    <t>TXN</t>
  </si>
  <si>
    <t>COX5B</t>
  </si>
  <si>
    <t>CTSA</t>
  </si>
  <si>
    <t>MGST1</t>
  </si>
  <si>
    <t>MAPT</t>
  </si>
  <si>
    <t>PRKAR1A</t>
  </si>
  <si>
    <t>UROS</t>
  </si>
  <si>
    <t>ESD</t>
  </si>
  <si>
    <t>HSPD1</t>
  </si>
  <si>
    <t>CLU</t>
  </si>
  <si>
    <t>HAPLN1</t>
  </si>
  <si>
    <t>HSPA5</t>
  </si>
  <si>
    <t>LAMC1</t>
  </si>
  <si>
    <t>ACP2</t>
  </si>
  <si>
    <t>MAP2</t>
  </si>
  <si>
    <t>EGR2</t>
  </si>
  <si>
    <t>SLC2A1</t>
  </si>
  <si>
    <t>SLC2A3</t>
  </si>
  <si>
    <t>UMPS</t>
  </si>
  <si>
    <t>PDHB</t>
  </si>
  <si>
    <t>DBT</t>
  </si>
  <si>
    <t>PYGB</t>
  </si>
  <si>
    <t>RALA</t>
  </si>
  <si>
    <t>RALB</t>
  </si>
  <si>
    <t>BCR</t>
  </si>
  <si>
    <t>LAMP1</t>
  </si>
  <si>
    <t>G6PD</t>
  </si>
  <si>
    <t>UBL4A</t>
  </si>
  <si>
    <t>PC</t>
  </si>
  <si>
    <t>MTHFD1</t>
  </si>
  <si>
    <t>IGF2R</t>
  </si>
  <si>
    <t>ADH5</t>
  </si>
  <si>
    <t>CDK4</t>
  </si>
  <si>
    <t>SRF</t>
  </si>
  <si>
    <t>PRPS2</t>
  </si>
  <si>
    <t>PABPC1</t>
  </si>
  <si>
    <t>PCNA</t>
  </si>
  <si>
    <t>HARS</t>
  </si>
  <si>
    <t>COL11A1</t>
  </si>
  <si>
    <t>COL6A1</t>
  </si>
  <si>
    <t>COL6A2</t>
  </si>
  <si>
    <t>COL6A3</t>
  </si>
  <si>
    <t>SLC25A6</t>
  </si>
  <si>
    <t>IMPDH2</t>
  </si>
  <si>
    <t>TPR</t>
  </si>
  <si>
    <t>CKB</t>
  </si>
  <si>
    <t>ANXA3</t>
  </si>
  <si>
    <t>CKMT1A</t>
  </si>
  <si>
    <t>ACTN1</t>
  </si>
  <si>
    <t>ACE</t>
  </si>
  <si>
    <t>SRC</t>
  </si>
  <si>
    <t>PEPD</t>
  </si>
  <si>
    <t>XRCC6</t>
  </si>
  <si>
    <t>XRCC5</t>
  </si>
  <si>
    <t>COX4I1</t>
  </si>
  <si>
    <t>ALAS1</t>
  </si>
  <si>
    <t>IFI30</t>
  </si>
  <si>
    <t>RNH1</t>
  </si>
  <si>
    <t>VCAN</t>
  </si>
  <si>
    <t>ITGA4</t>
  </si>
  <si>
    <t>EEF2</t>
  </si>
  <si>
    <t>PDIA4</t>
  </si>
  <si>
    <t>P4HA1</t>
  </si>
  <si>
    <t>TPT1</t>
  </si>
  <si>
    <t>F3</t>
  </si>
  <si>
    <t>HLA-A</t>
  </si>
  <si>
    <t>PLS3</t>
  </si>
  <si>
    <t>ETFA</t>
  </si>
  <si>
    <t>PRKAR2A</t>
  </si>
  <si>
    <t>ENO3</t>
  </si>
  <si>
    <t>GTF2F2</t>
  </si>
  <si>
    <t>MTHFD2</t>
  </si>
  <si>
    <t>MIF</t>
  </si>
  <si>
    <t>CD99</t>
  </si>
  <si>
    <t>FDPS</t>
  </si>
  <si>
    <t>CPM</t>
  </si>
  <si>
    <t>AKR1A1</t>
  </si>
  <si>
    <t>ACYP2</t>
  </si>
  <si>
    <t>HSP90B1</t>
  </si>
  <si>
    <t>MYL6B</t>
  </si>
  <si>
    <t>IDE</t>
  </si>
  <si>
    <t>COX6B1</t>
  </si>
  <si>
    <t>HNRNPL</t>
  </si>
  <si>
    <t>DARS</t>
  </si>
  <si>
    <t>JUP</t>
  </si>
  <si>
    <t>BRAF</t>
  </si>
  <si>
    <t>FABP4</t>
  </si>
  <si>
    <t>GLUL</t>
  </si>
  <si>
    <t>AKR1B1</t>
  </si>
  <si>
    <t>ANPEP</t>
  </si>
  <si>
    <t>PVR</t>
  </si>
  <si>
    <t>GSPT1</t>
  </si>
  <si>
    <t>ARSA</t>
  </si>
  <si>
    <t>B4GALT1</t>
  </si>
  <si>
    <t>EZR</t>
  </si>
  <si>
    <t>UCHL3</t>
  </si>
  <si>
    <t>FOSL1</t>
  </si>
  <si>
    <t>CD46</t>
  </si>
  <si>
    <t>NME1</t>
  </si>
  <si>
    <t>GNS</t>
  </si>
  <si>
    <t>ARSB</t>
  </si>
  <si>
    <t>CHN1</t>
  </si>
  <si>
    <t>RPA2</t>
  </si>
  <si>
    <t>TIMP2</t>
  </si>
  <si>
    <t>CBR1</t>
  </si>
  <si>
    <t>ACADS</t>
  </si>
  <si>
    <t>CREB1</t>
  </si>
  <si>
    <t>PDGFRA</t>
  </si>
  <si>
    <t>SLC25A16</t>
  </si>
  <si>
    <t>GLB1</t>
  </si>
  <si>
    <t>PPP3CB</t>
  </si>
  <si>
    <t>NCK1</t>
  </si>
  <si>
    <t>GCFC2</t>
  </si>
  <si>
    <t>HIST1H1B</t>
  </si>
  <si>
    <t>HIST1H1C</t>
  </si>
  <si>
    <t>POR</t>
  </si>
  <si>
    <t>MGMT</t>
  </si>
  <si>
    <t>FER</t>
  </si>
  <si>
    <t>ATP2A2</t>
  </si>
  <si>
    <t>CPE</t>
  </si>
  <si>
    <t>FAH</t>
  </si>
  <si>
    <t>STMN1</t>
  </si>
  <si>
    <t>YBX3</t>
  </si>
  <si>
    <t>NAGA</t>
  </si>
  <si>
    <t>HSPA6</t>
  </si>
  <si>
    <t>HMGA1</t>
  </si>
  <si>
    <t>TMEM11</t>
  </si>
  <si>
    <t>GOT1</t>
  </si>
  <si>
    <t>PRKCA</t>
  </si>
  <si>
    <t>JUNB</t>
  </si>
  <si>
    <t>GJA1</t>
  </si>
  <si>
    <t>NPR3</t>
  </si>
  <si>
    <t>SMPD1</t>
  </si>
  <si>
    <t>JUND</t>
  </si>
  <si>
    <t>PRKACA</t>
  </si>
  <si>
    <t>CAPN2</t>
  </si>
  <si>
    <t>DES</t>
  </si>
  <si>
    <t>CTPS1</t>
  </si>
  <si>
    <t>ENG</t>
  </si>
  <si>
    <t>PFKL</t>
  </si>
  <si>
    <t>GM2A</t>
  </si>
  <si>
    <t>LGALS3</t>
  </si>
  <si>
    <t>IGFBP3</t>
  </si>
  <si>
    <t>TCP1</t>
  </si>
  <si>
    <t>PTPN1</t>
  </si>
  <si>
    <t>IGFBP2</t>
  </si>
  <si>
    <t>ITGB5</t>
  </si>
  <si>
    <t>ARF4</t>
  </si>
  <si>
    <t>RPL7</t>
  </si>
  <si>
    <t>EGR1</t>
  </si>
  <si>
    <t>NELFE</t>
  </si>
  <si>
    <t>PGAM1</t>
  </si>
  <si>
    <t>RCC1</t>
  </si>
  <si>
    <t>SDC1</t>
  </si>
  <si>
    <t>ATF1</t>
  </si>
  <si>
    <t>ATP5J</t>
  </si>
  <si>
    <t>PAM</t>
  </si>
  <si>
    <t>NCL</t>
  </si>
  <si>
    <t>HK1</t>
  </si>
  <si>
    <t>POLR2E</t>
  </si>
  <si>
    <t>TFE3</t>
  </si>
  <si>
    <t>SRM</t>
  </si>
  <si>
    <t>CSNK2A2</t>
  </si>
  <si>
    <t>NFKB1</t>
  </si>
  <si>
    <t>FST</t>
  </si>
  <si>
    <t>TYMP</t>
  </si>
  <si>
    <t>ATP2B1</t>
  </si>
  <si>
    <t>EIF2S2</t>
  </si>
  <si>
    <t>BTF3</t>
  </si>
  <si>
    <t>RAB3A</t>
  </si>
  <si>
    <t>RAB3B</t>
  </si>
  <si>
    <t>RAB4A</t>
  </si>
  <si>
    <t>RAB6A</t>
  </si>
  <si>
    <t>MX1</t>
  </si>
  <si>
    <t>PSMB1</t>
  </si>
  <si>
    <t>M6PR</t>
  </si>
  <si>
    <t>COX5A</t>
  </si>
  <si>
    <t>LMNB1</t>
  </si>
  <si>
    <t>HOXA5</t>
  </si>
  <si>
    <t>AGA</t>
  </si>
  <si>
    <t>PTMS</t>
  </si>
  <si>
    <t>GSTM3</t>
  </si>
  <si>
    <t>ATP6V1B2</t>
  </si>
  <si>
    <t>ATP6V1C1</t>
  </si>
  <si>
    <t>CSRP1</t>
  </si>
  <si>
    <t>FLNA</t>
  </si>
  <si>
    <t>MAOA</t>
  </si>
  <si>
    <t>ACO1</t>
  </si>
  <si>
    <t>KITLG</t>
  </si>
  <si>
    <t>NT5E</t>
  </si>
  <si>
    <t>VDAC1</t>
  </si>
  <si>
    <t>SDHB</t>
  </si>
  <si>
    <t>BCKDHB</t>
  </si>
  <si>
    <t>COMT</t>
  </si>
  <si>
    <t>TGM2</t>
  </si>
  <si>
    <t>MUT</t>
  </si>
  <si>
    <t>OSBP</t>
  </si>
  <si>
    <t>GART</t>
  </si>
  <si>
    <t>IDS</t>
  </si>
  <si>
    <t>SCP2</t>
  </si>
  <si>
    <t>UBA1</t>
  </si>
  <si>
    <t>GPX3</t>
  </si>
  <si>
    <t>ENPP1</t>
  </si>
  <si>
    <t>FDXR</t>
  </si>
  <si>
    <t>HNRNPA2B1</t>
  </si>
  <si>
    <t>CALB2</t>
  </si>
  <si>
    <t>CBL</t>
  </si>
  <si>
    <t>IGFBP4</t>
  </si>
  <si>
    <t>PRKACB</t>
  </si>
  <si>
    <t>FECH</t>
  </si>
  <si>
    <t>CES1</t>
  </si>
  <si>
    <t>FBLN1</t>
  </si>
  <si>
    <t>TCEA1</t>
  </si>
  <si>
    <t>PTGS1</t>
  </si>
  <si>
    <t>SFPQ</t>
  </si>
  <si>
    <t>TUBG1</t>
  </si>
  <si>
    <t>PPIB</t>
  </si>
  <si>
    <t>ME2</t>
  </si>
  <si>
    <t>RPS3</t>
  </si>
  <si>
    <t>GCSH</t>
  </si>
  <si>
    <t>PTPRG</t>
  </si>
  <si>
    <t>SP100</t>
  </si>
  <si>
    <t>MCC</t>
  </si>
  <si>
    <t>NFYA</t>
  </si>
  <si>
    <t>AHCY</t>
  </si>
  <si>
    <t>CFL1</t>
  </si>
  <si>
    <t>F8A1</t>
  </si>
  <si>
    <t>ATP2B4</t>
  </si>
  <si>
    <t>DGKA</t>
  </si>
  <si>
    <t>CPT2</t>
  </si>
  <si>
    <t>DTYMK</t>
  </si>
  <si>
    <t>RRM1</t>
  </si>
  <si>
    <t>LAMA2</t>
  </si>
  <si>
    <t>CCND1</t>
  </si>
  <si>
    <t>GADD45A</t>
  </si>
  <si>
    <t>EEF1B2</t>
  </si>
  <si>
    <t>IGFBP6</t>
  </si>
  <si>
    <t>IGFBP5</t>
  </si>
  <si>
    <t>ACP1</t>
  </si>
  <si>
    <t>ACAT1</t>
  </si>
  <si>
    <t>TNC</t>
  </si>
  <si>
    <t>MYL9</t>
  </si>
  <si>
    <t>POLR2A</t>
  </si>
  <si>
    <t>ADRBK1</t>
  </si>
  <si>
    <t>F2R</t>
  </si>
  <si>
    <t>RPS12</t>
  </si>
  <si>
    <t>FAS</t>
  </si>
  <si>
    <t>DNAJB1</t>
  </si>
  <si>
    <t>DNAJB2</t>
  </si>
  <si>
    <t>ATP5A1</t>
  </si>
  <si>
    <t>PSMA1</t>
  </si>
  <si>
    <t>PSMA2</t>
  </si>
  <si>
    <t>PSMA3</t>
  </si>
  <si>
    <t>PSMA4</t>
  </si>
  <si>
    <t>ITGA3</t>
  </si>
  <si>
    <t>PTX3</t>
  </si>
  <si>
    <t>MSN</t>
  </si>
  <si>
    <t>DDX6</t>
  </si>
  <si>
    <t>CTNNA2</t>
  </si>
  <si>
    <t>RPL13</t>
  </si>
  <si>
    <t>CHML</t>
  </si>
  <si>
    <t>IVD</t>
  </si>
  <si>
    <t>S100A4</t>
  </si>
  <si>
    <t>MGAT1</t>
  </si>
  <si>
    <t>HMGB2</t>
  </si>
  <si>
    <t>PTBP1</t>
  </si>
  <si>
    <t>TARS</t>
  </si>
  <si>
    <t>EEF1G</t>
  </si>
  <si>
    <t>FKBP2</t>
  </si>
  <si>
    <t>AK4</t>
  </si>
  <si>
    <t>MAOB</t>
  </si>
  <si>
    <t>YWHAQ</t>
  </si>
  <si>
    <t>ATP6V0C</t>
  </si>
  <si>
    <t>ARNT</t>
  </si>
  <si>
    <t>RPL10</t>
  </si>
  <si>
    <t>COL8A1</t>
  </si>
  <si>
    <t>RPA1</t>
  </si>
  <si>
    <t>APEX1</t>
  </si>
  <si>
    <t>CD82</t>
  </si>
  <si>
    <t>CALR</t>
  </si>
  <si>
    <t>CANX</t>
  </si>
  <si>
    <t>PSMB8</t>
  </si>
  <si>
    <t>PSMA5</t>
  </si>
  <si>
    <t>PSMB4</t>
  </si>
  <si>
    <t>PSMB6</t>
  </si>
  <si>
    <t>PSMB5</t>
  </si>
  <si>
    <t>GSTM2</t>
  </si>
  <si>
    <t>LOX</t>
  </si>
  <si>
    <t>NDUFS1</t>
  </si>
  <si>
    <t>MAPK1</t>
  </si>
  <si>
    <t>ERCC5</t>
  </si>
  <si>
    <t>GRN</t>
  </si>
  <si>
    <t>LAP3</t>
  </si>
  <si>
    <t>HSD11B1</t>
  </si>
  <si>
    <t>GTF2E1</t>
  </si>
  <si>
    <t>CTGF</t>
  </si>
  <si>
    <t>EPHA2</t>
  </si>
  <si>
    <t>EPHB2</t>
  </si>
  <si>
    <t>SHC1</t>
  </si>
  <si>
    <t>CRABP2</t>
  </si>
  <si>
    <t>TKT</t>
  </si>
  <si>
    <t>LMOD1</t>
  </si>
  <si>
    <t>PML</t>
  </si>
  <si>
    <t>MARCKS</t>
  </si>
  <si>
    <t>GNA11</t>
  </si>
  <si>
    <t>ALDH4A1</t>
  </si>
  <si>
    <t>PBLD</t>
  </si>
  <si>
    <t>ERP29</t>
  </si>
  <si>
    <t>PRDX6</t>
  </si>
  <si>
    <t>C21orf33</t>
  </si>
  <si>
    <t>BLVRB</t>
  </si>
  <si>
    <t>PRDX5</t>
  </si>
  <si>
    <t>DDT</t>
  </si>
  <si>
    <t>ATP5D</t>
  </si>
  <si>
    <t>RPL12</t>
  </si>
  <si>
    <t>ECHS1</t>
  </si>
  <si>
    <t>CMPK1</t>
  </si>
  <si>
    <t>PEBP1</t>
  </si>
  <si>
    <t>PPP2R1A</t>
  </si>
  <si>
    <t>PPP2R1B</t>
  </si>
  <si>
    <t>PPIF</t>
  </si>
  <si>
    <t>BDKRB2</t>
  </si>
  <si>
    <t>NMT1</t>
  </si>
  <si>
    <t>HLA-C</t>
  </si>
  <si>
    <t>HMOX2</t>
  </si>
  <si>
    <t>ADSS</t>
  </si>
  <si>
    <t>AXL</t>
  </si>
  <si>
    <t>LRPAP1</t>
  </si>
  <si>
    <t>ADSL</t>
  </si>
  <si>
    <t>PKLR</t>
  </si>
  <si>
    <t>GSTT1</t>
  </si>
  <si>
    <t>SERPINB1</t>
  </si>
  <si>
    <t>SLC7A1</t>
  </si>
  <si>
    <t>ALDH1B1</t>
  </si>
  <si>
    <t>CORO1A</t>
  </si>
  <si>
    <t>GDI1</t>
  </si>
  <si>
    <t>MAT2A</t>
  </si>
  <si>
    <t>PRKAR1B</t>
  </si>
  <si>
    <t>PRKAR2B</t>
  </si>
  <si>
    <t>CPS1</t>
  </si>
  <si>
    <t>RRM2</t>
  </si>
  <si>
    <t>DNAJA1</t>
  </si>
  <si>
    <t>AKT1</t>
  </si>
  <si>
    <t>AKT2</t>
  </si>
  <si>
    <t>UQCRC1</t>
  </si>
  <si>
    <t>HIBADH</t>
  </si>
  <si>
    <t>ATIC</t>
  </si>
  <si>
    <t>HNRNPH3</t>
  </si>
  <si>
    <t>YWHAB</t>
  </si>
  <si>
    <t>SFN</t>
  </si>
  <si>
    <t>STIP1</t>
  </si>
  <si>
    <t>S100A11</t>
  </si>
  <si>
    <t>PRDX2</t>
  </si>
  <si>
    <t>GK</t>
  </si>
  <si>
    <t>CDA</t>
  </si>
  <si>
    <t>DCTD</t>
  </si>
  <si>
    <t>PYCR1</t>
  </si>
  <si>
    <t>SLC8A1</t>
  </si>
  <si>
    <t>GBP1</t>
  </si>
  <si>
    <t>GBP2</t>
  </si>
  <si>
    <t>STX2</t>
  </si>
  <si>
    <t>CTH</t>
  </si>
  <si>
    <t>RPL9</t>
  </si>
  <si>
    <t>ACSL1</t>
  </si>
  <si>
    <t>KIF5B</t>
  </si>
  <si>
    <t>CSTF2</t>
  </si>
  <si>
    <t>LSP1</t>
  </si>
  <si>
    <t>DUT</t>
  </si>
  <si>
    <t>ABCC1</t>
  </si>
  <si>
    <t>S100A3</t>
  </si>
  <si>
    <t>MAN1A1</t>
  </si>
  <si>
    <t>GALNS</t>
  </si>
  <si>
    <t>SHMT1</t>
  </si>
  <si>
    <t>SHMT2</t>
  </si>
  <si>
    <t>HSPA1L</t>
  </si>
  <si>
    <t>HSPA4</t>
  </si>
  <si>
    <t>MPI</t>
  </si>
  <si>
    <t>GPC1</t>
  </si>
  <si>
    <t>CTNNA1</t>
  </si>
  <si>
    <t>PHB</t>
  </si>
  <si>
    <t>SERPINB6</t>
  </si>
  <si>
    <t>NF2</t>
  </si>
  <si>
    <t>RPA3</t>
  </si>
  <si>
    <t>RFC2</t>
  </si>
  <si>
    <t>RPL22</t>
  </si>
  <si>
    <t>GTF2F1</t>
  </si>
  <si>
    <t>SPR</t>
  </si>
  <si>
    <t>RORA</t>
  </si>
  <si>
    <t>THBS2</t>
  </si>
  <si>
    <t>CBS</t>
  </si>
  <si>
    <t>FBN1</t>
  </si>
  <si>
    <t>FBN2</t>
  </si>
  <si>
    <t>IRS1</t>
  </si>
  <si>
    <t>MYH9</t>
  </si>
  <si>
    <t>MYH10</t>
  </si>
  <si>
    <t>COPB2</t>
  </si>
  <si>
    <t>ADD1</t>
  </si>
  <si>
    <t>BSG</t>
  </si>
  <si>
    <t>TIMP3</t>
  </si>
  <si>
    <t>NUP214</t>
  </si>
  <si>
    <t>GLRX</t>
  </si>
  <si>
    <t>CHKA</t>
  </si>
  <si>
    <t>PPM1A</t>
  </si>
  <si>
    <t>PSMC2</t>
  </si>
  <si>
    <t>SLC16A2</t>
  </si>
  <si>
    <t>GGT5</t>
  </si>
  <si>
    <t>ARL2</t>
  </si>
  <si>
    <t>ARL3</t>
  </si>
  <si>
    <t>TRIM23</t>
  </si>
  <si>
    <t>MAP2K2</t>
  </si>
  <si>
    <t>ATP6V1E1</t>
  </si>
  <si>
    <t>CPOX</t>
  </si>
  <si>
    <t>RPL4</t>
  </si>
  <si>
    <t>NUDT1</t>
  </si>
  <si>
    <t>PGM1</t>
  </si>
  <si>
    <t>PPP1CC</t>
  </si>
  <si>
    <t>GNL1</t>
  </si>
  <si>
    <t>POLR2I</t>
  </si>
  <si>
    <t>SERPINF1</t>
  </si>
  <si>
    <t>DLST</t>
  </si>
  <si>
    <t>GMPR</t>
  </si>
  <si>
    <t>GPX4</t>
  </si>
  <si>
    <t>HSD17B2</t>
  </si>
  <si>
    <t>SRP14</t>
  </si>
  <si>
    <t>TGFBR2</t>
  </si>
  <si>
    <t>NUP62</t>
  </si>
  <si>
    <t>HPCAL1</t>
  </si>
  <si>
    <t>FDFT1</t>
  </si>
  <si>
    <t>TAGLN2</t>
  </si>
  <si>
    <t>TALDO1</t>
  </si>
  <si>
    <t>ETFB</t>
  </si>
  <si>
    <t>RBMX</t>
  </si>
  <si>
    <t>GNAL</t>
  </si>
  <si>
    <t>GGCX</t>
  </si>
  <si>
    <t>LIPA</t>
  </si>
  <si>
    <t>ATP6V1A</t>
  </si>
  <si>
    <t>HSPA9</t>
  </si>
  <si>
    <t>EIF4A3</t>
  </si>
  <si>
    <t>RPS19</t>
  </si>
  <si>
    <t>RPL3</t>
  </si>
  <si>
    <t>COL15A1</t>
  </si>
  <si>
    <t>DDOST</t>
  </si>
  <si>
    <t>ANP32A</t>
  </si>
  <si>
    <t>FEN1</t>
  </si>
  <si>
    <t>CAPG</t>
  </si>
  <si>
    <t>CAP2</t>
  </si>
  <si>
    <t>IL6ST</t>
  </si>
  <si>
    <t>TXLNA</t>
  </si>
  <si>
    <t>CCT6A</t>
  </si>
  <si>
    <t>NNMT</t>
  </si>
  <si>
    <t>PSMB10</t>
  </si>
  <si>
    <t>STAT3</t>
  </si>
  <si>
    <t>USP8</t>
  </si>
  <si>
    <t>MDH1</t>
  </si>
  <si>
    <t>MDH2</t>
  </si>
  <si>
    <t>HADHA</t>
  </si>
  <si>
    <t>EIF2S3</t>
  </si>
  <si>
    <t>ID1</t>
  </si>
  <si>
    <t>LEP</t>
  </si>
  <si>
    <t>CETN2</t>
  </si>
  <si>
    <t>EIF2D</t>
  </si>
  <si>
    <t>WNT5A</t>
  </si>
  <si>
    <t>BUD31</t>
  </si>
  <si>
    <t>UBA7</t>
  </si>
  <si>
    <t>NAA10</t>
  </si>
  <si>
    <t>CSK</t>
  </si>
  <si>
    <t>PNPLA4</t>
  </si>
  <si>
    <t>GARS</t>
  </si>
  <si>
    <t>IARS</t>
  </si>
  <si>
    <t>EIF1</t>
  </si>
  <si>
    <t>PRKCI</t>
  </si>
  <si>
    <t>ACTR1B</t>
  </si>
  <si>
    <t>ECI1</t>
  </si>
  <si>
    <t>STAT1</t>
  </si>
  <si>
    <t>STAT6</t>
  </si>
  <si>
    <t>SKIV2L2</t>
  </si>
  <si>
    <t>AKR1C3</t>
  </si>
  <si>
    <t>ARHGAP25</t>
  </si>
  <si>
    <t>PIK3CA</t>
  </si>
  <si>
    <t>MTOR</t>
  </si>
  <si>
    <t>EPS15</t>
  </si>
  <si>
    <t>CASP3</t>
  </si>
  <si>
    <t>CASP2</t>
  </si>
  <si>
    <t>RPS27</t>
  </si>
  <si>
    <t>LRPPRC</t>
  </si>
  <si>
    <t>ACAA2</t>
  </si>
  <si>
    <t>RPL35</t>
  </si>
  <si>
    <t>CDKN2A</t>
  </si>
  <si>
    <t>CDKN2B</t>
  </si>
  <si>
    <t>CDKN2C</t>
  </si>
  <si>
    <t>PRCP</t>
  </si>
  <si>
    <t>ECE1</t>
  </si>
  <si>
    <t>SLC1A1</t>
  </si>
  <si>
    <t>SLC1A4</t>
  </si>
  <si>
    <t>PAFAH1B1</t>
  </si>
  <si>
    <t>MCAM</t>
  </si>
  <si>
    <t>CRAT</t>
  </si>
  <si>
    <t>CTSO</t>
  </si>
  <si>
    <t>CTSK</t>
  </si>
  <si>
    <t>GPD2</t>
  </si>
  <si>
    <t>SSR1</t>
  </si>
  <si>
    <t>PTPN9</t>
  </si>
  <si>
    <t>NAMPT</t>
  </si>
  <si>
    <t>PSMC4</t>
  </si>
  <si>
    <t>TSFM</t>
  </si>
  <si>
    <t>ASPA</t>
  </si>
  <si>
    <t>PPIC</t>
  </si>
  <si>
    <t>VDAC2</t>
  </si>
  <si>
    <t>ACADSB</t>
  </si>
  <si>
    <t>CBX5</t>
  </si>
  <si>
    <t>USP5</t>
  </si>
  <si>
    <t>MAPK8</t>
  </si>
  <si>
    <t>MAPK9</t>
  </si>
  <si>
    <t>MAP2K4</t>
  </si>
  <si>
    <t>RANGAP1</t>
  </si>
  <si>
    <t>RECQL</t>
  </si>
  <si>
    <t>NOP2</t>
  </si>
  <si>
    <t>CRK</t>
  </si>
  <si>
    <t>CRKL</t>
  </si>
  <si>
    <t>MTIF2</t>
  </si>
  <si>
    <t>GSTM5</t>
  </si>
  <si>
    <t>CDKN1B</t>
  </si>
  <si>
    <t>MAP2K3</t>
  </si>
  <si>
    <t>BRCC3</t>
  </si>
  <si>
    <t>RPL5</t>
  </si>
  <si>
    <t>RPL21</t>
  </si>
  <si>
    <t>RPS9</t>
  </si>
  <si>
    <t>RPS10</t>
  </si>
  <si>
    <t>MAP1B</t>
  </si>
  <si>
    <t>GNPDA1</t>
  </si>
  <si>
    <t>NEDD4</t>
  </si>
  <si>
    <t>UTRN</t>
  </si>
  <si>
    <t>IQGAP1</t>
  </si>
  <si>
    <t>GYG1</t>
  </si>
  <si>
    <t>STT3A</t>
  </si>
  <si>
    <t>RABIF</t>
  </si>
  <si>
    <t>PLA2G4A</t>
  </si>
  <si>
    <t>CAPZA2</t>
  </si>
  <si>
    <t>CAPZB</t>
  </si>
  <si>
    <t>EIF1AX</t>
  </si>
  <si>
    <t>RPL29</t>
  </si>
  <si>
    <t>ZFP36L2</t>
  </si>
  <si>
    <t>UQCRFS1</t>
  </si>
  <si>
    <t>SLC6A8</t>
  </si>
  <si>
    <t>ATP5O</t>
  </si>
  <si>
    <t>LIMS1</t>
  </si>
  <si>
    <t>GLIPR1</t>
  </si>
  <si>
    <t>ME1</t>
  </si>
  <si>
    <t>IREB2</t>
  </si>
  <si>
    <t>LEPR</t>
  </si>
  <si>
    <t>SOX9</t>
  </si>
  <si>
    <t>ARCN1</t>
  </si>
  <si>
    <t>LSS</t>
  </si>
  <si>
    <t>PPP3CC</t>
  </si>
  <si>
    <t>GCLC</t>
  </si>
  <si>
    <t>GCLM</t>
  </si>
  <si>
    <t>CD151</t>
  </si>
  <si>
    <t>PRRC2A</t>
  </si>
  <si>
    <t>GSS</t>
  </si>
  <si>
    <t>CCT5</t>
  </si>
  <si>
    <t>NES</t>
  </si>
  <si>
    <t>HSPA13</t>
  </si>
  <si>
    <t>IDH2</t>
  </si>
  <si>
    <t>PITPNB</t>
  </si>
  <si>
    <t>MASP1</t>
  </si>
  <si>
    <t>CD97</t>
  </si>
  <si>
    <t>MARCKSL1</t>
  </si>
  <si>
    <t>CAMLG</t>
  </si>
  <si>
    <t>MAPKAPK2</t>
  </si>
  <si>
    <t>ALDH9A1</t>
  </si>
  <si>
    <t>RPL34</t>
  </si>
  <si>
    <t>RPIA</t>
  </si>
  <si>
    <t>LMAN1</t>
  </si>
  <si>
    <t>NASP</t>
  </si>
  <si>
    <t>FASN</t>
  </si>
  <si>
    <t>FNTA</t>
  </si>
  <si>
    <t>FNTB</t>
  </si>
  <si>
    <t>DHPS</t>
  </si>
  <si>
    <t>CCT3</t>
  </si>
  <si>
    <t>ARRB1</t>
  </si>
  <si>
    <t>TUFM</t>
  </si>
  <si>
    <t>ALDH7A1</t>
  </si>
  <si>
    <t>CDC34</t>
  </si>
  <si>
    <t>INPP1</t>
  </si>
  <si>
    <t>SRP9</t>
  </si>
  <si>
    <t>UBE2A</t>
  </si>
  <si>
    <t>PCYT1A</t>
  </si>
  <si>
    <t>AARS</t>
  </si>
  <si>
    <t>CARS</t>
  </si>
  <si>
    <t>SARS</t>
  </si>
  <si>
    <t>CASP4</t>
  </si>
  <si>
    <t>PSMB2</t>
  </si>
  <si>
    <t>ACADVL</t>
  </si>
  <si>
    <t>YLPM1</t>
  </si>
  <si>
    <t>ACOT2</t>
  </si>
  <si>
    <t>TMED10</t>
  </si>
  <si>
    <t>RBM25</t>
  </si>
  <si>
    <t>NUMB</t>
  </si>
  <si>
    <t>EIF2B2</t>
  </si>
  <si>
    <t>HINT1</t>
  </si>
  <si>
    <t>NUP153</t>
  </si>
  <si>
    <t>RANBP2</t>
  </si>
  <si>
    <t>RGS19</t>
  </si>
  <si>
    <t>RGS3</t>
  </si>
  <si>
    <t>GSK3A</t>
  </si>
  <si>
    <t>GSK3B</t>
  </si>
  <si>
    <t>NT5C2</t>
  </si>
  <si>
    <t>SEPHS1</t>
  </si>
  <si>
    <t>MTHFS</t>
  </si>
  <si>
    <t>GMPS</t>
  </si>
  <si>
    <t>MRE11A</t>
  </si>
  <si>
    <t>HNMT</t>
  </si>
  <si>
    <t>GNG10</t>
  </si>
  <si>
    <t>IDH3A</t>
  </si>
  <si>
    <t>SULT1A3</t>
  </si>
  <si>
    <t>SULT1A1</t>
  </si>
  <si>
    <t>CRIP1</t>
  </si>
  <si>
    <t>MMP14</t>
  </si>
  <si>
    <t>PPOX</t>
  </si>
  <si>
    <t>EMD</t>
  </si>
  <si>
    <t>CPT1A</t>
  </si>
  <si>
    <t>SERPINB8</t>
  </si>
  <si>
    <t>SERPINB9</t>
  </si>
  <si>
    <t>PDLIM4</t>
  </si>
  <si>
    <t>ST13</t>
  </si>
  <si>
    <t>VASP</t>
  </si>
  <si>
    <t>DNM2</t>
  </si>
  <si>
    <t>NUDT2</t>
  </si>
  <si>
    <t>HLCS</t>
  </si>
  <si>
    <t>RASSF2</t>
  </si>
  <si>
    <t>BCAM</t>
  </si>
  <si>
    <t>PPT1</t>
  </si>
  <si>
    <t>RPL14</t>
  </si>
  <si>
    <t>CCT8</t>
  </si>
  <si>
    <t>CCT4</t>
  </si>
  <si>
    <t>FXR2</t>
  </si>
  <si>
    <t>RAB5C</t>
  </si>
  <si>
    <t>RAB7A</t>
  </si>
  <si>
    <t>RAB9A</t>
  </si>
  <si>
    <t>RAB13</t>
  </si>
  <si>
    <t>RAB28</t>
  </si>
  <si>
    <t>RAB27A</t>
  </si>
  <si>
    <t>PLCD1</t>
  </si>
  <si>
    <t>DAP</t>
  </si>
  <si>
    <t>DAP3</t>
  </si>
  <si>
    <t>DUSP3</t>
  </si>
  <si>
    <t>SMARCA2</t>
  </si>
  <si>
    <t>IDH3G</t>
  </si>
  <si>
    <t>GALK1</t>
  </si>
  <si>
    <t>SSR4</t>
  </si>
  <si>
    <t>BCAP31</t>
  </si>
  <si>
    <t>TPMT</t>
  </si>
  <si>
    <t>MECP2</t>
  </si>
  <si>
    <t>HSD17B4</t>
  </si>
  <si>
    <t>PSMD7</t>
  </si>
  <si>
    <t>UBE2D1</t>
  </si>
  <si>
    <t>SUOX</t>
  </si>
  <si>
    <t>SGSH</t>
  </si>
  <si>
    <t>ARSD</t>
  </si>
  <si>
    <t>STAT5B</t>
  </si>
  <si>
    <t>CLCN3</t>
  </si>
  <si>
    <t>CLCN5</t>
  </si>
  <si>
    <t>PLXNA3</t>
  </si>
  <si>
    <t>VAMP7</t>
  </si>
  <si>
    <t>RPS6KA3</t>
  </si>
  <si>
    <t>AKR1D1</t>
  </si>
  <si>
    <t>HDGF</t>
  </si>
  <si>
    <t>LUM</t>
  </si>
  <si>
    <t>CNN1</t>
  </si>
  <si>
    <t>MNAT1</t>
  </si>
  <si>
    <t>NDUFA8</t>
  </si>
  <si>
    <t>HNRNPA3</t>
  </si>
  <si>
    <t>HNRNPM</t>
  </si>
  <si>
    <t>KPNA2</t>
  </si>
  <si>
    <t>KPNA1</t>
  </si>
  <si>
    <t>RAP1GDS1</t>
  </si>
  <si>
    <t>ARHGDIA</t>
  </si>
  <si>
    <t>HNRNPF</t>
  </si>
  <si>
    <t>STAT2</t>
  </si>
  <si>
    <t>GTF2A1</t>
  </si>
  <si>
    <t>GTF2A2</t>
  </si>
  <si>
    <t>VAV2</t>
  </si>
  <si>
    <t>HRSP12</t>
  </si>
  <si>
    <t>SMS</t>
  </si>
  <si>
    <t>HK2</t>
  </si>
  <si>
    <t>EFNB2</t>
  </si>
  <si>
    <t>NDST1</t>
  </si>
  <si>
    <t>THOP1</t>
  </si>
  <si>
    <t>CAPZA1</t>
  </si>
  <si>
    <t>CRIP2</t>
  </si>
  <si>
    <t>BLVRA</t>
  </si>
  <si>
    <t>SLC25A1</t>
  </si>
  <si>
    <t>ARFIP2</t>
  </si>
  <si>
    <t>ARFIP1</t>
  </si>
  <si>
    <t>NUDT6</t>
  </si>
  <si>
    <t>NUBP1</t>
  </si>
  <si>
    <t>ACLY</t>
  </si>
  <si>
    <t>METAP1</t>
  </si>
  <si>
    <t>SUCLG1</t>
  </si>
  <si>
    <t>MVD</t>
  </si>
  <si>
    <t>PGGT1B</t>
  </si>
  <si>
    <t>RABGGTB</t>
  </si>
  <si>
    <t>COPB1</t>
  </si>
  <si>
    <t>COPA</t>
  </si>
  <si>
    <t>CTSC</t>
  </si>
  <si>
    <t>HCCS</t>
  </si>
  <si>
    <t>MAPK12</t>
  </si>
  <si>
    <t>SLC5A3</t>
  </si>
  <si>
    <t>PTTG1IP</t>
  </si>
  <si>
    <t>RCAN1</t>
  </si>
  <si>
    <t>SMTN</t>
  </si>
  <si>
    <t>SLC16A1</t>
  </si>
  <si>
    <t>IST1</t>
  </si>
  <si>
    <t>SEC24C</t>
  </si>
  <si>
    <t>SUB1</t>
  </si>
  <si>
    <t>RARS</t>
  </si>
  <si>
    <t>ATXN1</t>
  </si>
  <si>
    <t>ATN1</t>
  </si>
  <si>
    <t>CACNB3</t>
  </si>
  <si>
    <t>YARS</t>
  </si>
  <si>
    <t>USP14</t>
  </si>
  <si>
    <t>PRKAG1</t>
  </si>
  <si>
    <t>PRKAA2</t>
  </si>
  <si>
    <t>HSPA2</t>
  </si>
  <si>
    <t>BCAT1</t>
  </si>
  <si>
    <t>ATP1B3</t>
  </si>
  <si>
    <t>RAD23A</t>
  </si>
  <si>
    <t>RAD23B</t>
  </si>
  <si>
    <t>NAGLU</t>
  </si>
  <si>
    <t>AK2</t>
  </si>
  <si>
    <t>ALDH18A1</t>
  </si>
  <si>
    <t>NAPA</t>
  </si>
  <si>
    <t>ADPRH</t>
  </si>
  <si>
    <t>EIF5</t>
  </si>
  <si>
    <t>SLC12A2</t>
  </si>
  <si>
    <t>PSMD4</t>
  </si>
  <si>
    <t>DRG2</t>
  </si>
  <si>
    <t>RRAD</t>
  </si>
  <si>
    <t>CSE1L</t>
  </si>
  <si>
    <t>VCP</t>
  </si>
  <si>
    <t>MFAP1</t>
  </si>
  <si>
    <t>MANF</t>
  </si>
  <si>
    <t>CASP7</t>
  </si>
  <si>
    <t>CASP6</t>
  </si>
  <si>
    <t>ADK</t>
  </si>
  <si>
    <t>LAMB2</t>
  </si>
  <si>
    <t>CDKN2D</t>
  </si>
  <si>
    <t>CDH6</t>
  </si>
  <si>
    <t>CDH13</t>
  </si>
  <si>
    <t>PRMT2</t>
  </si>
  <si>
    <t>SEC13</t>
  </si>
  <si>
    <t>GFER</t>
  </si>
  <si>
    <t>HNRNPH2</t>
  </si>
  <si>
    <t>OXCT1</t>
  </si>
  <si>
    <t>EIF3B</t>
  </si>
  <si>
    <t>FCGRT</t>
  </si>
  <si>
    <t>BID</t>
  </si>
  <si>
    <t>NDUFV3</t>
  </si>
  <si>
    <t>MARS</t>
  </si>
  <si>
    <t>ITGA1</t>
  </si>
  <si>
    <t>CMC4</t>
  </si>
  <si>
    <t>AP1S2</t>
  </si>
  <si>
    <t>ATP5E</t>
  </si>
  <si>
    <t>ATP5I</t>
  </si>
  <si>
    <t>HDAC4</t>
  </si>
  <si>
    <t>EIF6</t>
  </si>
  <si>
    <t>CTBP2</t>
  </si>
  <si>
    <t>PEX3</t>
  </si>
  <si>
    <t>HSD17B7</t>
  </si>
  <si>
    <t>BCAR1</t>
  </si>
  <si>
    <t>STX17</t>
  </si>
  <si>
    <t>RWDD2B</t>
  </si>
  <si>
    <t>C21orf59</t>
  </si>
  <si>
    <t>MAP3K7CL</t>
  </si>
  <si>
    <t>WDR4</t>
  </si>
  <si>
    <t>TMEM33</t>
  </si>
  <si>
    <t>SYNJ2BP</t>
  </si>
  <si>
    <t>CORO7</t>
  </si>
  <si>
    <t>SNX16</t>
  </si>
  <si>
    <t>SESN2</t>
  </si>
  <si>
    <t>MTPN</t>
  </si>
  <si>
    <t>GNG2</t>
  </si>
  <si>
    <t>SEC61G</t>
  </si>
  <si>
    <t>TPI1</t>
  </si>
  <si>
    <t>EIF3E</t>
  </si>
  <si>
    <t>SEC61B</t>
  </si>
  <si>
    <t>PTEN</t>
  </si>
  <si>
    <t>PPP4C</t>
  </si>
  <si>
    <t>GABARAPL2</t>
  </si>
  <si>
    <t>ROMO1</t>
  </si>
  <si>
    <t>UBE2G2</t>
  </si>
  <si>
    <t>RAC3</t>
  </si>
  <si>
    <t>RPS20</t>
  </si>
  <si>
    <t>SNAP25</t>
  </si>
  <si>
    <t>PRPS1</t>
  </si>
  <si>
    <t>SHFM1</t>
  </si>
  <si>
    <t>S100A10</t>
  </si>
  <si>
    <t>CDC42</t>
  </si>
  <si>
    <t>DSTN</t>
  </si>
  <si>
    <t>GMFB</t>
  </si>
  <si>
    <t>RAB8A</t>
  </si>
  <si>
    <t>SRP54</t>
  </si>
  <si>
    <t>RAB4B</t>
  </si>
  <si>
    <t>RAB2A</t>
  </si>
  <si>
    <t>RAB5B</t>
  </si>
  <si>
    <t>RAB10</t>
  </si>
  <si>
    <t>UBE2D3</t>
  </si>
  <si>
    <t>UBE2M</t>
  </si>
  <si>
    <t>UBE2K</t>
  </si>
  <si>
    <t>UBE2N</t>
  </si>
  <si>
    <t>RAB14</t>
  </si>
  <si>
    <t>ACTR3</t>
  </si>
  <si>
    <t>ACTR2</t>
  </si>
  <si>
    <t>ACTR1A</t>
  </si>
  <si>
    <t>COPS2</t>
  </si>
  <si>
    <t>POLR2F</t>
  </si>
  <si>
    <t>ABCE1</t>
  </si>
  <si>
    <t>RAP1B</t>
  </si>
  <si>
    <t>RAP2B</t>
  </si>
  <si>
    <t>MAX</t>
  </si>
  <si>
    <t>RPS3A</t>
  </si>
  <si>
    <t>PSME3</t>
  </si>
  <si>
    <t>MAGOH</t>
  </si>
  <si>
    <t>RPL27</t>
  </si>
  <si>
    <t>RHOA</t>
  </si>
  <si>
    <t>RND3</t>
  </si>
  <si>
    <t>NAA20</t>
  </si>
  <si>
    <t>NCALD</t>
  </si>
  <si>
    <t>HSPE1</t>
  </si>
  <si>
    <t>VBP1</t>
  </si>
  <si>
    <t>STXBP1</t>
  </si>
  <si>
    <t>B2M</t>
  </si>
  <si>
    <t>TGFB2</t>
  </si>
  <si>
    <t>PKIA</t>
  </si>
  <si>
    <t>RPL37</t>
  </si>
  <si>
    <t>GNG11</t>
  </si>
  <si>
    <t>DCAF7</t>
  </si>
  <si>
    <t>WDR5</t>
  </si>
  <si>
    <t>NUTF2</t>
  </si>
  <si>
    <t>HNRNPK</t>
  </si>
  <si>
    <t>YWHAG</t>
  </si>
  <si>
    <t>RRAS2</t>
  </si>
  <si>
    <t>TIMM10</t>
  </si>
  <si>
    <t>RPS7</t>
  </si>
  <si>
    <t>PPP1CA</t>
  </si>
  <si>
    <t>PPP1CB</t>
  </si>
  <si>
    <t>NCS1</t>
  </si>
  <si>
    <t>PSMC1</t>
  </si>
  <si>
    <t>PSMC5</t>
  </si>
  <si>
    <t>RPS8</t>
  </si>
  <si>
    <t>RPS16</t>
  </si>
  <si>
    <t>UBE2G1</t>
  </si>
  <si>
    <t>YWHAE</t>
  </si>
  <si>
    <t>RPS14</t>
  </si>
  <si>
    <t>RPS18</t>
  </si>
  <si>
    <t>RPS29</t>
  </si>
  <si>
    <t>RPS13</t>
  </si>
  <si>
    <t>RPS11</t>
  </si>
  <si>
    <t>SNRPE</t>
  </si>
  <si>
    <t>SNRPF</t>
  </si>
  <si>
    <t>SNRPG</t>
  </si>
  <si>
    <t>LSM3</t>
  </si>
  <si>
    <t>LSM6</t>
  </si>
  <si>
    <t>SNRPD1</t>
  </si>
  <si>
    <t>SNRPD2</t>
  </si>
  <si>
    <t>TMSB4X</t>
  </si>
  <si>
    <t>ARF6</t>
  </si>
  <si>
    <t>PSMC6</t>
  </si>
  <si>
    <t>TBPL1</t>
  </si>
  <si>
    <t>RPL7A</t>
  </si>
  <si>
    <t>POLR2G</t>
  </si>
  <si>
    <t>ETF1</t>
  </si>
  <si>
    <t>CNBP</t>
  </si>
  <si>
    <t>RPS4X</t>
  </si>
  <si>
    <t>PPP2CB</t>
  </si>
  <si>
    <t>ACTA2</t>
  </si>
  <si>
    <t>RHOB</t>
  </si>
  <si>
    <t>RPL23A</t>
  </si>
  <si>
    <t>RPS6</t>
  </si>
  <si>
    <t>HIST1H4A</t>
  </si>
  <si>
    <t>RAB1A</t>
  </si>
  <si>
    <t>RPL23</t>
  </si>
  <si>
    <t>RAP1A</t>
  </si>
  <si>
    <t>RPS25</t>
  </si>
  <si>
    <t>RPS28</t>
  </si>
  <si>
    <t>GNB1</t>
  </si>
  <si>
    <t>RBX1</t>
  </si>
  <si>
    <t>GNB2</t>
  </si>
  <si>
    <t>RPL30</t>
  </si>
  <si>
    <t>RPL10A</t>
  </si>
  <si>
    <t>RPL11</t>
  </si>
  <si>
    <t>PPIA</t>
  </si>
  <si>
    <t>FKBP1A</t>
  </si>
  <si>
    <t>RPS27A</t>
  </si>
  <si>
    <t>UBA52</t>
  </si>
  <si>
    <t>GRB2</t>
  </si>
  <si>
    <t>TRA2B</t>
  </si>
  <si>
    <t>RAC1</t>
  </si>
  <si>
    <t>AP2B1</t>
  </si>
  <si>
    <t>GNAS</t>
  </si>
  <si>
    <t>GNAI1</t>
  </si>
  <si>
    <t>UBE2B</t>
  </si>
  <si>
    <t>PPP2R2A</t>
  </si>
  <si>
    <t>DYNLL1</t>
  </si>
  <si>
    <t>RPL38</t>
  </si>
  <si>
    <t>GNG5</t>
  </si>
  <si>
    <t>GNB2L1</t>
  </si>
  <si>
    <t>YBX1</t>
  </si>
  <si>
    <t>UBE2L3</t>
  </si>
  <si>
    <t>EEF1A1</t>
  </si>
  <si>
    <t>TUBB4B</t>
  </si>
  <si>
    <t>PAFAH1B2</t>
  </si>
  <si>
    <t>HBB</t>
  </si>
  <si>
    <t>CXADR</t>
  </si>
  <si>
    <t>SH3BP2</t>
  </si>
  <si>
    <t>IGBP1</t>
  </si>
  <si>
    <t>SIRPA</t>
  </si>
  <si>
    <t>PSPH</t>
  </si>
  <si>
    <t>GTF2I</t>
  </si>
  <si>
    <t>PIP4K2B</t>
  </si>
  <si>
    <t>CCT2</t>
  </si>
  <si>
    <t>RAE1</t>
  </si>
  <si>
    <t>GSTO1</t>
  </si>
  <si>
    <t>ADAM17</t>
  </si>
  <si>
    <t>BLOC1S1</t>
  </si>
  <si>
    <t>IL13RA1</t>
  </si>
  <si>
    <t>CRADD</t>
  </si>
  <si>
    <t>IFI35</t>
  </si>
  <si>
    <t>MT1X</t>
  </si>
  <si>
    <t>NUCB2</t>
  </si>
  <si>
    <t>BASP1</t>
  </si>
  <si>
    <t>FAM189B</t>
  </si>
  <si>
    <t>TMF1</t>
  </si>
  <si>
    <t>MRPS36</t>
  </si>
  <si>
    <t>SARNP</t>
  </si>
  <si>
    <t>LACTB</t>
  </si>
  <si>
    <t>COG7</t>
  </si>
  <si>
    <t>TXNL4A</t>
  </si>
  <si>
    <t>ARF1</t>
  </si>
  <si>
    <t>ARF5</t>
  </si>
  <si>
    <t>ERH</t>
  </si>
  <si>
    <t>RHOG</t>
  </si>
  <si>
    <t>RPL19</t>
  </si>
  <si>
    <t>SERF2</t>
  </si>
  <si>
    <t>MXRA7</t>
  </si>
  <si>
    <t>FOXK1</t>
  </si>
  <si>
    <t>RPP14</t>
  </si>
  <si>
    <t>CCZ1</t>
  </si>
  <si>
    <t>DAB2</t>
  </si>
  <si>
    <t>VLDLR</t>
  </si>
  <si>
    <t>HSPG2</t>
  </si>
  <si>
    <t>XIAP</t>
  </si>
  <si>
    <t>EFNB1</t>
  </si>
  <si>
    <t>FAM3A</t>
  </si>
  <si>
    <t>RBM10</t>
  </si>
  <si>
    <t>RBM3</t>
  </si>
  <si>
    <t>MPP1</t>
  </si>
  <si>
    <t>PITPNA</t>
  </si>
  <si>
    <t>SLC25A3</t>
  </si>
  <si>
    <t>HDLBP</t>
  </si>
  <si>
    <t>GTF2B</t>
  </si>
  <si>
    <t>CDK6</t>
  </si>
  <si>
    <t>CDK5</t>
  </si>
  <si>
    <t>CDK16</t>
  </si>
  <si>
    <t>PURA</t>
  </si>
  <si>
    <t>CDC42EP1</t>
  </si>
  <si>
    <t>CLTC</t>
  </si>
  <si>
    <t>NFKB2</t>
  </si>
  <si>
    <t>FKBP3</t>
  </si>
  <si>
    <t>SORD</t>
  </si>
  <si>
    <t>HNRNPU</t>
  </si>
  <si>
    <t>IRF9</t>
  </si>
  <si>
    <t>SPTBN1</t>
  </si>
  <si>
    <t>TIAL1</t>
  </si>
  <si>
    <t>SET</t>
  </si>
  <si>
    <t>GALK2</t>
  </si>
  <si>
    <t>CTBS</t>
  </si>
  <si>
    <t>CAP1</t>
  </si>
  <si>
    <t>HMGCS1</t>
  </si>
  <si>
    <t>SLC7A5</t>
  </si>
  <si>
    <t>DR1</t>
  </si>
  <si>
    <t>PFKP</t>
  </si>
  <si>
    <t>CDR2</t>
  </si>
  <si>
    <t>OCRL</t>
  </si>
  <si>
    <t>PLCB3</t>
  </si>
  <si>
    <t>ROR2</t>
  </si>
  <si>
    <t>TAGLN</t>
  </si>
  <si>
    <t>NAAA</t>
  </si>
  <si>
    <t>DHODH</t>
  </si>
  <si>
    <t>PRKCE</t>
  </si>
  <si>
    <t>ALDH6A1</t>
  </si>
  <si>
    <t>CYP27A1</t>
  </si>
  <si>
    <t>BDH1</t>
  </si>
  <si>
    <t>COL7A1</t>
  </si>
  <si>
    <t>APBA1</t>
  </si>
  <si>
    <t>RPL18A</t>
  </si>
  <si>
    <t>GCNT1</t>
  </si>
  <si>
    <t>MAP2K1</t>
  </si>
  <si>
    <t>FKBP4</t>
  </si>
  <si>
    <t>PLOD1</t>
  </si>
  <si>
    <t>NUCB1</t>
  </si>
  <si>
    <t>RPL6</t>
  </si>
  <si>
    <t>AKAP12</t>
  </si>
  <si>
    <t>DST</t>
  </si>
  <si>
    <t>GSTM4</t>
  </si>
  <si>
    <t>CAV1</t>
  </si>
  <si>
    <t>ACY1</t>
  </si>
  <si>
    <t>TNFAIP2</t>
  </si>
  <si>
    <t>PTS</t>
  </si>
  <si>
    <t>PLAUR</t>
  </si>
  <si>
    <t>TAP2</t>
  </si>
  <si>
    <t>GBE1</t>
  </si>
  <si>
    <t>ATP7A</t>
  </si>
  <si>
    <t>NOTCH2</t>
  </si>
  <si>
    <t>GLO1</t>
  </si>
  <si>
    <t>ACVR1</t>
  </si>
  <si>
    <t>AKR1C1</t>
  </si>
  <si>
    <t>SSBP1</t>
  </si>
  <si>
    <t>MST1R</t>
  </si>
  <si>
    <t>YWHAH</t>
  </si>
  <si>
    <t>PLP2</t>
  </si>
  <si>
    <t>CSTF1</t>
  </si>
  <si>
    <t>UBE3A</t>
  </si>
  <si>
    <t>DNM1</t>
  </si>
  <si>
    <t>PTPN12</t>
  </si>
  <si>
    <t>SRSF11</t>
  </si>
  <si>
    <t>EEF1A2</t>
  </si>
  <si>
    <t>PRKCD</t>
  </si>
  <si>
    <t>PTPN11</t>
  </si>
  <si>
    <t>KDSR</t>
  </si>
  <si>
    <t>PPP2R3A</t>
  </si>
  <si>
    <t>PPAT</t>
  </si>
  <si>
    <t>GFPT1</t>
  </si>
  <si>
    <t>EXOSC9</t>
  </si>
  <si>
    <t>AOX1</t>
  </si>
  <si>
    <t>PSME1</t>
  </si>
  <si>
    <t>RBPJ</t>
  </si>
  <si>
    <t>APLP2</t>
  </si>
  <si>
    <t>GABPA</t>
  </si>
  <si>
    <t>RING1</t>
  </si>
  <si>
    <t>PRDX1</t>
  </si>
  <si>
    <t>C1QBP</t>
  </si>
  <si>
    <t>CKAP4</t>
  </si>
  <si>
    <t>COL16A1</t>
  </si>
  <si>
    <t>ZFP36L1</t>
  </si>
  <si>
    <t>DPT</t>
  </si>
  <si>
    <t>BAX</t>
  </si>
  <si>
    <t>KLC1</t>
  </si>
  <si>
    <t>TNK2</t>
  </si>
  <si>
    <t>LRP1</t>
  </si>
  <si>
    <t>ARHGAP1</t>
  </si>
  <si>
    <t>PPP3CA</t>
  </si>
  <si>
    <t>DHX9</t>
  </si>
  <si>
    <t>CRYZ</t>
  </si>
  <si>
    <t>SLC20A2</t>
  </si>
  <si>
    <t>GOLGA3</t>
  </si>
  <si>
    <t>GOLGA2</t>
  </si>
  <si>
    <t>LGALS3BP</t>
  </si>
  <si>
    <t>EHHADH</t>
  </si>
  <si>
    <t>SPOCK1</t>
  </si>
  <si>
    <t>CD47</t>
  </si>
  <si>
    <t>PPID</t>
  </si>
  <si>
    <t>CAMSAP2</t>
  </si>
  <si>
    <t>SPIRE1</t>
  </si>
  <si>
    <t>SLFN5</t>
  </si>
  <si>
    <t>MZT1</t>
  </si>
  <si>
    <t>VAC14</t>
  </si>
  <si>
    <t>KIAA0100</t>
  </si>
  <si>
    <t>NSUN2</t>
  </si>
  <si>
    <t>RBBP4</t>
  </si>
  <si>
    <t>NCBP1</t>
  </si>
  <si>
    <t>MGAT5</t>
  </si>
  <si>
    <t>AHNAK</t>
  </si>
  <si>
    <t>FCHO2</t>
  </si>
  <si>
    <t>HSPA14</t>
  </si>
  <si>
    <t>SCRN3</t>
  </si>
  <si>
    <t>FAAP100</t>
  </si>
  <si>
    <t>LAMTOR4</t>
  </si>
  <si>
    <t>NEXN</t>
  </si>
  <si>
    <t>MGAT2</t>
  </si>
  <si>
    <t>GALNT2</t>
  </si>
  <si>
    <t>AP1B1</t>
  </si>
  <si>
    <t>PMPCA</t>
  </si>
  <si>
    <t>ST3GAL1</t>
  </si>
  <si>
    <t>ST3GAL4</t>
  </si>
  <si>
    <t>SCRN1</t>
  </si>
  <si>
    <t>TWF1</t>
  </si>
  <si>
    <t>ASPH</t>
  </si>
  <si>
    <t>AKAP13</t>
  </si>
  <si>
    <t>EFEMP1</t>
  </si>
  <si>
    <t>FSTL1</t>
  </si>
  <si>
    <t>STX4</t>
  </si>
  <si>
    <t>GRSF1</t>
  </si>
  <si>
    <t>SFSWAP</t>
  </si>
  <si>
    <t>SF3A3</t>
  </si>
  <si>
    <t>DPYD</t>
  </si>
  <si>
    <t>FAP</t>
  </si>
  <si>
    <t>TP53BP1</t>
  </si>
  <si>
    <t>TMEM115</t>
  </si>
  <si>
    <t>ILF2</t>
  </si>
  <si>
    <t>ILF3</t>
  </si>
  <si>
    <t>LMAN2</t>
  </si>
  <si>
    <t>PTPN13</t>
  </si>
  <si>
    <t>EPS8</t>
  </si>
  <si>
    <t>DLG1</t>
  </si>
  <si>
    <t>TAF10</t>
  </si>
  <si>
    <t>MYO1E</t>
  </si>
  <si>
    <t>PPP1R8</t>
  </si>
  <si>
    <t>PTP4A2</t>
  </si>
  <si>
    <t>ABR</t>
  </si>
  <si>
    <t>BNIP1</t>
  </si>
  <si>
    <t>ECH1</t>
  </si>
  <si>
    <t>ARHGAP5</t>
  </si>
  <si>
    <t>PLA2R1</t>
  </si>
  <si>
    <t>STRN3</t>
  </si>
  <si>
    <t>STK4</t>
  </si>
  <si>
    <t>FLII</t>
  </si>
  <si>
    <t>TRIM32</t>
  </si>
  <si>
    <t>COASY</t>
  </si>
  <si>
    <t>USP4</t>
  </si>
  <si>
    <t>MTAP</t>
  </si>
  <si>
    <t>PRKAA1</t>
  </si>
  <si>
    <t>PPFIA1</t>
  </si>
  <si>
    <t>TARDBP</t>
  </si>
  <si>
    <t>HNRNPA0</t>
  </si>
  <si>
    <t>PAK1</t>
  </si>
  <si>
    <t>FADD</t>
  </si>
  <si>
    <t>PRDX4</t>
  </si>
  <si>
    <t>MAPK7</t>
  </si>
  <si>
    <t>PAK2</t>
  </si>
  <si>
    <t>CBX3</t>
  </si>
  <si>
    <t>STK3</t>
  </si>
  <si>
    <t>STX5</t>
  </si>
  <si>
    <t>PSMD2</t>
  </si>
  <si>
    <t>DNAJC3</t>
  </si>
  <si>
    <t>SELENBP1</t>
  </si>
  <si>
    <t>NME3</t>
  </si>
  <si>
    <t>SRSF9</t>
  </si>
  <si>
    <t>SRSF5</t>
  </si>
  <si>
    <t>SRSF6</t>
  </si>
  <si>
    <t>TRIM28</t>
  </si>
  <si>
    <t>STX3</t>
  </si>
  <si>
    <t>G3BP1</t>
  </si>
  <si>
    <t>NMI</t>
  </si>
  <si>
    <t>PTK7</t>
  </si>
  <si>
    <t>PABPC4</t>
  </si>
  <si>
    <t>GRB10</t>
  </si>
  <si>
    <t>IFIT5</t>
  </si>
  <si>
    <t>SLC14A1</t>
  </si>
  <si>
    <t>EIF3I</t>
  </si>
  <si>
    <t>PPP2R5C</t>
  </si>
  <si>
    <t>CTBP1</t>
  </si>
  <si>
    <t>PDCL</t>
  </si>
  <si>
    <t>DYNC1I2</t>
  </si>
  <si>
    <t>ILK</t>
  </si>
  <si>
    <t>NNT</t>
  </si>
  <si>
    <t>SNTA1</t>
  </si>
  <si>
    <t>SNTB2</t>
  </si>
  <si>
    <t>UNC119</t>
  </si>
  <si>
    <t>SLC39A6</t>
  </si>
  <si>
    <t>SF3B2</t>
  </si>
  <si>
    <t>OS9</t>
  </si>
  <si>
    <t>GOLGA4</t>
  </si>
  <si>
    <t>PDAP1</t>
  </si>
  <si>
    <t>ADAM9</t>
  </si>
  <si>
    <t>ADAM15</t>
  </si>
  <si>
    <t>TMED1</t>
  </si>
  <si>
    <t>FKBP5</t>
  </si>
  <si>
    <t>ROCK1</t>
  </si>
  <si>
    <t>GAB1</t>
  </si>
  <si>
    <t>TCIRG1</t>
  </si>
  <si>
    <t>PICALM</t>
  </si>
  <si>
    <t>MTM1</t>
  </si>
  <si>
    <t>SQSTM1</t>
  </si>
  <si>
    <t>MTX1</t>
  </si>
  <si>
    <t>TUBB3</t>
  </si>
  <si>
    <t>PIN1</t>
  </si>
  <si>
    <t>EIF4EBP1</t>
  </si>
  <si>
    <t>EIF4EBP2</t>
  </si>
  <si>
    <t>RIPK1</t>
  </si>
  <si>
    <t>NAE1</t>
  </si>
  <si>
    <t>ITPK1</t>
  </si>
  <si>
    <t>SNW1</t>
  </si>
  <si>
    <t>STIM1</t>
  </si>
  <si>
    <t>TRA2A</t>
  </si>
  <si>
    <t>SNX1</t>
  </si>
  <si>
    <t>PWP1</t>
  </si>
  <si>
    <t>CUL1</t>
  </si>
  <si>
    <t>CUL2</t>
  </si>
  <si>
    <t>CUL3</t>
  </si>
  <si>
    <t>CUL4A</t>
  </si>
  <si>
    <t>TSTA3</t>
  </si>
  <si>
    <t>RAB31</t>
  </si>
  <si>
    <t>RAB32</t>
  </si>
  <si>
    <t>TPBG</t>
  </si>
  <si>
    <t>FHL1</t>
  </si>
  <si>
    <t>FHL3</t>
  </si>
  <si>
    <t>RIN1</t>
  </si>
  <si>
    <t>ITGA7</t>
  </si>
  <si>
    <t>MOGS</t>
  </si>
  <si>
    <t>ALCAM</t>
  </si>
  <si>
    <t>ARFRP1</t>
  </si>
  <si>
    <t>SPTAN1</t>
  </si>
  <si>
    <t>EXOSC2</t>
  </si>
  <si>
    <t>BMPR2</t>
  </si>
  <si>
    <t>SNTB1</t>
  </si>
  <si>
    <t>TUBB2A</t>
  </si>
  <si>
    <t>BYSL</t>
  </si>
  <si>
    <t>RAPGEF1</t>
  </si>
  <si>
    <t>IDI1</t>
  </si>
  <si>
    <t>CBFB</t>
  </si>
  <si>
    <t>NFYC</t>
  </si>
  <si>
    <t>PRKG1</t>
  </si>
  <si>
    <t>CKAP5</t>
  </si>
  <si>
    <t>CIRBP</t>
  </si>
  <si>
    <t>CAMK1</t>
  </si>
  <si>
    <t>COTL1</t>
  </si>
  <si>
    <t>COX17</t>
  </si>
  <si>
    <t>SCARB2</t>
  </si>
  <si>
    <t>NID2</t>
  </si>
  <si>
    <t>LRP8</t>
  </si>
  <si>
    <t>DAG1</t>
  </si>
  <si>
    <t>PDE1C</t>
  </si>
  <si>
    <t>UBE4A</t>
  </si>
  <si>
    <t>SAFB2</t>
  </si>
  <si>
    <t>EIF3A</t>
  </si>
  <si>
    <t>SCRIB</t>
  </si>
  <si>
    <t>MLEC</t>
  </si>
  <si>
    <t>TTLL12</t>
  </si>
  <si>
    <t>DOCK1</t>
  </si>
  <si>
    <t>DPYSL3</t>
  </si>
  <si>
    <t>DYNC1H1</t>
  </si>
  <si>
    <t>EIF2B1</t>
  </si>
  <si>
    <t>TCEB3</t>
  </si>
  <si>
    <t>ENDOG</t>
  </si>
  <si>
    <t>FLOT2</t>
  </si>
  <si>
    <t>RCN2</t>
  </si>
  <si>
    <t>TRIM25</t>
  </si>
  <si>
    <t>FLNC</t>
  </si>
  <si>
    <t>FKBP8</t>
  </si>
  <si>
    <t>FAM50A</t>
  </si>
  <si>
    <t>FZD2</t>
  </si>
  <si>
    <t>GNA13</t>
  </si>
  <si>
    <t>GAMT</t>
  </si>
  <si>
    <t>GALE</t>
  </si>
  <si>
    <t>LRRC32</t>
  </si>
  <si>
    <t>GAS6</t>
  </si>
  <si>
    <t>CAPRIN1</t>
  </si>
  <si>
    <t>RBM39</t>
  </si>
  <si>
    <t>NEDD9</t>
  </si>
  <si>
    <t>FAT1</t>
  </si>
  <si>
    <t>HABP2</t>
  </si>
  <si>
    <t>SQLE</t>
  </si>
  <si>
    <t>PDIA5</t>
  </si>
  <si>
    <t>PRPSAP1</t>
  </si>
  <si>
    <t>INPP5A</t>
  </si>
  <si>
    <t>RASA3</t>
  </si>
  <si>
    <t>LAGE3</t>
  </si>
  <si>
    <t>TRIP12</t>
  </si>
  <si>
    <t>MDC1</t>
  </si>
  <si>
    <t>CLINT1</t>
  </si>
  <si>
    <t>KCTD2</t>
  </si>
  <si>
    <t>LPIN1</t>
  </si>
  <si>
    <t>USP10</t>
  </si>
  <si>
    <t>MESDC2</t>
  </si>
  <si>
    <t>GANAB</t>
  </si>
  <si>
    <t>RFTN1</t>
  </si>
  <si>
    <t>SSPN</t>
  </si>
  <si>
    <t>LBR</t>
  </si>
  <si>
    <t>MVP</t>
  </si>
  <si>
    <t>LTBP1</t>
  </si>
  <si>
    <t>GOLGB1</t>
  </si>
  <si>
    <t>CASP8</t>
  </si>
  <si>
    <t>NAA30</t>
  </si>
  <si>
    <t>LASP1</t>
  </si>
  <si>
    <t>MTF1</t>
  </si>
  <si>
    <t>PTGR1</t>
  </si>
  <si>
    <t>RAB39A</t>
  </si>
  <si>
    <t>ZNF638</t>
  </si>
  <si>
    <t>KPNB1</t>
  </si>
  <si>
    <t>NOLC1</t>
  </si>
  <si>
    <t>NUMA1</t>
  </si>
  <si>
    <t>GAPVD1</t>
  </si>
  <si>
    <t>UBXN2B</t>
  </si>
  <si>
    <t>NAA25</t>
  </si>
  <si>
    <t>EMC2</t>
  </si>
  <si>
    <t>PSMD6</t>
  </si>
  <si>
    <t>HERPUD1</t>
  </si>
  <si>
    <t>LAPTM4A</t>
  </si>
  <si>
    <t>MAD2L1BP</t>
  </si>
  <si>
    <t>FAM175B</t>
  </si>
  <si>
    <t>SEPT2</t>
  </si>
  <si>
    <t>EXOSC7</t>
  </si>
  <si>
    <t>EFTUD2</t>
  </si>
  <si>
    <t>LARS2</t>
  </si>
  <si>
    <t>SNX17</t>
  </si>
  <si>
    <t>SLC39A14</t>
  </si>
  <si>
    <t>KARS</t>
  </si>
  <si>
    <t>EIF4H</t>
  </si>
  <si>
    <t>ACAP2</t>
  </si>
  <si>
    <t>WDR43</t>
  </si>
  <si>
    <t>ACOX1</t>
  </si>
  <si>
    <t>EEA1</t>
  </si>
  <si>
    <t>PAFAH1B3</t>
  </si>
  <si>
    <t>PCOLCE</t>
  </si>
  <si>
    <t>PDK1</t>
  </si>
  <si>
    <t>PDK2</t>
  </si>
  <si>
    <t>PEA15</t>
  </si>
  <si>
    <t>PGM5</t>
  </si>
  <si>
    <t>PMVK</t>
  </si>
  <si>
    <t>PRKD1</t>
  </si>
  <si>
    <t>PLCB4</t>
  </si>
  <si>
    <t>PLEC</t>
  </si>
  <si>
    <t>NOMO1</t>
  </si>
  <si>
    <t>TCEAL1</t>
  </si>
  <si>
    <t>PPP2R5A</t>
  </si>
  <si>
    <t>PPP2R5B</t>
  </si>
  <si>
    <t>PPA1</t>
  </si>
  <si>
    <t>STK38</t>
  </si>
  <si>
    <t>PVRL1</t>
  </si>
  <si>
    <t>NONO</t>
  </si>
  <si>
    <t>PPP2R4</t>
  </si>
  <si>
    <t>QPRT</t>
  </si>
  <si>
    <t>RABEP1</t>
  </si>
  <si>
    <t>RASA2</t>
  </si>
  <si>
    <t>RAB35</t>
  </si>
  <si>
    <t>RBBP5</t>
  </si>
  <si>
    <t>RCN1</t>
  </si>
  <si>
    <t>RALBP1</t>
  </si>
  <si>
    <t>TMED2</t>
  </si>
  <si>
    <t>PCBP1</t>
  </si>
  <si>
    <t>TCEB2</t>
  </si>
  <si>
    <t>RHEB</t>
  </si>
  <si>
    <t>UBE3C</t>
  </si>
  <si>
    <t>SF3B3</t>
  </si>
  <si>
    <t>RSU1</t>
  </si>
  <si>
    <t>CNN3</t>
  </si>
  <si>
    <t>SAFB</t>
  </si>
  <si>
    <t>SF3A2</t>
  </si>
  <si>
    <t>PPP1R7</t>
  </si>
  <si>
    <t>SEC23B</t>
  </si>
  <si>
    <t>CYTH1</t>
  </si>
  <si>
    <t>SF3A1</t>
  </si>
  <si>
    <t>SHB</t>
  </si>
  <si>
    <t>RGN</t>
  </si>
  <si>
    <t>SPA17</t>
  </si>
  <si>
    <t>SURF1</t>
  </si>
  <si>
    <t>TAF7</t>
  </si>
  <si>
    <t>MAPRE2</t>
  </si>
  <si>
    <t>TGFBI</t>
  </si>
  <si>
    <t>SLC9A3R2</t>
  </si>
  <si>
    <t>TRADD</t>
  </si>
  <si>
    <t>SF1</t>
  </si>
  <si>
    <t>TRIP10</t>
  </si>
  <si>
    <t>TRIP11</t>
  </si>
  <si>
    <t>TRIP13</t>
  </si>
  <si>
    <t>MED1</t>
  </si>
  <si>
    <t>JMJD1C</t>
  </si>
  <si>
    <t>TRIP6</t>
  </si>
  <si>
    <t>MAPRE1</t>
  </si>
  <si>
    <t>TSC22D1</t>
  </si>
  <si>
    <t>ELAVL1</t>
  </si>
  <si>
    <t>NSDHL</t>
  </si>
  <si>
    <t>NAB2</t>
  </si>
  <si>
    <t>GPR68</t>
  </si>
  <si>
    <t>MYLK</t>
  </si>
  <si>
    <t>TAB1</t>
  </si>
  <si>
    <t>SLC1A5</t>
  </si>
  <si>
    <t>MAPK11</t>
  </si>
  <si>
    <t>RAB30</t>
  </si>
  <si>
    <t>TOMM34</t>
  </si>
  <si>
    <t>MSMO1</t>
  </si>
  <si>
    <t>TBCE</t>
  </si>
  <si>
    <t>TBCC</t>
  </si>
  <si>
    <t>UBE2V2</t>
  </si>
  <si>
    <t>STK11</t>
  </si>
  <si>
    <t>STXBP2</t>
  </si>
  <si>
    <t>CCDC85B</t>
  </si>
  <si>
    <t>VAMP3</t>
  </si>
  <si>
    <t>ADIRF</t>
  </si>
  <si>
    <t>ATP6AP1</t>
  </si>
  <si>
    <t>RAB11B</t>
  </si>
  <si>
    <t>ZYX</t>
  </si>
  <si>
    <t>HSPB2</t>
  </si>
  <si>
    <t>ETFDH</t>
  </si>
  <si>
    <t>SNCB</t>
  </si>
  <si>
    <t>SEPT7</t>
  </si>
  <si>
    <t>ADRM1</t>
  </si>
  <si>
    <t>CCDC6</t>
  </si>
  <si>
    <t>UAP1</t>
  </si>
  <si>
    <t>E2F4</t>
  </si>
  <si>
    <t>IGFBP7</t>
  </si>
  <si>
    <t>INA</t>
  </si>
  <si>
    <t>LAMA4</t>
  </si>
  <si>
    <t>PSMD5</t>
  </si>
  <si>
    <t>PKN1</t>
  </si>
  <si>
    <t>PKN2</t>
  </si>
  <si>
    <t>DDB1</t>
  </si>
  <si>
    <t>MAPK14</t>
  </si>
  <si>
    <t>DPYSL2</t>
  </si>
  <si>
    <t>CAMK4</t>
  </si>
  <si>
    <t>RBBP7</t>
  </si>
  <si>
    <t>SGCB</t>
  </si>
  <si>
    <t>ECM1</t>
  </si>
  <si>
    <t>CTF1</t>
  </si>
  <si>
    <t>OCLN</t>
  </si>
  <si>
    <t>MEA1</t>
  </si>
  <si>
    <t>DBN1</t>
  </si>
  <si>
    <t>MAPKAPK3</t>
  </si>
  <si>
    <t>PTGIS</t>
  </si>
  <si>
    <t>FSCN1</t>
  </si>
  <si>
    <t>MAN2A1</t>
  </si>
  <si>
    <t>NDUFA5</t>
  </si>
  <si>
    <t>ATP2B3</t>
  </si>
  <si>
    <t>CLPP</t>
  </si>
  <si>
    <t>TST</t>
  </si>
  <si>
    <t>HAGH</t>
  </si>
  <si>
    <t>RTN1</t>
  </si>
  <si>
    <t>PCK2</t>
  </si>
  <si>
    <t>UPP1</t>
  </si>
  <si>
    <t>DDR2</t>
  </si>
  <si>
    <t>CYP51A1</t>
  </si>
  <si>
    <t>UGP2</t>
  </si>
  <si>
    <t>DGUOK</t>
  </si>
  <si>
    <t>ATP6V1F</t>
  </si>
  <si>
    <t>TATDN3</t>
  </si>
  <si>
    <t>REL</t>
  </si>
  <si>
    <t>C7orf60</t>
  </si>
  <si>
    <t>INF2</t>
  </si>
  <si>
    <t>PDS5A</t>
  </si>
  <si>
    <t>ARHGAP31</t>
  </si>
  <si>
    <t>AAK1</t>
  </si>
  <si>
    <t>VMAC</t>
  </si>
  <si>
    <t>TYSND1</t>
  </si>
  <si>
    <t>ALG11</t>
  </si>
  <si>
    <t>QRICH1</t>
  </si>
  <si>
    <t>RELA</t>
  </si>
  <si>
    <t>SMU1</t>
  </si>
  <si>
    <t>HFE</t>
  </si>
  <si>
    <t>LRRFIP1</t>
  </si>
  <si>
    <t>LEPRE1</t>
  </si>
  <si>
    <t>TRMT5</t>
  </si>
  <si>
    <t>NME1-NME2</t>
  </si>
  <si>
    <t>TWISTNB</t>
  </si>
  <si>
    <t>MAP7D1</t>
  </si>
  <si>
    <t>UAP1L1</t>
  </si>
  <si>
    <t>C2orf76</t>
  </si>
  <si>
    <t>ALKBH6</t>
  </si>
  <si>
    <t>DAK</t>
  </si>
  <si>
    <t>LSM12</t>
  </si>
  <si>
    <t>PUS10</t>
  </si>
  <si>
    <t>HSDL1</t>
  </si>
  <si>
    <t>C9orf126</t>
  </si>
  <si>
    <t>ALDH1L2</t>
  </si>
  <si>
    <t>GNPTAB</t>
  </si>
  <si>
    <t>CCDC88A</t>
  </si>
  <si>
    <t>RABL6</t>
  </si>
  <si>
    <t>TUBB8</t>
  </si>
  <si>
    <t>TIMM50</t>
  </si>
  <si>
    <t>LGALSL</t>
  </si>
  <si>
    <t>FUT11</t>
  </si>
  <si>
    <t>CDNF</t>
  </si>
  <si>
    <t>C5orf22</t>
  </si>
  <si>
    <t>COX19</t>
  </si>
  <si>
    <t>VPS26B</t>
  </si>
  <si>
    <t>CCSMST1</t>
  </si>
  <si>
    <t>NADKD1</t>
  </si>
  <si>
    <t>KCTD21</t>
  </si>
  <si>
    <t>GXYLT1</t>
  </si>
  <si>
    <t>ACSF3</t>
  </si>
  <si>
    <t>PREPL</t>
  </si>
  <si>
    <t>TBC1D10B</t>
  </si>
  <si>
    <t>ANO6</t>
  </si>
  <si>
    <t>PLCH1</t>
  </si>
  <si>
    <t>FILIP1L</t>
  </si>
  <si>
    <t>SVEP1</t>
  </si>
  <si>
    <t>DNAL1</t>
  </si>
  <si>
    <t>GRIPAP1</t>
  </si>
  <si>
    <t>TMEM119</t>
  </si>
  <si>
    <t>BCL7A</t>
  </si>
  <si>
    <t>DECR2</t>
  </si>
  <si>
    <t>TMEM259</t>
  </si>
  <si>
    <t>C4orf46</t>
  </si>
  <si>
    <t>ARHGAP29</t>
  </si>
  <si>
    <t>PDCD4</t>
  </si>
  <si>
    <t>FNDC3B</t>
  </si>
  <si>
    <t>MPPE1</t>
  </si>
  <si>
    <t>TP53I3</t>
  </si>
  <si>
    <t>TMEM35</t>
  </si>
  <si>
    <t>C11orf73</t>
  </si>
  <si>
    <t>PHLDA2</t>
  </si>
  <si>
    <t>PDLIM3</t>
  </si>
  <si>
    <t>HSD17B12</t>
  </si>
  <si>
    <t>LACTB2</t>
  </si>
  <si>
    <t>LBH</t>
  </si>
  <si>
    <t>BOLA3</t>
  </si>
  <si>
    <t>HS1BP3</t>
  </si>
  <si>
    <t>CYBRD1</t>
  </si>
  <si>
    <t>DKFZp686F13224</t>
  </si>
  <si>
    <t>ACTBL2</t>
  </si>
  <si>
    <t>PRR16</t>
  </si>
  <si>
    <t>OCIAD2</t>
  </si>
  <si>
    <t>SFT2D3</t>
  </si>
  <si>
    <t>NAALADL2</t>
  </si>
  <si>
    <t>HSP90AB4P</t>
  </si>
  <si>
    <t>HSP90AB2P</t>
  </si>
  <si>
    <t>HSP90AA4P</t>
  </si>
  <si>
    <t>DCAF6</t>
  </si>
  <si>
    <t>RPL39P5</t>
  </si>
  <si>
    <t>YIF1B</t>
  </si>
  <si>
    <t>OXLD1</t>
  </si>
  <si>
    <t>C19orf54</t>
  </si>
  <si>
    <t>ZC3H12A</t>
  </si>
  <si>
    <t>RILPL1</t>
  </si>
  <si>
    <t>PDZD11</t>
  </si>
  <si>
    <t>TNFAIP8L3</t>
  </si>
  <si>
    <t>HERC4</t>
  </si>
  <si>
    <t>PKIG</t>
  </si>
  <si>
    <t>TIMP1</t>
  </si>
  <si>
    <t>TCEAL8</t>
  </si>
  <si>
    <t>MTX3</t>
  </si>
  <si>
    <t>RABL3</t>
  </si>
  <si>
    <t>COQ5</t>
  </si>
  <si>
    <t>SH3D19</t>
  </si>
  <si>
    <t>TUBB</t>
  </si>
  <si>
    <t>NOMO2</t>
  </si>
  <si>
    <t>EARS2</t>
  </si>
  <si>
    <t>METTL10</t>
  </si>
  <si>
    <t>DPCD</t>
  </si>
  <si>
    <t>RHOC</t>
  </si>
  <si>
    <t>MIA3</t>
  </si>
  <si>
    <t>NUPL1</t>
  </si>
  <si>
    <t>SRSF10</t>
  </si>
  <si>
    <t>PITRM1</t>
  </si>
  <si>
    <t>PROSER1</t>
  </si>
  <si>
    <t>NHLRC3</t>
  </si>
  <si>
    <t>PSMG4</t>
  </si>
  <si>
    <t>WDR44</t>
  </si>
  <si>
    <t>HMGN5</t>
  </si>
  <si>
    <t>PRRC2B</t>
  </si>
  <si>
    <t>TJAP1</t>
  </si>
  <si>
    <t>COA6</t>
  </si>
  <si>
    <t>TOR1AIP1</t>
  </si>
  <si>
    <t>AARS2</t>
  </si>
  <si>
    <t>FPGS</t>
  </si>
  <si>
    <t>TOR2A</t>
  </si>
  <si>
    <t>FRMPD3</t>
  </si>
  <si>
    <t>PCID2</t>
  </si>
  <si>
    <t>HABP4</t>
  </si>
  <si>
    <t>ELMO2</t>
  </si>
  <si>
    <t>SLC35C2</t>
  </si>
  <si>
    <t>STAU1</t>
  </si>
  <si>
    <t>TMEM230</t>
  </si>
  <si>
    <t>MORF4L2</t>
  </si>
  <si>
    <t>CRNKL1</t>
  </si>
  <si>
    <t>KIAA1755</t>
  </si>
  <si>
    <t>SNX21</t>
  </si>
  <si>
    <t>SLC27A3</t>
  </si>
  <si>
    <t>COLEC12</t>
  </si>
  <si>
    <t>SPECC1</t>
  </si>
  <si>
    <t>SMEK2</t>
  </si>
  <si>
    <t>WDR45B</t>
  </si>
  <si>
    <t>EOGT</t>
  </si>
  <si>
    <t>TBCEL</t>
  </si>
  <si>
    <t>PEX19</t>
  </si>
  <si>
    <t>ATP5F1</t>
  </si>
  <si>
    <t>BCL2L1</t>
  </si>
  <si>
    <t>DPM1</t>
  </si>
  <si>
    <t>PSMF1</t>
  </si>
  <si>
    <t>RABGAP1L</t>
  </si>
  <si>
    <t>MPC2</t>
  </si>
  <si>
    <t>MAPK13</t>
  </si>
  <si>
    <t>COX20</t>
  </si>
  <si>
    <t>HLA-G</t>
  </si>
  <si>
    <t>EXOSC6</t>
  </si>
  <si>
    <t>MTHFR</t>
  </si>
  <si>
    <t>NPDC1</t>
  </si>
  <si>
    <t>HIATL1</t>
  </si>
  <si>
    <t>PHYHD1</t>
  </si>
  <si>
    <t>CSNK2B</t>
  </si>
  <si>
    <t>DNMBP</t>
  </si>
  <si>
    <t>LDLRAP1</t>
  </si>
  <si>
    <t>CAMK2G</t>
  </si>
  <si>
    <t>ODR4</t>
  </si>
  <si>
    <t>DNLZ</t>
  </si>
  <si>
    <t>NHSL1</t>
  </si>
  <si>
    <t>CERS2</t>
  </si>
  <si>
    <t>TPRG1L</t>
  </si>
  <si>
    <t>FNBP1L</t>
  </si>
  <si>
    <t>SH3BGRL3</t>
  </si>
  <si>
    <t>RARS2</t>
  </si>
  <si>
    <t>PYGO2</t>
  </si>
  <si>
    <t>CKS1B</t>
  </si>
  <si>
    <t>THEM4</t>
  </si>
  <si>
    <t>FKBP15</t>
  </si>
  <si>
    <t>GPSM2</t>
  </si>
  <si>
    <t>DDX59</t>
  </si>
  <si>
    <t>PUM1</t>
  </si>
  <si>
    <t>ZC3H13</t>
  </si>
  <si>
    <t>C10orf76</t>
  </si>
  <si>
    <t>TMEM63B</t>
  </si>
  <si>
    <t>LRIF1</t>
  </si>
  <si>
    <t>IBA57</t>
  </si>
  <si>
    <t>CERCAM</t>
  </si>
  <si>
    <t>PLEKHO1</t>
  </si>
  <si>
    <t>UBR4</t>
  </si>
  <si>
    <t>ACADM</t>
  </si>
  <si>
    <t>FAM219A</t>
  </si>
  <si>
    <t>STXBP5</t>
  </si>
  <si>
    <t>ARHGAP21</t>
  </si>
  <si>
    <t>CAMSAP1</t>
  </si>
  <si>
    <t>UBAP2</t>
  </si>
  <si>
    <t>C9orf64</t>
  </si>
  <si>
    <t>FAM162B</t>
  </si>
  <si>
    <t>FAM69A</t>
  </si>
  <si>
    <t>GORAB</t>
  </si>
  <si>
    <t>ACBD5</t>
  </si>
  <si>
    <t>COX6A1P2</t>
  </si>
  <si>
    <t>NUP133</t>
  </si>
  <si>
    <t>RBM26</t>
  </si>
  <si>
    <t>MED22</t>
  </si>
  <si>
    <t>SURF4</t>
  </si>
  <si>
    <t>AK1</t>
  </si>
  <si>
    <t>PRPF18</t>
  </si>
  <si>
    <t>GLTPD1</t>
  </si>
  <si>
    <t>HPS1</t>
  </si>
  <si>
    <t>RC3H1</t>
  </si>
  <si>
    <t>NQO2</t>
  </si>
  <si>
    <t>DDI2</t>
  </si>
  <si>
    <t>C20orf194</t>
  </si>
  <si>
    <t>HDAC1</t>
  </si>
  <si>
    <t>NDUFAF5</t>
  </si>
  <si>
    <t>NT5DC1</t>
  </si>
  <si>
    <t>KCNAB2</t>
  </si>
  <si>
    <t>PXDC1</t>
  </si>
  <si>
    <t>TMCO4</t>
  </si>
  <si>
    <t>SLC19A2</t>
  </si>
  <si>
    <t>SFT2D2</t>
  </si>
  <si>
    <t>CROCC</t>
  </si>
  <si>
    <t>MEX3C</t>
  </si>
  <si>
    <t>LYRM7</t>
  </si>
  <si>
    <t>VPS53</t>
  </si>
  <si>
    <t>STRIP1</t>
  </si>
  <si>
    <t>ABHD17B</t>
  </si>
  <si>
    <t>RPRD2</t>
  </si>
  <si>
    <t>GHITM</t>
  </si>
  <si>
    <t>TTC39B</t>
  </si>
  <si>
    <t>RNF20</t>
  </si>
  <si>
    <t>DYNLT1</t>
  </si>
  <si>
    <t>RPP30</t>
  </si>
  <si>
    <t>CACHD1</t>
  </si>
  <si>
    <t>ZNF318</t>
  </si>
  <si>
    <t>C1orf53</t>
  </si>
  <si>
    <t>LRCH2</t>
  </si>
  <si>
    <t>C6orf57</t>
  </si>
  <si>
    <t>MGST3</t>
  </si>
  <si>
    <t>PLEKHM2</t>
  </si>
  <si>
    <t>YOD1</t>
  </si>
  <si>
    <t>SLC2A8</t>
  </si>
  <si>
    <t>NFIB</t>
  </si>
  <si>
    <t>BROX</t>
  </si>
  <si>
    <t>SNX30</t>
  </si>
  <si>
    <t>DAB2IP</t>
  </si>
  <si>
    <t>PARD3</t>
  </si>
  <si>
    <t>LYPLAL1</t>
  </si>
  <si>
    <t>PEAR1</t>
  </si>
  <si>
    <t>ZCCHC6</t>
  </si>
  <si>
    <t>RNLS</t>
  </si>
  <si>
    <t>NAA35</t>
  </si>
  <si>
    <t>C9orf91</t>
  </si>
  <si>
    <t>LRRC16A</t>
  </si>
  <si>
    <t>CELF2</t>
  </si>
  <si>
    <t>ITM2B</t>
  </si>
  <si>
    <t>FAM160B1</t>
  </si>
  <si>
    <t>ZDHHC20</t>
  </si>
  <si>
    <t>SPRYD7</t>
  </si>
  <si>
    <t>NDUFB8</t>
  </si>
  <si>
    <t>QIL1</t>
  </si>
  <si>
    <t>RNF123</t>
  </si>
  <si>
    <t>FBXW9</t>
  </si>
  <si>
    <t>CD276</t>
  </si>
  <si>
    <t>AFMID</t>
  </si>
  <si>
    <t>RNF213</t>
  </si>
  <si>
    <t>AP1AR</t>
  </si>
  <si>
    <t>KANK2</t>
  </si>
  <si>
    <t>FAM21A</t>
  </si>
  <si>
    <t>STEAP3</t>
  </si>
  <si>
    <t>TBC1D9B</t>
  </si>
  <si>
    <t>PPP2R2D</t>
  </si>
  <si>
    <t>ARL6IP4</t>
  </si>
  <si>
    <t>KAZN</t>
  </si>
  <si>
    <t>DIEXF</t>
  </si>
  <si>
    <t>GLT8D1</t>
  </si>
  <si>
    <t>TNS3</t>
  </si>
  <si>
    <t>MBLAC2</t>
  </si>
  <si>
    <t>DKFZp781L1143</t>
  </si>
  <si>
    <t>ARHGAP17</t>
  </si>
  <si>
    <t>CWF19L1</t>
  </si>
  <si>
    <t>SPECC1L</t>
  </si>
  <si>
    <t>C12orf73</t>
  </si>
  <si>
    <t>WWC2</t>
  </si>
  <si>
    <t>SCARA3</t>
  </si>
  <si>
    <t>CYB5R2</t>
  </si>
  <si>
    <t>ATL3</t>
  </si>
  <si>
    <t>ADAL</t>
  </si>
  <si>
    <t>NXN</t>
  </si>
  <si>
    <t>TTC19</t>
  </si>
  <si>
    <t>VASN</t>
  </si>
  <si>
    <t>CIAPIN1</t>
  </si>
  <si>
    <t>ZFAND6</t>
  </si>
  <si>
    <t>SMYD5</t>
  </si>
  <si>
    <t>PTRHD1</t>
  </si>
  <si>
    <t>OTUD7B</t>
  </si>
  <si>
    <t>SELS</t>
  </si>
  <si>
    <t>THOC7</t>
  </si>
  <si>
    <t>NADSYN1</t>
  </si>
  <si>
    <t>ELP2</t>
  </si>
  <si>
    <t>LAMTOR1</t>
  </si>
  <si>
    <t>DHRS7B</t>
  </si>
  <si>
    <t>TWF2</t>
  </si>
  <si>
    <t>DESI1</t>
  </si>
  <si>
    <t>FAM109B</t>
  </si>
  <si>
    <t>KIAA0930</t>
  </si>
  <si>
    <t>Em:AP000351.3</t>
  </si>
  <si>
    <t>TANGO2</t>
  </si>
  <si>
    <t>SMEK1</t>
  </si>
  <si>
    <t>RAB12</t>
  </si>
  <si>
    <t>SDE2</t>
  </si>
  <si>
    <t>DNASE1L2</t>
  </si>
  <si>
    <t>TENM4</t>
  </si>
  <si>
    <t>OGFOD2</t>
  </si>
  <si>
    <t>KIAA1161</t>
  </si>
  <si>
    <t>SLC18B1</t>
  </si>
  <si>
    <t>TRNP1</t>
  </si>
  <si>
    <t>SLC25A24</t>
  </si>
  <si>
    <t>REEP3</t>
  </si>
  <si>
    <t>RETSAT</t>
  </si>
  <si>
    <t>RINT1</t>
  </si>
  <si>
    <t>TMEM214</t>
  </si>
  <si>
    <t>UFSP1</t>
  </si>
  <si>
    <t>HIBCH</t>
  </si>
  <si>
    <t>ANKRD54</t>
  </si>
  <si>
    <t>TAPT1</t>
  </si>
  <si>
    <t>PPP1R18</t>
  </si>
  <si>
    <t>THOC3</t>
  </si>
  <si>
    <t>PTRF</t>
  </si>
  <si>
    <t>CDC42EP5</t>
  </si>
  <si>
    <t>MRPL54</t>
  </si>
  <si>
    <t>ERAP2</t>
  </si>
  <si>
    <t>CDC73</t>
  </si>
  <si>
    <t>PMF1</t>
  </si>
  <si>
    <t>MRPL14</t>
  </si>
  <si>
    <t>SLC27A4</t>
  </si>
  <si>
    <t>CC2D1A</t>
  </si>
  <si>
    <t>METTL2B</t>
  </si>
  <si>
    <t>DUS1L</t>
  </si>
  <si>
    <t>C8orf82</t>
  </si>
  <si>
    <t>EDC4</t>
  </si>
  <si>
    <t>PRMT10</t>
  </si>
  <si>
    <t>DENND1B</t>
  </si>
  <si>
    <t>SCYL2</t>
  </si>
  <si>
    <t>TTC27</t>
  </si>
  <si>
    <t>NIPAL3</t>
  </si>
  <si>
    <t>CASC4</t>
  </si>
  <si>
    <t>FDX1L</t>
  </si>
  <si>
    <t>WDR73</t>
  </si>
  <si>
    <t>NFRKB</t>
  </si>
  <si>
    <t>MZT2A</t>
  </si>
  <si>
    <t>FAHD1</t>
  </si>
  <si>
    <t>C8orf47</t>
  </si>
  <si>
    <t>ALKBH5</t>
  </si>
  <si>
    <t>KIAA1609</t>
  </si>
  <si>
    <t>INTS5</t>
  </si>
  <si>
    <t>PGM2L1</t>
  </si>
  <si>
    <t>AAGAB</t>
  </si>
  <si>
    <t>TTC37</t>
  </si>
  <si>
    <t>ULK3</t>
  </si>
  <si>
    <t>TMEM65</t>
  </si>
  <si>
    <t>TTC33</t>
  </si>
  <si>
    <t>CCDC174</t>
  </si>
  <si>
    <t>HAGHL</t>
  </si>
  <si>
    <t>TRIM65</t>
  </si>
  <si>
    <t>ZC3H14</t>
  </si>
  <si>
    <t>CNST</t>
  </si>
  <si>
    <t>OGFOD3</t>
  </si>
  <si>
    <t>LARP1</t>
  </si>
  <si>
    <t>TMED8</t>
  </si>
  <si>
    <t>SLC30A9</t>
  </si>
  <si>
    <t>PAOX</t>
  </si>
  <si>
    <t>BLOC1S3</t>
  </si>
  <si>
    <t>BLOC1S2</t>
  </si>
  <si>
    <t>AGTRAP</t>
  </si>
  <si>
    <t>NHS</t>
  </si>
  <si>
    <t>METAP1D</t>
  </si>
  <si>
    <t>MTHFD1L</t>
  </si>
  <si>
    <t>AFTPH</t>
  </si>
  <si>
    <t>FIP1L1</t>
  </si>
  <si>
    <t>CRTC3</t>
  </si>
  <si>
    <t>CRTC1</t>
  </si>
  <si>
    <t>CSPG4</t>
  </si>
  <si>
    <t>MOXD1</t>
  </si>
  <si>
    <t>ATRAID</t>
  </si>
  <si>
    <t>KDELC1</t>
  </si>
  <si>
    <t>C11orf83</t>
  </si>
  <si>
    <t>LRSAM1</t>
  </si>
  <si>
    <t>FAM198B</t>
  </si>
  <si>
    <t>DHRS11</t>
  </si>
  <si>
    <t>LCLAT1</t>
  </si>
  <si>
    <t>PET117</t>
  </si>
  <si>
    <t>C6orf89</t>
  </si>
  <si>
    <t>ARSK</t>
  </si>
  <si>
    <t>CWC27</t>
  </si>
  <si>
    <t>LAYN</t>
  </si>
  <si>
    <t>METTL7B</t>
  </si>
  <si>
    <t>PLXDC2</t>
  </si>
  <si>
    <t>SEZ6L2</t>
  </si>
  <si>
    <t>CRELD2</t>
  </si>
  <si>
    <t>CCBE1</t>
  </si>
  <si>
    <t>WDR82</t>
  </si>
  <si>
    <t>APOOL</t>
  </si>
  <si>
    <t>FAT4</t>
  </si>
  <si>
    <t>DPP8</t>
  </si>
  <si>
    <t>PACS1</t>
  </si>
  <si>
    <t>MPRIP</t>
  </si>
  <si>
    <t>RAB11FIP1</t>
  </si>
  <si>
    <t>NAPRT1</t>
  </si>
  <si>
    <t>B3GALTL</t>
  </si>
  <si>
    <t>GIGYF2</t>
  </si>
  <si>
    <t>CD109</t>
  </si>
  <si>
    <t>THADA</t>
  </si>
  <si>
    <t>HSDL2</t>
  </si>
  <si>
    <t>CCBL2</t>
  </si>
  <si>
    <t>CERS6</t>
  </si>
  <si>
    <t>SYNE3</t>
  </si>
  <si>
    <t>LINC00322</t>
  </si>
  <si>
    <t>AEBP2</t>
  </si>
  <si>
    <t>GDPGP1</t>
  </si>
  <si>
    <t>DPY19L3</t>
  </si>
  <si>
    <t>QSOX2</t>
  </si>
  <si>
    <t>FAM65A</t>
  </si>
  <si>
    <t>C1orf122</t>
  </si>
  <si>
    <t>MFSD6</t>
  </si>
  <si>
    <t>TMPPE</t>
  </si>
  <si>
    <t>ANKRD13D</t>
  </si>
  <si>
    <t>C15orf52</t>
  </si>
  <si>
    <t>LHFPL2</t>
  </si>
  <si>
    <t>NUDT18</t>
  </si>
  <si>
    <t>TOM1L2</t>
  </si>
  <si>
    <t>MBOAT2</t>
  </si>
  <si>
    <t>TMTC3</t>
  </si>
  <si>
    <t>GTF2H5</t>
  </si>
  <si>
    <t>VPS13C</t>
  </si>
  <si>
    <t>ACAD11</t>
  </si>
  <si>
    <t>MOB2</t>
  </si>
  <si>
    <t>IKBIP</t>
  </si>
  <si>
    <t>UBE2R2</t>
  </si>
  <si>
    <t>LARP4</t>
  </si>
  <si>
    <t>TUBA1A</t>
  </si>
  <si>
    <t>MTSS1L</t>
  </si>
  <si>
    <t>CCDC80</t>
  </si>
  <si>
    <t>BTN2A1</t>
  </si>
  <si>
    <t>SUPT6H</t>
  </si>
  <si>
    <t>SND1</t>
  </si>
  <si>
    <t>DDX46</t>
  </si>
  <si>
    <t>RUFY3</t>
  </si>
  <si>
    <t>SV2A</t>
  </si>
  <si>
    <t>TRMT10C</t>
  </si>
  <si>
    <t>BZW1</t>
  </si>
  <si>
    <t>CYB5R4</t>
  </si>
  <si>
    <t>ABHD13</t>
  </si>
  <si>
    <t>KCTD9</t>
  </si>
  <si>
    <t>EIF3M</t>
  </si>
  <si>
    <t>RSRC2</t>
  </si>
  <si>
    <t>RRAGA</t>
  </si>
  <si>
    <t>CYFIP1</t>
  </si>
  <si>
    <t>NDUFAF7</t>
  </si>
  <si>
    <t>GET4</t>
  </si>
  <si>
    <t>LPCAT2</t>
  </si>
  <si>
    <t>ENOSF1</t>
  </si>
  <si>
    <t>EPM2AIP1</t>
  </si>
  <si>
    <t>TAOK1</t>
  </si>
  <si>
    <t>RAB11FIP2</t>
  </si>
  <si>
    <t>SH3BP5L</t>
  </si>
  <si>
    <t>KDM3B</t>
  </si>
  <si>
    <t>CHMP1B</t>
  </si>
  <si>
    <t>RRM2B</t>
  </si>
  <si>
    <t>HS2ST1</t>
  </si>
  <si>
    <t>CHST3</t>
  </si>
  <si>
    <t>MICAL3</t>
  </si>
  <si>
    <t>DYM</t>
  </si>
  <si>
    <t>PHF5A</t>
  </si>
  <si>
    <t>AAED1</t>
  </si>
  <si>
    <t>GPRIN1</t>
  </si>
  <si>
    <t>PID1</t>
  </si>
  <si>
    <t>EFTUD1</t>
  </si>
  <si>
    <t>DPY19L4</t>
  </si>
  <si>
    <t>NEGR1</t>
  </si>
  <si>
    <t>LYSMD3</t>
  </si>
  <si>
    <t>C14orf159</t>
  </si>
  <si>
    <t>C10orf118</t>
  </si>
  <si>
    <t>ARMC9</t>
  </si>
  <si>
    <t>ZFYVE16</t>
  </si>
  <si>
    <t>UBE3B</t>
  </si>
  <si>
    <t>NUFIP2</t>
  </si>
  <si>
    <t>SZRD1</t>
  </si>
  <si>
    <t>MAVS</t>
  </si>
  <si>
    <t>CYP2U1</t>
  </si>
  <si>
    <t>DHX29</t>
  </si>
  <si>
    <t>LRP10</t>
  </si>
  <si>
    <t>COMMD6</t>
  </si>
  <si>
    <t>TRMT11</t>
  </si>
  <si>
    <t>HDDC2</t>
  </si>
  <si>
    <t>HAUS6</t>
  </si>
  <si>
    <t>KDELC2</t>
  </si>
  <si>
    <t>COX8C</t>
  </si>
  <si>
    <t>P4HA3</t>
  </si>
  <si>
    <t>HEATR3</t>
  </si>
  <si>
    <t>DCXR</t>
  </si>
  <si>
    <t>GOLGA7</t>
  </si>
  <si>
    <t>ARHGAP22</t>
  </si>
  <si>
    <t>WAPAL</t>
  </si>
  <si>
    <t>R3HCC1L</t>
  </si>
  <si>
    <t>PODN</t>
  </si>
  <si>
    <t>APBB1IP</t>
  </si>
  <si>
    <t>CAMKMT</t>
  </si>
  <si>
    <t>CCDC91</t>
  </si>
  <si>
    <t>SRGAP1</t>
  </si>
  <si>
    <t>RBBP6</t>
  </si>
  <si>
    <t>SH3RF1</t>
  </si>
  <si>
    <t>PTAR1</t>
  </si>
  <si>
    <t>C15orf38</t>
  </si>
  <si>
    <t>TECPR1</t>
  </si>
  <si>
    <t>RABEPK</t>
  </si>
  <si>
    <t>MILR1</t>
  </si>
  <si>
    <t>MTERFD2</t>
  </si>
  <si>
    <t>ADAT2</t>
  </si>
  <si>
    <t>HUWE1</t>
  </si>
  <si>
    <t>CTU1</t>
  </si>
  <si>
    <t>PXK</t>
  </si>
  <si>
    <t>UBE2Q1</t>
  </si>
  <si>
    <t>TMED4</t>
  </si>
  <si>
    <t>CAMK2N1</t>
  </si>
  <si>
    <t>C11orf96</t>
  </si>
  <si>
    <t>GALNT5</t>
  </si>
  <si>
    <t>TMEM179B</t>
  </si>
  <si>
    <t>GALNT7</t>
  </si>
  <si>
    <t>AMIGO2</t>
  </si>
  <si>
    <t>PHLDB2</t>
  </si>
  <si>
    <t>SDCCAG8</t>
  </si>
  <si>
    <t>DHDDS</t>
  </si>
  <si>
    <t>GALNT10</t>
  </si>
  <si>
    <t>GLRX5</t>
  </si>
  <si>
    <t>TRAPPC6B</t>
  </si>
  <si>
    <t>CLEC14A</t>
  </si>
  <si>
    <t>PATL1</t>
  </si>
  <si>
    <t>TMEM150A</t>
  </si>
  <si>
    <t>DPP9</t>
  </si>
  <si>
    <t>PRUNE</t>
  </si>
  <si>
    <t>MRPL52</t>
  </si>
  <si>
    <t>SETD3</t>
  </si>
  <si>
    <t>LGMN</t>
  </si>
  <si>
    <t>ACOT1</t>
  </si>
  <si>
    <t>ISCA2</t>
  </si>
  <si>
    <t>METTL3</t>
  </si>
  <si>
    <t>YRDC</t>
  </si>
  <si>
    <t>PRPF39</t>
  </si>
  <si>
    <t>MTDH</t>
  </si>
  <si>
    <t>ZNF598</t>
  </si>
  <si>
    <t>AGPAT6</t>
  </si>
  <si>
    <t>MAGI2</t>
  </si>
  <si>
    <t>KTN1</t>
  </si>
  <si>
    <t>SMG6</t>
  </si>
  <si>
    <t>BCL9L</t>
  </si>
  <si>
    <t>PHLDB1</t>
  </si>
  <si>
    <t>TXNDC5</t>
  </si>
  <si>
    <t>NT5DC3</t>
  </si>
  <si>
    <t>AACS</t>
  </si>
  <si>
    <t>LUZP1</t>
  </si>
  <si>
    <t>OSBPL6</t>
  </si>
  <si>
    <t>GPR180</t>
  </si>
  <si>
    <t>FAM160B2</t>
  </si>
  <si>
    <t>C11orf74</t>
  </si>
  <si>
    <t>VPS36</t>
  </si>
  <si>
    <t>CAND1</t>
  </si>
  <si>
    <t>GLCCI1</t>
  </si>
  <si>
    <t>FAM134C</t>
  </si>
  <si>
    <t>HOOK3</t>
  </si>
  <si>
    <t>MAP4K2</t>
  </si>
  <si>
    <t>SESTD1</t>
  </si>
  <si>
    <t>LRP11</t>
  </si>
  <si>
    <t>TPRA1</t>
  </si>
  <si>
    <t>AMZ2</t>
  </si>
  <si>
    <t>BPHL</t>
  </si>
  <si>
    <t>SLC26A11</t>
  </si>
  <si>
    <t>SBF2</t>
  </si>
  <si>
    <t>FCHSD1</t>
  </si>
  <si>
    <t>NR2C2AP</t>
  </si>
  <si>
    <t>CCDC25</t>
  </si>
  <si>
    <t>PROSER2</t>
  </si>
  <si>
    <t>TEN1</t>
  </si>
  <si>
    <t>TMEM173</t>
  </si>
  <si>
    <t>CCDC43</t>
  </si>
  <si>
    <t>CDR2L</t>
  </si>
  <si>
    <t>TMEM17</t>
  </si>
  <si>
    <t>RALGPS2</t>
  </si>
  <si>
    <t>CARM1</t>
  </si>
  <si>
    <t>NIT1</t>
  </si>
  <si>
    <t>DDX42</t>
  </si>
  <si>
    <t>SPATS2</t>
  </si>
  <si>
    <t>CACUL1</t>
  </si>
  <si>
    <t>XYLT1</t>
  </si>
  <si>
    <t>NDUFA11</t>
  </si>
  <si>
    <t>HEATR2</t>
  </si>
  <si>
    <t>STX12</t>
  </si>
  <si>
    <t>ERO1LB</t>
  </si>
  <si>
    <t>PDSS2</t>
  </si>
  <si>
    <t>HOMER1</t>
  </si>
  <si>
    <t>GATAD2A</t>
  </si>
  <si>
    <t>CPNE8</t>
  </si>
  <si>
    <t>GPSM1</t>
  </si>
  <si>
    <t>RAB43</t>
  </si>
  <si>
    <t>SGK223</t>
  </si>
  <si>
    <t>CAMK1D</t>
  </si>
  <si>
    <t>TICAM1</t>
  </si>
  <si>
    <t>ERC1</t>
  </si>
  <si>
    <t>CRLF3</t>
  </si>
  <si>
    <t>TRAPPC5</t>
  </si>
  <si>
    <t>SPATA2L</t>
  </si>
  <si>
    <t>RELL1</t>
  </si>
  <si>
    <t>TMEM126B</t>
  </si>
  <si>
    <t>AGXT2L2</t>
  </si>
  <si>
    <t>PLD3</t>
  </si>
  <si>
    <t>LACC1</t>
  </si>
  <si>
    <t>ANKMY2</t>
  </si>
  <si>
    <t>LYSMD2</t>
  </si>
  <si>
    <t>LIX1L</t>
  </si>
  <si>
    <t>NUDCD3</t>
  </si>
  <si>
    <t>AHNAK2</t>
  </si>
  <si>
    <t>MMAA</t>
  </si>
  <si>
    <t>LEPREL1</t>
  </si>
  <si>
    <t>CCDC50</t>
  </si>
  <si>
    <t>MCAT</t>
  </si>
  <si>
    <t>CARKD</t>
  </si>
  <si>
    <t>MFN1</t>
  </si>
  <si>
    <t>SLC44A2</t>
  </si>
  <si>
    <t>ITPRIP</t>
  </si>
  <si>
    <t>WDFY1</t>
  </si>
  <si>
    <t>TEX2</t>
  </si>
  <si>
    <t>MAP7D3</t>
  </si>
  <si>
    <t>FAM114A1</t>
  </si>
  <si>
    <t>DCUN1D3</t>
  </si>
  <si>
    <t>GCC2</t>
  </si>
  <si>
    <t>HSCB</t>
  </si>
  <si>
    <t>UBR1</t>
  </si>
  <si>
    <t>UBR2</t>
  </si>
  <si>
    <t>ARHGAP12</t>
  </si>
  <si>
    <t>ADHFE1</t>
  </si>
  <si>
    <t>ANKHD1</t>
  </si>
  <si>
    <t>SUGP1</t>
  </si>
  <si>
    <t>UEVLD</t>
  </si>
  <si>
    <t>CCAR1</t>
  </si>
  <si>
    <t>DNAJC10</t>
  </si>
  <si>
    <t>RHOT1</t>
  </si>
  <si>
    <t>SIRT2</t>
  </si>
  <si>
    <t>KIAA1704</t>
  </si>
  <si>
    <t>PNPLA6</t>
  </si>
  <si>
    <t>CMIP</t>
  </si>
  <si>
    <t>PPAPDC2</t>
  </si>
  <si>
    <t>IFT20</t>
  </si>
  <si>
    <t>MICALL2</t>
  </si>
  <si>
    <t>TMEM192</t>
  </si>
  <si>
    <t>MB21D2</t>
  </si>
  <si>
    <t>SMAP1</t>
  </si>
  <si>
    <t>DIS3L2</t>
  </si>
  <si>
    <t>SUPV3L1</t>
  </si>
  <si>
    <t>GSPT2</t>
  </si>
  <si>
    <t>EXOC8</t>
  </si>
  <si>
    <t>C1orf174</t>
  </si>
  <si>
    <t>TRIM22</t>
  </si>
  <si>
    <t>UBALD2</t>
  </si>
  <si>
    <t>THNSL1</t>
  </si>
  <si>
    <t>KIAA2013</t>
  </si>
  <si>
    <t>MICU2</t>
  </si>
  <si>
    <t>ANKRD13A</t>
  </si>
  <si>
    <t>PHACTR4</t>
  </si>
  <si>
    <t>MTX2</t>
  </si>
  <si>
    <t>RPUSD2</t>
  </si>
  <si>
    <t>ELMOD2</t>
  </si>
  <si>
    <t>ALDH16A1</t>
  </si>
  <si>
    <t>DCP1B</t>
  </si>
  <si>
    <t>SCYL3</t>
  </si>
  <si>
    <t>UNC5B</t>
  </si>
  <si>
    <t>MAML2</t>
  </si>
  <si>
    <t>CMTM4</t>
  </si>
  <si>
    <t>RDH10</t>
  </si>
  <si>
    <t>C8orf59</t>
  </si>
  <si>
    <t>FAM185A</t>
  </si>
  <si>
    <t>VKORC1L1</t>
  </si>
  <si>
    <t>FUK</t>
  </si>
  <si>
    <t>CLYBL</t>
  </si>
  <si>
    <t>SPG20</t>
  </si>
  <si>
    <t>TTC5</t>
  </si>
  <si>
    <t>MIER1</t>
  </si>
  <si>
    <t>CEND1</t>
  </si>
  <si>
    <t>RPTOR</t>
  </si>
  <si>
    <t>CNPY4</t>
  </si>
  <si>
    <t>SLC34A3</t>
  </si>
  <si>
    <t>ORMDL3</t>
  </si>
  <si>
    <t>ADSSL1</t>
  </si>
  <si>
    <t>KIAA1967</t>
  </si>
  <si>
    <t>NDUFAF2</t>
  </si>
  <si>
    <t>C4orf33</t>
  </si>
  <si>
    <t>VPS52</t>
  </si>
  <si>
    <t>NUP93</t>
  </si>
  <si>
    <t>FTSJD2</t>
  </si>
  <si>
    <t>LRRC47</t>
  </si>
  <si>
    <t>CA13</t>
  </si>
  <si>
    <t>SLC39A11</t>
  </si>
  <si>
    <t>ARHGEF28</t>
  </si>
  <si>
    <t>ANKRD35</t>
  </si>
  <si>
    <t>ARMC10</t>
  </si>
  <si>
    <t>GHDC</t>
  </si>
  <si>
    <t>PYROXD2</t>
  </si>
  <si>
    <t>ABHD12</t>
  </si>
  <si>
    <t>CCDC23</t>
  </si>
  <si>
    <t>GPD1L</t>
  </si>
  <si>
    <t>DOS</t>
  </si>
  <si>
    <t>SLC35F6</t>
  </si>
  <si>
    <t>ARHGAP18</t>
  </si>
  <si>
    <t>EHBP1L1</t>
  </si>
  <si>
    <t>MICALL1</t>
  </si>
  <si>
    <t>SYNPO</t>
  </si>
  <si>
    <t>FNBP4</t>
  </si>
  <si>
    <t>D2HGDH</t>
  </si>
  <si>
    <t>SFRP1</t>
  </si>
  <si>
    <t>RYBP</t>
  </si>
  <si>
    <t>PNKD</t>
  </si>
  <si>
    <t>MINK1</t>
  </si>
  <si>
    <t>TOMM5</t>
  </si>
  <si>
    <t>KLHL36</t>
  </si>
  <si>
    <t>HDDC3</t>
  </si>
  <si>
    <t>ZADH2</t>
  </si>
  <si>
    <t>CCDC82</t>
  </si>
  <si>
    <t>MMGT1</t>
  </si>
  <si>
    <t>AFAP1</t>
  </si>
  <si>
    <t>OXR1</t>
  </si>
  <si>
    <t>TTC39C</t>
  </si>
  <si>
    <t>FAM26E</t>
  </si>
  <si>
    <t>SMIM20</t>
  </si>
  <si>
    <t>TMEM57</t>
  </si>
  <si>
    <t>FAM89B</t>
  </si>
  <si>
    <t>DHRSX</t>
  </si>
  <si>
    <t>C12orf45</t>
  </si>
  <si>
    <t>FAM63A</t>
  </si>
  <si>
    <t>CISD2</t>
  </si>
  <si>
    <t>RPP25L</t>
  </si>
  <si>
    <t>ATPAF2</t>
  </si>
  <si>
    <t>JAGN1</t>
  </si>
  <si>
    <t>MRPL50</t>
  </si>
  <si>
    <t>FAM101B</t>
  </si>
  <si>
    <t>EIF4E3</t>
  </si>
  <si>
    <t>COMMD1</t>
  </si>
  <si>
    <t>CPSF7</t>
  </si>
  <si>
    <t>SLC15A4</t>
  </si>
  <si>
    <t>ARFGAP2</t>
  </si>
  <si>
    <t>OTUD6B</t>
  </si>
  <si>
    <t>C1orf52</t>
  </si>
  <si>
    <t>METTL25</t>
  </si>
  <si>
    <t>ARFGAP1</t>
  </si>
  <si>
    <t>PQLC3</t>
  </si>
  <si>
    <t>EMC1</t>
  </si>
  <si>
    <t>CCNYL1</t>
  </si>
  <si>
    <t>ARL10</t>
  </si>
  <si>
    <t>PTGR2</t>
  </si>
  <si>
    <t>C2orf69</t>
  </si>
  <si>
    <t>ENAH</t>
  </si>
  <si>
    <t>GPATCH11</t>
  </si>
  <si>
    <t>C12orf29</t>
  </si>
  <si>
    <t>CNEP1R1</t>
  </si>
  <si>
    <t>JMY</t>
  </si>
  <si>
    <t>ASCC1</t>
  </si>
  <si>
    <t>LRRC57</t>
  </si>
  <si>
    <t>WDSUB1</t>
  </si>
  <si>
    <t>ZNF579</t>
  </si>
  <si>
    <t>MLKL</t>
  </si>
  <si>
    <t>ATP11C</t>
  </si>
  <si>
    <t>NHLRC2</t>
  </si>
  <si>
    <t>AVL9</t>
  </si>
  <si>
    <t>XXYLT1</t>
  </si>
  <si>
    <t>GOLM1</t>
  </si>
  <si>
    <t>COLGALT1</t>
  </si>
  <si>
    <t>SUMF1</t>
  </si>
  <si>
    <t>POGLUT1</t>
  </si>
  <si>
    <t>UBAC2</t>
  </si>
  <si>
    <t>PCYOX1L</t>
  </si>
  <si>
    <t>TMEM87A</t>
  </si>
  <si>
    <t>RDH13</t>
  </si>
  <si>
    <t>ATAD1</t>
  </si>
  <si>
    <t>SCCPDH</t>
  </si>
  <si>
    <t>FAM134A</t>
  </si>
  <si>
    <t>SERBP1</t>
  </si>
  <si>
    <t>KCT2</t>
  </si>
  <si>
    <t>LEMD2</t>
  </si>
  <si>
    <t>NECAP1</t>
  </si>
  <si>
    <t>PLA2G15</t>
  </si>
  <si>
    <t>MTMR14</t>
  </si>
  <si>
    <t>NFATC2IP</t>
  </si>
  <si>
    <t>DAGLB</t>
  </si>
  <si>
    <t>GALNT6</t>
  </si>
  <si>
    <t>PDPR</t>
  </si>
  <si>
    <t>APOA1BP</t>
  </si>
  <si>
    <t>RNF214</t>
  </si>
  <si>
    <t>PPFIBP2</t>
  </si>
  <si>
    <t>LSM14A</t>
  </si>
  <si>
    <t>CCNY</t>
  </si>
  <si>
    <t>PNMA1</t>
  </si>
  <si>
    <t>LRRN4CL</t>
  </si>
  <si>
    <t>MAPK1IP1L</t>
  </si>
  <si>
    <t>NPEPL1</t>
  </si>
  <si>
    <t>EHBP1</t>
  </si>
  <si>
    <t>C3orf58</t>
  </si>
  <si>
    <t>TMEM104</t>
  </si>
  <si>
    <t>ABCF1</t>
  </si>
  <si>
    <t>MCU</t>
  </si>
  <si>
    <t>GSTCD</t>
  </si>
  <si>
    <t>DDHD1</t>
  </si>
  <si>
    <t>PDZD8</t>
  </si>
  <si>
    <t>APPL2</t>
  </si>
  <si>
    <t>SLC30A7</t>
  </si>
  <si>
    <t>NAV1</t>
  </si>
  <si>
    <t>VPS37A</t>
  </si>
  <si>
    <t>FBXO22</t>
  </si>
  <si>
    <t>LPCAT1</t>
  </si>
  <si>
    <t>BOD1L1</t>
  </si>
  <si>
    <t>FLAD1</t>
  </si>
  <si>
    <t>FLCN</t>
  </si>
  <si>
    <t>NUP43</t>
  </si>
  <si>
    <t>NUP37</t>
  </si>
  <si>
    <t>TOR1AIP2</t>
  </si>
  <si>
    <t>ABHD11</t>
  </si>
  <si>
    <t>STXBP6</t>
  </si>
  <si>
    <t>NLGN2</t>
  </si>
  <si>
    <t>CADM4</t>
  </si>
  <si>
    <t>PJA1</t>
  </si>
  <si>
    <t>TTL</t>
  </si>
  <si>
    <t>SVIP</t>
  </si>
  <si>
    <t>ATL2</t>
  </si>
  <si>
    <t>PLBD2</t>
  </si>
  <si>
    <t>SGMS2</t>
  </si>
  <si>
    <t>TDRD7</t>
  </si>
  <si>
    <t>GIMAP7</t>
  </si>
  <si>
    <t>NEDD1</t>
  </si>
  <si>
    <t>CDC26</t>
  </si>
  <si>
    <t>NCOA7</t>
  </si>
  <si>
    <t>MCFD2</t>
  </si>
  <si>
    <t>PPTC7</t>
  </si>
  <si>
    <t>VANGL1</t>
  </si>
  <si>
    <t>GADD45GIP1</t>
  </si>
  <si>
    <t>WDR48</t>
  </si>
  <si>
    <t>CEP76</t>
  </si>
  <si>
    <t>PPP1R35</t>
  </si>
  <si>
    <t>NPLOC4</t>
  </si>
  <si>
    <t>CXorf38</t>
  </si>
  <si>
    <t>SPATA20</t>
  </si>
  <si>
    <t>RIN3</t>
  </si>
  <si>
    <t>GDAP1</t>
  </si>
  <si>
    <t>NUBPL</t>
  </si>
  <si>
    <t>ABHD4</t>
  </si>
  <si>
    <t>FBXO30</t>
  </si>
  <si>
    <t>SLC35B2</t>
  </si>
  <si>
    <t>TXNDC9</t>
  </si>
  <si>
    <t>PUM2</t>
  </si>
  <si>
    <t>ITFG1</t>
  </si>
  <si>
    <t>GOLGA5</t>
  </si>
  <si>
    <t>THAP6</t>
  </si>
  <si>
    <t>SLC7A14</t>
  </si>
  <si>
    <t>UBA3</t>
  </si>
  <si>
    <t>ZSCAN18</t>
  </si>
  <si>
    <t>NANP</t>
  </si>
  <si>
    <t>DNAJB14</t>
  </si>
  <si>
    <t>RAB3IL1</t>
  </si>
  <si>
    <t>PIP4K2C</t>
  </si>
  <si>
    <t>TBC1D15</t>
  </si>
  <si>
    <t>RDH11</t>
  </si>
  <si>
    <t>SPATA18</t>
  </si>
  <si>
    <t>LRRC20</t>
  </si>
  <si>
    <t>C18orf32</t>
  </si>
  <si>
    <t>NT5C</t>
  </si>
  <si>
    <t>FAM45A</t>
  </si>
  <si>
    <t>PI4K2B</t>
  </si>
  <si>
    <t>STT3B</t>
  </si>
  <si>
    <t>HM13</t>
  </si>
  <si>
    <t>DYNC2LI1</t>
  </si>
  <si>
    <t>CD99L2</t>
  </si>
  <si>
    <t>BICD2</t>
  </si>
  <si>
    <t>NEK9</t>
  </si>
  <si>
    <t>GPT2</t>
  </si>
  <si>
    <t>PLEKHO2</t>
  </si>
  <si>
    <t>MGARP</t>
  </si>
  <si>
    <t>BLOC1S5</t>
  </si>
  <si>
    <t>BCAS4</t>
  </si>
  <si>
    <t>DLG5</t>
  </si>
  <si>
    <t>GNPDA2</t>
  </si>
  <si>
    <t>NEK7</t>
  </si>
  <si>
    <t>ASAP3</t>
  </si>
  <si>
    <t>MICAL1</t>
  </si>
  <si>
    <t>DNAH5</t>
  </si>
  <si>
    <t>SSH3</t>
  </si>
  <si>
    <t>NSUN6</t>
  </si>
  <si>
    <t>DTD1</t>
  </si>
  <si>
    <t>GPX8</t>
  </si>
  <si>
    <t>SH3RF3</t>
  </si>
  <si>
    <t>GEMIN5</t>
  </si>
  <si>
    <t>PARD3B</t>
  </si>
  <si>
    <t>IPO4</t>
  </si>
  <si>
    <t>PNISR</t>
  </si>
  <si>
    <t>PPP4R1</t>
  </si>
  <si>
    <t>UBASH3B</t>
  </si>
  <si>
    <t>LRRC15</t>
  </si>
  <si>
    <t>SHROOM3</t>
  </si>
  <si>
    <t>WIPF2</t>
  </si>
  <si>
    <t>ABHD5</t>
  </si>
  <si>
    <t>SETD7</t>
  </si>
  <si>
    <t>PYROXD1</t>
  </si>
  <si>
    <t>RNF139</t>
  </si>
  <si>
    <t>SCFD2</t>
  </si>
  <si>
    <t>SMAP2</t>
  </si>
  <si>
    <t>ZC3H15</t>
  </si>
  <si>
    <t>PPIL4</t>
  </si>
  <si>
    <t>TSKU</t>
  </si>
  <si>
    <t>RAB2B</t>
  </si>
  <si>
    <t>PPP1R13L</t>
  </si>
  <si>
    <t>FAM172A</t>
  </si>
  <si>
    <t>C12orf23</t>
  </si>
  <si>
    <t>HDAC7</t>
  </si>
  <si>
    <t>STYX</t>
  </si>
  <si>
    <t>PTPMT1</t>
  </si>
  <si>
    <t>PDCD6IP</t>
  </si>
  <si>
    <t>SLC20A1</t>
  </si>
  <si>
    <t>FBLIM1</t>
  </si>
  <si>
    <t>C15orf40</t>
  </si>
  <si>
    <t>CHAC2</t>
  </si>
  <si>
    <t>CHMP7</t>
  </si>
  <si>
    <t>THEM6</t>
  </si>
  <si>
    <t>PRUNE2</t>
  </si>
  <si>
    <t>NAT14</t>
  </si>
  <si>
    <t>SNX33</t>
  </si>
  <si>
    <t>LACE1</t>
  </si>
  <si>
    <t>LEO1</t>
  </si>
  <si>
    <t>RPS21</t>
  </si>
  <si>
    <t>RNF141</t>
  </si>
  <si>
    <t>N6AMT2</t>
  </si>
  <si>
    <t>NUDCD2</t>
  </si>
  <si>
    <t>SNRNP27</t>
  </si>
  <si>
    <t>SCFD1</t>
  </si>
  <si>
    <t>UBE2Q2</t>
  </si>
  <si>
    <t>CANT1</t>
  </si>
  <si>
    <t>TRAPPC12</t>
  </si>
  <si>
    <t>UBLCP1</t>
  </si>
  <si>
    <t>TSEN15</t>
  </si>
  <si>
    <t>PCNP</t>
  </si>
  <si>
    <t>SPRYD4</t>
  </si>
  <si>
    <t>C1orf85</t>
  </si>
  <si>
    <t>TRUB1</t>
  </si>
  <si>
    <t>SLC44A1</t>
  </si>
  <si>
    <t>ATXN2L</t>
  </si>
  <si>
    <t>CYGB</t>
  </si>
  <si>
    <t>RTN4IP1</t>
  </si>
  <si>
    <t>SELM</t>
  </si>
  <si>
    <t>NELFB</t>
  </si>
  <si>
    <t>PALLD</t>
  </si>
  <si>
    <t>SREK1</t>
  </si>
  <si>
    <t>GEMIN6</t>
  </si>
  <si>
    <t>CASKIN2</t>
  </si>
  <si>
    <t>ATRIP</t>
  </si>
  <si>
    <t>PSPC1</t>
  </si>
  <si>
    <t>SYNE2</t>
  </si>
  <si>
    <t>ACOT11</t>
  </si>
  <si>
    <t>GATAD2B</t>
  </si>
  <si>
    <t>DNAJC9</t>
  </si>
  <si>
    <t>CTNNBL1</t>
  </si>
  <si>
    <t>SSH1</t>
  </si>
  <si>
    <t>ATG4A</t>
  </si>
  <si>
    <t>AHCTF1</t>
  </si>
  <si>
    <t>OVCA2</t>
  </si>
  <si>
    <t>LZIC</t>
  </si>
  <si>
    <t>IRGQ</t>
  </si>
  <si>
    <t>CLEC2B</t>
  </si>
  <si>
    <t>DDX1</t>
  </si>
  <si>
    <t>SEC14L1</t>
  </si>
  <si>
    <t>SLC39A7</t>
  </si>
  <si>
    <t>PIEZO1</t>
  </si>
  <si>
    <t>FAM3C</t>
  </si>
  <si>
    <t>CCT6B</t>
  </si>
  <si>
    <t>SHC3</t>
  </si>
  <si>
    <t>KIAA0247</t>
  </si>
  <si>
    <t>GBF1</t>
  </si>
  <si>
    <t>RTF1</t>
  </si>
  <si>
    <t>TM9SF4</t>
  </si>
  <si>
    <t>RGP1</t>
  </si>
  <si>
    <t>FAM168A</t>
  </si>
  <si>
    <t>AP3S1</t>
  </si>
  <si>
    <t>TSC1</t>
  </si>
  <si>
    <t>UBXN4</t>
  </si>
  <si>
    <t>SLC9A6</t>
  </si>
  <si>
    <t>NDRG1</t>
  </si>
  <si>
    <t>HSPH1</t>
  </si>
  <si>
    <t>RQCD1</t>
  </si>
  <si>
    <t>TBC1D5</t>
  </si>
  <si>
    <t>LARP4B</t>
  </si>
  <si>
    <t>GCN1L1</t>
  </si>
  <si>
    <t>DHX38</t>
  </si>
  <si>
    <t>ANKS1A</t>
  </si>
  <si>
    <t>PXDN</t>
  </si>
  <si>
    <t>SGCD</t>
  </si>
  <si>
    <t>NSMAF</t>
  </si>
  <si>
    <t>NRGN</t>
  </si>
  <si>
    <t>ANP32B</t>
  </si>
  <si>
    <t>PVRL2</t>
  </si>
  <si>
    <t>RABGGTA</t>
  </si>
  <si>
    <t>TFG</t>
  </si>
  <si>
    <t>USP6NL</t>
  </si>
  <si>
    <t>ARPC1A</t>
  </si>
  <si>
    <t>RDH5</t>
  </si>
  <si>
    <t>STAM</t>
  </si>
  <si>
    <t>CREBBP</t>
  </si>
  <si>
    <t>SYMPK</t>
  </si>
  <si>
    <t>TAF15</t>
  </si>
  <si>
    <t>GOLGA1</t>
  </si>
  <si>
    <t>HAS2</t>
  </si>
  <si>
    <t>GGH</t>
  </si>
  <si>
    <t>RPGR</t>
  </si>
  <si>
    <t>BCL2L2</t>
  </si>
  <si>
    <t>TANK</t>
  </si>
  <si>
    <t>NEO1</t>
  </si>
  <si>
    <t>PMM1</t>
  </si>
  <si>
    <t>OSTF1</t>
  </si>
  <si>
    <t>ARHGEF1</t>
  </si>
  <si>
    <t>ERCC4</t>
  </si>
  <si>
    <t>UFD1L</t>
  </si>
  <si>
    <t>GLG1</t>
  </si>
  <si>
    <t>UPF1</t>
  </si>
  <si>
    <t>COPS5</t>
  </si>
  <si>
    <t>GPKOW</t>
  </si>
  <si>
    <t>RAB8B</t>
  </si>
  <si>
    <t>BAD</t>
  </si>
  <si>
    <t>KHSRP</t>
  </si>
  <si>
    <t>GCDH</t>
  </si>
  <si>
    <t>RIT1</t>
  </si>
  <si>
    <t>PEX13</t>
  </si>
  <si>
    <t>TNPO1</t>
  </si>
  <si>
    <t>ARHGEF2</t>
  </si>
  <si>
    <t>EMG1</t>
  </si>
  <si>
    <t>GLMN</t>
  </si>
  <si>
    <t>USP13</t>
  </si>
  <si>
    <t>USP9X</t>
  </si>
  <si>
    <t>NAT6</t>
  </si>
  <si>
    <t>CUL5</t>
  </si>
  <si>
    <t>EXT2</t>
  </si>
  <si>
    <t>SCAMP4</t>
  </si>
  <si>
    <t>TCEAL3</t>
  </si>
  <si>
    <t>TSR2</t>
  </si>
  <si>
    <t>RFK</t>
  </si>
  <si>
    <t>C19orf10</t>
  </si>
  <si>
    <t>RNF34</t>
  </si>
  <si>
    <t>TMEM54</t>
  </si>
  <si>
    <t>YIPF5</t>
  </si>
  <si>
    <t>PIGT</t>
  </si>
  <si>
    <t>IGSF8</t>
  </si>
  <si>
    <t>RAB24</t>
  </si>
  <si>
    <t>ZNF622</t>
  </si>
  <si>
    <t>GFM2</t>
  </si>
  <si>
    <t>NT5C3B</t>
  </si>
  <si>
    <t>NCLN</t>
  </si>
  <si>
    <t>ERGIC1</t>
  </si>
  <si>
    <t>GTPBP3</t>
  </si>
  <si>
    <t>TBRG4</t>
  </si>
  <si>
    <t>MARC2</t>
  </si>
  <si>
    <t>PPP1R14A</t>
  </si>
  <si>
    <t>CCDC102A</t>
  </si>
  <si>
    <t>CCDC47</t>
  </si>
  <si>
    <t>SLC25A28</t>
  </si>
  <si>
    <t>SYAP1</t>
  </si>
  <si>
    <t>EXOC4</t>
  </si>
  <si>
    <t>KIAA1191</t>
  </si>
  <si>
    <t>ISOC2</t>
  </si>
  <si>
    <t>NTAN1</t>
  </si>
  <si>
    <t>PNPLA2</t>
  </si>
  <si>
    <t>FUBP1</t>
  </si>
  <si>
    <t>SLC25A46</t>
  </si>
  <si>
    <t>LRRC59</t>
  </si>
  <si>
    <t>RAB7B</t>
  </si>
  <si>
    <t>VTI1A</t>
  </si>
  <si>
    <t>MRGPRF</t>
  </si>
  <si>
    <t>PBXIP1</t>
  </si>
  <si>
    <t>MCUR1</t>
  </si>
  <si>
    <t>KIAA1143</t>
  </si>
  <si>
    <t>RPE</t>
  </si>
  <si>
    <t>FKBP10</t>
  </si>
  <si>
    <t>TTC28</t>
  </si>
  <si>
    <t>C18orf25</t>
  </si>
  <si>
    <t>EXOSC8</t>
  </si>
  <si>
    <t>C10orf32</t>
  </si>
  <si>
    <t>TOMM6</t>
  </si>
  <si>
    <t>CREB3L1</t>
  </si>
  <si>
    <t>RNF25</t>
  </si>
  <si>
    <t>AIDA</t>
  </si>
  <si>
    <t>ARL8A</t>
  </si>
  <si>
    <t>FAM105B</t>
  </si>
  <si>
    <t>CHCHD1</t>
  </si>
  <si>
    <t>PPWD1</t>
  </si>
  <si>
    <t>SELRC1</t>
  </si>
  <si>
    <t>PTER</t>
  </si>
  <si>
    <t>MOB3A</t>
  </si>
  <si>
    <t>ATG2B</t>
  </si>
  <si>
    <t>TBC1D20</t>
  </si>
  <si>
    <t>FAM136A</t>
  </si>
  <si>
    <t>FGGY</t>
  </si>
  <si>
    <t>EFHD2</t>
  </si>
  <si>
    <t>GALM</t>
  </si>
  <si>
    <t>PYCR2</t>
  </si>
  <si>
    <t>DCPS</t>
  </si>
  <si>
    <t>PPP1R14B</t>
  </si>
  <si>
    <t>SDCCAG3</t>
  </si>
  <si>
    <t>NSUN4</t>
  </si>
  <si>
    <t>RHBDF1</t>
  </si>
  <si>
    <t>FBXL8</t>
  </si>
  <si>
    <t>PPCDC</t>
  </si>
  <si>
    <t>CTHRC1</t>
  </si>
  <si>
    <t>ISOC1</t>
  </si>
  <si>
    <t>GCC1</t>
  </si>
  <si>
    <t>FLYWCH2</t>
  </si>
  <si>
    <t>SLC25A36</t>
  </si>
  <si>
    <t>FAF2</t>
  </si>
  <si>
    <t>CCDC124</t>
  </si>
  <si>
    <t>FOXRED1</t>
  </si>
  <si>
    <t>OPTN</t>
  </si>
  <si>
    <t>AP2M1</t>
  </si>
  <si>
    <t>TUBGCP3</t>
  </si>
  <si>
    <t>SLC7A6OS</t>
  </si>
  <si>
    <t>KCTD12</t>
  </si>
  <si>
    <t>RCN3</t>
  </si>
  <si>
    <t>DNAJC19</t>
  </si>
  <si>
    <t>RMDN1</t>
  </si>
  <si>
    <t>ECHDC3</t>
  </si>
  <si>
    <t>SHISA4</t>
  </si>
  <si>
    <t>NUDT16</t>
  </si>
  <si>
    <t>ANAPC16</t>
  </si>
  <si>
    <t>DGCR14</t>
  </si>
  <si>
    <t>CMBL</t>
  </si>
  <si>
    <t>SNRNP40</t>
  </si>
  <si>
    <t>STARD4</t>
  </si>
  <si>
    <t>LGALS12</t>
  </si>
  <si>
    <t>ATG4C</t>
  </si>
  <si>
    <t>ITPKC</t>
  </si>
  <si>
    <t>RSPRY1</t>
  </si>
  <si>
    <t>TRIM44</t>
  </si>
  <si>
    <t>ERLEC1</t>
  </si>
  <si>
    <t>FAM122A</t>
  </si>
  <si>
    <t>MRRF</t>
  </si>
  <si>
    <t>SIRT1</t>
  </si>
  <si>
    <t>YIPF6</t>
  </si>
  <si>
    <t>SEH1L</t>
  </si>
  <si>
    <t>MALSU1</t>
  </si>
  <si>
    <t>TCEAL4</t>
  </si>
  <si>
    <t>KIAA1279</t>
  </si>
  <si>
    <t>GNPNAT1</t>
  </si>
  <si>
    <t>MRPL53</t>
  </si>
  <si>
    <t>L3HYPDH</t>
  </si>
  <si>
    <t>DAZAP1</t>
  </si>
  <si>
    <t>SGTB</t>
  </si>
  <si>
    <t>SAAL1</t>
  </si>
  <si>
    <t>CCDC51</t>
  </si>
  <si>
    <t>C1GALT1C1</t>
  </si>
  <si>
    <t>RBM33</t>
  </si>
  <si>
    <t>DTNBP1</t>
  </si>
  <si>
    <t>SMIM12</t>
  </si>
  <si>
    <t>MVB12A</t>
  </si>
  <si>
    <t>MMAB</t>
  </si>
  <si>
    <t>ADAT3</t>
  </si>
  <si>
    <t>SAT2</t>
  </si>
  <si>
    <t>NRBF2</t>
  </si>
  <si>
    <t>ALG14</t>
  </si>
  <si>
    <t>IL17RA</t>
  </si>
  <si>
    <t>CNRIP1</t>
  </si>
  <si>
    <t>PIK3IP1</t>
  </si>
  <si>
    <t>MEF2BNB</t>
  </si>
  <si>
    <t>STAMBPL1</t>
  </si>
  <si>
    <t>DYNLL2</t>
  </si>
  <si>
    <t>CPNE2</t>
  </si>
  <si>
    <t>S100A16</t>
  </si>
  <si>
    <t>SIPA1</t>
  </si>
  <si>
    <t>IFT43</t>
  </si>
  <si>
    <t>DPH3</t>
  </si>
  <si>
    <t>TRMT61A</t>
  </si>
  <si>
    <t>CHMP6</t>
  </si>
  <si>
    <t>PGM2</t>
  </si>
  <si>
    <t>MED8</t>
  </si>
  <si>
    <t>CCDC104</t>
  </si>
  <si>
    <t>DUS3L</t>
  </si>
  <si>
    <t>NUDT11</t>
  </si>
  <si>
    <t>LTV1</t>
  </si>
  <si>
    <t>SDSL</t>
  </si>
  <si>
    <t>PDXP</t>
  </si>
  <si>
    <t>RNF185</t>
  </si>
  <si>
    <t>DCUN1D1</t>
  </si>
  <si>
    <t>FAHD2A</t>
  </si>
  <si>
    <t>SCARF2</t>
  </si>
  <si>
    <t>C17orf59</t>
  </si>
  <si>
    <t>ABHD17A</t>
  </si>
  <si>
    <t>MARS2</t>
  </si>
  <si>
    <t>ATXN7L3B</t>
  </si>
  <si>
    <t>APIP</t>
  </si>
  <si>
    <t>ZC2HC1A</t>
  </si>
  <si>
    <t>SNF8</t>
  </si>
  <si>
    <t>ZC3HAV1L</t>
  </si>
  <si>
    <t>C1orf159</t>
  </si>
  <si>
    <t>WDYHV1</t>
  </si>
  <si>
    <t>PDLIM5</t>
  </si>
  <si>
    <t>CRELD1</t>
  </si>
  <si>
    <t>ERO1L</t>
  </si>
  <si>
    <t>C7orf55</t>
  </si>
  <si>
    <t>CDKN2AIPNL</t>
  </si>
  <si>
    <t>REEP6</t>
  </si>
  <si>
    <t>PGAM5</t>
  </si>
  <si>
    <t>DDRGK1</t>
  </si>
  <si>
    <t>SCLY</t>
  </si>
  <si>
    <t>PYURF</t>
  </si>
  <si>
    <t>FUBP3</t>
  </si>
  <si>
    <t>RBM17</t>
  </si>
  <si>
    <t>COX14</t>
  </si>
  <si>
    <t>WBSCR16</t>
  </si>
  <si>
    <t>SUCLG2</t>
  </si>
  <si>
    <t>FBXL20</t>
  </si>
  <si>
    <t>GMPPA</t>
  </si>
  <si>
    <t>BOD1</t>
  </si>
  <si>
    <t>ABHD14B</t>
  </si>
  <si>
    <t>NGLY1</t>
  </si>
  <si>
    <t>USMG5</t>
  </si>
  <si>
    <t>PAWR</t>
  </si>
  <si>
    <t>ITCH</t>
  </si>
  <si>
    <t>KIRREL</t>
  </si>
  <si>
    <t>EPSTI1</t>
  </si>
  <si>
    <t>LRIG1</t>
  </si>
  <si>
    <t>COG3</t>
  </si>
  <si>
    <t>CDK5RAP3</t>
  </si>
  <si>
    <t>VPS39</t>
  </si>
  <si>
    <t>VCPIP1</t>
  </si>
  <si>
    <t>TMX3</t>
  </si>
  <si>
    <t>ZFP91</t>
  </si>
  <si>
    <t>DCHS1</t>
  </si>
  <si>
    <t>PDLIM2</t>
  </si>
  <si>
    <t>RNF170</t>
  </si>
  <si>
    <t>CLPTM1L</t>
  </si>
  <si>
    <t>PBK</t>
  </si>
  <si>
    <t>CIZ1</t>
  </si>
  <si>
    <t>ARL5B</t>
  </si>
  <si>
    <t>DNAJC1</t>
  </si>
  <si>
    <t>FAM84A</t>
  </si>
  <si>
    <t>EXOC2</t>
  </si>
  <si>
    <t>CNDP2</t>
  </si>
  <si>
    <t>ZFR</t>
  </si>
  <si>
    <t>EPHB4</t>
  </si>
  <si>
    <t>SNX27</t>
  </si>
  <si>
    <t>KIF16B</t>
  </si>
  <si>
    <t>SENP8</t>
  </si>
  <si>
    <t>DHRS1</t>
  </si>
  <si>
    <t>C9orf89</t>
  </si>
  <si>
    <t>CNBD2</t>
  </si>
  <si>
    <t>PRRC1</t>
  </si>
  <si>
    <t>FBXL18</t>
  </si>
  <si>
    <t>HEXIM2</t>
  </si>
  <si>
    <t>TMEM68</t>
  </si>
  <si>
    <t>KCTD7</t>
  </si>
  <si>
    <t>COG8</t>
  </si>
  <si>
    <t>WDR92</t>
  </si>
  <si>
    <t>ENTHD2</t>
  </si>
  <si>
    <t>MBOAT7</t>
  </si>
  <si>
    <t>RILP</t>
  </si>
  <si>
    <t>ZMAT2</t>
  </si>
  <si>
    <t>CCDC115</t>
  </si>
  <si>
    <t>NAP1L5</t>
  </si>
  <si>
    <t>CLIC6</t>
  </si>
  <si>
    <t>AGAP3</t>
  </si>
  <si>
    <t>ARAP1</t>
  </si>
  <si>
    <t>ACAP3</t>
  </si>
  <si>
    <t>IPO9</t>
  </si>
  <si>
    <t>DCBLD2</t>
  </si>
  <si>
    <t>GPR124</t>
  </si>
  <si>
    <t>ARHGEF17</t>
  </si>
  <si>
    <t>MCEE</t>
  </si>
  <si>
    <t>RBM14</t>
  </si>
  <si>
    <t>NEDD4L</t>
  </si>
  <si>
    <t>QKI</t>
  </si>
  <si>
    <t>NEK1</t>
  </si>
  <si>
    <t>PUS7</t>
  </si>
  <si>
    <t>PLIN4</t>
  </si>
  <si>
    <t>TRNT1</t>
  </si>
  <si>
    <t>ALS2</t>
  </si>
  <si>
    <t>TMEM237</t>
  </si>
  <si>
    <t>ALKBH3</t>
  </si>
  <si>
    <t>DLC1</t>
  </si>
  <si>
    <t>PPP1R10</t>
  </si>
  <si>
    <t>SLC38A2</t>
  </si>
  <si>
    <t>SLC2A13</t>
  </si>
  <si>
    <t>MTMR9</t>
  </si>
  <si>
    <t>VPS35</t>
  </si>
  <si>
    <t>PURB</t>
  </si>
  <si>
    <t>XPO6</t>
  </si>
  <si>
    <t>MAGI1</t>
  </si>
  <si>
    <t>PANX1</t>
  </si>
  <si>
    <t>NACC1</t>
  </si>
  <si>
    <t>SNX18</t>
  </si>
  <si>
    <t>MED15</t>
  </si>
  <si>
    <t>GFM1</t>
  </si>
  <si>
    <t>ERGIC2</t>
  </si>
  <si>
    <t>CAMKK2</t>
  </si>
  <si>
    <t>NUDCD1</t>
  </si>
  <si>
    <t>ERBB2IP</t>
  </si>
  <si>
    <t>FNBP1</t>
  </si>
  <si>
    <t>HMCN1</t>
  </si>
  <si>
    <t>C16orf13</t>
  </si>
  <si>
    <t>TP53RK</t>
  </si>
  <si>
    <t>PIGS</t>
  </si>
  <si>
    <t>CLCC1</t>
  </si>
  <si>
    <t>UBL7</t>
  </si>
  <si>
    <t>PLEKHF1</t>
  </si>
  <si>
    <t>PPP1R9B</t>
  </si>
  <si>
    <t>DIRC2</t>
  </si>
  <si>
    <t>GPX7</t>
  </si>
  <si>
    <t>CYP2S1</t>
  </si>
  <si>
    <t>IWS1</t>
  </si>
  <si>
    <t>ADO</t>
  </si>
  <si>
    <t>RSF1</t>
  </si>
  <si>
    <t>RUFY1</t>
  </si>
  <si>
    <t>SPEN</t>
  </si>
  <si>
    <t>MMS19</t>
  </si>
  <si>
    <t>SLC9A7</t>
  </si>
  <si>
    <t>FAM129B</t>
  </si>
  <si>
    <t>YME1L1</t>
  </si>
  <si>
    <t>RMDN3</t>
  </si>
  <si>
    <t>TCF12</t>
  </si>
  <si>
    <t>MYCBP</t>
  </si>
  <si>
    <t>ACOX2</t>
  </si>
  <si>
    <t>TBCB</t>
  </si>
  <si>
    <t>PSMB7</t>
  </si>
  <si>
    <t>PCYT2</t>
  </si>
  <si>
    <t>PSMD1</t>
  </si>
  <si>
    <t>SDF2</t>
  </si>
  <si>
    <t>PFDN5</t>
  </si>
  <si>
    <t>PAFAH2</t>
  </si>
  <si>
    <t>RNF2</t>
  </si>
  <si>
    <t>PARK7</t>
  </si>
  <si>
    <t>EYA3</t>
  </si>
  <si>
    <t>NEU1</t>
  </si>
  <si>
    <t>SORT1</t>
  </si>
  <si>
    <t>VAT1</t>
  </si>
  <si>
    <t>PLIN2</t>
  </si>
  <si>
    <t>DNAJC2</t>
  </si>
  <si>
    <t>NUP88</t>
  </si>
  <si>
    <t>PKP4</t>
  </si>
  <si>
    <t>SERPINI1</t>
  </si>
  <si>
    <t>TSC22D3</t>
  </si>
  <si>
    <t>S100A13</t>
  </si>
  <si>
    <t>TIMM17A</t>
  </si>
  <si>
    <t>TSNAX</t>
  </si>
  <si>
    <t>TTC1</t>
  </si>
  <si>
    <t>DNAJC7</t>
  </si>
  <si>
    <t>C12orf57</t>
  </si>
  <si>
    <t>OSMR</t>
  </si>
  <si>
    <t>CHP1</t>
  </si>
  <si>
    <t>CGREF1</t>
  </si>
  <si>
    <t>MGLL</t>
  </si>
  <si>
    <t>ATXN2</t>
  </si>
  <si>
    <t>DOK1</t>
  </si>
  <si>
    <t>MTR</t>
  </si>
  <si>
    <t>HSD17B10</t>
  </si>
  <si>
    <t>SIGMAR1</t>
  </si>
  <si>
    <t>HNRNPAB</t>
  </si>
  <si>
    <t>NAP1L4</t>
  </si>
  <si>
    <t>NAPG</t>
  </si>
  <si>
    <t>TXN2</t>
  </si>
  <si>
    <t>ATP5S</t>
  </si>
  <si>
    <t>MIPEP</t>
  </si>
  <si>
    <t>TM9SF2</t>
  </si>
  <si>
    <t>SLC29A1</t>
  </si>
  <si>
    <t>CCT7</t>
  </si>
  <si>
    <t>PTPN18</t>
  </si>
  <si>
    <t>SH3GL1</t>
  </si>
  <si>
    <t>RARRES2</t>
  </si>
  <si>
    <t>AKAP9</t>
  </si>
  <si>
    <t>NIPSNAP1</t>
  </si>
  <si>
    <t>ARPC5L</t>
  </si>
  <si>
    <t>C7orf25</t>
  </si>
  <si>
    <t>ZFYVE21</t>
  </si>
  <si>
    <t>PDCD1LG2</t>
  </si>
  <si>
    <t>ELAC2</t>
  </si>
  <si>
    <t>C19orf43</t>
  </si>
  <si>
    <t>MACROD1</t>
  </si>
  <si>
    <t>ECSIT</t>
  </si>
  <si>
    <t>VKORC1</t>
  </si>
  <si>
    <t>DPH2</t>
  </si>
  <si>
    <t>MYBBP1A</t>
  </si>
  <si>
    <t>TMEM47</t>
  </si>
  <si>
    <t>FERMT1</t>
  </si>
  <si>
    <t>MGME1</t>
  </si>
  <si>
    <t>FYCO1</t>
  </si>
  <si>
    <t>SLC25A21</t>
  </si>
  <si>
    <t>ACBD6</t>
  </si>
  <si>
    <t>CORO1B</t>
  </si>
  <si>
    <t>TXNDC17</t>
  </si>
  <si>
    <t>CPPED1</t>
  </si>
  <si>
    <t>VPS25</t>
  </si>
  <si>
    <t>REEP2</t>
  </si>
  <si>
    <t>SDF4</t>
  </si>
  <si>
    <t>PDCD2L</t>
  </si>
  <si>
    <t>PAAF1</t>
  </si>
  <si>
    <t>WIBG</t>
  </si>
  <si>
    <t>AIFM2</t>
  </si>
  <si>
    <t>LARP6</t>
  </si>
  <si>
    <t>MNF1</t>
  </si>
  <si>
    <t>SIKE1</t>
  </si>
  <si>
    <t>PELO</t>
  </si>
  <si>
    <t>FAM213A</t>
  </si>
  <si>
    <t>TRIM56</t>
  </si>
  <si>
    <t>ANAPC13</t>
  </si>
  <si>
    <t>ERP44</t>
  </si>
  <si>
    <t>LXN</t>
  </si>
  <si>
    <t>TMEM175</t>
  </si>
  <si>
    <t>ATG101</t>
  </si>
  <si>
    <t>NTPCR</t>
  </si>
  <si>
    <t>HERPUD2</t>
  </si>
  <si>
    <t>AGMAT</t>
  </si>
  <si>
    <t>C19orf52</t>
  </si>
  <si>
    <t>PRADC1</t>
  </si>
  <si>
    <t>TACO1</t>
  </si>
  <si>
    <t>HDHD3</t>
  </si>
  <si>
    <t>C17orf80</t>
  </si>
  <si>
    <t>ESYT1</t>
  </si>
  <si>
    <t>UBAC1</t>
  </si>
  <si>
    <t>TMEM204</t>
  </si>
  <si>
    <t>YIPF4</t>
  </si>
  <si>
    <t>RTKN</t>
  </si>
  <si>
    <t>C16orf70</t>
  </si>
  <si>
    <t>CHCHD5</t>
  </si>
  <si>
    <t>CNPY3</t>
  </si>
  <si>
    <t>ALG1</t>
  </si>
  <si>
    <t>ALKBH7</t>
  </si>
  <si>
    <t>PSMG3</t>
  </si>
  <si>
    <t>COPS4</t>
  </si>
  <si>
    <t>WAC</t>
  </si>
  <si>
    <t>DIDO1</t>
  </si>
  <si>
    <t>MCMBP</t>
  </si>
  <si>
    <t>FAM103A1</t>
  </si>
  <si>
    <t>ANP32E</t>
  </si>
  <si>
    <t>MED10</t>
  </si>
  <si>
    <t>LRRC1</t>
  </si>
  <si>
    <t>PI4K2A</t>
  </si>
  <si>
    <t>TMEM43</t>
  </si>
  <si>
    <t>WDR85</t>
  </si>
  <si>
    <t>TTPAL</t>
  </si>
  <si>
    <t>FUCA2</t>
  </si>
  <si>
    <t>FAM203A</t>
  </si>
  <si>
    <t>DHRS4</t>
  </si>
  <si>
    <t>THTPA</t>
  </si>
  <si>
    <t>LMF2</t>
  </si>
  <si>
    <t>NDUFAF3</t>
  </si>
  <si>
    <t>MMTAG2</t>
  </si>
  <si>
    <t>DOHH</t>
  </si>
  <si>
    <t>MKNK1</t>
  </si>
  <si>
    <t>TMEM70</t>
  </si>
  <si>
    <t>SPON2</t>
  </si>
  <si>
    <t>MED18</t>
  </si>
  <si>
    <t>ISCA1</t>
  </si>
  <si>
    <t>C9orf142</t>
  </si>
  <si>
    <t>HNRNPUL1</t>
  </si>
  <si>
    <t>MSTO1</t>
  </si>
  <si>
    <t>HTATIP2</t>
  </si>
  <si>
    <t>WRAP53</t>
  </si>
  <si>
    <t>BDH2</t>
  </si>
  <si>
    <t>C9orf16</t>
  </si>
  <si>
    <t>C1orf50</t>
  </si>
  <si>
    <t>MRI1</t>
  </si>
  <si>
    <t>ABHD6</t>
  </si>
  <si>
    <t>WDR18</t>
  </si>
  <si>
    <t>THUMPD3</t>
  </si>
  <si>
    <t>ADI1</t>
  </si>
  <si>
    <t>RNF126</t>
  </si>
  <si>
    <t>MECR</t>
  </si>
  <si>
    <t>NTMT1</t>
  </si>
  <si>
    <t>KATNB1</t>
  </si>
  <si>
    <t>FICD</t>
  </si>
  <si>
    <t>MLST8</t>
  </si>
  <si>
    <t>TMEM109</t>
  </si>
  <si>
    <t>PBDC1</t>
  </si>
  <si>
    <t>PTDSS2</t>
  </si>
  <si>
    <t>DUSP23</t>
  </si>
  <si>
    <t>TMED9</t>
  </si>
  <si>
    <t>SELO</t>
  </si>
  <si>
    <t>GGACT</t>
  </si>
  <si>
    <t>TPPP3</t>
  </si>
  <si>
    <t>ELOVL1</t>
  </si>
  <si>
    <t>DDA1</t>
  </si>
  <si>
    <t>KATNAL1</t>
  </si>
  <si>
    <t>IFT27</t>
  </si>
  <si>
    <t>NUDT9</t>
  </si>
  <si>
    <t>TARS2</t>
  </si>
  <si>
    <t>ACAT2</t>
  </si>
  <si>
    <t>FUNDC2</t>
  </si>
  <si>
    <t>RPAP1</t>
  </si>
  <si>
    <t>SF3B5</t>
  </si>
  <si>
    <t>SFXN3</t>
  </si>
  <si>
    <t>SLC4A1AP</t>
  </si>
  <si>
    <t>SSDP4</t>
  </si>
  <si>
    <t>LSM14B</t>
  </si>
  <si>
    <t>TAPBPL</t>
  </si>
  <si>
    <t>JAM3</t>
  </si>
  <si>
    <t>HINT2</t>
  </si>
  <si>
    <t>SGPP1</t>
  </si>
  <si>
    <t>OSBPL10</t>
  </si>
  <si>
    <t>RAB11FIP5</t>
  </si>
  <si>
    <t>NAA15</t>
  </si>
  <si>
    <t>BCL2L13</t>
  </si>
  <si>
    <t>SLC12A9</t>
  </si>
  <si>
    <t>SRRT</t>
  </si>
  <si>
    <t>QTRT1</t>
  </si>
  <si>
    <t>TMEM59</t>
  </si>
  <si>
    <t>C14orf142</t>
  </si>
  <si>
    <t>OSBPL1A</t>
  </si>
  <si>
    <t>CECR5</t>
  </si>
  <si>
    <t>ITPA</t>
  </si>
  <si>
    <t>CHMP4A</t>
  </si>
  <si>
    <t>POLDIP3</t>
  </si>
  <si>
    <t>GNB1L</t>
  </si>
  <si>
    <t>MRPL32</t>
  </si>
  <si>
    <t>MRPL1</t>
  </si>
  <si>
    <t>RBCK1</t>
  </si>
  <si>
    <t>SRXN1</t>
  </si>
  <si>
    <t>NLN</t>
  </si>
  <si>
    <t>CEP41</t>
  </si>
  <si>
    <t>TBC1D2</t>
  </si>
  <si>
    <t>PANK2</t>
  </si>
  <si>
    <t>FRMD8</t>
  </si>
  <si>
    <t>SLC29A3</t>
  </si>
  <si>
    <t>PUS3</t>
  </si>
  <si>
    <t>ASPSCR1</t>
  </si>
  <si>
    <t>OSBPL8</t>
  </si>
  <si>
    <t>TBL1XR1</t>
  </si>
  <si>
    <t>UBL5</t>
  </si>
  <si>
    <t>PLA2G12A</t>
  </si>
  <si>
    <t>ULBP3</t>
  </si>
  <si>
    <t>ULBP2</t>
  </si>
  <si>
    <t>FAM129A</t>
  </si>
  <si>
    <t>UCK2</t>
  </si>
  <si>
    <t>API5</t>
  </si>
  <si>
    <t>SPRY4</t>
  </si>
  <si>
    <t>DPY30</t>
  </si>
  <si>
    <t>TRIM4</t>
  </si>
  <si>
    <t>FAM117A</t>
  </si>
  <si>
    <t>UNK</t>
  </si>
  <si>
    <t>FTO</t>
  </si>
  <si>
    <t>ZDHHC5</t>
  </si>
  <si>
    <t>TANGO6</t>
  </si>
  <si>
    <t>TNKS1BP1</t>
  </si>
  <si>
    <t>UBE2O</t>
  </si>
  <si>
    <t>TANC1</t>
  </si>
  <si>
    <t>TTYH3</t>
  </si>
  <si>
    <t>MTMR12</t>
  </si>
  <si>
    <t>STRADB</t>
  </si>
  <si>
    <t>WDR12</t>
  </si>
  <si>
    <t>C20orf27</t>
  </si>
  <si>
    <t>NRSN2</t>
  </si>
  <si>
    <t>PITHD1</t>
  </si>
  <si>
    <t>DERL2</t>
  </si>
  <si>
    <t>COMMD5</t>
  </si>
  <si>
    <t>WDR61</t>
  </si>
  <si>
    <t>SLIRP</t>
  </si>
  <si>
    <t>SRR</t>
  </si>
  <si>
    <t>CCDC90B</t>
  </si>
  <si>
    <t>NIF3L1</t>
  </si>
  <si>
    <t>EGLN1</t>
  </si>
  <si>
    <t>CTDSP1</t>
  </si>
  <si>
    <t>FAM192A</t>
  </si>
  <si>
    <t>WWTR1</t>
  </si>
  <si>
    <t>TWSG1</t>
  </si>
  <si>
    <t>UBA5</t>
  </si>
  <si>
    <t>LHPP</t>
  </si>
  <si>
    <t>MTFR1L</t>
  </si>
  <si>
    <t>DKFZp434B2017</t>
  </si>
  <si>
    <t>PAIP1</t>
  </si>
  <si>
    <t>CLPB</t>
  </si>
  <si>
    <t>RAB33B</t>
  </si>
  <si>
    <t>FAM107B</t>
  </si>
  <si>
    <t>KLC2</t>
  </si>
  <si>
    <t>ILKAP</t>
  </si>
  <si>
    <t>XRN2</t>
  </si>
  <si>
    <t>TOLLIP</t>
  </si>
  <si>
    <t>SHARPIN</t>
  </si>
  <si>
    <t>NSRP1</t>
  </si>
  <si>
    <t>SIK2</t>
  </si>
  <si>
    <t>CSTF2T</t>
  </si>
  <si>
    <t>RAB6C</t>
  </si>
  <si>
    <t>NT5C3A</t>
  </si>
  <si>
    <t>FAM49A</t>
  </si>
  <si>
    <t>HDHD2</t>
  </si>
  <si>
    <t>GBP3</t>
  </si>
  <si>
    <t>QRSL1</t>
  </si>
  <si>
    <t>MAGT1</t>
  </si>
  <si>
    <t>RAB1B</t>
  </si>
  <si>
    <t>TSPYL1</t>
  </si>
  <si>
    <t>LMAN2L</t>
  </si>
  <si>
    <t>SMG9</t>
  </si>
  <si>
    <t>C11orf54</t>
  </si>
  <si>
    <t>ITFG3</t>
  </si>
  <si>
    <t>NAPB</t>
  </si>
  <si>
    <t>SIL1</t>
  </si>
  <si>
    <t>METTL9</t>
  </si>
  <si>
    <t>IRF2BPL</t>
  </si>
  <si>
    <t>GLT8D2</t>
  </si>
  <si>
    <t>NUCKS1</t>
  </si>
  <si>
    <t>TMX4</t>
  </si>
  <si>
    <t>ASCC2</t>
  </si>
  <si>
    <t>UPF3A</t>
  </si>
  <si>
    <t>WNT5B</t>
  </si>
  <si>
    <t>ZFYVE20</t>
  </si>
  <si>
    <t>ISCU</t>
  </si>
  <si>
    <t>OSBPL2</t>
  </si>
  <si>
    <t>ATG5</t>
  </si>
  <si>
    <t>WDR13</t>
  </si>
  <si>
    <t>TSPAN10</t>
  </si>
  <si>
    <t>MED28</t>
  </si>
  <si>
    <t>EHD4</t>
  </si>
  <si>
    <t>C1orf21</t>
  </si>
  <si>
    <t>VPS33B</t>
  </si>
  <si>
    <t>VPS16</t>
  </si>
  <si>
    <t>VPS11</t>
  </si>
  <si>
    <t>SLC25A32</t>
  </si>
  <si>
    <t>TRIOBP</t>
  </si>
  <si>
    <t>BLZF1</t>
  </si>
  <si>
    <t>PPIL3</t>
  </si>
  <si>
    <t>PDCL3</t>
  </si>
  <si>
    <t>TAOK3</t>
  </si>
  <si>
    <t>RAB3GAP2</t>
  </si>
  <si>
    <t>DPH5</t>
  </si>
  <si>
    <t>PPA2</t>
  </si>
  <si>
    <t>MRPL46</t>
  </si>
  <si>
    <t>PNN</t>
  </si>
  <si>
    <t>EPB41L4B</t>
  </si>
  <si>
    <t>TMEM245</t>
  </si>
  <si>
    <t>KCTD10</t>
  </si>
  <si>
    <t>C11orf68</t>
  </si>
  <si>
    <t>DPAGT1</t>
  </si>
  <si>
    <t>BOLA2</t>
  </si>
  <si>
    <t>TXNIP</t>
  </si>
  <si>
    <t>TMX1</t>
  </si>
  <si>
    <t>ACBD3</t>
  </si>
  <si>
    <t>CDC42EP4</t>
  </si>
  <si>
    <t>PTPN23</t>
  </si>
  <si>
    <t>UNC45A</t>
  </si>
  <si>
    <t>MFSD1</t>
  </si>
  <si>
    <t>PPDPF</t>
  </si>
  <si>
    <t>DNAJC5</t>
  </si>
  <si>
    <t>C1orf198</t>
  </si>
  <si>
    <t>CHMP4B</t>
  </si>
  <si>
    <t>RWDD1</t>
  </si>
  <si>
    <t>CUEDC2</t>
  </si>
  <si>
    <t>FBXL15</t>
  </si>
  <si>
    <t>FN3K</t>
  </si>
  <si>
    <t>MAP1LC3A</t>
  </si>
  <si>
    <t>IFRG15</t>
  </si>
  <si>
    <t>TOR3A</t>
  </si>
  <si>
    <t>RNPEP</t>
  </si>
  <si>
    <t>GOLPH3L</t>
  </si>
  <si>
    <t>GOLPH3</t>
  </si>
  <si>
    <t>EPB41L1</t>
  </si>
  <si>
    <t>GLIPR2</t>
  </si>
  <si>
    <t>ZHX3</t>
  </si>
  <si>
    <t>EHD1</t>
  </si>
  <si>
    <t>RNF41</t>
  </si>
  <si>
    <t>RGCC</t>
  </si>
  <si>
    <t>ALG2</t>
  </si>
  <si>
    <t>SGK196</t>
  </si>
  <si>
    <t>RABEP2</t>
  </si>
  <si>
    <t>CDCP1</t>
  </si>
  <si>
    <t>CXorf56</t>
  </si>
  <si>
    <t>FAM96A</t>
  </si>
  <si>
    <t>OBFC1</t>
  </si>
  <si>
    <t>BICC1</t>
  </si>
  <si>
    <t>CLMP</t>
  </si>
  <si>
    <t>XKR8</t>
  </si>
  <si>
    <t>CCDC134</t>
  </si>
  <si>
    <t>C6orf106</t>
  </si>
  <si>
    <t>NARFL</t>
  </si>
  <si>
    <t>ACSS3</t>
  </si>
  <si>
    <t>AZI2</t>
  </si>
  <si>
    <t>EPS8L2</t>
  </si>
  <si>
    <t>RPAP3</t>
  </si>
  <si>
    <t>ALG9</t>
  </si>
  <si>
    <t>ANTXR1</t>
  </si>
  <si>
    <t>TMEM134</t>
  </si>
  <si>
    <t>WDR55</t>
  </si>
  <si>
    <t>DCTPP1</t>
  </si>
  <si>
    <t>ELAC1</t>
  </si>
  <si>
    <t>SH2D4A</t>
  </si>
  <si>
    <t>PEAK1</t>
  </si>
  <si>
    <t>SMYD3</t>
  </si>
  <si>
    <t>SYNC</t>
  </si>
  <si>
    <t>AAMDC</t>
  </si>
  <si>
    <t>DOCK5</t>
  </si>
  <si>
    <t>ATP13A3</t>
  </si>
  <si>
    <t>TMEM185B</t>
  </si>
  <si>
    <t>RABL5</t>
  </si>
  <si>
    <t>PTGES2</t>
  </si>
  <si>
    <t>PHAX</t>
  </si>
  <si>
    <t>UBE2Z</t>
  </si>
  <si>
    <t>GEMIN7</t>
  </si>
  <si>
    <t>ACAD9</t>
  </si>
  <si>
    <t>NT5DC2</t>
  </si>
  <si>
    <t>CAAP1</t>
  </si>
  <si>
    <t>NOL11</t>
  </si>
  <si>
    <t>C10orf88</t>
  </si>
  <si>
    <t>FAM188A</t>
  </si>
  <si>
    <t>MOB1A</t>
  </si>
  <si>
    <t>ZFAND3</t>
  </si>
  <si>
    <t>PLEKHF2</t>
  </si>
  <si>
    <t>GORASP2</t>
  </si>
  <si>
    <t>SLC25A22</t>
  </si>
  <si>
    <t>PSTPIP2</t>
  </si>
  <si>
    <t>MED20</t>
  </si>
  <si>
    <t>QTRTD1</t>
  </si>
  <si>
    <t>WDR54</t>
  </si>
  <si>
    <t>C6orf211</t>
  </si>
  <si>
    <t>LRRC40</t>
  </si>
  <si>
    <t>EHMT1</t>
  </si>
  <si>
    <t>SFXN1</t>
  </si>
  <si>
    <t>VPS37B</t>
  </si>
  <si>
    <t>CAB39L</t>
  </si>
  <si>
    <t>JMJD4</t>
  </si>
  <si>
    <t>GPN2</t>
  </si>
  <si>
    <t>FN3KRP</t>
  </si>
  <si>
    <t>TBC1D17</t>
  </si>
  <si>
    <t>CARS2</t>
  </si>
  <si>
    <t>PPCS</t>
  </si>
  <si>
    <t>WDR41</t>
  </si>
  <si>
    <t>SIAE</t>
  </si>
  <si>
    <t>PLEKHA5</t>
  </si>
  <si>
    <t>SMURF2</t>
  </si>
  <si>
    <t>RNPEPL1</t>
  </si>
  <si>
    <t>GNB4</t>
  </si>
  <si>
    <t>XPO5</t>
  </si>
  <si>
    <t>EDA2R</t>
  </si>
  <si>
    <t>GRPEL1</t>
  </si>
  <si>
    <t>C12orf10</t>
  </si>
  <si>
    <t>BCL2L12</t>
  </si>
  <si>
    <t>PLEKHA2</t>
  </si>
  <si>
    <t>PLEKHA3</t>
  </si>
  <si>
    <t>SCPEP1</t>
  </si>
  <si>
    <t>CACYBP</t>
  </si>
  <si>
    <t>RRAGC</t>
  </si>
  <si>
    <t>RDH14</t>
  </si>
  <si>
    <t>PARVB</t>
  </si>
  <si>
    <t>AS3MT</t>
  </si>
  <si>
    <t>PLGRKT</t>
  </si>
  <si>
    <t>NMRAL1</t>
  </si>
  <si>
    <t>AGPAT1</t>
  </si>
  <si>
    <t>SLC38A10</t>
  </si>
  <si>
    <t>ETNK1</t>
  </si>
  <si>
    <t>ARNT2</t>
  </si>
  <si>
    <t>SLC25A19</t>
  </si>
  <si>
    <t>EML4</t>
  </si>
  <si>
    <t>GLOD4</t>
  </si>
  <si>
    <t>WFDC1</t>
  </si>
  <si>
    <t>MCCC2</t>
  </si>
  <si>
    <t>TANC2</t>
  </si>
  <si>
    <t>EPG5</t>
  </si>
  <si>
    <t>ZNF532</t>
  </si>
  <si>
    <t>METTL14</t>
  </si>
  <si>
    <t>NCKAP5L</t>
  </si>
  <si>
    <t>SYTL2</t>
  </si>
  <si>
    <t>VAT1L</t>
  </si>
  <si>
    <t>ROBO2</t>
  </si>
  <si>
    <t>TMEM8A</t>
  </si>
  <si>
    <t>GPN1</t>
  </si>
  <si>
    <t>SDF2L1</t>
  </si>
  <si>
    <t>CSNK1G1</t>
  </si>
  <si>
    <t>CD248</t>
  </si>
  <si>
    <t>PREB</t>
  </si>
  <si>
    <t>SRA1</t>
  </si>
  <si>
    <t>ATP13A1</t>
  </si>
  <si>
    <t>TM9SF3</t>
  </si>
  <si>
    <t>RANGRF</t>
  </si>
  <si>
    <t>APMAP</t>
  </si>
  <si>
    <t>TXNRD2</t>
  </si>
  <si>
    <t>ABCB6</t>
  </si>
  <si>
    <t>RAB18</t>
  </si>
  <si>
    <t>PALMD</t>
  </si>
  <si>
    <t>SSU72</t>
  </si>
  <si>
    <t>VTA1</t>
  </si>
  <si>
    <t>PNPLA8</t>
  </si>
  <si>
    <t>TNFRSF12A</t>
  </si>
  <si>
    <t>EMC7</t>
  </si>
  <si>
    <t>MID1IP1</t>
  </si>
  <si>
    <t>ENY2</t>
  </si>
  <si>
    <t>GPCPD1</t>
  </si>
  <si>
    <t>EXOSC4</t>
  </si>
  <si>
    <t>CD320</t>
  </si>
  <si>
    <t>OSGEP</t>
  </si>
  <si>
    <t>ACP6</t>
  </si>
  <si>
    <t>DCP1A</t>
  </si>
  <si>
    <t>ACOT13</t>
  </si>
  <si>
    <t>MED4</t>
  </si>
  <si>
    <t>TIMMDC1</t>
  </si>
  <si>
    <t>RIC8A</t>
  </si>
  <si>
    <t>GPR108</t>
  </si>
  <si>
    <t>CASS4</t>
  </si>
  <si>
    <t>TIGAR</t>
  </si>
  <si>
    <t>RTN4</t>
  </si>
  <si>
    <t>HINT3</t>
  </si>
  <si>
    <t>MANBAL</t>
  </si>
  <si>
    <t>RPRD1B</t>
  </si>
  <si>
    <t>XPNPEP3</t>
  </si>
  <si>
    <t>NIT2</t>
  </si>
  <si>
    <t>AVEN</t>
  </si>
  <si>
    <t>PVRL3</t>
  </si>
  <si>
    <t>KIF13B</t>
  </si>
  <si>
    <t>XPNPEP1</t>
  </si>
  <si>
    <t>BIN3</t>
  </si>
  <si>
    <t>STARD7</t>
  </si>
  <si>
    <t>PDLIM7</t>
  </si>
  <si>
    <t>ACSS2</t>
  </si>
  <si>
    <t>DIABLO</t>
  </si>
  <si>
    <t>DDX21</t>
  </si>
  <si>
    <t>SAR1A</t>
  </si>
  <si>
    <t>POLE4</t>
  </si>
  <si>
    <t>NANS</t>
  </si>
  <si>
    <t>ASH1L</t>
  </si>
  <si>
    <t>EIF2B3</t>
  </si>
  <si>
    <t>SLC17A5</t>
  </si>
  <si>
    <t>CHST12</t>
  </si>
  <si>
    <t>SPTBN5</t>
  </si>
  <si>
    <t>SH2B1</t>
  </si>
  <si>
    <t>CTPS2</t>
  </si>
  <si>
    <t>POLE3</t>
  </si>
  <si>
    <t>CHRAC1</t>
  </si>
  <si>
    <t>PRTFDC1</t>
  </si>
  <si>
    <t>SMYD2</t>
  </si>
  <si>
    <t>SDR39U1</t>
  </si>
  <si>
    <t>YAE1D1</t>
  </si>
  <si>
    <t>ABCB10</t>
  </si>
  <si>
    <t>OLFML3</t>
  </si>
  <si>
    <t>AASDHPPT</t>
  </si>
  <si>
    <t>METTL5</t>
  </si>
  <si>
    <t>OSTC</t>
  </si>
  <si>
    <t>CMC2</t>
  </si>
  <si>
    <t>PLSCR4</t>
  </si>
  <si>
    <t>UBQLN4</t>
  </si>
  <si>
    <t>CDC42SE1</t>
  </si>
  <si>
    <t>SNX15</t>
  </si>
  <si>
    <t>HEBP1</t>
  </si>
  <si>
    <t>RAB6B</t>
  </si>
  <si>
    <t>DUSP22</t>
  </si>
  <si>
    <t>PHPT1</t>
  </si>
  <si>
    <t>SERINC1</t>
  </si>
  <si>
    <t>INIP</t>
  </si>
  <si>
    <t>ARHGAP35</t>
  </si>
  <si>
    <t>FAM114A2</t>
  </si>
  <si>
    <t>PLSCR3</t>
  </si>
  <si>
    <t>AGPAT4</t>
  </si>
  <si>
    <t>AGPAT3</t>
  </si>
  <si>
    <t>LTBP3</t>
  </si>
  <si>
    <t>TOMM22</t>
  </si>
  <si>
    <t>LANCL2</t>
  </si>
  <si>
    <t>KIF15</t>
  </si>
  <si>
    <t>TM7SF3</t>
  </si>
  <si>
    <t>CTNNBIP1</t>
  </si>
  <si>
    <t>HOMER3</t>
  </si>
  <si>
    <t>FARSB</t>
  </si>
  <si>
    <t>IARS2</t>
  </si>
  <si>
    <t>FAM207A</t>
  </si>
  <si>
    <t>C19orf12</t>
  </si>
  <si>
    <t>NRBP2</t>
  </si>
  <si>
    <t>BMP2K</t>
  </si>
  <si>
    <t>STARD5</t>
  </si>
  <si>
    <t>ATG3</t>
  </si>
  <si>
    <t>SIRT3</t>
  </si>
  <si>
    <t>SACM1L</t>
  </si>
  <si>
    <t>SLC35D1</t>
  </si>
  <si>
    <t>ECHDC1</t>
  </si>
  <si>
    <t>RNF146</t>
  </si>
  <si>
    <t>RBM12</t>
  </si>
  <si>
    <t>LYRM2</t>
  </si>
  <si>
    <t>PDRG1</t>
  </si>
  <si>
    <t>ABHD10</t>
  </si>
  <si>
    <t>C19orf66</t>
  </si>
  <si>
    <t>TMEM106B</t>
  </si>
  <si>
    <t>LMBRD1</t>
  </si>
  <si>
    <t>BLOC1S4</t>
  </si>
  <si>
    <t>LIN7C</t>
  </si>
  <si>
    <t>TXLNG</t>
  </si>
  <si>
    <t>SPATS2L</t>
  </si>
  <si>
    <t>UFSP2</t>
  </si>
  <si>
    <t>ABCF3</t>
  </si>
  <si>
    <t>FAM49B</t>
  </si>
  <si>
    <t>AP5S1</t>
  </si>
  <si>
    <t>DDX19A</t>
  </si>
  <si>
    <t>TBC1D23</t>
  </si>
  <si>
    <t>NUDT15</t>
  </si>
  <si>
    <t>MRGBP</t>
  </si>
  <si>
    <t>EXOC1</t>
  </si>
  <si>
    <t>INTS9</t>
  </si>
  <si>
    <t>TMEM30A</t>
  </si>
  <si>
    <t>SEPT11</t>
  </si>
  <si>
    <t>TMEM184C</t>
  </si>
  <si>
    <t>SLC38A7</t>
  </si>
  <si>
    <t>PANK4</t>
  </si>
  <si>
    <t>TBC1D13</t>
  </si>
  <si>
    <t>TMLHE</t>
  </si>
  <si>
    <t>ATAD3A</t>
  </si>
  <si>
    <t>ARL8B</t>
  </si>
  <si>
    <t>EVA1B</t>
  </si>
  <si>
    <t>PRMT7</t>
  </si>
  <si>
    <t>DNAJC17</t>
  </si>
  <si>
    <t>DNAAF2</t>
  </si>
  <si>
    <t>PNPO</t>
  </si>
  <si>
    <t>ARMC1</t>
  </si>
  <si>
    <t>RLIM</t>
  </si>
  <si>
    <t>NLE1</t>
  </si>
  <si>
    <t>KBTBD4</t>
  </si>
  <si>
    <t>NECAP2</t>
  </si>
  <si>
    <t>ANO10</t>
  </si>
  <si>
    <t>WDR70</t>
  </si>
  <si>
    <t>TMEM51</t>
  </si>
  <si>
    <t>MED9</t>
  </si>
  <si>
    <t>ARGLU1</t>
  </si>
  <si>
    <t>TMEM248</t>
  </si>
  <si>
    <t>TMEM242</t>
  </si>
  <si>
    <t>CUEDC1</t>
  </si>
  <si>
    <t>FKBP14</t>
  </si>
  <si>
    <t>PAG1</t>
  </si>
  <si>
    <t>C14orf119</t>
  </si>
  <si>
    <t>PIH1D1</t>
  </si>
  <si>
    <t>FAM118A</t>
  </si>
  <si>
    <t>HIF1AN</t>
  </si>
  <si>
    <t>OXSM</t>
  </si>
  <si>
    <t>GID8</t>
  </si>
  <si>
    <t>C1orf123</t>
  </si>
  <si>
    <t>NMRK1</t>
  </si>
  <si>
    <t>THG1L</t>
  </si>
  <si>
    <t>C4orf27</t>
  </si>
  <si>
    <t>IRAK4</t>
  </si>
  <si>
    <t>TMEM160</t>
  </si>
  <si>
    <t>TXNL4B</t>
  </si>
  <si>
    <t>TRNAU1AP</t>
  </si>
  <si>
    <t>COMMD8</t>
  </si>
  <si>
    <t>NDUFB11</t>
  </si>
  <si>
    <t>OCIAD1</t>
  </si>
  <si>
    <t>ADPRHL2</t>
  </si>
  <si>
    <t>MARCH5</t>
  </si>
  <si>
    <t>HYPK</t>
  </si>
  <si>
    <t>IMPAD1</t>
  </si>
  <si>
    <t>MED29</t>
  </si>
  <si>
    <t>DUS2L</t>
  </si>
  <si>
    <t>CMTM6</t>
  </si>
  <si>
    <t>WBP1L</t>
  </si>
  <si>
    <t>SIRT5</t>
  </si>
  <si>
    <t>DCAF16</t>
  </si>
  <si>
    <t>P4HTM</t>
  </si>
  <si>
    <t>TRMT1</t>
  </si>
  <si>
    <t>PGPEP1</t>
  </si>
  <si>
    <t>GDAP2</t>
  </si>
  <si>
    <t>NDE1</t>
  </si>
  <si>
    <t>BRE</t>
  </si>
  <si>
    <t>ARL15</t>
  </si>
  <si>
    <t>CDKN2AIP</t>
  </si>
  <si>
    <t>ALKBH4</t>
  </si>
  <si>
    <t>PPP4R2</t>
  </si>
  <si>
    <t>DPP3</t>
  </si>
  <si>
    <t>SPHK1</t>
  </si>
  <si>
    <t>TERF2IP</t>
  </si>
  <si>
    <t>BCLAF1</t>
  </si>
  <si>
    <t>COA4</t>
  </si>
  <si>
    <t>TAB2</t>
  </si>
  <si>
    <t>MRPL39</t>
  </si>
  <si>
    <t>MLTK</t>
  </si>
  <si>
    <t>TMOD3</t>
  </si>
  <si>
    <t>BET1L</t>
  </si>
  <si>
    <t>UGGT1</t>
  </si>
  <si>
    <t>FASTKD2</t>
  </si>
  <si>
    <t>TECR</t>
  </si>
  <si>
    <t>ERAP1</t>
  </si>
  <si>
    <t>UBAP1</t>
  </si>
  <si>
    <t>ACTR10</t>
  </si>
  <si>
    <t>USE1</t>
  </si>
  <si>
    <t>CISD1</t>
  </si>
  <si>
    <t>PODXL2</t>
  </si>
  <si>
    <t>FMN2</t>
  </si>
  <si>
    <t>C9orf78</t>
  </si>
  <si>
    <t>FAM120A</t>
  </si>
  <si>
    <t>MOCS1</t>
  </si>
  <si>
    <t>GDE1</t>
  </si>
  <si>
    <t>SMARCAL1</t>
  </si>
  <si>
    <t>GLTP</t>
  </si>
  <si>
    <t>SPG21</t>
  </si>
  <si>
    <t>UBP1</t>
  </si>
  <si>
    <t>COQ3</t>
  </si>
  <si>
    <t>MTCH1</t>
  </si>
  <si>
    <t>NUDT4</t>
  </si>
  <si>
    <t>HSPBP1</t>
  </si>
  <si>
    <t>MAT2B</t>
  </si>
  <si>
    <t>MYOF</t>
  </si>
  <si>
    <t>ITSN2</t>
  </si>
  <si>
    <t>GLTSCR1</t>
  </si>
  <si>
    <t>EHD3</t>
  </si>
  <si>
    <t>EHD2</t>
  </si>
  <si>
    <t>AIPL1</t>
  </si>
  <si>
    <t>NCKIPSD</t>
  </si>
  <si>
    <t>CD274</t>
  </si>
  <si>
    <t>BFAR</t>
  </si>
  <si>
    <t>OGFR</t>
  </si>
  <si>
    <t>LMCD1</t>
  </si>
  <si>
    <t>CRIM1</t>
  </si>
  <si>
    <t>MPP6</t>
  </si>
  <si>
    <t>CHMP5</t>
  </si>
  <si>
    <t>COMMD9</t>
  </si>
  <si>
    <t>CWC15</t>
  </si>
  <si>
    <t>THYN1</t>
  </si>
  <si>
    <t>NDUFAF4</t>
  </si>
  <si>
    <t>PTPLAD1</t>
  </si>
  <si>
    <t>EMC3</t>
  </si>
  <si>
    <t>PDP1</t>
  </si>
  <si>
    <t>KCMF1</t>
  </si>
  <si>
    <t>RAI14</t>
  </si>
  <si>
    <t>VAPA</t>
  </si>
  <si>
    <t>RNF181</t>
  </si>
  <si>
    <t>GSKIP</t>
  </si>
  <si>
    <t>COX16</t>
  </si>
  <si>
    <t>SH3BP4</t>
  </si>
  <si>
    <t>ABRACL</t>
  </si>
  <si>
    <t>ZNRD1</t>
  </si>
  <si>
    <t>CALCOCO1</t>
  </si>
  <si>
    <t>VPS18</t>
  </si>
  <si>
    <t>RCC2</t>
  </si>
  <si>
    <t>KIAA1468</t>
  </si>
  <si>
    <t>DIP2B</t>
  </si>
  <si>
    <t>KIAA1462</t>
  </si>
  <si>
    <t>SLAIN2</t>
  </si>
  <si>
    <t>BCCIP</t>
  </si>
  <si>
    <t>COPZ2</t>
  </si>
  <si>
    <t>CTTNBP2NL</t>
  </si>
  <si>
    <t>KIAA1430</t>
  </si>
  <si>
    <t>TMEM181</t>
  </si>
  <si>
    <t>PCDH10</t>
  </si>
  <si>
    <t>RRBP1</t>
  </si>
  <si>
    <t>ANKIB1</t>
  </si>
  <si>
    <t>USP35</t>
  </si>
  <si>
    <t>CPSF2</t>
  </si>
  <si>
    <t>EIF2AK4</t>
  </si>
  <si>
    <t>RBM27</t>
  </si>
  <si>
    <t>ANKFY1</t>
  </si>
  <si>
    <t>DPM3</t>
  </si>
  <si>
    <t>IMPACT</t>
  </si>
  <si>
    <t>ATXN10</t>
  </si>
  <si>
    <t>NCDN</t>
  </si>
  <si>
    <t>EPS15L1</t>
  </si>
  <si>
    <t>CLN3</t>
  </si>
  <si>
    <t>SAE1</t>
  </si>
  <si>
    <t>COPG2</t>
  </si>
  <si>
    <t>RNF7</t>
  </si>
  <si>
    <t>PI4KB</t>
  </si>
  <si>
    <t>MRC2</t>
  </si>
  <si>
    <t>GNG12</t>
  </si>
  <si>
    <t>MTRR</t>
  </si>
  <si>
    <t>UXT</t>
  </si>
  <si>
    <t>CPNE7</t>
  </si>
  <si>
    <t>DHCR7</t>
  </si>
  <si>
    <t>TNFRSF10D</t>
  </si>
  <si>
    <t>SPAST</t>
  </si>
  <si>
    <t>METTL1</t>
  </si>
  <si>
    <t>GULP1</t>
  </si>
  <si>
    <t>VPS29</t>
  </si>
  <si>
    <t>GRHPR</t>
  </si>
  <si>
    <t>CTSZ</t>
  </si>
  <si>
    <t>RPS6KB2</t>
  </si>
  <si>
    <t>RNF14</t>
  </si>
  <si>
    <t>UBA2</t>
  </si>
  <si>
    <t>CTNNAL1</t>
  </si>
  <si>
    <t>FAM8A1</t>
  </si>
  <si>
    <t>SEL1L</t>
  </si>
  <si>
    <t>PEF1</t>
  </si>
  <si>
    <t>COPS7A</t>
  </si>
  <si>
    <t>HSPB7</t>
  </si>
  <si>
    <t>AASS</t>
  </si>
  <si>
    <t>CLIP2</t>
  </si>
  <si>
    <t>UQCR10</t>
  </si>
  <si>
    <t>TJP2</t>
  </si>
  <si>
    <t>DNAJB4</t>
  </si>
  <si>
    <t>MALT1</t>
  </si>
  <si>
    <t>CFDP1</t>
  </si>
  <si>
    <t>FTSJ1</t>
  </si>
  <si>
    <t>VTI1B</t>
  </si>
  <si>
    <t>STK39</t>
  </si>
  <si>
    <t>ADD3</t>
  </si>
  <si>
    <t>C19orf25</t>
  </si>
  <si>
    <t>NIPSNAP3A</t>
  </si>
  <si>
    <t>CGGBP1</t>
  </si>
  <si>
    <t>PISD</t>
  </si>
  <si>
    <t>ABCF2</t>
  </si>
  <si>
    <t>TES</t>
  </si>
  <si>
    <t>SERGEF</t>
  </si>
  <si>
    <t>LIMD1</t>
  </si>
  <si>
    <t>SEC63</t>
  </si>
  <si>
    <t>CACFD1</t>
  </si>
  <si>
    <t>SLC2A6</t>
  </si>
  <si>
    <t>SUSD2</t>
  </si>
  <si>
    <t>NDRG3</t>
  </si>
  <si>
    <t>ARMCX3</t>
  </si>
  <si>
    <t>SWAP70</t>
  </si>
  <si>
    <t>SUN2</t>
  </si>
  <si>
    <t>LAMTOR3</t>
  </si>
  <si>
    <t>AFF4</t>
  </si>
  <si>
    <t>CHORDC1</t>
  </si>
  <si>
    <t>TBK1</t>
  </si>
  <si>
    <t>SEPT9</t>
  </si>
  <si>
    <t>UBQLN2</t>
  </si>
  <si>
    <t>STEAP1</t>
  </si>
  <si>
    <t>PCYOX1</t>
  </si>
  <si>
    <t>SHPK</t>
  </si>
  <si>
    <t>DPP7</t>
  </si>
  <si>
    <t>TMEM2</t>
  </si>
  <si>
    <t>USP25</t>
  </si>
  <si>
    <t>BCAP29</t>
  </si>
  <si>
    <t>CYB5R1</t>
  </si>
  <si>
    <t>BAIAP2L1</t>
  </si>
  <si>
    <t>PFDN2</t>
  </si>
  <si>
    <t>GPN3</t>
  </si>
  <si>
    <t>PUF60</t>
  </si>
  <si>
    <t>NRBP1</t>
  </si>
  <si>
    <t>ENOPH1</t>
  </si>
  <si>
    <t>FEZ2</t>
  </si>
  <si>
    <t>EVL</t>
  </si>
  <si>
    <t>ATP6V1H</t>
  </si>
  <si>
    <t>TAGLN3</t>
  </si>
  <si>
    <t>IPO11</t>
  </si>
  <si>
    <t>TRMT112</t>
  </si>
  <si>
    <t>CPA4</t>
  </si>
  <si>
    <t>LCMT1</t>
  </si>
  <si>
    <t>VPS51</t>
  </si>
  <si>
    <t>ATPIF1</t>
  </si>
  <si>
    <t>ZDHHC2</t>
  </si>
  <si>
    <t>AK3</t>
  </si>
  <si>
    <t>SCOC</t>
  </si>
  <si>
    <t>LNPEP</t>
  </si>
  <si>
    <t>GGT7</t>
  </si>
  <si>
    <t>MSRA</t>
  </si>
  <si>
    <t>TRMT6</t>
  </si>
  <si>
    <t>MOSPD1</t>
  </si>
  <si>
    <t>GNPTG</t>
  </si>
  <si>
    <t>ERRFI1</t>
  </si>
  <si>
    <t>SLC25A13</t>
  </si>
  <si>
    <t>TUBE1</t>
  </si>
  <si>
    <t>DBNL</t>
  </si>
  <si>
    <t>DCTN4</t>
  </si>
  <si>
    <t>CDC23</t>
  </si>
  <si>
    <t>ANAPC4</t>
  </si>
  <si>
    <t>ANAPC2</t>
  </si>
  <si>
    <t>HSPB8</t>
  </si>
  <si>
    <t>GGA2</t>
  </si>
  <si>
    <t>GGA1</t>
  </si>
  <si>
    <t>STOML2</t>
  </si>
  <si>
    <t>NAGPA</t>
  </si>
  <si>
    <t>CCRN4L</t>
  </si>
  <si>
    <t>VPS28</t>
  </si>
  <si>
    <t>LSM7</t>
  </si>
  <si>
    <t>DBR1</t>
  </si>
  <si>
    <t>HN1</t>
  </si>
  <si>
    <t>FBXO9</t>
  </si>
  <si>
    <t>FBXO3</t>
  </si>
  <si>
    <t>AKAP11</t>
  </si>
  <si>
    <t>DNAJC12</t>
  </si>
  <si>
    <t>FBXL2</t>
  </si>
  <si>
    <t>TNIK</t>
  </si>
  <si>
    <t>CPSF3</t>
  </si>
  <si>
    <t>APPL1</t>
  </si>
  <si>
    <t>CROT</t>
  </si>
  <si>
    <t>PARP4</t>
  </si>
  <si>
    <t>NUDT5</t>
  </si>
  <si>
    <t>PCTP</t>
  </si>
  <si>
    <t>C14orf1</t>
  </si>
  <si>
    <t>PACSIN3</t>
  </si>
  <si>
    <t>FBXO5</t>
  </si>
  <si>
    <t>FBXO4</t>
  </si>
  <si>
    <t>TRHDE</t>
  </si>
  <si>
    <t>ACAD8</t>
  </si>
  <si>
    <t>AMFR</t>
  </si>
  <si>
    <t>AGO2</t>
  </si>
  <si>
    <t>ITGA11</t>
  </si>
  <si>
    <t>NUP50</t>
  </si>
  <si>
    <t>CNOT11</t>
  </si>
  <si>
    <t>BAG5</t>
  </si>
  <si>
    <t>RAB21</t>
  </si>
  <si>
    <t>RAB22A</t>
  </si>
  <si>
    <t>PSME2</t>
  </si>
  <si>
    <t>RAB23</t>
  </si>
  <si>
    <t>MCTS1</t>
  </si>
  <si>
    <t>ZDHHC8</t>
  </si>
  <si>
    <t>SLC39A10</t>
  </si>
  <si>
    <t>KIDINS220</t>
  </si>
  <si>
    <t>ASAP1</t>
  </si>
  <si>
    <t>MKL2</t>
  </si>
  <si>
    <t>HEG1</t>
  </si>
  <si>
    <t>ZMIZ1</t>
  </si>
  <si>
    <t>ANKRD50</t>
  </si>
  <si>
    <t>TBC1D24</t>
  </si>
  <si>
    <t>ISY1</t>
  </si>
  <si>
    <t>HECTD1</t>
  </si>
  <si>
    <t>CORO1C</t>
  </si>
  <si>
    <t>PYCARD</t>
  </si>
  <si>
    <t>NOTCH3</t>
  </si>
  <si>
    <t>ICAM5</t>
  </si>
  <si>
    <t>NFU1</t>
  </si>
  <si>
    <t>PRPF19</t>
  </si>
  <si>
    <t>SYNPO2</t>
  </si>
  <si>
    <t>SUFU</t>
  </si>
  <si>
    <t>NENF</t>
  </si>
  <si>
    <t>SNX12</t>
  </si>
  <si>
    <t>SYNRG</t>
  </si>
  <si>
    <t>VPS4A</t>
  </si>
  <si>
    <t>G3BP2</t>
  </si>
  <si>
    <t>STUB1</t>
  </si>
  <si>
    <t>PACSIN2</t>
  </si>
  <si>
    <t>MAGED2</t>
  </si>
  <si>
    <t>SNX7</t>
  </si>
  <si>
    <t>SNX6</t>
  </si>
  <si>
    <t>DUSP12</t>
  </si>
  <si>
    <t>STX8</t>
  </si>
  <si>
    <t>PSMD13</t>
  </si>
  <si>
    <t>FAF1</t>
  </si>
  <si>
    <t>PROCR</t>
  </si>
  <si>
    <t>PPIE</t>
  </si>
  <si>
    <t>COPS3</t>
  </si>
  <si>
    <t>MINPP1</t>
  </si>
  <si>
    <t>TTF2</t>
  </si>
  <si>
    <t>FZD1</t>
  </si>
  <si>
    <t>ADAMTS8</t>
  </si>
  <si>
    <t>COG5</t>
  </si>
  <si>
    <t>SLC12A4</t>
  </si>
  <si>
    <t>AP4E1</t>
  </si>
  <si>
    <t>SCAF8</t>
  </si>
  <si>
    <t>PPP6R1</t>
  </si>
  <si>
    <t>TRIM33</t>
  </si>
  <si>
    <t>KIAA1107</t>
  </si>
  <si>
    <t>TNRC6B</t>
  </si>
  <si>
    <t>SMG5</t>
  </si>
  <si>
    <t>EXOC7</t>
  </si>
  <si>
    <t>USP24</t>
  </si>
  <si>
    <t>TBC1D2B</t>
  </si>
  <si>
    <t>MAPRE3</t>
  </si>
  <si>
    <t>HPS5</t>
  </si>
  <si>
    <t>SHOC2</t>
  </si>
  <si>
    <t>SRRM2</t>
  </si>
  <si>
    <t>PA2G4</t>
  </si>
  <si>
    <t>BAIAP2</t>
  </si>
  <si>
    <t>GAB2</t>
  </si>
  <si>
    <t>CHMP2B</t>
  </si>
  <si>
    <t>MTMR6</t>
  </si>
  <si>
    <t>GNE</t>
  </si>
  <si>
    <t>C14orf166</t>
  </si>
  <si>
    <t>RUVBL2</t>
  </si>
  <si>
    <t>PIN4</t>
  </si>
  <si>
    <t>HIGD1A</t>
  </si>
  <si>
    <t>AKT3</t>
  </si>
  <si>
    <t>POMP</t>
  </si>
  <si>
    <t>KCNK6</t>
  </si>
  <si>
    <t>CHKB</t>
  </si>
  <si>
    <t>PLAA</t>
  </si>
  <si>
    <t>RUVBL1</t>
  </si>
  <si>
    <t>NUDC</t>
  </si>
  <si>
    <t>BCS1L</t>
  </si>
  <si>
    <t>CFL2</t>
  </si>
  <si>
    <t>ASF1A</t>
  </si>
  <si>
    <t>DRG1</t>
  </si>
  <si>
    <t>TRAPPC4</t>
  </si>
  <si>
    <t>NCKAP1</t>
  </si>
  <si>
    <t>CNPY2</t>
  </si>
  <si>
    <t>UST</t>
  </si>
  <si>
    <t>EXOG</t>
  </si>
  <si>
    <t>CA5B</t>
  </si>
  <si>
    <t>EXOC6B</t>
  </si>
  <si>
    <t>AKAP2</t>
  </si>
  <si>
    <t>DIP2C</t>
  </si>
  <si>
    <t>MAN2B2</t>
  </si>
  <si>
    <t>ATP11B</t>
  </si>
  <si>
    <t>POFUT2</t>
  </si>
  <si>
    <t>STK38L</t>
  </si>
  <si>
    <t>FNDC3A</t>
  </si>
  <si>
    <t>NISCH</t>
  </si>
  <si>
    <t>WDR37</t>
  </si>
  <si>
    <t>EPB41L3</t>
  </si>
  <si>
    <t>AMOTL2</t>
  </si>
  <si>
    <t>DIS3</t>
  </si>
  <si>
    <t>GSTK1</t>
  </si>
  <si>
    <t>LAMTOR2</t>
  </si>
  <si>
    <t>MRPS28</t>
  </si>
  <si>
    <t>COA3</t>
  </si>
  <si>
    <t>CRYL1</t>
  </si>
  <si>
    <t>TMA7</t>
  </si>
  <si>
    <t>POLDIP2</t>
  </si>
  <si>
    <t>AP3M1</t>
  </si>
  <si>
    <t>MAP3K2</t>
  </si>
  <si>
    <t>LEMD3</t>
  </si>
  <si>
    <t>COG6</t>
  </si>
  <si>
    <t>THRAP3</t>
  </si>
  <si>
    <t>GIT1</t>
  </si>
  <si>
    <t>POLR3K</t>
  </si>
  <si>
    <t>SUGT1</t>
  </si>
  <si>
    <t>YARS2</t>
  </si>
  <si>
    <t>COQ6</t>
  </si>
  <si>
    <t>AMDHD2</t>
  </si>
  <si>
    <t>ACOT9</t>
  </si>
  <si>
    <t>NOSIP</t>
  </si>
  <si>
    <t>MEMO1</t>
  </si>
  <si>
    <t>TMX2</t>
  </si>
  <si>
    <t>LSM2</t>
  </si>
  <si>
    <t>SH3GLB1</t>
  </si>
  <si>
    <t>NDUFAF1</t>
  </si>
  <si>
    <t>CAB39</t>
  </si>
  <si>
    <t>LUC7L2</t>
  </si>
  <si>
    <t>UBE2J1</t>
  </si>
  <si>
    <t>DHRS7</t>
  </si>
  <si>
    <t>MOB4</t>
  </si>
  <si>
    <t>SBDS</t>
  </si>
  <si>
    <t>TMED7</t>
  </si>
  <si>
    <t>RRP15</t>
  </si>
  <si>
    <t>NOP16</t>
  </si>
  <si>
    <t>TPRKB</t>
  </si>
  <si>
    <t>RNF11</t>
  </si>
  <si>
    <t>PPIL1</t>
  </si>
  <si>
    <t>UFC1</t>
  </si>
  <si>
    <t>FAM96B</t>
  </si>
  <si>
    <t>MSRB2</t>
  </si>
  <si>
    <t>FIS1</t>
  </si>
  <si>
    <t>TAF9</t>
  </si>
  <si>
    <t>GOLT1B</t>
  </si>
  <si>
    <t>HDGFRP3</t>
  </si>
  <si>
    <t>BOLA1</t>
  </si>
  <si>
    <t>CHMP3</t>
  </si>
  <si>
    <t>STRAP</t>
  </si>
  <si>
    <t>C22orf28</t>
  </si>
  <si>
    <t>FBXO7</t>
  </si>
  <si>
    <t>SH3BP1</t>
  </si>
  <si>
    <t>RAP2C</t>
  </si>
  <si>
    <t>STARD13</t>
  </si>
  <si>
    <t>RABGAP1</t>
  </si>
  <si>
    <t>TMED3</t>
  </si>
  <si>
    <t>TSC22D4</t>
  </si>
  <si>
    <t>ZNF330</t>
  </si>
  <si>
    <t>R3HCC1</t>
  </si>
  <si>
    <t>NOC2L</t>
  </si>
  <si>
    <t>RPL36</t>
  </si>
  <si>
    <t>RWDD3</t>
  </si>
  <si>
    <t>CCDC9</t>
  </si>
  <si>
    <t>SAMHD1</t>
  </si>
  <si>
    <t>HBS1L</t>
  </si>
  <si>
    <t>PRKAB1</t>
  </si>
  <si>
    <t>TLN1</t>
  </si>
  <si>
    <t>SOGA2</t>
  </si>
  <si>
    <t>FAM115A</t>
  </si>
  <si>
    <t>FAM21C</t>
  </si>
  <si>
    <t>USP15</t>
  </si>
  <si>
    <t>FARP1</t>
  </si>
  <si>
    <t>TLN2</t>
  </si>
  <si>
    <t>RAPGEF2</t>
  </si>
  <si>
    <t>IRS2</t>
  </si>
  <si>
    <t>LOXL2</t>
  </si>
  <si>
    <t>AIM1</t>
  </si>
  <si>
    <t>MAP4K5</t>
  </si>
  <si>
    <t>ATG4B</t>
  </si>
  <si>
    <t>WIPI2</t>
  </si>
  <si>
    <t>MMACHC</t>
  </si>
  <si>
    <t>AFG3L2</t>
  </si>
  <si>
    <t>ARIH1</t>
  </si>
  <si>
    <t>LSM4</t>
  </si>
  <si>
    <t>RNF114</t>
  </si>
  <si>
    <t>SAMM50</t>
  </si>
  <si>
    <t>CSDC2</t>
  </si>
  <si>
    <t>PPME1</t>
  </si>
  <si>
    <t>ASB1</t>
  </si>
  <si>
    <t>TIMM22</t>
  </si>
  <si>
    <t>YTHDF2</t>
  </si>
  <si>
    <t>CTDP1</t>
  </si>
  <si>
    <t>NME7</t>
  </si>
  <si>
    <t>PHLDA3</t>
  </si>
  <si>
    <t>TIMM10B</t>
  </si>
  <si>
    <t>TIMM9</t>
  </si>
  <si>
    <t>UCHL5</t>
  </si>
  <si>
    <t>CD2AP</t>
  </si>
  <si>
    <t>ATP6V1D</t>
  </si>
  <si>
    <t>TNPO3</t>
  </si>
  <si>
    <t>TIMM13</t>
  </si>
  <si>
    <t>SRPRB</t>
  </si>
  <si>
    <t>N6AMT1</t>
  </si>
  <si>
    <t>COL4A3BP</t>
  </si>
  <si>
    <t>GMPPB</t>
  </si>
  <si>
    <t>TRAPPC1</t>
  </si>
  <si>
    <t>TRPV2</t>
  </si>
  <si>
    <t>CDC42BPB</t>
  </si>
  <si>
    <t>RBM8A</t>
  </si>
  <si>
    <t>TSSC4</t>
  </si>
  <si>
    <t>MAGED1</t>
  </si>
  <si>
    <t>SNX9</t>
  </si>
  <si>
    <t>SNX8</t>
  </si>
  <si>
    <t>SNX5</t>
  </si>
  <si>
    <t>NUBP2</t>
  </si>
  <si>
    <t>HEBP2</t>
  </si>
  <si>
    <t>HCFC2</t>
  </si>
  <si>
    <t>MRFAP1</t>
  </si>
  <si>
    <t>LRRFIP2</t>
  </si>
  <si>
    <t>FHOD1</t>
  </si>
  <si>
    <t>PSAT1</t>
  </si>
  <si>
    <t>SLC25A15</t>
  </si>
  <si>
    <t>GPC6</t>
  </si>
  <si>
    <t>NPTN</t>
  </si>
  <si>
    <t>CPQ</t>
  </si>
  <si>
    <t>ALG5</t>
  </si>
  <si>
    <t>COPG1</t>
  </si>
  <si>
    <t>AUP1</t>
  </si>
  <si>
    <t>FKBP7</t>
  </si>
  <si>
    <t>ARL5A</t>
  </si>
  <si>
    <t>LHFP</t>
  </si>
  <si>
    <t>CLIC4</t>
  </si>
  <si>
    <t>NFS1</t>
  </si>
  <si>
    <t>C16orf80</t>
  </si>
  <si>
    <t>EID1</t>
  </si>
  <si>
    <t>EMILIN1</t>
  </si>
  <si>
    <t>MTCH2</t>
  </si>
  <si>
    <t>ARFGEF2</t>
  </si>
  <si>
    <t>ARFGEF1</t>
  </si>
  <si>
    <t>MAD1L1</t>
  </si>
  <si>
    <t>STK24</t>
  </si>
  <si>
    <t>COMMD10</t>
  </si>
  <si>
    <t>DYNC1LI1</t>
  </si>
  <si>
    <t>CHCHD2</t>
  </si>
  <si>
    <t>EPN1</t>
  </si>
  <si>
    <t>TEX264</t>
  </si>
  <si>
    <t>AK5</t>
  </si>
  <si>
    <t>CSNK1G3</t>
  </si>
  <si>
    <t>SLC30A1</t>
  </si>
  <si>
    <t>COX11</t>
  </si>
  <si>
    <t>SQRDL</t>
  </si>
  <si>
    <t>ROBO1</t>
  </si>
  <si>
    <t>SESN1</t>
  </si>
  <si>
    <t>STON1</t>
  </si>
  <si>
    <t>NCOA3</t>
  </si>
  <si>
    <t>NUMBL</t>
  </si>
  <si>
    <t>PCLO</t>
  </si>
  <si>
    <t>CAPN7</t>
  </si>
  <si>
    <t>WASF2</t>
  </si>
  <si>
    <t>ENPP4</t>
  </si>
  <si>
    <t>MOSPD2</t>
  </si>
  <si>
    <t>PSMD8</t>
  </si>
  <si>
    <t>H6PD</t>
  </si>
  <si>
    <t>BMI1</t>
  </si>
  <si>
    <t>RANBP10</t>
  </si>
  <si>
    <t>NBL1</t>
  </si>
  <si>
    <t>YTHDF3</t>
  </si>
  <si>
    <t>C16orf74</t>
  </si>
  <si>
    <t>S100A6</t>
  </si>
  <si>
    <t>DENND4C</t>
  </si>
  <si>
    <t>PHLDA1</t>
  </si>
  <si>
    <t>PSMC3</t>
  </si>
  <si>
    <t>_Q96PE2_</t>
  </si>
  <si>
    <t>A0AVI4</t>
  </si>
  <si>
    <t>A0AVT1</t>
  </si>
  <si>
    <t>A0JNW5</t>
  </si>
  <si>
    <t>A1A4S6</t>
  </si>
  <si>
    <t>A1L0T0</t>
  </si>
  <si>
    <t>A1L188</t>
  </si>
  <si>
    <t>A1X283</t>
  </si>
  <si>
    <t>A2A274</t>
  </si>
  <si>
    <t>A2A2F4</t>
  </si>
  <si>
    <t>A2A2Q9</t>
  </si>
  <si>
    <t>A2A2V1</t>
  </si>
  <si>
    <t>A2RRP1</t>
  </si>
  <si>
    <t>A2RU67</t>
  </si>
  <si>
    <t>A2VDF0</t>
  </si>
  <si>
    <t>A3KN83-3</t>
  </si>
  <si>
    <t>A4D126</t>
  </si>
  <si>
    <t>A4D1U4</t>
  </si>
  <si>
    <t>A4D1W8</t>
  </si>
  <si>
    <t>A4D2B0</t>
  </si>
  <si>
    <t>A4UGR9-2</t>
  </si>
  <si>
    <t>A5YKK6-2</t>
  </si>
  <si>
    <t>A6H8Z3</t>
  </si>
  <si>
    <t>A6NC48</t>
  </si>
  <si>
    <t>A6NDG6</t>
  </si>
  <si>
    <t>A6NDU8</t>
  </si>
  <si>
    <t>A6NED2</t>
  </si>
  <si>
    <t>A6NEM2</t>
  </si>
  <si>
    <t>A6NEP9</t>
  </si>
  <si>
    <t>A6NF31</t>
  </si>
  <si>
    <t>A6NG32</t>
  </si>
  <si>
    <t>A6NG79</t>
  </si>
  <si>
    <t>A6NGC4</t>
  </si>
  <si>
    <t>A6NGJ0</t>
  </si>
  <si>
    <t>A6NGP5</t>
  </si>
  <si>
    <t>A6NGW1</t>
  </si>
  <si>
    <t>A6NHL2-2</t>
  </si>
  <si>
    <t>A6NHX0</t>
  </si>
  <si>
    <t>A6NIH7</t>
  </si>
  <si>
    <t>A6NIR2</t>
  </si>
  <si>
    <t>A6NJ78</t>
  </si>
  <si>
    <t>A6NK28</t>
  </si>
  <si>
    <t>A6NKF9</t>
  </si>
  <si>
    <t>A6NL54</t>
  </si>
  <si>
    <t>A6NLG9</t>
  </si>
  <si>
    <t>A6NLH6</t>
  </si>
  <si>
    <t>A6NMH6</t>
  </si>
  <si>
    <t>A6NML8</t>
  </si>
  <si>
    <t>A6NN40</t>
  </si>
  <si>
    <t>A6NN80</t>
  </si>
  <si>
    <t>A6NNI4</t>
  </si>
  <si>
    <t>A6QRJ0</t>
  </si>
  <si>
    <t>A6ZKI3</t>
  </si>
  <si>
    <t>A8K0B5</t>
  </si>
  <si>
    <t>A8K7Q2</t>
  </si>
  <si>
    <t>A8MQ02</t>
  </si>
  <si>
    <t>A8MQ45</t>
  </si>
  <si>
    <t>A8MSH5</t>
  </si>
  <si>
    <t>A8MSI8</t>
  </si>
  <si>
    <t>A8MT02</t>
  </si>
  <si>
    <t>A8MTG8</t>
  </si>
  <si>
    <t>A8MTT3</t>
  </si>
  <si>
    <t>A8MTY9</t>
  </si>
  <si>
    <t>A8MU21</t>
  </si>
  <si>
    <t>A8MUA9</t>
  </si>
  <si>
    <t>A8MUB1</t>
  </si>
  <si>
    <t>A8MUM1</t>
  </si>
  <si>
    <t>A8MVW0</t>
  </si>
  <si>
    <t>A8MVZ6</t>
  </si>
  <si>
    <t>A8MWK3</t>
  </si>
  <si>
    <t>A8MXE8</t>
  </si>
  <si>
    <t>A8MXV4</t>
  </si>
  <si>
    <t>A8MYQ9</t>
  </si>
  <si>
    <t>A8MYT4</t>
  </si>
  <si>
    <t>A8MZ54</t>
  </si>
  <si>
    <t>A9UHW6</t>
  </si>
  <si>
    <t>A9Z1X7</t>
  </si>
  <si>
    <t>B0FLL2</t>
  </si>
  <si>
    <t>B0QY89</t>
  </si>
  <si>
    <t>B0QY95</t>
  </si>
  <si>
    <t>B0QYI3</t>
  </si>
  <si>
    <t>B0QYK0</t>
  </si>
  <si>
    <t>B0QZ18</t>
  </si>
  <si>
    <t>B0QZK9</t>
  </si>
  <si>
    <t>B0UX83</t>
  </si>
  <si>
    <t>B0UXB6</t>
  </si>
  <si>
    <t>B0V043</t>
  </si>
  <si>
    <t>B0V0T3</t>
  </si>
  <si>
    <t>B0YIW2</t>
  </si>
  <si>
    <t>B1AH87</t>
  </si>
  <si>
    <t>B1AHD1</t>
  </si>
  <si>
    <t>B1AK13</t>
  </si>
  <si>
    <t>B1AK81</t>
  </si>
  <si>
    <t>B1AKC7</t>
  </si>
  <si>
    <t>B1AKJ5</t>
  </si>
  <si>
    <t>B1AKJ6</t>
  </si>
  <si>
    <t>B1AKL4</t>
  </si>
  <si>
    <t>B1AKN3</t>
  </si>
  <si>
    <t>B1AKP2</t>
  </si>
  <si>
    <t>B1AKR6</t>
  </si>
  <si>
    <t>B1AKT3</t>
  </si>
  <si>
    <t>B1AL69</t>
  </si>
  <si>
    <t>B1AL88</t>
  </si>
  <si>
    <t>B1ALH6</t>
  </si>
  <si>
    <t>B1ALK7</t>
  </si>
  <si>
    <t>B1ALY0</t>
  </si>
  <si>
    <t>B1AM21</t>
  </si>
  <si>
    <t>B1AMF0</t>
  </si>
  <si>
    <t>B1AMS2</t>
  </si>
  <si>
    <t>B1AMU7</t>
  </si>
  <si>
    <t>B1AMW1</t>
  </si>
  <si>
    <t>B1AN89</t>
  </si>
  <si>
    <t>B1AN99</t>
  </si>
  <si>
    <t>B1ANH0</t>
  </si>
  <si>
    <t>B1APM4</t>
  </si>
  <si>
    <t>B1AVU8</t>
  </si>
  <si>
    <t>B1AZV3</t>
  </si>
  <si>
    <t>B2WTI3</t>
  </si>
  <si>
    <t>B3KNQ0</t>
  </si>
  <si>
    <t>B3KS98</t>
  </si>
  <si>
    <t>B3KSH1</t>
  </si>
  <si>
    <t>B3KSI9</t>
  </si>
  <si>
    <t>B3KTR6</t>
  </si>
  <si>
    <t>B3KUB4</t>
  </si>
  <si>
    <t>B3KUE5</t>
  </si>
  <si>
    <t>B3KUK2</t>
  </si>
  <si>
    <t>B3KV95</t>
  </si>
  <si>
    <t>B3KVH8</t>
  </si>
  <si>
    <t>B3KXW5</t>
  </si>
  <si>
    <t>B3KY94</t>
  </si>
  <si>
    <t>B4DDD2</t>
  </si>
  <si>
    <t>B4DDF4</t>
  </si>
  <si>
    <t>B4DDF9</t>
  </si>
  <si>
    <t>B4DE11</t>
  </si>
  <si>
    <t>B4DEX5</t>
  </si>
  <si>
    <t>B4DEZ3</t>
  </si>
  <si>
    <t>B4DFG0</t>
  </si>
  <si>
    <t>B4DFZ9</t>
  </si>
  <si>
    <t>B4DGU4</t>
  </si>
  <si>
    <t>B4DGV4</t>
  </si>
  <si>
    <t>B4DGX2</t>
  </si>
  <si>
    <t>B4DH53</t>
  </si>
  <si>
    <t>B4DHE1</t>
  </si>
  <si>
    <t>B4DHJ7</t>
  </si>
  <si>
    <t>B4DHL3</t>
  </si>
  <si>
    <t>B4DHW1</t>
  </si>
  <si>
    <t>B4DJA5</t>
  </si>
  <si>
    <t>B4DJP7</t>
  </si>
  <si>
    <t>B4DJV2</t>
  </si>
  <si>
    <t>B4DJZ1</t>
  </si>
  <si>
    <t>B4DK95</t>
  </si>
  <si>
    <t>B4DL14</t>
  </si>
  <si>
    <t>B4DLE8</t>
  </si>
  <si>
    <t>B4DLR8</t>
  </si>
  <si>
    <t>B4DLT4</t>
  </si>
  <si>
    <t>B4DLU3</t>
  </si>
  <si>
    <t>B4DP21</t>
  </si>
  <si>
    <t>B4DPY5</t>
  </si>
  <si>
    <t>B4DPY8</t>
  </si>
  <si>
    <t>B4DQ14</t>
  </si>
  <si>
    <t>B4DQ18</t>
  </si>
  <si>
    <t>B4DQ84</t>
  </si>
  <si>
    <t>B4DQJ8</t>
  </si>
  <si>
    <t>B4DR03</t>
  </si>
  <si>
    <t>B4DR52</t>
  </si>
  <si>
    <t>B4DR61</t>
  </si>
  <si>
    <t>B4DRC4</t>
  </si>
  <si>
    <t>B4DRL9</t>
  </si>
  <si>
    <t>B4DRV7</t>
  </si>
  <si>
    <t>B4DSD4</t>
  </si>
  <si>
    <t>B4DSS5</t>
  </si>
  <si>
    <t>B4DT77</t>
  </si>
  <si>
    <t>B4DTZ6</t>
  </si>
  <si>
    <t>B4DUS9</t>
  </si>
  <si>
    <t>B4DUV4</t>
  </si>
  <si>
    <t>B4DV96</t>
  </si>
  <si>
    <t>B4DVE7</t>
  </si>
  <si>
    <t>B4DVY1</t>
  </si>
  <si>
    <t>B4DWI1</t>
  </si>
  <si>
    <t>B4DWJ2</t>
  </si>
  <si>
    <t>B4DXZ6</t>
  </si>
  <si>
    <t>B4DYB4</t>
  </si>
  <si>
    <t>B4DZ23</t>
  </si>
  <si>
    <t>B4E0T2</t>
  </si>
  <si>
    <t>B4E1M0</t>
  </si>
  <si>
    <t>B4E1N1</t>
  </si>
  <si>
    <t>B4E1Q4</t>
  </si>
  <si>
    <t>B4E1Q6</t>
  </si>
  <si>
    <t>B4E1S6</t>
  </si>
  <si>
    <t>B4E241</t>
  </si>
  <si>
    <t>B4E2V5</t>
  </si>
  <si>
    <t>B4E2W0</t>
  </si>
  <si>
    <t>B4E2X3</t>
  </si>
  <si>
    <t>B4E2Z0</t>
  </si>
  <si>
    <t>B4E358</t>
  </si>
  <si>
    <t>B4E3E5</t>
  </si>
  <si>
    <t>B5MC53</t>
  </si>
  <si>
    <t>B5MCD7</t>
  </si>
  <si>
    <t>B5MCN7</t>
  </si>
  <si>
    <t>B5MD23</t>
  </si>
  <si>
    <t>B5MDE0</t>
  </si>
  <si>
    <t>B5MDU6</t>
  </si>
  <si>
    <t>B5MEB3</t>
  </si>
  <si>
    <t>B7WPE2</t>
  </si>
  <si>
    <t>B7Z1I4</t>
  </si>
  <si>
    <t>B7Z1J9</t>
  </si>
  <si>
    <t>B7Z254</t>
  </si>
  <si>
    <t>B7Z2B2</t>
  </si>
  <si>
    <t>B7Z2C3</t>
  </si>
  <si>
    <t>B7Z2S5</t>
  </si>
  <si>
    <t>B7Z2Y2</t>
  </si>
  <si>
    <t>B7Z317</t>
  </si>
  <si>
    <t>B7Z3I9</t>
  </si>
  <si>
    <t>B7Z463</t>
  </si>
  <si>
    <t>B7Z493</t>
  </si>
  <si>
    <t>B7Z4K6</t>
  </si>
  <si>
    <t>B7Z4M2</t>
  </si>
  <si>
    <t>B7Z4R5</t>
  </si>
  <si>
    <t>B7Z4W5</t>
  </si>
  <si>
    <t>B7Z589</t>
  </si>
  <si>
    <t>B7Z5G4</t>
  </si>
  <si>
    <t>B7Z5W1</t>
  </si>
  <si>
    <t>B7Z662</t>
  </si>
  <si>
    <t>B7Z6B8</t>
  </si>
  <si>
    <t>B7Z729</t>
  </si>
  <si>
    <t>B7Z779</t>
  </si>
  <si>
    <t>B7Z815</t>
  </si>
  <si>
    <t>B7Z817</t>
  </si>
  <si>
    <t>B7Z831</t>
  </si>
  <si>
    <t>B7Z9I3</t>
  </si>
  <si>
    <t>B7Z9S8</t>
  </si>
  <si>
    <t>B7ZC38</t>
  </si>
  <si>
    <t>B7ZKK9</t>
  </si>
  <si>
    <t>B7ZKM0</t>
  </si>
  <si>
    <t>B7ZKQ9</t>
  </si>
  <si>
    <t>B7ZL88</t>
  </si>
  <si>
    <t>B7ZLZ2</t>
  </si>
  <si>
    <t>B7ZMI4</t>
  </si>
  <si>
    <t>B8X2Z3</t>
  </si>
  <si>
    <t>B8ZZD4</t>
  </si>
  <si>
    <t>B8ZZK4</t>
  </si>
  <si>
    <t>B8ZZN3</t>
  </si>
  <si>
    <t>B8ZZN6</t>
  </si>
  <si>
    <t>B8ZZQ6</t>
  </si>
  <si>
    <t>B8ZZX2</t>
  </si>
  <si>
    <t>B8ZZY2</t>
  </si>
  <si>
    <t>B9A018</t>
  </si>
  <si>
    <t>B9A054</t>
  </si>
  <si>
    <t>B9A057</t>
  </si>
  <si>
    <t>B9A067</t>
  </si>
  <si>
    <t>B9A071</t>
  </si>
  <si>
    <t>B9EGH5</t>
  </si>
  <si>
    <t>C0H5X6</t>
  </si>
  <si>
    <t>C0H5Y7</t>
  </si>
  <si>
    <t>C4AMC7</t>
  </si>
  <si>
    <t>C9IYC4</t>
  </si>
  <si>
    <t>C9IYZ1</t>
  </si>
  <si>
    <t>C9J0I9</t>
  </si>
  <si>
    <t>C9J0J0</t>
  </si>
  <si>
    <t>C9J0J7</t>
  </si>
  <si>
    <t>C9J0K6</t>
  </si>
  <si>
    <t>C9J1D9</t>
  </si>
  <si>
    <t>C9J1K8</t>
  </si>
  <si>
    <t>C9J212</t>
  </si>
  <si>
    <t>C9J2F3</t>
  </si>
  <si>
    <t>C9J2P0</t>
  </si>
  <si>
    <t>C9J2U4</t>
  </si>
  <si>
    <t>C9J366</t>
  </si>
  <si>
    <t>C9J3D2</t>
  </si>
  <si>
    <t>C9J5C3</t>
  </si>
  <si>
    <t>C9J6Q8</t>
  </si>
  <si>
    <t>C9J712</t>
  </si>
  <si>
    <t>C9J7I2</t>
  </si>
  <si>
    <t>C9J7K9</t>
  </si>
  <si>
    <t>C9J8B8</t>
  </si>
  <si>
    <t>C9J8R7</t>
  </si>
  <si>
    <t>C9J9B2</t>
  </si>
  <si>
    <t>C9J9K3</t>
  </si>
  <si>
    <t>C9JA08</t>
  </si>
  <si>
    <t>C9JA28</t>
  </si>
  <si>
    <t>C9JAB2</t>
  </si>
  <si>
    <t>C9JAF7</t>
  </si>
  <si>
    <t>C9JB13</t>
  </si>
  <si>
    <t>C9JBB3</t>
  </si>
  <si>
    <t>C9JBG5</t>
  </si>
  <si>
    <t>C9JCC6</t>
  </si>
  <si>
    <t>C9JCN8</t>
  </si>
  <si>
    <t>C9JDS9</t>
  </si>
  <si>
    <t>C9JE12</t>
  </si>
  <si>
    <t>C9JE98</t>
  </si>
  <si>
    <t>C9JEL3</t>
  </si>
  <si>
    <t>C9JEX3</t>
  </si>
  <si>
    <t>C9JEZ4</t>
  </si>
  <si>
    <t>C9JF58</t>
  </si>
  <si>
    <t>C9JFB2</t>
  </si>
  <si>
    <t>C9JFE4</t>
  </si>
  <si>
    <t>C9JFK9</t>
  </si>
  <si>
    <t>C9JFR7</t>
  </si>
  <si>
    <t>C9JG41</t>
  </si>
  <si>
    <t>C9JG97</t>
  </si>
  <si>
    <t>C9JIF9</t>
  </si>
  <si>
    <t>C9JJN9</t>
  </si>
  <si>
    <t>C9JJP8</t>
  </si>
  <si>
    <t>C9JJU1</t>
  </si>
  <si>
    <t>C9JJV6</t>
  </si>
  <si>
    <t>C9JJX6</t>
  </si>
  <si>
    <t>C9JK10</t>
  </si>
  <si>
    <t>C9JLU1</t>
  </si>
  <si>
    <t>C9JLV4</t>
  </si>
  <si>
    <t>C9JM82</t>
  </si>
  <si>
    <t>C9JN15</t>
  </si>
  <si>
    <t>C9JNA8</t>
  </si>
  <si>
    <t>C9JP85</t>
  </si>
  <si>
    <t>C9JPX5</t>
  </si>
  <si>
    <t>C9JQ41</t>
  </si>
  <si>
    <t>C9JQB1</t>
  </si>
  <si>
    <t>C9JQD4</t>
  </si>
  <si>
    <t>C9JQP8</t>
  </si>
  <si>
    <t>C9JQV3</t>
  </si>
  <si>
    <t>C9JRY4</t>
  </si>
  <si>
    <t>C9JRZ6</t>
  </si>
  <si>
    <t>C9JSZ2</t>
  </si>
  <si>
    <t>C9JT52</t>
  </si>
  <si>
    <t>C9JTT8</t>
  </si>
  <si>
    <t>C9JTX5</t>
  </si>
  <si>
    <t>C9JUF0</t>
  </si>
  <si>
    <t>C9JVN9</t>
  </si>
  <si>
    <t>C9JXB8</t>
  </si>
  <si>
    <t>C9JXK9</t>
  </si>
  <si>
    <t>C9JYN0</t>
  </si>
  <si>
    <t>C9JYY6</t>
  </si>
  <si>
    <t>C9JZB0</t>
  </si>
  <si>
    <t>C9JZI1</t>
  </si>
  <si>
    <t>C9JZR7</t>
  </si>
  <si>
    <t>C9JZY3</t>
  </si>
  <si>
    <t>C9JZY6</t>
  </si>
  <si>
    <t>C9K0J5</t>
  </si>
  <si>
    <t>D0FY33</t>
  </si>
  <si>
    <t>D3DPN2</t>
  </si>
  <si>
    <t>D3DQV9</t>
  </si>
  <si>
    <t>D3DR31</t>
  </si>
  <si>
    <t>D3DWC4</t>
  </si>
  <si>
    <t>D3YTB1</t>
  </si>
  <si>
    <t>D3YTG6</t>
  </si>
  <si>
    <t>D3YTI9</t>
  </si>
  <si>
    <t>D6R938</t>
  </si>
  <si>
    <t>D6R9U7</t>
  </si>
  <si>
    <t>D6R9X7</t>
  </si>
  <si>
    <t>D6R9Z7</t>
  </si>
  <si>
    <t>D6RA26</t>
  </si>
  <si>
    <t>D6RAB5</t>
  </si>
  <si>
    <t>D6RB81</t>
  </si>
  <si>
    <t>D6RBW1</t>
  </si>
  <si>
    <t>D6RCD0</t>
  </si>
  <si>
    <t>D6RCM8</t>
  </si>
  <si>
    <t>D6RCP5</t>
  </si>
  <si>
    <t>D6RD47</t>
  </si>
  <si>
    <t>D6RDN0</t>
  </si>
  <si>
    <t>D6RDX7</t>
  </si>
  <si>
    <t>D6RE84</t>
  </si>
  <si>
    <t>D6REB5</t>
  </si>
  <si>
    <t>D6REL0</t>
  </si>
  <si>
    <t>D6REL4</t>
  </si>
  <si>
    <t>D6REP5</t>
  </si>
  <si>
    <t>D6REQ8</t>
  </si>
  <si>
    <t>D6RER8</t>
  </si>
  <si>
    <t>D6REX3</t>
  </si>
  <si>
    <t>D6REX7</t>
  </si>
  <si>
    <t>D6RF44</t>
  </si>
  <si>
    <t>D6RF48</t>
  </si>
  <si>
    <t>D6RFG8</t>
  </si>
  <si>
    <t>D6RGD1</t>
  </si>
  <si>
    <t>D6RGG3</t>
  </si>
  <si>
    <t>D6RGJ7</t>
  </si>
  <si>
    <t>D6RH20</t>
  </si>
  <si>
    <t>D6RHG7</t>
  </si>
  <si>
    <t>D6RHI7</t>
  </si>
  <si>
    <t>D6RHI9</t>
  </si>
  <si>
    <t>D6RIE3</t>
  </si>
  <si>
    <t>D6RIU2</t>
  </si>
  <si>
    <t>D6RIZ4</t>
  </si>
  <si>
    <t>D6RJG8</t>
  </si>
  <si>
    <t>E2QRD0</t>
  </si>
  <si>
    <t>E2QRG8</t>
  </si>
  <si>
    <t>E5RG13</t>
  </si>
  <si>
    <t>E5RG17</t>
  </si>
  <si>
    <t>E5RGX5</t>
  </si>
  <si>
    <t>E5RGY0</t>
  </si>
  <si>
    <t>E5RH41</t>
  </si>
  <si>
    <t>E5RHG5</t>
  </si>
  <si>
    <t>E5RHG8</t>
  </si>
  <si>
    <t>E5RHG9</t>
  </si>
  <si>
    <t>E5RIH5</t>
  </si>
  <si>
    <t>E5RIY0</t>
  </si>
  <si>
    <t>E5RJ08</t>
  </si>
  <si>
    <t>E5RJ29</t>
  </si>
  <si>
    <t>E5RJ52</t>
  </si>
  <si>
    <t>E5RJ99</t>
  </si>
  <si>
    <t>E5RJR5</t>
  </si>
  <si>
    <t>E5RK28</t>
  </si>
  <si>
    <t>E5RK82</t>
  </si>
  <si>
    <t>E7EM50</t>
  </si>
  <si>
    <t>E7EM64</t>
  </si>
  <si>
    <t>E7EM93</t>
  </si>
  <si>
    <t>E7EMA9</t>
  </si>
  <si>
    <t>E7EMB6</t>
  </si>
  <si>
    <t>E7EMM4</t>
  </si>
  <si>
    <t>E7EN73</t>
  </si>
  <si>
    <t>E7ENA9</t>
  </si>
  <si>
    <t>E7ENC2</t>
  </si>
  <si>
    <t>E7ENF1</t>
  </si>
  <si>
    <t>E7ENK0</t>
  </si>
  <si>
    <t>E7EPC6</t>
  </si>
  <si>
    <t>E7EPD0</t>
  </si>
  <si>
    <t>E7EPL4</t>
  </si>
  <si>
    <t>E7EPN9</t>
  </si>
  <si>
    <t>E7EPP7</t>
  </si>
  <si>
    <t>E7EPR3</t>
  </si>
  <si>
    <t>E7EPS8</t>
  </si>
  <si>
    <t>E7EPT4</t>
  </si>
  <si>
    <t>E7EPV7</t>
  </si>
  <si>
    <t>E7EQ69</t>
  </si>
  <si>
    <t>E7EQB2</t>
  </si>
  <si>
    <t>E7EQB3</t>
  </si>
  <si>
    <t>E7EQL8</t>
  </si>
  <si>
    <t>E7EQR8</t>
  </si>
  <si>
    <t>E7EQT4</t>
  </si>
  <si>
    <t>E7EQZ4</t>
  </si>
  <si>
    <t>E7ER32</t>
  </si>
  <si>
    <t>E7ER60</t>
  </si>
  <si>
    <t>E7ER89</t>
  </si>
  <si>
    <t>E7ERB7</t>
  </si>
  <si>
    <t>E7ERC6</t>
  </si>
  <si>
    <t>E7ERH1</t>
  </si>
  <si>
    <t>E7ERJ0</t>
  </si>
  <si>
    <t>E7ERK9</t>
  </si>
  <si>
    <t>E7ERL6</t>
  </si>
  <si>
    <t>E7ERS3</t>
  </si>
  <si>
    <t>E7ES21</t>
  </si>
  <si>
    <t>E7ES35</t>
  </si>
  <si>
    <t>E7ES43</t>
  </si>
  <si>
    <t>E7ES96</t>
  </si>
  <si>
    <t>E7ESK6</t>
  </si>
  <si>
    <t>E7ESP4</t>
  </si>
  <si>
    <t>E7ESY6</t>
  </si>
  <si>
    <t>E7ESZ7</t>
  </si>
  <si>
    <t>E7ET40</t>
  </si>
  <si>
    <t>E7ETA6</t>
  </si>
  <si>
    <t>E7ETK0</t>
  </si>
  <si>
    <t>E7ETU5</t>
  </si>
  <si>
    <t>E7ETW5</t>
  </si>
  <si>
    <t>E7ETZ4</t>
  </si>
  <si>
    <t>E7EU05</t>
  </si>
  <si>
    <t>E7EU23</t>
  </si>
  <si>
    <t>E7EU96</t>
  </si>
  <si>
    <t>E7EUC6</t>
  </si>
  <si>
    <t>E7EUD0</t>
  </si>
  <si>
    <t>E7EUM5</t>
  </si>
  <si>
    <t>E7EUU1</t>
  </si>
  <si>
    <t>E7EUY0</t>
  </si>
  <si>
    <t>E7EUY3</t>
  </si>
  <si>
    <t>E7EV01</t>
  </si>
  <si>
    <t>E7EV05</t>
  </si>
  <si>
    <t>E7EVA0</t>
  </si>
  <si>
    <t>E7EVC7</t>
  </si>
  <si>
    <t>E7EVH9</t>
  </si>
  <si>
    <t>E7EVZ2</t>
  </si>
  <si>
    <t>E7EW20</t>
  </si>
  <si>
    <t>E7EW32</t>
  </si>
  <si>
    <t>E7EW69</t>
  </si>
  <si>
    <t>E7EW77</t>
  </si>
  <si>
    <t>E7EWC2</t>
  </si>
  <si>
    <t>E7EWM3</t>
  </si>
  <si>
    <t>E7EWP0</t>
  </si>
  <si>
    <t>E7EX01</t>
  </si>
  <si>
    <t>E7EX17</t>
  </si>
  <si>
    <t>E7EX90</t>
  </si>
  <si>
    <t>E9PAR5</t>
  </si>
  <si>
    <t>E9PAU2</t>
  </si>
  <si>
    <t>E9PB09</t>
  </si>
  <si>
    <t>E9PB61</t>
  </si>
  <si>
    <t>E9PBJ5</t>
  </si>
  <si>
    <t>E9PBL8</t>
  </si>
  <si>
    <t>E9PBS1</t>
  </si>
  <si>
    <t>E9PC15</t>
  </si>
  <si>
    <t>E9PC47</t>
  </si>
  <si>
    <t>E9PC74</t>
  </si>
  <si>
    <t>E9PCH4</t>
  </si>
  <si>
    <t>E9PCJ7</t>
  </si>
  <si>
    <t>E9PCW1</t>
  </si>
  <si>
    <t>E9PCY7</t>
  </si>
  <si>
    <t>E9PDF6</t>
  </si>
  <si>
    <t>E9PDN5</t>
  </si>
  <si>
    <t>E9PDX3</t>
  </si>
  <si>
    <t>E9PEE8</t>
  </si>
  <si>
    <t>E9PEH6</t>
  </si>
  <si>
    <t>E9PEN8</t>
  </si>
  <si>
    <t>E9PEP6</t>
  </si>
  <si>
    <t>E9PER1</t>
  </si>
  <si>
    <t>E9PER6</t>
  </si>
  <si>
    <t>E9PEZ3</t>
  </si>
  <si>
    <t>E9PF10</t>
  </si>
  <si>
    <t>E9PF16</t>
  </si>
  <si>
    <t>E9PF18</t>
  </si>
  <si>
    <t>E9PF19</t>
  </si>
  <si>
    <t>E9PF55</t>
  </si>
  <si>
    <t>E9PFH7</t>
  </si>
  <si>
    <t>E9PFK9</t>
  </si>
  <si>
    <t>E9PFR3</t>
  </si>
  <si>
    <t>E9PG19</t>
  </si>
  <si>
    <t>E9PG22</t>
  </si>
  <si>
    <t>E9PG71</t>
  </si>
  <si>
    <t>E9PGB5</t>
  </si>
  <si>
    <t>E9PGC0</t>
  </si>
  <si>
    <t>E9PGF5</t>
  </si>
  <si>
    <t>E9PGN7</t>
  </si>
  <si>
    <t>E9PGT1</t>
  </si>
  <si>
    <t>E9PGT6</t>
  </si>
  <si>
    <t>E9PH29</t>
  </si>
  <si>
    <t>E9PHG5</t>
  </si>
  <si>
    <t>E9PHK9</t>
  </si>
  <si>
    <t>E9PHV5</t>
  </si>
  <si>
    <t>E9PHY8</t>
  </si>
  <si>
    <t>E9PIE3</t>
  </si>
  <si>
    <t>E9PIM6</t>
  </si>
  <si>
    <t>E9PJ55</t>
  </si>
  <si>
    <t>E9PJ64</t>
  </si>
  <si>
    <t>E9PJ81</t>
  </si>
  <si>
    <t>E9PJA2</t>
  </si>
  <si>
    <t>E9PJD7</t>
  </si>
  <si>
    <t>E9PJK1</t>
  </si>
  <si>
    <t>E9PJK5</t>
  </si>
  <si>
    <t>E9PK01</t>
  </si>
  <si>
    <t>E9PK67</t>
  </si>
  <si>
    <t>E9PKB9</t>
  </si>
  <si>
    <t>E9PKC5</t>
  </si>
  <si>
    <t>E9PKE3</t>
  </si>
  <si>
    <t>E9PKG1</t>
  </si>
  <si>
    <t>E9PKH2</t>
  </si>
  <si>
    <t>E9PKN9</t>
  </si>
  <si>
    <t>E9PKT4</t>
  </si>
  <si>
    <t>E9PKV8</t>
  </si>
  <si>
    <t>E9PKZ0</t>
  </si>
  <si>
    <t>E9PL01</t>
  </si>
  <si>
    <t>E9PL22</t>
  </si>
  <si>
    <t>E9PL33</t>
  </si>
  <si>
    <t>E9PLG8</t>
  </si>
  <si>
    <t>E9PLK3</t>
  </si>
  <si>
    <t>E9PLL6</t>
  </si>
  <si>
    <t>E9PM04</t>
  </si>
  <si>
    <t>E9PM46</t>
  </si>
  <si>
    <t>E9PM92</t>
  </si>
  <si>
    <t>E9PMB9</t>
  </si>
  <si>
    <t>E9PME6</t>
  </si>
  <si>
    <t>E9PMI6</t>
  </si>
  <si>
    <t>E9PMJ2</t>
  </si>
  <si>
    <t>E9PMP7</t>
  </si>
  <si>
    <t>E9PMQ6</t>
  </si>
  <si>
    <t>E9PN41</t>
  </si>
  <si>
    <t>E9PND3</t>
  </si>
  <si>
    <t>E9PNV3</t>
  </si>
  <si>
    <t>E9PNX1</t>
  </si>
  <si>
    <t>E9PPM8</t>
  </si>
  <si>
    <t>E9PPU0</t>
  </si>
  <si>
    <t>E9PPU6</t>
  </si>
  <si>
    <t>E9PPW7</t>
  </si>
  <si>
    <t>E9PQ91</t>
  </si>
  <si>
    <t>E9PQR4</t>
  </si>
  <si>
    <t>E9PQW1</t>
  </si>
  <si>
    <t>E9PQY2</t>
  </si>
  <si>
    <t>E9PR17</t>
  </si>
  <si>
    <t>E9PR30</t>
  </si>
  <si>
    <t>E9PR44</t>
  </si>
  <si>
    <t>E9PR54</t>
  </si>
  <si>
    <t>E9PR71</t>
  </si>
  <si>
    <t>E9PR76</t>
  </si>
  <si>
    <t>E9PRM7</t>
  </si>
  <si>
    <t>E9PRR8</t>
  </si>
  <si>
    <t>E9PRU1</t>
  </si>
  <si>
    <t>E9PS00</t>
  </si>
  <si>
    <t>E9PS17</t>
  </si>
  <si>
    <t>E9PS38</t>
  </si>
  <si>
    <t>E9PSC1</t>
  </si>
  <si>
    <t>E9PSI1</t>
  </si>
  <si>
    <t>F2Z2B9</t>
  </si>
  <si>
    <t>F2Z2I2</t>
  </si>
  <si>
    <t>F2Z2U8</t>
  </si>
  <si>
    <t>F2Z2X4</t>
  </si>
  <si>
    <t>F5GWF3</t>
  </si>
  <si>
    <t>F5GWT4</t>
  </si>
  <si>
    <t>F5GWU7</t>
  </si>
  <si>
    <t>F5GWX5</t>
  </si>
  <si>
    <t>F5GWY5</t>
  </si>
  <si>
    <t>F5GX68</t>
  </si>
  <si>
    <t>F5GXC8</t>
  </si>
  <si>
    <t>F5GXE4</t>
  </si>
  <si>
    <t>F5GXE7</t>
  </si>
  <si>
    <t>F5GXI4</t>
  </si>
  <si>
    <t>F5GXK8</t>
  </si>
  <si>
    <t>F5GXW6</t>
  </si>
  <si>
    <t>F5GXX5</t>
  </si>
  <si>
    <t>F5GXZ7</t>
  </si>
  <si>
    <t>F5GY20</t>
  </si>
  <si>
    <t>F5GY99</t>
  </si>
  <si>
    <t>F5GYJ5</t>
  </si>
  <si>
    <t>F5GYK2</t>
  </si>
  <si>
    <t>F5GYN4</t>
  </si>
  <si>
    <t>F5GYP2</t>
  </si>
  <si>
    <t>F5GYQ1</t>
  </si>
  <si>
    <t>F5GZ78</t>
  </si>
  <si>
    <t>F5GZ84</t>
  </si>
  <si>
    <t>F5GZK1</t>
  </si>
  <si>
    <t>F5GZP3</t>
  </si>
  <si>
    <t>F5GZS0</t>
  </si>
  <si>
    <t>F5GZS6</t>
  </si>
  <si>
    <t>F5GZX9</t>
  </si>
  <si>
    <t>F5GZY7</t>
  </si>
  <si>
    <t>F5H012</t>
  </si>
  <si>
    <t>F5H0L8</t>
  </si>
  <si>
    <t>F5H148</t>
  </si>
  <si>
    <t>F5H1C6</t>
  </si>
  <si>
    <t>F5H1F3</t>
  </si>
  <si>
    <t>F5H1G9</t>
  </si>
  <si>
    <t>F5H1H0</t>
  </si>
  <si>
    <t>F5H1M8</t>
  </si>
  <si>
    <t>F5H1X8</t>
  </si>
  <si>
    <t>F5H1Y4</t>
  </si>
  <si>
    <t>F5H1Z6</t>
  </si>
  <si>
    <t>F5H254</t>
  </si>
  <si>
    <t>F5H280</t>
  </si>
  <si>
    <t>F5H2H5</t>
  </si>
  <si>
    <t>F5H2J3</t>
  </si>
  <si>
    <t>F5H2Q7</t>
  </si>
  <si>
    <t>F5H2S7</t>
  </si>
  <si>
    <t>F5H2U2</t>
  </si>
  <si>
    <t>F5H2X3</t>
  </si>
  <si>
    <t>F5H357</t>
  </si>
  <si>
    <t>F5H365</t>
  </si>
  <si>
    <t>F5H3B6</t>
  </si>
  <si>
    <t>F5H3M3</t>
  </si>
  <si>
    <t>F5H3Q2</t>
  </si>
  <si>
    <t>F5H3T5</t>
  </si>
  <si>
    <t>F5H3V2</t>
  </si>
  <si>
    <t>F5H442</t>
  </si>
  <si>
    <t>F5H456</t>
  </si>
  <si>
    <t>F5H4G7</t>
  </si>
  <si>
    <t>F5H4H2</t>
  </si>
  <si>
    <t>F5H4K0</t>
  </si>
  <si>
    <t>F5H4Q5</t>
  </si>
  <si>
    <t>F5H4R0</t>
  </si>
  <si>
    <t>F5H523</t>
  </si>
  <si>
    <t>F5H533</t>
  </si>
  <si>
    <t>F5H569</t>
  </si>
  <si>
    <t>F5H577</t>
  </si>
  <si>
    <t>F5H5A3</t>
  </si>
  <si>
    <t>F5H5D3</t>
  </si>
  <si>
    <t>F5H5M7</t>
  </si>
  <si>
    <t>F5H5N0</t>
  </si>
  <si>
    <t>F5H5N1</t>
  </si>
  <si>
    <t>F5H5P2</t>
  </si>
  <si>
    <t>F5H5R8</t>
  </si>
  <si>
    <t>F5H604</t>
  </si>
  <si>
    <t>F5H620</t>
  </si>
  <si>
    <t>F5H698</t>
  </si>
  <si>
    <t>F5H6Z0</t>
  </si>
  <si>
    <t>F5H721</t>
  </si>
  <si>
    <t>F5H740</t>
  </si>
  <si>
    <t>F5H780</t>
  </si>
  <si>
    <t>F5H7C4</t>
  </si>
  <si>
    <t>F5H7N9</t>
  </si>
  <si>
    <t>F5H801</t>
  </si>
  <si>
    <t>F5H843</t>
  </si>
  <si>
    <t>F5H860</t>
  </si>
  <si>
    <t>F5H897</t>
  </si>
  <si>
    <t>F5H8D7</t>
  </si>
  <si>
    <t>F5H8H2</t>
  </si>
  <si>
    <t>F5H8J3</t>
  </si>
  <si>
    <t>F5H8J4</t>
  </si>
  <si>
    <t>F6PQP6</t>
  </si>
  <si>
    <t>F6S0T5</t>
  </si>
  <si>
    <t>F6T1Q0</t>
  </si>
  <si>
    <t>F6U1F2</t>
  </si>
  <si>
    <t>F6U1T9</t>
  </si>
  <si>
    <t>F6WCX7</t>
  </si>
  <si>
    <t>F6XY72</t>
  </si>
  <si>
    <t>F8VP89</t>
  </si>
  <si>
    <t>F8VP97</t>
  </si>
  <si>
    <t>F8VPD4</t>
  </si>
  <si>
    <t>F8VPF7</t>
  </si>
  <si>
    <t>F8VQD4</t>
  </si>
  <si>
    <t>F8VQZ7</t>
  </si>
  <si>
    <t>F8VRE8</t>
  </si>
  <si>
    <t>F8VS47</t>
  </si>
  <si>
    <t>F8VSL3</t>
  </si>
  <si>
    <t>F8VSZ4</t>
  </si>
  <si>
    <t>F8VU90</t>
  </si>
  <si>
    <t>F8VUJ3</t>
  </si>
  <si>
    <t>F8VV56</t>
  </si>
  <si>
    <t>F8VV59</t>
  </si>
  <si>
    <t>F8VV64</t>
  </si>
  <si>
    <t>F8VVA2</t>
  </si>
  <si>
    <t>F8VVA7</t>
  </si>
  <si>
    <t>F8VW41</t>
  </si>
  <si>
    <t>F8VW96</t>
  </si>
  <si>
    <t>F8VWA6</t>
  </si>
  <si>
    <t>F8VWE0</t>
  </si>
  <si>
    <t>F8VXC8</t>
  </si>
  <si>
    <t>F8VXG7</t>
  </si>
  <si>
    <t>F8VXI9</t>
  </si>
  <si>
    <t>F8VY35</t>
  </si>
  <si>
    <t>F8VYN9</t>
  </si>
  <si>
    <t>F8VYY5</t>
  </si>
  <si>
    <t>F8VYZ4</t>
  </si>
  <si>
    <t>F8VZJ2</t>
  </si>
  <si>
    <t>F8W038</t>
  </si>
  <si>
    <t>F8W1B3</t>
  </si>
  <si>
    <t>F8W1H4</t>
  </si>
  <si>
    <t>F8W1I9</t>
  </si>
  <si>
    <t>F8W1P7</t>
  </si>
  <si>
    <t>F8W1Q3</t>
  </si>
  <si>
    <t>F8W1T6</t>
  </si>
  <si>
    <t>F8W6I7</t>
  </si>
  <si>
    <t>F8W6N8</t>
  </si>
  <si>
    <t>F8W717</t>
  </si>
  <si>
    <t>F8W726</t>
  </si>
  <si>
    <t>F8W7D6</t>
  </si>
  <si>
    <t>F8W7E6</t>
  </si>
  <si>
    <t>F8W7Q4</t>
  </si>
  <si>
    <t>F8W8I6</t>
  </si>
  <si>
    <t>F8W8M3</t>
  </si>
  <si>
    <t>F8W8M9</t>
  </si>
  <si>
    <t>F8W930</t>
  </si>
  <si>
    <t>F8W9B4</t>
  </si>
  <si>
    <t>F8WA11</t>
  </si>
  <si>
    <t>F8WA39</t>
  </si>
  <si>
    <t>F8WAC3</t>
  </si>
  <si>
    <t>F8WAF5</t>
  </si>
  <si>
    <t>F8WAT8</t>
  </si>
  <si>
    <t>F8WBK5</t>
  </si>
  <si>
    <t>F8WCD0</t>
  </si>
  <si>
    <t>F8WCP6</t>
  </si>
  <si>
    <t>F8WD04</t>
  </si>
  <si>
    <t>F8WDA4</t>
  </si>
  <si>
    <t>F8WDZ1</t>
  </si>
  <si>
    <t>F8WE88</t>
  </si>
  <si>
    <t>F8WE91</t>
  </si>
  <si>
    <t>F8WEC0</t>
  </si>
  <si>
    <t>F8WF48</t>
  </si>
  <si>
    <t>F8WJN3</t>
  </si>
  <si>
    <t>G3V0I5</t>
  </si>
  <si>
    <t>G3V0I6</t>
  </si>
  <si>
    <t>G3V120</t>
  </si>
  <si>
    <t>G3V169</t>
  </si>
  <si>
    <t>G3V1A6</t>
  </si>
  <si>
    <t>G3V1B5</t>
  </si>
  <si>
    <t>G3V1K3</t>
  </si>
  <si>
    <t>G3V1L9</t>
  </si>
  <si>
    <t>G3V1N2</t>
  </si>
  <si>
    <t>G3V1P3</t>
  </si>
  <si>
    <t>G3V1R3</t>
  </si>
  <si>
    <t>G3V1R9</t>
  </si>
  <si>
    <t>G3V1T4</t>
  </si>
  <si>
    <t>G3V1U0</t>
  </si>
  <si>
    <t>G3V203</t>
  </si>
  <si>
    <t>G3V2F7</t>
  </si>
  <si>
    <t>G3V2U7</t>
  </si>
  <si>
    <t>G3V3D2</t>
  </si>
  <si>
    <t>G3V3G9</t>
  </si>
  <si>
    <t>G3V3R7</t>
  </si>
  <si>
    <t>G3V416</t>
  </si>
  <si>
    <t>G3V4K3</t>
  </si>
  <si>
    <t>G3V4P7</t>
  </si>
  <si>
    <t>G3V4U0</t>
  </si>
  <si>
    <t>G3V511</t>
  </si>
  <si>
    <t>G3V583</t>
  </si>
  <si>
    <t>G3V599</t>
  </si>
  <si>
    <t>G3V5I3</t>
  </si>
  <si>
    <t>G3V5N8</t>
  </si>
  <si>
    <t>G3V5T0</t>
  </si>
  <si>
    <t>G3V5T9</t>
  </si>
  <si>
    <t>G3V5W1</t>
  </si>
  <si>
    <t>G3V5Z7</t>
  </si>
  <si>
    <t>G3XA81</t>
  </si>
  <si>
    <t>G3XAA0</t>
  </si>
  <si>
    <t>G3XAH6</t>
  </si>
  <si>
    <t>G3XAI2</t>
  </si>
  <si>
    <t>G3XAN8</t>
  </si>
  <si>
    <t>G3XAP3</t>
  </si>
  <si>
    <t>G3XAP6</t>
  </si>
  <si>
    <t>G5E972</t>
  </si>
  <si>
    <t>G5E994</t>
  </si>
  <si>
    <t>G5E9A6</t>
  </si>
  <si>
    <t>G5E9C8</t>
  </si>
  <si>
    <t>G5E9P3</t>
  </si>
  <si>
    <t>G5EA30</t>
  </si>
  <si>
    <t>G5EA37</t>
  </si>
  <si>
    <t>G5EA42</t>
  </si>
  <si>
    <t>G5EA52</t>
  </si>
  <si>
    <t>G8JL86</t>
  </si>
  <si>
    <t>G8JLA2</t>
  </si>
  <si>
    <t>G8JLB3</t>
  </si>
  <si>
    <t>G8JLI5</t>
  </si>
  <si>
    <t>G8JLI6</t>
  </si>
  <si>
    <t>G8JLK4</t>
  </si>
  <si>
    <t>G8JLL2</t>
  </si>
  <si>
    <t>G8JLL7</t>
  </si>
  <si>
    <t>G8JLM0</t>
  </si>
  <si>
    <t>H0UI80</t>
  </si>
  <si>
    <t>H0Y2M6</t>
  </si>
  <si>
    <t>H0Y360</t>
  </si>
  <si>
    <t>H0Y4G9</t>
  </si>
  <si>
    <t>H0Y4Y2</t>
  </si>
  <si>
    <t>H0Y507</t>
  </si>
  <si>
    <t>H0Y547</t>
  </si>
  <si>
    <t>H0Y589</t>
  </si>
  <si>
    <t>H0Y599</t>
  </si>
  <si>
    <t>H0Y5A1</t>
  </si>
  <si>
    <t>H0Y5B0</t>
  </si>
  <si>
    <t>H0Y5C2</t>
  </si>
  <si>
    <t>H0Y5Y0</t>
  </si>
  <si>
    <t>H0Y614</t>
  </si>
  <si>
    <t>H0Y6A0</t>
  </si>
  <si>
    <t>H0Y6C3</t>
  </si>
  <si>
    <t>H0Y6J0</t>
  </si>
  <si>
    <t>H0Y6K5</t>
  </si>
  <si>
    <t>H0Y7A7</t>
  </si>
  <si>
    <t>H0Y7U4</t>
  </si>
  <si>
    <t>H0Y7X5</t>
  </si>
  <si>
    <t>H0Y860</t>
  </si>
  <si>
    <t>H0Y870</t>
  </si>
  <si>
    <t>H0Y8E6</t>
  </si>
  <si>
    <t>H0Y8H1</t>
  </si>
  <si>
    <t>H0YA20</t>
  </si>
  <si>
    <t>H0YA52</t>
  </si>
  <si>
    <t>H0YAE0</t>
  </si>
  <si>
    <t>H0YAJ5</t>
  </si>
  <si>
    <t>H0YAN8</t>
  </si>
  <si>
    <t>H0YAX0</t>
  </si>
  <si>
    <t>H0YB73</t>
  </si>
  <si>
    <t>H0YBC7</t>
  </si>
  <si>
    <t>H0YBI6</t>
  </si>
  <si>
    <t>H0YBP1</t>
  </si>
  <si>
    <t>H0YBZ4</t>
  </si>
  <si>
    <t>H0YC66</t>
  </si>
  <si>
    <t>H0YCK3</t>
  </si>
  <si>
    <t>H0YD93</t>
  </si>
  <si>
    <t>H0YDR5</t>
  </si>
  <si>
    <t>H0YDS0</t>
  </si>
  <si>
    <t>H0YDT0</t>
  </si>
  <si>
    <t>H0YDU5</t>
  </si>
  <si>
    <t>H0YDU8</t>
  </si>
  <si>
    <t>H0YEB6</t>
  </si>
  <si>
    <t>H0YEF3</t>
  </si>
  <si>
    <t>H0YEN5</t>
  </si>
  <si>
    <t>H0YEX6</t>
  </si>
  <si>
    <t>H0YG20</t>
  </si>
  <si>
    <t>H0YGA7</t>
  </si>
  <si>
    <t>H0YGR4</t>
  </si>
  <si>
    <t>H0YGX7</t>
  </si>
  <si>
    <t>H0YHQ9</t>
  </si>
  <si>
    <t>H0YI08</t>
  </si>
  <si>
    <t>H0YI09</t>
  </si>
  <si>
    <t>H0YIV9</t>
  </si>
  <si>
    <t>H0YJ34</t>
  </si>
  <si>
    <t>H0YJE0</t>
  </si>
  <si>
    <t>H0YK61</t>
  </si>
  <si>
    <t>H0YKW5</t>
  </si>
  <si>
    <t>H0YL33</t>
  </si>
  <si>
    <t>H0YLH9</t>
  </si>
  <si>
    <t>H0YMB3</t>
  </si>
  <si>
    <t>H0YMF4</t>
  </si>
  <si>
    <t>H0YMG7</t>
  </si>
  <si>
    <t>H0YN78</t>
  </si>
  <si>
    <t>H0YNG3</t>
  </si>
  <si>
    <t>H0YNH5</t>
  </si>
  <si>
    <t>H0YNH8</t>
  </si>
  <si>
    <t>H3BLU2</t>
  </si>
  <si>
    <t>H3BLV0</t>
  </si>
  <si>
    <t>H3BLZ2</t>
  </si>
  <si>
    <t>H3BLZ8</t>
  </si>
  <si>
    <t>H3BM14</t>
  </si>
  <si>
    <t>H3BM67</t>
  </si>
  <si>
    <t>H3BM91</t>
  </si>
  <si>
    <t>H3BMA2</t>
  </si>
  <si>
    <t>H3BMF4</t>
  </si>
  <si>
    <t>H3BML8</t>
  </si>
  <si>
    <t>H3BMQ0</t>
  </si>
  <si>
    <t>H3BND3</t>
  </si>
  <si>
    <t>H3BNE3</t>
  </si>
  <si>
    <t>H3BNU0</t>
  </si>
  <si>
    <t>H3BNU9</t>
  </si>
  <si>
    <t>H3BP13</t>
  </si>
  <si>
    <t>H3BP20</t>
  </si>
  <si>
    <t>H3BP28</t>
  </si>
  <si>
    <t>H3BP77</t>
  </si>
  <si>
    <t>H3BPC4</t>
  </si>
  <si>
    <t>H3BPE7</t>
  </si>
  <si>
    <t>H3BPG5</t>
  </si>
  <si>
    <t>H3BPK6</t>
  </si>
  <si>
    <t>H3BPS8</t>
  </si>
  <si>
    <t>H3BQ37</t>
  </si>
  <si>
    <t>H3BQ52</t>
  </si>
  <si>
    <t>H3BQA0</t>
  </si>
  <si>
    <t>H3BQK0</t>
  </si>
  <si>
    <t>H3BQX6</t>
  </si>
  <si>
    <t>H3BQZ7</t>
  </si>
  <si>
    <t>H3BR94</t>
  </si>
  <si>
    <t>H3BRD1</t>
  </si>
  <si>
    <t>H3BRF9</t>
  </si>
  <si>
    <t>H3BRG4</t>
  </si>
  <si>
    <t>H3BRL3</t>
  </si>
  <si>
    <t>H3BRN4</t>
  </si>
  <si>
    <t>H3BRU1</t>
  </si>
  <si>
    <t>H3BRV0</t>
  </si>
  <si>
    <t>H3BRY6</t>
  </si>
  <si>
    <t>H3BSM7</t>
  </si>
  <si>
    <t>H3BSS5</t>
  </si>
  <si>
    <t>H3BSW6</t>
  </si>
  <si>
    <t>H3BTF5</t>
  </si>
  <si>
    <t>H3BTH4</t>
  </si>
  <si>
    <t>H3BTL1</t>
  </si>
  <si>
    <t>H3BTN5</t>
  </si>
  <si>
    <t>H3BTX0</t>
  </si>
  <si>
    <t>H3BTX7</t>
  </si>
  <si>
    <t>H3BU49</t>
  </si>
  <si>
    <t>H3BUQ2</t>
  </si>
  <si>
    <t>H3BUR4</t>
  </si>
  <si>
    <t>H3BUU9</t>
  </si>
  <si>
    <t>H3BUW8</t>
  </si>
  <si>
    <t>H3BUY6</t>
  </si>
  <si>
    <t>H3BVF7</t>
  </si>
  <si>
    <t>H6UMI1</t>
  </si>
  <si>
    <t>H7BXD8</t>
  </si>
  <si>
    <t>H7BXH2</t>
  </si>
  <si>
    <t>H7BXI1</t>
  </si>
  <si>
    <t>H7BXI5</t>
  </si>
  <si>
    <t>H7BXP5</t>
  </si>
  <si>
    <t>H7BXW7</t>
  </si>
  <si>
    <t>H7BY58</t>
  </si>
  <si>
    <t>H7BY82</t>
  </si>
  <si>
    <t>H7BY84</t>
  </si>
  <si>
    <t>H7BYE5</t>
  </si>
  <si>
    <t>H7BYP4</t>
  </si>
  <si>
    <t>H7BYV1</t>
  </si>
  <si>
    <t>H7BZ94</t>
  </si>
  <si>
    <t>H7BZJ3</t>
  </si>
  <si>
    <t>H7BZQ3</t>
  </si>
  <si>
    <t>H7BZT4</t>
  </si>
  <si>
    <t>H7C0G7</t>
  </si>
  <si>
    <t>H7C0Z5</t>
  </si>
  <si>
    <t>H7C107</t>
  </si>
  <si>
    <t>H7C128</t>
  </si>
  <si>
    <t>H7C137</t>
  </si>
  <si>
    <t>H7C173</t>
  </si>
  <si>
    <t>H7C1E4</t>
  </si>
  <si>
    <t>H7C1G1</t>
  </si>
  <si>
    <t>H7C1Q1</t>
  </si>
  <si>
    <t>H7C1U3</t>
  </si>
  <si>
    <t>H7C1U8</t>
  </si>
  <si>
    <t>H7C224</t>
  </si>
  <si>
    <t>H7C347</t>
  </si>
  <si>
    <t>H7C3D8</t>
  </si>
  <si>
    <t>H7C3K0</t>
  </si>
  <si>
    <t>H7C3T2</t>
  </si>
  <si>
    <t>H7C3Z2</t>
  </si>
  <si>
    <t>H7C417</t>
  </si>
  <si>
    <t>H7C4B9</t>
  </si>
  <si>
    <t>H7C4T5</t>
  </si>
  <si>
    <t>H7C585</t>
  </si>
  <si>
    <t>H7C5E4</t>
  </si>
  <si>
    <t>H7C5G1</t>
  </si>
  <si>
    <t>H7C5H4</t>
  </si>
  <si>
    <t>H9KV44</t>
  </si>
  <si>
    <t>H9KV50</t>
  </si>
  <si>
    <t>H9KV65</t>
  </si>
  <si>
    <t>H9KVB8</t>
  </si>
  <si>
    <t>H9KVD4</t>
  </si>
  <si>
    <t>I3L097</t>
  </si>
  <si>
    <t>I3L0A4</t>
  </si>
  <si>
    <t>I3L0K1</t>
  </si>
  <si>
    <t>I3L0K7</t>
  </si>
  <si>
    <t>I3L0L6</t>
  </si>
  <si>
    <t>I3L0N3</t>
  </si>
  <si>
    <t>I3L172</t>
  </si>
  <si>
    <t>I3L1D5</t>
  </si>
  <si>
    <t>I3L1K6</t>
  </si>
  <si>
    <t>I3L1P8</t>
  </si>
  <si>
    <t>I3L1Q3</t>
  </si>
  <si>
    <t>I3L2B0</t>
  </si>
  <si>
    <t>I3L2N2</t>
  </si>
  <si>
    <t>I3L354</t>
  </si>
  <si>
    <t>I3L367</t>
  </si>
  <si>
    <t>I3L397</t>
  </si>
  <si>
    <t>I3L448</t>
  </si>
  <si>
    <t>I3L4Q0</t>
  </si>
  <si>
    <t>I3L4V0</t>
  </si>
  <si>
    <t>I3L4X3</t>
  </si>
  <si>
    <t>I3NI03</t>
  </si>
  <si>
    <t>I3NI23</t>
  </si>
  <si>
    <t>I3NI25</t>
  </si>
  <si>
    <t>I6L894</t>
  </si>
  <si>
    <t>I6L8B7</t>
  </si>
  <si>
    <t>J3KMW8</t>
  </si>
  <si>
    <t>J3KMY5</t>
  </si>
  <si>
    <t>J3KMZ9</t>
  </si>
  <si>
    <t>J3KN10</t>
  </si>
  <si>
    <t>J3KN16</t>
  </si>
  <si>
    <t>J3KN29</t>
  </si>
  <si>
    <t>J3KN36</t>
  </si>
  <si>
    <t>J3KN56</t>
  </si>
  <si>
    <t>J3KN59</t>
  </si>
  <si>
    <t>J3KN69</t>
  </si>
  <si>
    <t>J3KN75</t>
  </si>
  <si>
    <t>J3KND3</t>
  </si>
  <si>
    <t>J3KNF4</t>
  </si>
  <si>
    <t>J3KNF5</t>
  </si>
  <si>
    <t>J3KNF6</t>
  </si>
  <si>
    <t>J3KNF8</t>
  </si>
  <si>
    <t>J3KNI1</t>
  </si>
  <si>
    <t>J3KNL3</t>
  </si>
  <si>
    <t>J3KNL6</t>
  </si>
  <si>
    <t>J3KNL7</t>
  </si>
  <si>
    <t>J3KNM9</t>
  </si>
  <si>
    <t>J3KNN7</t>
  </si>
  <si>
    <t>J3KNQ4</t>
  </si>
  <si>
    <t>J3KNT4</t>
  </si>
  <si>
    <t>J3KNW4</t>
  </si>
  <si>
    <t>J3KNX9</t>
  </si>
  <si>
    <t>J3KP15</t>
  </si>
  <si>
    <t>J3KP19</t>
  </si>
  <si>
    <t>J3KP22</t>
  </si>
  <si>
    <t>J3KP26</t>
  </si>
  <si>
    <t>J3KP29</t>
  </si>
  <si>
    <t>J3KP75</t>
  </si>
  <si>
    <t>J3KPA2</t>
  </si>
  <si>
    <t>J3KPC8</t>
  </si>
  <si>
    <t>J3KPF9</t>
  </si>
  <si>
    <t>J3KPG9</t>
  </si>
  <si>
    <t>J3KPJ3</t>
  </si>
  <si>
    <t>J3KPK1</t>
  </si>
  <si>
    <t>J3KPP4</t>
  </si>
  <si>
    <t>J3KPT4</t>
  </si>
  <si>
    <t>J3KPV7</t>
  </si>
  <si>
    <t>J3KPW7</t>
  </si>
  <si>
    <t>J3KPX7</t>
  </si>
  <si>
    <t>J3KPX8</t>
  </si>
  <si>
    <t>J3KPY9</t>
  </si>
  <si>
    <t>J3KQ06</t>
  </si>
  <si>
    <t>J3KQ32</t>
  </si>
  <si>
    <t>J3KQ48</t>
  </si>
  <si>
    <t>J3KQ88</t>
  </si>
  <si>
    <t>J3KQ98</t>
  </si>
  <si>
    <t>J3KQB0</t>
  </si>
  <si>
    <t>J3KQC3</t>
  </si>
  <si>
    <t>J3KQD0</t>
  </si>
  <si>
    <t>J3KQE5</t>
  </si>
  <si>
    <t>J3KQG4</t>
  </si>
  <si>
    <t>J3KQJ1</t>
  </si>
  <si>
    <t>J3KQL8</t>
  </si>
  <si>
    <t>J3KQR7</t>
  </si>
  <si>
    <t>J3KQS6</t>
  </si>
  <si>
    <t>J3KQV0</t>
  </si>
  <si>
    <t>J3KR35</t>
  </si>
  <si>
    <t>J3KR58</t>
  </si>
  <si>
    <t>J3KR88</t>
  </si>
  <si>
    <t>J3KR97</t>
  </si>
  <si>
    <t>J3KRP6</t>
  </si>
  <si>
    <t>J3KS05</t>
  </si>
  <si>
    <t>J3KSL8</t>
  </si>
  <si>
    <t>J3KSS7</t>
  </si>
  <si>
    <t>J3KT10</t>
  </si>
  <si>
    <t>J3KTA4</t>
  </si>
  <si>
    <t>J3KTL2</t>
  </si>
  <si>
    <t>J3QK89</t>
  </si>
  <si>
    <t>J3QKR3</t>
  </si>
  <si>
    <t>J3QKS7</t>
  </si>
  <si>
    <t>J3QL56</t>
  </si>
  <si>
    <t>J3QL71</t>
  </si>
  <si>
    <t>J3QLE5</t>
  </si>
  <si>
    <t>J3QLU9</t>
  </si>
  <si>
    <t>J3QQJ0</t>
  </si>
  <si>
    <t>J3QQN7</t>
  </si>
  <si>
    <t>J3QQT2</t>
  </si>
  <si>
    <t>J3QR07</t>
  </si>
  <si>
    <t>J3QR29</t>
  </si>
  <si>
    <t>J3QR64</t>
  </si>
  <si>
    <t>J3QRC3</t>
  </si>
  <si>
    <t>J3QRD1</t>
  </si>
  <si>
    <t>J3QRL9</t>
  </si>
  <si>
    <t>J3QRS3</t>
  </si>
  <si>
    <t>J3QRS9</t>
  </si>
  <si>
    <t>J3QRU1</t>
  </si>
  <si>
    <t>J3QRU4</t>
  </si>
  <si>
    <t>J3QRX6</t>
  </si>
  <si>
    <t>J3QS47</t>
  </si>
  <si>
    <t>J3QS68</t>
  </si>
  <si>
    <t>J3QS74</t>
  </si>
  <si>
    <t>J3QSW1</t>
  </si>
  <si>
    <t>J3QSY4</t>
  </si>
  <si>
    <t>J3QT34</t>
  </si>
  <si>
    <t>J3QTA2</t>
  </si>
  <si>
    <t>J3QTA6</t>
  </si>
  <si>
    <t>J9JID7</t>
  </si>
  <si>
    <t>J9JIE6</t>
  </si>
  <si>
    <t>J9JIE9</t>
  </si>
  <si>
    <t>J9JIG6</t>
  </si>
  <si>
    <t>K4DI92</t>
  </si>
  <si>
    <t>K4DI93</t>
  </si>
  <si>
    <t>K7EID0</t>
  </si>
  <si>
    <t>K7EIE9</t>
  </si>
  <si>
    <t>K7EIG1</t>
  </si>
  <si>
    <t>K7EIP7</t>
  </si>
  <si>
    <t>K7EIU8</t>
  </si>
  <si>
    <t>K7EJ78</t>
  </si>
  <si>
    <t>K7EJH0</t>
  </si>
  <si>
    <t>K7EJL1</t>
  </si>
  <si>
    <t>K7EK00</t>
  </si>
  <si>
    <t>K7EK07</t>
  </si>
  <si>
    <t>K7EK35</t>
  </si>
  <si>
    <t>K7EKE6</t>
  </si>
  <si>
    <t>K7EKI8</t>
  </si>
  <si>
    <t>K7EKP8</t>
  </si>
  <si>
    <t>K7EKW3</t>
  </si>
  <si>
    <t>K7EL21</t>
  </si>
  <si>
    <t>K7EL68</t>
  </si>
  <si>
    <t>K7ELL7</t>
  </si>
  <si>
    <t>K7ELY2</t>
  </si>
  <si>
    <t>K7EM02</t>
  </si>
  <si>
    <t>K7EM09</t>
  </si>
  <si>
    <t>K7EM38</t>
  </si>
  <si>
    <t>K7EM88</t>
  </si>
  <si>
    <t>K7EMM8</t>
  </si>
  <si>
    <t>K7EN05</t>
  </si>
  <si>
    <t>K7EN08</t>
  </si>
  <si>
    <t>K7ENL9</t>
  </si>
  <si>
    <t>K7ENR1</t>
  </si>
  <si>
    <t>K7ENR6</t>
  </si>
  <si>
    <t>K7EP32</t>
  </si>
  <si>
    <t>K7EPJ5</t>
  </si>
  <si>
    <t>K7EQG1</t>
  </si>
  <si>
    <t>K7EQG4</t>
  </si>
  <si>
    <t>K7EQW8</t>
  </si>
  <si>
    <t>K7ER00</t>
  </si>
  <si>
    <t>K7ER08</t>
  </si>
  <si>
    <t>K7ERF1</t>
  </si>
  <si>
    <t>K7ES02</t>
  </si>
  <si>
    <t>K7ES54</t>
  </si>
  <si>
    <t>K7ESE6</t>
  </si>
  <si>
    <t>K7ESM5</t>
  </si>
  <si>
    <t>K7ESP4</t>
  </si>
  <si>
    <t>M0QWZ7</t>
  </si>
  <si>
    <t>M0QX35</t>
  </si>
  <si>
    <t>M0QXC8</t>
  </si>
  <si>
    <t>M0QXX4</t>
  </si>
  <si>
    <t>M0QXZ5</t>
  </si>
  <si>
    <t>M0QY17</t>
  </si>
  <si>
    <t>M0QY77</t>
  </si>
  <si>
    <t>M0QY97</t>
  </si>
  <si>
    <t>M0QYM7</t>
  </si>
  <si>
    <t>M0QYS1</t>
  </si>
  <si>
    <t>M0QZ22</t>
  </si>
  <si>
    <t>M0QZL8</t>
  </si>
  <si>
    <t>M0R042</t>
  </si>
  <si>
    <t>M0R0F0</t>
  </si>
  <si>
    <t>M0R0N4</t>
  </si>
  <si>
    <t>M0R150</t>
  </si>
  <si>
    <t>M0R154</t>
  </si>
  <si>
    <t>M0R2A0</t>
  </si>
  <si>
    <t>M0R2V8</t>
  </si>
  <si>
    <t>M0R300</t>
  </si>
  <si>
    <t>M0R333</t>
  </si>
  <si>
    <t>M0R366</t>
  </si>
  <si>
    <t>M0R3D4</t>
  </si>
  <si>
    <t>O00116</t>
  </si>
  <si>
    <t>O00124-3</t>
  </si>
  <si>
    <t>O00139-2</t>
  </si>
  <si>
    <t>O00148</t>
  </si>
  <si>
    <t>O00151</t>
  </si>
  <si>
    <t>O00154-4</t>
  </si>
  <si>
    <t>O00161</t>
  </si>
  <si>
    <t>O00170</t>
  </si>
  <si>
    <t>O00178</t>
  </si>
  <si>
    <t>O00186</t>
  </si>
  <si>
    <t>O00203</t>
  </si>
  <si>
    <t>O00213-2</t>
  </si>
  <si>
    <t>O00220</t>
  </si>
  <si>
    <t>O00221</t>
  </si>
  <si>
    <t>O00231</t>
  </si>
  <si>
    <t>O00232</t>
  </si>
  <si>
    <t>O00244</t>
  </si>
  <si>
    <t>O00264</t>
  </si>
  <si>
    <t>O00267-2</t>
  </si>
  <si>
    <t>O00273</t>
  </si>
  <si>
    <t>O00273-2</t>
  </si>
  <si>
    <t>O00291</t>
  </si>
  <si>
    <t>O00299</t>
  </si>
  <si>
    <t>O00300</t>
  </si>
  <si>
    <t>O00308-2</t>
  </si>
  <si>
    <t>O00330</t>
  </si>
  <si>
    <t>O00391</t>
  </si>
  <si>
    <t>O00399</t>
  </si>
  <si>
    <t>O00400</t>
  </si>
  <si>
    <t>O00401</t>
  </si>
  <si>
    <t>O00410</t>
  </si>
  <si>
    <t>O00418</t>
  </si>
  <si>
    <t>O00422</t>
  </si>
  <si>
    <t>O00425</t>
  </si>
  <si>
    <t>O00429</t>
  </si>
  <si>
    <t>O00429-4</t>
  </si>
  <si>
    <t>O00442</t>
  </si>
  <si>
    <t>O00459</t>
  </si>
  <si>
    <t>O00461</t>
  </si>
  <si>
    <t>O00462</t>
  </si>
  <si>
    <t>O00469-2</t>
  </si>
  <si>
    <t>O00471</t>
  </si>
  <si>
    <t>O00479</t>
  </si>
  <si>
    <t>O00483</t>
  </si>
  <si>
    <t>O00487</t>
  </si>
  <si>
    <t>O00488</t>
  </si>
  <si>
    <t>O00499-6</t>
  </si>
  <si>
    <t>O00505</t>
  </si>
  <si>
    <t>O00506</t>
  </si>
  <si>
    <t>O00534</t>
  </si>
  <si>
    <t>O00560</t>
  </si>
  <si>
    <t>O00571</t>
  </si>
  <si>
    <t>O00622</t>
  </si>
  <si>
    <t>O00625</t>
  </si>
  <si>
    <t>O00629</t>
  </si>
  <si>
    <t>O00635</t>
  </si>
  <si>
    <t>O00743</t>
  </si>
  <si>
    <t>O00748</t>
  </si>
  <si>
    <t>O00754-2</t>
  </si>
  <si>
    <t>O00764</t>
  </si>
  <si>
    <t>O14495</t>
  </si>
  <si>
    <t>O14497</t>
  </si>
  <si>
    <t>O14498</t>
  </si>
  <si>
    <t>O14519-2</t>
  </si>
  <si>
    <t>O14523</t>
  </si>
  <si>
    <t>O14524-2</t>
  </si>
  <si>
    <t>O14545</t>
  </si>
  <si>
    <t>O14548</t>
  </si>
  <si>
    <t>O14558</t>
  </si>
  <si>
    <t>O14561</t>
  </si>
  <si>
    <t>O14569</t>
  </si>
  <si>
    <t>O14579</t>
  </si>
  <si>
    <t>O14613</t>
  </si>
  <si>
    <t>O14617-4</t>
  </si>
  <si>
    <t>O14640-2</t>
  </si>
  <si>
    <t>O14656</t>
  </si>
  <si>
    <t>O14657</t>
  </si>
  <si>
    <t>O14662-2</t>
  </si>
  <si>
    <t>O14672</t>
  </si>
  <si>
    <t>O14732-2</t>
  </si>
  <si>
    <t>O14734</t>
  </si>
  <si>
    <t>O14737</t>
  </si>
  <si>
    <t>O14744</t>
  </si>
  <si>
    <t>O14745</t>
  </si>
  <si>
    <t>O14763-2</t>
  </si>
  <si>
    <t>O14772</t>
  </si>
  <si>
    <t>O14773</t>
  </si>
  <si>
    <t>O14776-2</t>
  </si>
  <si>
    <t>O14787-2</t>
  </si>
  <si>
    <t>O14807</t>
  </si>
  <si>
    <t>O14818</t>
  </si>
  <si>
    <t>O14828</t>
  </si>
  <si>
    <t>O14841</t>
  </si>
  <si>
    <t>O14867</t>
  </si>
  <si>
    <t>O14879</t>
  </si>
  <si>
    <t>O14907</t>
  </si>
  <si>
    <t>O14908</t>
  </si>
  <si>
    <t>O14910</t>
  </si>
  <si>
    <t>O14920</t>
  </si>
  <si>
    <t>O14925</t>
  </si>
  <si>
    <t>O14929</t>
  </si>
  <si>
    <t>O14933</t>
  </si>
  <si>
    <t>O14936-3</t>
  </si>
  <si>
    <t>O14949</t>
  </si>
  <si>
    <t>O14964</t>
  </si>
  <si>
    <t>O14966</t>
  </si>
  <si>
    <t>O14967</t>
  </si>
  <si>
    <t>O14974</t>
  </si>
  <si>
    <t>O14976</t>
  </si>
  <si>
    <t>O14979</t>
  </si>
  <si>
    <t>O14980</t>
  </si>
  <si>
    <t>O15027-5</t>
  </si>
  <si>
    <t>O15031</t>
  </si>
  <si>
    <t>O15040</t>
  </si>
  <si>
    <t>O15061</t>
  </si>
  <si>
    <t>O15063</t>
  </si>
  <si>
    <t>O15066</t>
  </si>
  <si>
    <t>O15067</t>
  </si>
  <si>
    <t>O15069</t>
  </si>
  <si>
    <t>O15085</t>
  </si>
  <si>
    <t>O15116</t>
  </si>
  <si>
    <t>O15118</t>
  </si>
  <si>
    <t>O15121</t>
  </si>
  <si>
    <t>O15126</t>
  </si>
  <si>
    <t>O15127</t>
  </si>
  <si>
    <t>O15143</t>
  </si>
  <si>
    <t>O15144</t>
  </si>
  <si>
    <t>O15145</t>
  </si>
  <si>
    <t>O15155</t>
  </si>
  <si>
    <t>O15160</t>
  </si>
  <si>
    <t>O15173</t>
  </si>
  <si>
    <t>O15211</t>
  </si>
  <si>
    <t>O15212</t>
  </si>
  <si>
    <t>O15228</t>
  </si>
  <si>
    <t>O15234</t>
  </si>
  <si>
    <t>O15240</t>
  </si>
  <si>
    <t>O15247</t>
  </si>
  <si>
    <t>O15254-2</t>
  </si>
  <si>
    <t>O15258</t>
  </si>
  <si>
    <t>O15269</t>
  </si>
  <si>
    <t>O15270</t>
  </si>
  <si>
    <t>O15294-3</t>
  </si>
  <si>
    <t>O15305</t>
  </si>
  <si>
    <t>O15327</t>
  </si>
  <si>
    <t>O15344</t>
  </si>
  <si>
    <t>O15347</t>
  </si>
  <si>
    <t>O15355</t>
  </si>
  <si>
    <t>O15357</t>
  </si>
  <si>
    <t>O15382</t>
  </si>
  <si>
    <t>O15394</t>
  </si>
  <si>
    <t>O15397</t>
  </si>
  <si>
    <t>O15400-2</t>
  </si>
  <si>
    <t>O15403</t>
  </si>
  <si>
    <t>O15427</t>
  </si>
  <si>
    <t>O15431</t>
  </si>
  <si>
    <t>O15439-2</t>
  </si>
  <si>
    <t>O15446</t>
  </si>
  <si>
    <t>O15460-2</t>
  </si>
  <si>
    <t>O15498</t>
  </si>
  <si>
    <t>O15511</t>
  </si>
  <si>
    <t>O15514</t>
  </si>
  <si>
    <t>O15522</t>
  </si>
  <si>
    <t>O15541</t>
  </si>
  <si>
    <t>O43143</t>
  </si>
  <si>
    <t>O43148</t>
  </si>
  <si>
    <t>O43150</t>
  </si>
  <si>
    <t>O43155</t>
  </si>
  <si>
    <t>O43157-2</t>
  </si>
  <si>
    <t>O43164-2</t>
  </si>
  <si>
    <t>O43175</t>
  </si>
  <si>
    <t>O43181</t>
  </si>
  <si>
    <t>O43182-4</t>
  </si>
  <si>
    <t>O43237</t>
  </si>
  <si>
    <t>O43242</t>
  </si>
  <si>
    <t>O43252</t>
  </si>
  <si>
    <t>O43264</t>
  </si>
  <si>
    <t>O43281</t>
  </si>
  <si>
    <t>O43290</t>
  </si>
  <si>
    <t>O43293</t>
  </si>
  <si>
    <t>O43294-2</t>
  </si>
  <si>
    <t>O43299</t>
  </si>
  <si>
    <t>O43301</t>
  </si>
  <si>
    <t>O43310</t>
  </si>
  <si>
    <t>O43314-2</t>
  </si>
  <si>
    <t>O43318-2</t>
  </si>
  <si>
    <t>O43325</t>
  </si>
  <si>
    <t>O43353</t>
  </si>
  <si>
    <t>O43395</t>
  </si>
  <si>
    <t>O43396</t>
  </si>
  <si>
    <t>O43399</t>
  </si>
  <si>
    <t>O43399-2</t>
  </si>
  <si>
    <t>O43402</t>
  </si>
  <si>
    <t>O43464-3</t>
  </si>
  <si>
    <t>O43488</t>
  </si>
  <si>
    <t>O43493-2</t>
  </si>
  <si>
    <t>O43504</t>
  </si>
  <si>
    <t>O43505</t>
  </si>
  <si>
    <t>O43516</t>
  </si>
  <si>
    <t>O43520</t>
  </si>
  <si>
    <t>O43524</t>
  </si>
  <si>
    <t>O43567</t>
  </si>
  <si>
    <t>O43583</t>
  </si>
  <si>
    <t>O43592</t>
  </si>
  <si>
    <t>O43598</t>
  </si>
  <si>
    <t>O43615</t>
  </si>
  <si>
    <t>O43617</t>
  </si>
  <si>
    <t>O43633</t>
  </si>
  <si>
    <t>O43639</t>
  </si>
  <si>
    <t>O43657</t>
  </si>
  <si>
    <t>O43665-2</t>
  </si>
  <si>
    <t>O43676</t>
  </si>
  <si>
    <t>O43678</t>
  </si>
  <si>
    <t>O43681</t>
  </si>
  <si>
    <t>O43684</t>
  </si>
  <si>
    <t>O43707</t>
  </si>
  <si>
    <t>O43709</t>
  </si>
  <si>
    <t>O43715</t>
  </si>
  <si>
    <t>O43719</t>
  </si>
  <si>
    <t>O43739-2</t>
  </si>
  <si>
    <t>O43752</t>
  </si>
  <si>
    <t>O43760</t>
  </si>
  <si>
    <t>O43765</t>
  </si>
  <si>
    <t>O43768-2</t>
  </si>
  <si>
    <t>O43772</t>
  </si>
  <si>
    <t>O43776</t>
  </si>
  <si>
    <t>O43805</t>
  </si>
  <si>
    <t>O43813</t>
  </si>
  <si>
    <t>O43818</t>
  </si>
  <si>
    <t>O43819</t>
  </si>
  <si>
    <t>O43820-4</t>
  </si>
  <si>
    <t>O43837</t>
  </si>
  <si>
    <t>O43852</t>
  </si>
  <si>
    <t>O43852-2</t>
  </si>
  <si>
    <t>O43854-2</t>
  </si>
  <si>
    <t>O43865</t>
  </si>
  <si>
    <t>O43896</t>
  </si>
  <si>
    <t>O43920</t>
  </si>
  <si>
    <t>O43924</t>
  </si>
  <si>
    <t>O60218</t>
  </si>
  <si>
    <t>O60220</t>
  </si>
  <si>
    <t>O60234</t>
  </si>
  <si>
    <t>O60239</t>
  </si>
  <si>
    <t>O60256</t>
  </si>
  <si>
    <t>O60271-4</t>
  </si>
  <si>
    <t>O60271-9</t>
  </si>
  <si>
    <t>O60279</t>
  </si>
  <si>
    <t>O60292</t>
  </si>
  <si>
    <t>O60294</t>
  </si>
  <si>
    <t>O60313-2</t>
  </si>
  <si>
    <t>O60331-4</t>
  </si>
  <si>
    <t>O60343-2</t>
  </si>
  <si>
    <t>O60344-4</t>
  </si>
  <si>
    <t>O60347</t>
  </si>
  <si>
    <t>O60353-2</t>
  </si>
  <si>
    <t>O60427</t>
  </si>
  <si>
    <t>O60443</t>
  </si>
  <si>
    <t>O60449-3</t>
  </si>
  <si>
    <t>O60476</t>
  </si>
  <si>
    <t>O60488-2</t>
  </si>
  <si>
    <t>O60493</t>
  </si>
  <si>
    <t>O60502</t>
  </si>
  <si>
    <t>O60503</t>
  </si>
  <si>
    <t>O60504-2</t>
  </si>
  <si>
    <t>O60506-4</t>
  </si>
  <si>
    <t>O60507</t>
  </si>
  <si>
    <t>O60513</t>
  </si>
  <si>
    <t>O60518</t>
  </si>
  <si>
    <t>O60547-2</t>
  </si>
  <si>
    <t>O60551</t>
  </si>
  <si>
    <t>O60568</t>
  </si>
  <si>
    <t>O60613</t>
  </si>
  <si>
    <t>O60637-3</t>
  </si>
  <si>
    <t>O60645-2</t>
  </si>
  <si>
    <t>O60664-2</t>
  </si>
  <si>
    <t>O60664-3</t>
  </si>
  <si>
    <t>O60671</t>
  </si>
  <si>
    <t>O60678</t>
  </si>
  <si>
    <t>O60701</t>
  </si>
  <si>
    <t>O60704</t>
  </si>
  <si>
    <t>O60711</t>
  </si>
  <si>
    <t>O60716-5</t>
  </si>
  <si>
    <t>O60725</t>
  </si>
  <si>
    <t>O60749</t>
  </si>
  <si>
    <t>O60763</t>
  </si>
  <si>
    <t>O60826</t>
  </si>
  <si>
    <t>O60828</t>
  </si>
  <si>
    <t>O60830</t>
  </si>
  <si>
    <t>O60831</t>
  </si>
  <si>
    <t>O60841</t>
  </si>
  <si>
    <t>O60869</t>
  </si>
  <si>
    <t>O60884</t>
  </si>
  <si>
    <t>O60885</t>
  </si>
  <si>
    <t>O60888-3</t>
  </si>
  <si>
    <t>O60906</t>
  </si>
  <si>
    <t>O60925</t>
  </si>
  <si>
    <t>O60927</t>
  </si>
  <si>
    <t>O60934</t>
  </si>
  <si>
    <t>O75027</t>
  </si>
  <si>
    <t>O75044</t>
  </si>
  <si>
    <t>O75063</t>
  </si>
  <si>
    <t>O75071</t>
  </si>
  <si>
    <t>O75083</t>
  </si>
  <si>
    <t>O75084</t>
  </si>
  <si>
    <t>O75095-2</t>
  </si>
  <si>
    <t>O75110</t>
  </si>
  <si>
    <t>O75113</t>
  </si>
  <si>
    <t>O75116</t>
  </si>
  <si>
    <t>O75131</t>
  </si>
  <si>
    <t>O75143-2</t>
  </si>
  <si>
    <t>O75146</t>
  </si>
  <si>
    <t>O75155</t>
  </si>
  <si>
    <t>O75157-2</t>
  </si>
  <si>
    <t>O75165</t>
  </si>
  <si>
    <t>O75170-4</t>
  </si>
  <si>
    <t>O75175-2</t>
  </si>
  <si>
    <t>O75179-2</t>
  </si>
  <si>
    <t>O75191</t>
  </si>
  <si>
    <t>O75208</t>
  </si>
  <si>
    <t>O75223</t>
  </si>
  <si>
    <t>O75298-2</t>
  </si>
  <si>
    <t>O75306-2</t>
  </si>
  <si>
    <t>O75312</t>
  </si>
  <si>
    <t>O75323</t>
  </si>
  <si>
    <t>O75324</t>
  </si>
  <si>
    <t>O75326</t>
  </si>
  <si>
    <t>O75347</t>
  </si>
  <si>
    <t>O75348</t>
  </si>
  <si>
    <t>O75351</t>
  </si>
  <si>
    <t>O75356</t>
  </si>
  <si>
    <t>O75368</t>
  </si>
  <si>
    <t>O75369-8</t>
  </si>
  <si>
    <t>O75376-2</t>
  </si>
  <si>
    <t>O75379</t>
  </si>
  <si>
    <t>O75380</t>
  </si>
  <si>
    <t>O75381-2</t>
  </si>
  <si>
    <t>O75391</t>
  </si>
  <si>
    <t>O75396</t>
  </si>
  <si>
    <t>O75400-2</t>
  </si>
  <si>
    <t>O75427</t>
  </si>
  <si>
    <t>O75436</t>
  </si>
  <si>
    <t>O75438</t>
  </si>
  <si>
    <t>O75439</t>
  </si>
  <si>
    <t>O75449</t>
  </si>
  <si>
    <t>O75475</t>
  </si>
  <si>
    <t>O75477</t>
  </si>
  <si>
    <t>O75489</t>
  </si>
  <si>
    <t>O75503</t>
  </si>
  <si>
    <t>O75506</t>
  </si>
  <si>
    <t>O75521-2</t>
  </si>
  <si>
    <t>O75531</t>
  </si>
  <si>
    <t>O75533</t>
  </si>
  <si>
    <t>O75534</t>
  </si>
  <si>
    <t>O75600</t>
  </si>
  <si>
    <t>O75607</t>
  </si>
  <si>
    <t>O75608-2</t>
  </si>
  <si>
    <t>O75635-2</t>
  </si>
  <si>
    <t>O75648</t>
  </si>
  <si>
    <t>O75663</t>
  </si>
  <si>
    <t>O75688</t>
  </si>
  <si>
    <t>O75689</t>
  </si>
  <si>
    <t>O75695</t>
  </si>
  <si>
    <t>O75718</t>
  </si>
  <si>
    <t>O75746</t>
  </si>
  <si>
    <t>O75781</t>
  </si>
  <si>
    <t>O75792</t>
  </si>
  <si>
    <t>O75794</t>
  </si>
  <si>
    <t>O75815-3</t>
  </si>
  <si>
    <t>O75818-2</t>
  </si>
  <si>
    <t>O75821</t>
  </si>
  <si>
    <t>O75822</t>
  </si>
  <si>
    <t>O75828</t>
  </si>
  <si>
    <t>O75832</t>
  </si>
  <si>
    <t>O75844</t>
  </si>
  <si>
    <t>O75874</t>
  </si>
  <si>
    <t>O75882</t>
  </si>
  <si>
    <t>O75884</t>
  </si>
  <si>
    <t>O75886</t>
  </si>
  <si>
    <t>O75891</t>
  </si>
  <si>
    <t>O75896</t>
  </si>
  <si>
    <t>O75911</t>
  </si>
  <si>
    <t>O75914-2</t>
  </si>
  <si>
    <t>O75915</t>
  </si>
  <si>
    <t>O75934</t>
  </si>
  <si>
    <t>O75935</t>
  </si>
  <si>
    <t>O75937</t>
  </si>
  <si>
    <t>O75940</t>
  </si>
  <si>
    <t>O75947</t>
  </si>
  <si>
    <t>O75955</t>
  </si>
  <si>
    <t>O75962-4</t>
  </si>
  <si>
    <t>O75964</t>
  </si>
  <si>
    <t>O75976</t>
  </si>
  <si>
    <t>O76003</t>
  </si>
  <si>
    <t>O76024</t>
  </si>
  <si>
    <t>O76031</t>
  </si>
  <si>
    <t>O76054</t>
  </si>
  <si>
    <t>O76061</t>
  </si>
  <si>
    <t>O76070</t>
  </si>
  <si>
    <t>O76071</t>
  </si>
  <si>
    <t>O76074</t>
  </si>
  <si>
    <t>O76075</t>
  </si>
  <si>
    <t>O76080</t>
  </si>
  <si>
    <t>O76094</t>
  </si>
  <si>
    <t>O76095-2</t>
  </si>
  <si>
    <t>O94760</t>
  </si>
  <si>
    <t>O94763</t>
  </si>
  <si>
    <t>O94766</t>
  </si>
  <si>
    <t>O94804</t>
  </si>
  <si>
    <t>O94819</t>
  </si>
  <si>
    <t>O94826</t>
  </si>
  <si>
    <t>O94829</t>
  </si>
  <si>
    <t>O94830</t>
  </si>
  <si>
    <t>O94832</t>
  </si>
  <si>
    <t>O94851-5</t>
  </si>
  <si>
    <t>O94854-2</t>
  </si>
  <si>
    <t>O94855</t>
  </si>
  <si>
    <t>O94856-9</t>
  </si>
  <si>
    <t>O94874</t>
  </si>
  <si>
    <t>O94876</t>
  </si>
  <si>
    <t>O94885</t>
  </si>
  <si>
    <t>O94888</t>
  </si>
  <si>
    <t>O94889</t>
  </si>
  <si>
    <t>O94903</t>
  </si>
  <si>
    <t>O94905</t>
  </si>
  <si>
    <t>O94919</t>
  </si>
  <si>
    <t>O94921</t>
  </si>
  <si>
    <t>O94966-7</t>
  </si>
  <si>
    <t>O94967-2</t>
  </si>
  <si>
    <t>O94973</t>
  </si>
  <si>
    <t>O94992</t>
  </si>
  <si>
    <t>O95050-2</t>
  </si>
  <si>
    <t>O95057</t>
  </si>
  <si>
    <t>O95084</t>
  </si>
  <si>
    <t>O95104-2</t>
  </si>
  <si>
    <t>O95136</t>
  </si>
  <si>
    <t>O95139</t>
  </si>
  <si>
    <t>O95140</t>
  </si>
  <si>
    <t>O95155-2</t>
  </si>
  <si>
    <t>O95159</t>
  </si>
  <si>
    <t>O95167</t>
  </si>
  <si>
    <t>O95183</t>
  </si>
  <si>
    <t>O95197-2</t>
  </si>
  <si>
    <t>O95202</t>
  </si>
  <si>
    <t>O95205</t>
  </si>
  <si>
    <t>O95210</t>
  </si>
  <si>
    <t>O95218-2</t>
  </si>
  <si>
    <t>O95219</t>
  </si>
  <si>
    <t>O95231</t>
  </si>
  <si>
    <t>O95273</t>
  </si>
  <si>
    <t>O95292</t>
  </si>
  <si>
    <t>O95295</t>
  </si>
  <si>
    <t>O95297-2</t>
  </si>
  <si>
    <t>O95298-2</t>
  </si>
  <si>
    <t>O95302</t>
  </si>
  <si>
    <t>O95336</t>
  </si>
  <si>
    <t>O95352</t>
  </si>
  <si>
    <t>O95361</t>
  </si>
  <si>
    <t>O95363</t>
  </si>
  <si>
    <t>O95372</t>
  </si>
  <si>
    <t>O95373</t>
  </si>
  <si>
    <t>O95376</t>
  </si>
  <si>
    <t>O95394-3</t>
  </si>
  <si>
    <t>O95396</t>
  </si>
  <si>
    <t>O95400</t>
  </si>
  <si>
    <t>O95405</t>
  </si>
  <si>
    <t>O95425</t>
  </si>
  <si>
    <t>O95429-2</t>
  </si>
  <si>
    <t>O95433</t>
  </si>
  <si>
    <t>O95453-2</t>
  </si>
  <si>
    <t>O95455</t>
  </si>
  <si>
    <t>O95456</t>
  </si>
  <si>
    <t>O95486</t>
  </si>
  <si>
    <t>O95487-2</t>
  </si>
  <si>
    <t>O95528</t>
  </si>
  <si>
    <t>O95544</t>
  </si>
  <si>
    <t>O95551</t>
  </si>
  <si>
    <t>O95571</t>
  </si>
  <si>
    <t>O95573</t>
  </si>
  <si>
    <t>O95628-3</t>
  </si>
  <si>
    <t>O95630</t>
  </si>
  <si>
    <t>O95671-2</t>
  </si>
  <si>
    <t>O95674</t>
  </si>
  <si>
    <t>O95684</t>
  </si>
  <si>
    <t>O95716</t>
  </si>
  <si>
    <t>O95721</t>
  </si>
  <si>
    <t>O95747</t>
  </si>
  <si>
    <t>O95749</t>
  </si>
  <si>
    <t>O95777</t>
  </si>
  <si>
    <t>O95782-2</t>
  </si>
  <si>
    <t>O95786</t>
  </si>
  <si>
    <t>O95801</t>
  </si>
  <si>
    <t>O95807</t>
  </si>
  <si>
    <t>O95810</t>
  </si>
  <si>
    <t>O95816</t>
  </si>
  <si>
    <t>O95817</t>
  </si>
  <si>
    <t>O95825</t>
  </si>
  <si>
    <t>O95831-3</t>
  </si>
  <si>
    <t>O95833</t>
  </si>
  <si>
    <t>O95834</t>
  </si>
  <si>
    <t>O95837</t>
  </si>
  <si>
    <t>O95848</t>
  </si>
  <si>
    <t>O95857</t>
  </si>
  <si>
    <t>O95864</t>
  </si>
  <si>
    <t>O95865</t>
  </si>
  <si>
    <t>O95873</t>
  </si>
  <si>
    <t>O95881</t>
  </si>
  <si>
    <t>O95905</t>
  </si>
  <si>
    <t>O95926</t>
  </si>
  <si>
    <t>O95965</t>
  </si>
  <si>
    <t>O95980</t>
  </si>
  <si>
    <t>O95989</t>
  </si>
  <si>
    <t>O95999</t>
  </si>
  <si>
    <t>O96000</t>
  </si>
  <si>
    <t>O96007</t>
  </si>
  <si>
    <t>O96008</t>
  </si>
  <si>
    <t>O96011</t>
  </si>
  <si>
    <t>O96013</t>
  </si>
  <si>
    <t>O96017</t>
  </si>
  <si>
    <t>O96019</t>
  </si>
  <si>
    <t>O96033</t>
  </si>
  <si>
    <t>P00167-2</t>
  </si>
  <si>
    <t>P00325</t>
  </si>
  <si>
    <t>P00338</t>
  </si>
  <si>
    <t>P00352</t>
  </si>
  <si>
    <t>P00367</t>
  </si>
  <si>
    <t>P00387-2</t>
  </si>
  <si>
    <t>P00390-2</t>
  </si>
  <si>
    <t>P00403</t>
  </si>
  <si>
    <t>P00441</t>
  </si>
  <si>
    <t>P00491</t>
  </si>
  <si>
    <t>P00492</t>
  </si>
  <si>
    <t>P00505</t>
  </si>
  <si>
    <t>P00519</t>
  </si>
  <si>
    <t>P00533</t>
  </si>
  <si>
    <t>P00558</t>
  </si>
  <si>
    <t>P00736</t>
  </si>
  <si>
    <t>P00738</t>
  </si>
  <si>
    <t>P00813</t>
  </si>
  <si>
    <t>P00966</t>
  </si>
  <si>
    <t>P01023</t>
  </si>
  <si>
    <t>P01024</t>
  </si>
  <si>
    <t>P01034</t>
  </si>
  <si>
    <t>P01111</t>
  </si>
  <si>
    <t>P01112</t>
  </si>
  <si>
    <t>P01116-2</t>
  </si>
  <si>
    <t>P01137</t>
  </si>
  <si>
    <t>P02008</t>
  </si>
  <si>
    <t>P02452</t>
  </si>
  <si>
    <t>P02458</t>
  </si>
  <si>
    <t>P02461</t>
  </si>
  <si>
    <t>P02462-2</t>
  </si>
  <si>
    <t>P02545</t>
  </si>
  <si>
    <t>P02649</t>
  </si>
  <si>
    <t>P02652</t>
  </si>
  <si>
    <t>P02751-17</t>
  </si>
  <si>
    <t>P02786</t>
  </si>
  <si>
    <t>P02787</t>
  </si>
  <si>
    <t>P02790</t>
  </si>
  <si>
    <t>P02792</t>
  </si>
  <si>
    <t>P02794</t>
  </si>
  <si>
    <t>P02795</t>
  </si>
  <si>
    <t>P03928</t>
  </si>
  <si>
    <t>P04040</t>
  </si>
  <si>
    <t>P04066</t>
  </si>
  <si>
    <t>P04075</t>
  </si>
  <si>
    <t>P04080</t>
  </si>
  <si>
    <t>P04083</t>
  </si>
  <si>
    <t>P04150-7</t>
  </si>
  <si>
    <t>P04181</t>
  </si>
  <si>
    <t>P04217</t>
  </si>
  <si>
    <t>P04350</t>
  </si>
  <si>
    <t>P04406</t>
  </si>
  <si>
    <t>P04406-2</t>
  </si>
  <si>
    <t>P04424</t>
  </si>
  <si>
    <t>P04632</t>
  </si>
  <si>
    <t>P04731</t>
  </si>
  <si>
    <t>P04792</t>
  </si>
  <si>
    <t>P04843</t>
  </si>
  <si>
    <t>P04844-2</t>
  </si>
  <si>
    <t>P04899</t>
  </si>
  <si>
    <t>P04921-2</t>
  </si>
  <si>
    <t>P05023-4</t>
  </si>
  <si>
    <t>P05067-7</t>
  </si>
  <si>
    <t>P05090</t>
  </si>
  <si>
    <t>P05091</t>
  </si>
  <si>
    <t>P05106</t>
  </si>
  <si>
    <t>P05114</t>
  </si>
  <si>
    <t>P05120</t>
  </si>
  <si>
    <t>P05121</t>
  </si>
  <si>
    <t>P05141</t>
  </si>
  <si>
    <t>P05161</t>
  </si>
  <si>
    <t>P05186</t>
  </si>
  <si>
    <t>P05198</t>
  </si>
  <si>
    <t>P05204</t>
  </si>
  <si>
    <t>P05230</t>
  </si>
  <si>
    <t>P05362</t>
  </si>
  <si>
    <t>P05386</t>
  </si>
  <si>
    <t>P05387</t>
  </si>
  <si>
    <t>P05388</t>
  </si>
  <si>
    <t>P05412</t>
  </si>
  <si>
    <t>P05413</t>
  </si>
  <si>
    <t>P05455</t>
  </si>
  <si>
    <t>P05556</t>
  </si>
  <si>
    <t>P05997</t>
  </si>
  <si>
    <t>P06132</t>
  </si>
  <si>
    <t>P06241</t>
  </si>
  <si>
    <t>P06280</t>
  </si>
  <si>
    <t>P06396-2</t>
  </si>
  <si>
    <t>P06396-3</t>
  </si>
  <si>
    <t>P06576</t>
  </si>
  <si>
    <t>P06733</t>
  </si>
  <si>
    <t>P06737-2</t>
  </si>
  <si>
    <t>P06744</t>
  </si>
  <si>
    <t>P06748</t>
  </si>
  <si>
    <t>P06756-2</t>
  </si>
  <si>
    <t>P06756-3</t>
  </si>
  <si>
    <t>P07093-2</t>
  </si>
  <si>
    <t>P07099</t>
  </si>
  <si>
    <t>P07108</t>
  </si>
  <si>
    <t>P07195</t>
  </si>
  <si>
    <t>P07203</t>
  </si>
  <si>
    <t>P07205</t>
  </si>
  <si>
    <t>P07237</t>
  </si>
  <si>
    <t>P07305-2</t>
  </si>
  <si>
    <t>P07339</t>
  </si>
  <si>
    <t>P07355</t>
  </si>
  <si>
    <t>P07384</t>
  </si>
  <si>
    <t>P07476</t>
  </si>
  <si>
    <t>P07585</t>
  </si>
  <si>
    <t>P07686</t>
  </si>
  <si>
    <t>P07711</t>
  </si>
  <si>
    <t>P07737</t>
  </si>
  <si>
    <t>P07738</t>
  </si>
  <si>
    <t>P07741</t>
  </si>
  <si>
    <t>P07814</t>
  </si>
  <si>
    <t>P07858</t>
  </si>
  <si>
    <t>P07900</t>
  </si>
  <si>
    <t>P07902</t>
  </si>
  <si>
    <t>P07919</t>
  </si>
  <si>
    <t>P07954-2</t>
  </si>
  <si>
    <t>P07992-2</t>
  </si>
  <si>
    <t>P07996</t>
  </si>
  <si>
    <t>P08047</t>
  </si>
  <si>
    <t>P08107</t>
  </si>
  <si>
    <t>P08123</t>
  </si>
  <si>
    <t>P08133</t>
  </si>
  <si>
    <t>P08237</t>
  </si>
  <si>
    <t>P08238</t>
  </si>
  <si>
    <t>P08240</t>
  </si>
  <si>
    <t>P08243-2</t>
  </si>
  <si>
    <t>P08253</t>
  </si>
  <si>
    <t>P08294</t>
  </si>
  <si>
    <t>P08397-2</t>
  </si>
  <si>
    <t>P08473</t>
  </si>
  <si>
    <t>P08476</t>
  </si>
  <si>
    <t>P08559-3</t>
  </si>
  <si>
    <t>P08572</t>
  </si>
  <si>
    <t>P08574</t>
  </si>
  <si>
    <t>P08582</t>
  </si>
  <si>
    <t>P08590</t>
  </si>
  <si>
    <t>P08603</t>
  </si>
  <si>
    <t>P08621-2</t>
  </si>
  <si>
    <t>P08648</t>
  </si>
  <si>
    <t>P08651-2</t>
  </si>
  <si>
    <t>P08670</t>
  </si>
  <si>
    <t>P08754</t>
  </si>
  <si>
    <t>P08758</t>
  </si>
  <si>
    <t>P08842</t>
  </si>
  <si>
    <t>P09012</t>
  </si>
  <si>
    <t>P09038-2</t>
  </si>
  <si>
    <t>P09104</t>
  </si>
  <si>
    <t>P09110</t>
  </si>
  <si>
    <t>P09132</t>
  </si>
  <si>
    <t>P09211</t>
  </si>
  <si>
    <t>P09234</t>
  </si>
  <si>
    <t>P09382</t>
  </si>
  <si>
    <t>P09417</t>
  </si>
  <si>
    <t>P09429</t>
  </si>
  <si>
    <t>P09486</t>
  </si>
  <si>
    <t>P09496-2</t>
  </si>
  <si>
    <t>P09497-2</t>
  </si>
  <si>
    <t>P09525</t>
  </si>
  <si>
    <t>P09543-2</t>
  </si>
  <si>
    <t>P09601</t>
  </si>
  <si>
    <t>P09619</t>
  </si>
  <si>
    <t>P09622</t>
  </si>
  <si>
    <t>P09661</t>
  </si>
  <si>
    <t>P09668</t>
  </si>
  <si>
    <t>P09669</t>
  </si>
  <si>
    <t>P09874</t>
  </si>
  <si>
    <t>P09917-2</t>
  </si>
  <si>
    <t>P09936</t>
  </si>
  <si>
    <t>P09960</t>
  </si>
  <si>
    <t>P09972</t>
  </si>
  <si>
    <t>P0C7P0</t>
  </si>
  <si>
    <t>P0C7T5</t>
  </si>
  <si>
    <t>P0CAP2</t>
  </si>
  <si>
    <t>P0CG12</t>
  </si>
  <si>
    <t>P0CG35</t>
  </si>
  <si>
    <t>P0CW22</t>
  </si>
  <si>
    <t>P0DJ93</t>
  </si>
  <si>
    <t>P10109</t>
  </si>
  <si>
    <t>P10114</t>
  </si>
  <si>
    <t>P10124</t>
  </si>
  <si>
    <t>P10155</t>
  </si>
  <si>
    <t>P10176</t>
  </si>
  <si>
    <t>P10253</t>
  </si>
  <si>
    <t>P10301</t>
  </si>
  <si>
    <t>P10398</t>
  </si>
  <si>
    <t>P10515</t>
  </si>
  <si>
    <t>P10586-2</t>
  </si>
  <si>
    <t>P10599</t>
  </si>
  <si>
    <t>P10606</t>
  </si>
  <si>
    <t>P10619</t>
  </si>
  <si>
    <t>P10620</t>
  </si>
  <si>
    <t>P10636</t>
  </si>
  <si>
    <t>P10644</t>
  </si>
  <si>
    <t>P10746</t>
  </si>
  <si>
    <t>P10768</t>
  </si>
  <si>
    <t>P10809</t>
  </si>
  <si>
    <t>P10909-4</t>
  </si>
  <si>
    <t>P10915</t>
  </si>
  <si>
    <t>P11021</t>
  </si>
  <si>
    <t>P11047</t>
  </si>
  <si>
    <t>P11117</t>
  </si>
  <si>
    <t>P11137-3</t>
  </si>
  <si>
    <t>P11137-4</t>
  </si>
  <si>
    <t>P11142</t>
  </si>
  <si>
    <t>P11161-2</t>
  </si>
  <si>
    <t>P11166</t>
  </si>
  <si>
    <t>P11169</t>
  </si>
  <si>
    <t>P11172</t>
  </si>
  <si>
    <t>P11177-2</t>
  </si>
  <si>
    <t>P11182</t>
  </si>
  <si>
    <t>P11216</t>
  </si>
  <si>
    <t>P11233</t>
  </si>
  <si>
    <t>P11234</t>
  </si>
  <si>
    <t>P11274-2</t>
  </si>
  <si>
    <t>P11279</t>
  </si>
  <si>
    <t>P11413</t>
  </si>
  <si>
    <t>P11441</t>
  </si>
  <si>
    <t>P11498</t>
  </si>
  <si>
    <t>P11586</t>
  </si>
  <si>
    <t>P11717</t>
  </si>
  <si>
    <t>P11766</t>
  </si>
  <si>
    <t>P11802</t>
  </si>
  <si>
    <t>P11831</t>
  </si>
  <si>
    <t>P11908</t>
  </si>
  <si>
    <t>P11940-2</t>
  </si>
  <si>
    <t>P12004</t>
  </si>
  <si>
    <t>P12081</t>
  </si>
  <si>
    <t>P12107-3</t>
  </si>
  <si>
    <t>P12109</t>
  </si>
  <si>
    <t>P12110</t>
  </si>
  <si>
    <t>P12110-2</t>
  </si>
  <si>
    <t>P12111</t>
  </si>
  <si>
    <t>P12236</t>
  </si>
  <si>
    <t>P12268</t>
  </si>
  <si>
    <t>P12270</t>
  </si>
  <si>
    <t>P12277</t>
  </si>
  <si>
    <t>P12429</t>
  </si>
  <si>
    <t>P12532</t>
  </si>
  <si>
    <t>P12814-2</t>
  </si>
  <si>
    <t>P12821-2</t>
  </si>
  <si>
    <t>P12931</t>
  </si>
  <si>
    <t>P12955</t>
  </si>
  <si>
    <t>P12956</t>
  </si>
  <si>
    <t>P13010</t>
  </si>
  <si>
    <t>P13073</t>
  </si>
  <si>
    <t>P13196</t>
  </si>
  <si>
    <t>P13284</t>
  </si>
  <si>
    <t>P13489</t>
  </si>
  <si>
    <t>P13611</t>
  </si>
  <si>
    <t>P13612</t>
  </si>
  <si>
    <t>P13639</t>
  </si>
  <si>
    <t>P13667</t>
  </si>
  <si>
    <t>P13674</t>
  </si>
  <si>
    <t>P13674-2</t>
  </si>
  <si>
    <t>P13693</t>
  </si>
  <si>
    <t>P13726</t>
  </si>
  <si>
    <t>P13746-2</t>
  </si>
  <si>
    <t>P13797</t>
  </si>
  <si>
    <t>P13804</t>
  </si>
  <si>
    <t>P13861</t>
  </si>
  <si>
    <t>P13929-2</t>
  </si>
  <si>
    <t>P13984</t>
  </si>
  <si>
    <t>P13995</t>
  </si>
  <si>
    <t>P14174</t>
  </si>
  <si>
    <t>P14209-3</t>
  </si>
  <si>
    <t>P14324-2</t>
  </si>
  <si>
    <t>P14384</t>
  </si>
  <si>
    <t>P14550</t>
  </si>
  <si>
    <t>P14618</t>
  </si>
  <si>
    <t>P14621</t>
  </si>
  <si>
    <t>P14625</t>
  </si>
  <si>
    <t>P14649</t>
  </si>
  <si>
    <t>P14735</t>
  </si>
  <si>
    <t>P14854</t>
  </si>
  <si>
    <t>P14866</t>
  </si>
  <si>
    <t>P14868</t>
  </si>
  <si>
    <t>P14923</t>
  </si>
  <si>
    <t>P14927</t>
  </si>
  <si>
    <t>P15056</t>
  </si>
  <si>
    <t>P15090</t>
  </si>
  <si>
    <t>P15104</t>
  </si>
  <si>
    <t>P15121</t>
  </si>
  <si>
    <t>P15144</t>
  </si>
  <si>
    <t>P15151-3</t>
  </si>
  <si>
    <t>P15170-2</t>
  </si>
  <si>
    <t>P15289</t>
  </si>
  <si>
    <t>P15289-2</t>
  </si>
  <si>
    <t>P15291-2</t>
  </si>
  <si>
    <t>P15311</t>
  </si>
  <si>
    <t>P15374</t>
  </si>
  <si>
    <t>P15407</t>
  </si>
  <si>
    <t>P15529-15</t>
  </si>
  <si>
    <t>P15529-7</t>
  </si>
  <si>
    <t>P15531</t>
  </si>
  <si>
    <t>P15586</t>
  </si>
  <si>
    <t>P15848</t>
  </si>
  <si>
    <t>P15882</t>
  </si>
  <si>
    <t>P15927</t>
  </si>
  <si>
    <t>P16035</t>
  </si>
  <si>
    <t>P16152</t>
  </si>
  <si>
    <t>P16219</t>
  </si>
  <si>
    <t>P16220-2</t>
  </si>
  <si>
    <t>P16234</t>
  </si>
  <si>
    <t>P16260</t>
  </si>
  <si>
    <t>P16278-3</t>
  </si>
  <si>
    <t>P16298</t>
  </si>
  <si>
    <t>P16333</t>
  </si>
  <si>
    <t>P16383</t>
  </si>
  <si>
    <t>P16401</t>
  </si>
  <si>
    <t>P16403</t>
  </si>
  <si>
    <t>P16435</t>
  </si>
  <si>
    <t>P16455</t>
  </si>
  <si>
    <t>P16591-3</t>
  </si>
  <si>
    <t>P16615</t>
  </si>
  <si>
    <t>P16870-2</t>
  </si>
  <si>
    <t>P16930</t>
  </si>
  <si>
    <t>P16949</t>
  </si>
  <si>
    <t>P16989</t>
  </si>
  <si>
    <t>P16989-2</t>
  </si>
  <si>
    <t>P17050</t>
  </si>
  <si>
    <t>P17066</t>
  </si>
  <si>
    <t>P17096-2</t>
  </si>
  <si>
    <t>P17152</t>
  </si>
  <si>
    <t>P17174</t>
  </si>
  <si>
    <t>P17252</t>
  </si>
  <si>
    <t>P17275</t>
  </si>
  <si>
    <t>P17301</t>
  </si>
  <si>
    <t>P17302</t>
  </si>
  <si>
    <t>P17342-2</t>
  </si>
  <si>
    <t>P17405-4</t>
  </si>
  <si>
    <t>P17535</t>
  </si>
  <si>
    <t>P17612</t>
  </si>
  <si>
    <t>P17655</t>
  </si>
  <si>
    <t>P17661</t>
  </si>
  <si>
    <t>P17812</t>
  </si>
  <si>
    <t>P17813-2</t>
  </si>
  <si>
    <t>P17858</t>
  </si>
  <si>
    <t>P17900</t>
  </si>
  <si>
    <t>P17931</t>
  </si>
  <si>
    <t>P17936</t>
  </si>
  <si>
    <t>P17987</t>
  </si>
  <si>
    <t>P18031</t>
  </si>
  <si>
    <t>P18065</t>
  </si>
  <si>
    <t>P18084</t>
  </si>
  <si>
    <t>P18085</t>
  </si>
  <si>
    <t>P18124</t>
  </si>
  <si>
    <t>P18146</t>
  </si>
  <si>
    <t>P18615</t>
  </si>
  <si>
    <t>P18669</t>
  </si>
  <si>
    <t>P18754</t>
  </si>
  <si>
    <t>P18827</t>
  </si>
  <si>
    <t>P18846</t>
  </si>
  <si>
    <t>P18859</t>
  </si>
  <si>
    <t>P19021</t>
  </si>
  <si>
    <t>P19338</t>
  </si>
  <si>
    <t>P19367</t>
  </si>
  <si>
    <t>P19388</t>
  </si>
  <si>
    <t>P19532</t>
  </si>
  <si>
    <t>P19623</t>
  </si>
  <si>
    <t>P19784</t>
  </si>
  <si>
    <t>P19838</t>
  </si>
  <si>
    <t>P19883-2</t>
  </si>
  <si>
    <t>P19971</t>
  </si>
  <si>
    <t>P20020-6</t>
  </si>
  <si>
    <t>P20042</t>
  </si>
  <si>
    <t>P20290</t>
  </si>
  <si>
    <t>P20290-2</t>
  </si>
  <si>
    <t>P20336</t>
  </si>
  <si>
    <t>P20337</t>
  </si>
  <si>
    <t>P20338</t>
  </si>
  <si>
    <t>P20340-2</t>
  </si>
  <si>
    <t>P20591</t>
  </si>
  <si>
    <t>P20618</t>
  </si>
  <si>
    <t>P20645</t>
  </si>
  <si>
    <t>P20674</t>
  </si>
  <si>
    <t>P20700</t>
  </si>
  <si>
    <t>P20719</t>
  </si>
  <si>
    <t>P20908</t>
  </si>
  <si>
    <t>P20933</t>
  </si>
  <si>
    <t>P20962</t>
  </si>
  <si>
    <t>P21266</t>
  </si>
  <si>
    <t>P21281</t>
  </si>
  <si>
    <t>P21283</t>
  </si>
  <si>
    <t>P21291</t>
  </si>
  <si>
    <t>P21333-2</t>
  </si>
  <si>
    <t>P21397</t>
  </si>
  <si>
    <t>P21399</t>
  </si>
  <si>
    <t>P21583-2</t>
  </si>
  <si>
    <t>P21589</t>
  </si>
  <si>
    <t>P21796</t>
  </si>
  <si>
    <t>P21912</t>
  </si>
  <si>
    <t>P21953</t>
  </si>
  <si>
    <t>P21964-2</t>
  </si>
  <si>
    <t>P21980</t>
  </si>
  <si>
    <t>P22033</t>
  </si>
  <si>
    <t>P22059</t>
  </si>
  <si>
    <t>P22102</t>
  </si>
  <si>
    <t>P22304</t>
  </si>
  <si>
    <t>P22307</t>
  </si>
  <si>
    <t>P22307-2</t>
  </si>
  <si>
    <t>P22314</t>
  </si>
  <si>
    <t>P22352</t>
  </si>
  <si>
    <t>P22413</t>
  </si>
  <si>
    <t>P22570</t>
  </si>
  <si>
    <t>P22626</t>
  </si>
  <si>
    <t>P22676</t>
  </si>
  <si>
    <t>P22681</t>
  </si>
  <si>
    <t>P22692</t>
  </si>
  <si>
    <t>P22694</t>
  </si>
  <si>
    <t>P22830</t>
  </si>
  <si>
    <t>P23141-3</t>
  </si>
  <si>
    <t>P23142-4</t>
  </si>
  <si>
    <t>P23193</t>
  </si>
  <si>
    <t>P23219-3</t>
  </si>
  <si>
    <t>P23246</t>
  </si>
  <si>
    <t>P23258</t>
  </si>
  <si>
    <t>P23284</t>
  </si>
  <si>
    <t>P23368</t>
  </si>
  <si>
    <t>P23381</t>
  </si>
  <si>
    <t>P23396</t>
  </si>
  <si>
    <t>P23434</t>
  </si>
  <si>
    <t>P23470-2</t>
  </si>
  <si>
    <t>P23497</t>
  </si>
  <si>
    <t>P23508-2</t>
  </si>
  <si>
    <t>P23511-2</t>
  </si>
  <si>
    <t>P23526</t>
  </si>
  <si>
    <t>P23528</t>
  </si>
  <si>
    <t>P23610</t>
  </si>
  <si>
    <t>P23634-5</t>
  </si>
  <si>
    <t>P23634-8</t>
  </si>
  <si>
    <t>P23743</t>
  </si>
  <si>
    <t>P23786</t>
  </si>
  <si>
    <t>P23919</t>
  </si>
  <si>
    <t>P23921</t>
  </si>
  <si>
    <t>P24043</t>
  </si>
  <si>
    <t>P24385</t>
  </si>
  <si>
    <t>P24522</t>
  </si>
  <si>
    <t>P24534</t>
  </si>
  <si>
    <t>P24592</t>
  </si>
  <si>
    <t>P24593</t>
  </si>
  <si>
    <t>P24666</t>
  </si>
  <si>
    <t>P24666-2</t>
  </si>
  <si>
    <t>P24752</t>
  </si>
  <si>
    <t>P24821-4</t>
  </si>
  <si>
    <t>P24844</t>
  </si>
  <si>
    <t>P24928</t>
  </si>
  <si>
    <t>P25098</t>
  </si>
  <si>
    <t>P25116</t>
  </si>
  <si>
    <t>P25398</t>
  </si>
  <si>
    <t>P25445-6</t>
  </si>
  <si>
    <t>P25685</t>
  </si>
  <si>
    <t>P25686</t>
  </si>
  <si>
    <t>P25705</t>
  </si>
  <si>
    <t>P25786</t>
  </si>
  <si>
    <t>P25787</t>
  </si>
  <si>
    <t>P25788-2</t>
  </si>
  <si>
    <t>P25789</t>
  </si>
  <si>
    <t>P26006</t>
  </si>
  <si>
    <t>P26022</t>
  </si>
  <si>
    <t>P26038</t>
  </si>
  <si>
    <t>P26196</t>
  </si>
  <si>
    <t>P26232-3</t>
  </si>
  <si>
    <t>P26373</t>
  </si>
  <si>
    <t>P26374</t>
  </si>
  <si>
    <t>P26440</t>
  </si>
  <si>
    <t>P26447</t>
  </si>
  <si>
    <t>P26572</t>
  </si>
  <si>
    <t>P26583</t>
  </si>
  <si>
    <t>P26599</t>
  </si>
  <si>
    <t>P26639</t>
  </si>
  <si>
    <t>P26641</t>
  </si>
  <si>
    <t>P26885</t>
  </si>
  <si>
    <t>P27144</t>
  </si>
  <si>
    <t>P27338</t>
  </si>
  <si>
    <t>P27348</t>
  </si>
  <si>
    <t>P27361</t>
  </si>
  <si>
    <t>P27449</t>
  </si>
  <si>
    <t>P27540-2</t>
  </si>
  <si>
    <t>P27635</t>
  </si>
  <si>
    <t>P27658</t>
  </si>
  <si>
    <t>P27694</t>
  </si>
  <si>
    <t>P27695</t>
  </si>
  <si>
    <t>P27701</t>
  </si>
  <si>
    <t>P27797</t>
  </si>
  <si>
    <t>P27816-5</t>
  </si>
  <si>
    <t>P27824</t>
  </si>
  <si>
    <t>P28062-2</t>
  </si>
  <si>
    <t>P28066</t>
  </si>
  <si>
    <t>P28070</t>
  </si>
  <si>
    <t>P28072</t>
  </si>
  <si>
    <t>P28074</t>
  </si>
  <si>
    <t>P28161</t>
  </si>
  <si>
    <t>P28300</t>
  </si>
  <si>
    <t>P28331</t>
  </si>
  <si>
    <t>P28482</t>
  </si>
  <si>
    <t>P28715</t>
  </si>
  <si>
    <t>P28799</t>
  </si>
  <si>
    <t>P28838-2</t>
  </si>
  <si>
    <t>P28845</t>
  </si>
  <si>
    <t>P29083</t>
  </si>
  <si>
    <t>P29218</t>
  </si>
  <si>
    <t>P29279</t>
  </si>
  <si>
    <t>P29317</t>
  </si>
  <si>
    <t>P29323-2</t>
  </si>
  <si>
    <t>P29353</t>
  </si>
  <si>
    <t>P29353-6</t>
  </si>
  <si>
    <t>P29373</t>
  </si>
  <si>
    <t>P29401</t>
  </si>
  <si>
    <t>P29536-2</t>
  </si>
  <si>
    <t>P29590</t>
  </si>
  <si>
    <t>P29966</t>
  </si>
  <si>
    <t>P29992</t>
  </si>
  <si>
    <t>P30038</t>
  </si>
  <si>
    <t>P30039</t>
  </si>
  <si>
    <t>P30040</t>
  </si>
  <si>
    <t>P30041</t>
  </si>
  <si>
    <t>P30042</t>
  </si>
  <si>
    <t>P30043</t>
  </si>
  <si>
    <t>P30044-2</t>
  </si>
  <si>
    <t>P30046</t>
  </si>
  <si>
    <t>P30049</t>
  </si>
  <si>
    <t>P30050</t>
  </si>
  <si>
    <t>P30084</t>
  </si>
  <si>
    <t>P30085</t>
  </si>
  <si>
    <t>P30086</t>
  </si>
  <si>
    <t>P30153</t>
  </si>
  <si>
    <t>P30154-4</t>
  </si>
  <si>
    <t>P30405</t>
  </si>
  <si>
    <t>P30411-2</t>
  </si>
  <si>
    <t>P30419</t>
  </si>
  <si>
    <t>P30504</t>
  </si>
  <si>
    <t>P30519</t>
  </si>
  <si>
    <t>P30520</t>
  </si>
  <si>
    <t>P30530-2</t>
  </si>
  <si>
    <t>P30533</t>
  </si>
  <si>
    <t>P30566</t>
  </si>
  <si>
    <t>P30613-2</t>
  </si>
  <si>
    <t>P30711</t>
  </si>
  <si>
    <t>P30740</t>
  </si>
  <si>
    <t>P30825</t>
  </si>
  <si>
    <t>P30837</t>
  </si>
  <si>
    <t>P31146</t>
  </si>
  <si>
    <t>P31150</t>
  </si>
  <si>
    <t>P31153</t>
  </si>
  <si>
    <t>P31321</t>
  </si>
  <si>
    <t>P31323</t>
  </si>
  <si>
    <t>P31327</t>
  </si>
  <si>
    <t>P31350</t>
  </si>
  <si>
    <t>P31689</t>
  </si>
  <si>
    <t>P31749</t>
  </si>
  <si>
    <t>P31751</t>
  </si>
  <si>
    <t>P31930</t>
  </si>
  <si>
    <t>P31937</t>
  </si>
  <si>
    <t>P31939</t>
  </si>
  <si>
    <t>P31942-2</t>
  </si>
  <si>
    <t>P31946</t>
  </si>
  <si>
    <t>P31947-2</t>
  </si>
  <si>
    <t>P31948</t>
  </si>
  <si>
    <t>P31949</t>
  </si>
  <si>
    <t>P32119</t>
  </si>
  <si>
    <t>P32189-1</t>
  </si>
  <si>
    <t>P32320</t>
  </si>
  <si>
    <t>P32321-2</t>
  </si>
  <si>
    <t>P32322</t>
  </si>
  <si>
    <t>P32418-2</t>
  </si>
  <si>
    <t>P32455</t>
  </si>
  <si>
    <t>P32456</t>
  </si>
  <si>
    <t>P32856-3</t>
  </si>
  <si>
    <t>P32929</t>
  </si>
  <si>
    <t>P32969</t>
  </si>
  <si>
    <t>P33121</t>
  </si>
  <si>
    <t>P33176</t>
  </si>
  <si>
    <t>P33240-2</t>
  </si>
  <si>
    <t>P33241-2</t>
  </si>
  <si>
    <t>P33316</t>
  </si>
  <si>
    <t>P33527</t>
  </si>
  <si>
    <t>P33764</t>
  </si>
  <si>
    <t>P33908</t>
  </si>
  <si>
    <t>P34059</t>
  </si>
  <si>
    <t>P34896-2</t>
  </si>
  <si>
    <t>P34897-3</t>
  </si>
  <si>
    <t>P34931</t>
  </si>
  <si>
    <t>P34932</t>
  </si>
  <si>
    <t>P34949</t>
  </si>
  <si>
    <t>P35052</t>
  </si>
  <si>
    <t>P35221</t>
  </si>
  <si>
    <t>P35232</t>
  </si>
  <si>
    <t>P35237</t>
  </si>
  <si>
    <t>P35240-5</t>
  </si>
  <si>
    <t>P35241</t>
  </si>
  <si>
    <t>P35244</t>
  </si>
  <si>
    <t>P35250</t>
  </si>
  <si>
    <t>P35268</t>
  </si>
  <si>
    <t>P35269</t>
  </si>
  <si>
    <t>P35270</t>
  </si>
  <si>
    <t>P35398-2</t>
  </si>
  <si>
    <t>P35442</t>
  </si>
  <si>
    <t>P35520</t>
  </si>
  <si>
    <t>P35555</t>
  </si>
  <si>
    <t>P35556</t>
  </si>
  <si>
    <t>P35568</t>
  </si>
  <si>
    <t>P35579</t>
  </si>
  <si>
    <t>P35580</t>
  </si>
  <si>
    <t>P35606</t>
  </si>
  <si>
    <t>P35611</t>
  </si>
  <si>
    <t>P35613-2</t>
  </si>
  <si>
    <t>P35625</t>
  </si>
  <si>
    <t>P35658-2</t>
  </si>
  <si>
    <t>P35754</t>
  </si>
  <si>
    <t>P35790-2</t>
  </si>
  <si>
    <t>P35813</t>
  </si>
  <si>
    <t>P35998</t>
  </si>
  <si>
    <t>P36021</t>
  </si>
  <si>
    <t>P36269-2</t>
  </si>
  <si>
    <t>P36404</t>
  </si>
  <si>
    <t>P36405</t>
  </si>
  <si>
    <t>P36406-3</t>
  </si>
  <si>
    <t>P36507</t>
  </si>
  <si>
    <t>P36543</t>
  </si>
  <si>
    <t>P36551</t>
  </si>
  <si>
    <t>P36578</t>
  </si>
  <si>
    <t>P36639-4</t>
  </si>
  <si>
    <t>P36871</t>
  </si>
  <si>
    <t>P36873</t>
  </si>
  <si>
    <t>P36915</t>
  </si>
  <si>
    <t>P36954</t>
  </si>
  <si>
    <t>P36955</t>
  </si>
  <si>
    <t>P36957</t>
  </si>
  <si>
    <t>P36959</t>
  </si>
  <si>
    <t>P36969-2</t>
  </si>
  <si>
    <t>P37059</t>
  </si>
  <si>
    <t>P37108</t>
  </si>
  <si>
    <t>P37173</t>
  </si>
  <si>
    <t>P37198</t>
  </si>
  <si>
    <t>P37235</t>
  </si>
  <si>
    <t>P37268</t>
  </si>
  <si>
    <t>P37802</t>
  </si>
  <si>
    <t>P37837</t>
  </si>
  <si>
    <t>P38117</t>
  </si>
  <si>
    <t>P38159</t>
  </si>
  <si>
    <t>P38405-3</t>
  </si>
  <si>
    <t>P38435</t>
  </si>
  <si>
    <t>P38571-2</t>
  </si>
  <si>
    <t>P38606</t>
  </si>
  <si>
    <t>P38646</t>
  </si>
  <si>
    <t>P38919</t>
  </si>
  <si>
    <t>P39019</t>
  </si>
  <si>
    <t>P39023</t>
  </si>
  <si>
    <t>P39059</t>
  </si>
  <si>
    <t>P39656</t>
  </si>
  <si>
    <t>P39687</t>
  </si>
  <si>
    <t>P39748</t>
  </si>
  <si>
    <t>P40121</t>
  </si>
  <si>
    <t>P40123</t>
  </si>
  <si>
    <t>P40189</t>
  </si>
  <si>
    <t>P40222</t>
  </si>
  <si>
    <t>P40227</t>
  </si>
  <si>
    <t>P40261</t>
  </si>
  <si>
    <t>P40306</t>
  </si>
  <si>
    <t>P40763</t>
  </si>
  <si>
    <t>P40818</t>
  </si>
  <si>
    <t>P40925</t>
  </si>
  <si>
    <t>P40926</t>
  </si>
  <si>
    <t>P40939</t>
  </si>
  <si>
    <t>P41091</t>
  </si>
  <si>
    <t>P41134-2</t>
  </si>
  <si>
    <t>P41159</t>
  </si>
  <si>
    <t>P41208</t>
  </si>
  <si>
    <t>P41214</t>
  </si>
  <si>
    <t>P41221-2</t>
  </si>
  <si>
    <t>P41223</t>
  </si>
  <si>
    <t>P41226</t>
  </si>
  <si>
    <t>P41227-2</t>
  </si>
  <si>
    <t>P41240</t>
  </si>
  <si>
    <t>P41247</t>
  </si>
  <si>
    <t>P41250</t>
  </si>
  <si>
    <t>P41252</t>
  </si>
  <si>
    <t>P41567</t>
  </si>
  <si>
    <t>P41743</t>
  </si>
  <si>
    <t>P42025</t>
  </si>
  <si>
    <t>P42126-2</t>
  </si>
  <si>
    <t>P42224</t>
  </si>
  <si>
    <t>P42226</t>
  </si>
  <si>
    <t>P42285</t>
  </si>
  <si>
    <t>P42330</t>
  </si>
  <si>
    <t>P42331-6</t>
  </si>
  <si>
    <t>P42336</t>
  </si>
  <si>
    <t>P42345</t>
  </si>
  <si>
    <t>P42566</t>
  </si>
  <si>
    <t>P42574</t>
  </si>
  <si>
    <t>P42575</t>
  </si>
  <si>
    <t>P42677</t>
  </si>
  <si>
    <t>P42704</t>
  </si>
  <si>
    <t>P42765</t>
  </si>
  <si>
    <t>P42766</t>
  </si>
  <si>
    <t>P42771</t>
  </si>
  <si>
    <t>P42772</t>
  </si>
  <si>
    <t>P42773</t>
  </si>
  <si>
    <t>P42785</t>
  </si>
  <si>
    <t>P42892-3</t>
  </si>
  <si>
    <t>P43005</t>
  </si>
  <si>
    <t>P43007</t>
  </si>
  <si>
    <t>P43034</t>
  </si>
  <si>
    <t>P43121</t>
  </si>
  <si>
    <t>P43155-2</t>
  </si>
  <si>
    <t>P43234</t>
  </si>
  <si>
    <t>P43235</t>
  </si>
  <si>
    <t>P43304</t>
  </si>
  <si>
    <t>P43304-2</t>
  </si>
  <si>
    <t>P43307</t>
  </si>
  <si>
    <t>P43378</t>
  </si>
  <si>
    <t>P43487</t>
  </si>
  <si>
    <t>P43490</t>
  </si>
  <si>
    <t>P43686</t>
  </si>
  <si>
    <t>P43897</t>
  </si>
  <si>
    <t>P45381</t>
  </si>
  <si>
    <t>P45877</t>
  </si>
  <si>
    <t>P45880</t>
  </si>
  <si>
    <t>P45954</t>
  </si>
  <si>
    <t>P45973</t>
  </si>
  <si>
    <t>P45974-2</t>
  </si>
  <si>
    <t>P45983-3</t>
  </si>
  <si>
    <t>P45984-2</t>
  </si>
  <si>
    <t>P45985</t>
  </si>
  <si>
    <t>P46060</t>
  </si>
  <si>
    <t>P46063</t>
  </si>
  <si>
    <t>P46087-2</t>
  </si>
  <si>
    <t>P46108</t>
  </si>
  <si>
    <t>P46108-2</t>
  </si>
  <si>
    <t>P46109</t>
  </si>
  <si>
    <t>P46199</t>
  </si>
  <si>
    <t>P46439</t>
  </si>
  <si>
    <t>P46527</t>
  </si>
  <si>
    <t>P46734</t>
  </si>
  <si>
    <t>P46734-2</t>
  </si>
  <si>
    <t>P46736-2</t>
  </si>
  <si>
    <t>P46777</t>
  </si>
  <si>
    <t>P46778</t>
  </si>
  <si>
    <t>P46781</t>
  </si>
  <si>
    <t>P46783</t>
  </si>
  <si>
    <t>P46821</t>
  </si>
  <si>
    <t>P46926</t>
  </si>
  <si>
    <t>P46934-4</t>
  </si>
  <si>
    <t>P46939</t>
  </si>
  <si>
    <t>P46940</t>
  </si>
  <si>
    <t>P46976-2</t>
  </si>
  <si>
    <t>P46977</t>
  </si>
  <si>
    <t>P47224</t>
  </si>
  <si>
    <t>P47712</t>
  </si>
  <si>
    <t>P47755</t>
  </si>
  <si>
    <t>P47756</t>
  </si>
  <si>
    <t>P47756-2</t>
  </si>
  <si>
    <t>P47813</t>
  </si>
  <si>
    <t>P47914</t>
  </si>
  <si>
    <t>P47974</t>
  </si>
  <si>
    <t>P47985</t>
  </si>
  <si>
    <t>P48029</t>
  </si>
  <si>
    <t>P48047</t>
  </si>
  <si>
    <t>P48059-3</t>
  </si>
  <si>
    <t>P48060</t>
  </si>
  <si>
    <t>P48147</t>
  </si>
  <si>
    <t>P48163</t>
  </si>
  <si>
    <t>P48200</t>
  </si>
  <si>
    <t>P48357-2</t>
  </si>
  <si>
    <t>P48436</t>
  </si>
  <si>
    <t>P48444</t>
  </si>
  <si>
    <t>P48449</t>
  </si>
  <si>
    <t>P48454-2</t>
  </si>
  <si>
    <t>P48506</t>
  </si>
  <si>
    <t>P48507</t>
  </si>
  <si>
    <t>P48509</t>
  </si>
  <si>
    <t>P48634</t>
  </si>
  <si>
    <t>P48637</t>
  </si>
  <si>
    <t>P48643</t>
  </si>
  <si>
    <t>P48681</t>
  </si>
  <si>
    <t>P48723</t>
  </si>
  <si>
    <t>P48735</t>
  </si>
  <si>
    <t>P48739</t>
  </si>
  <si>
    <t>P48740-4</t>
  </si>
  <si>
    <t>P48960-2</t>
  </si>
  <si>
    <t>P49006</t>
  </si>
  <si>
    <t>P49069</t>
  </si>
  <si>
    <t>P49137</t>
  </si>
  <si>
    <t>P49189</t>
  </si>
  <si>
    <t>P49207</t>
  </si>
  <si>
    <t>P49247</t>
  </si>
  <si>
    <t>P49257</t>
  </si>
  <si>
    <t>P49321</t>
  </si>
  <si>
    <t>P49327</t>
  </si>
  <si>
    <t>P49354</t>
  </si>
  <si>
    <t>P49356</t>
  </si>
  <si>
    <t>P49366</t>
  </si>
  <si>
    <t>P49368</t>
  </si>
  <si>
    <t>P49407-2</t>
  </si>
  <si>
    <t>P49411</t>
  </si>
  <si>
    <t>P49419-2</t>
  </si>
  <si>
    <t>P49427</t>
  </si>
  <si>
    <t>P49441</t>
  </si>
  <si>
    <t>P49458</t>
  </si>
  <si>
    <t>P49459</t>
  </si>
  <si>
    <t>P49585</t>
  </si>
  <si>
    <t>P49588</t>
  </si>
  <si>
    <t>P49589-3</t>
  </si>
  <si>
    <t>P49591</t>
  </si>
  <si>
    <t>P49662</t>
  </si>
  <si>
    <t>P49721</t>
  </si>
  <si>
    <t>P49748-2</t>
  </si>
  <si>
    <t>P49750-4</t>
  </si>
  <si>
    <t>P49753</t>
  </si>
  <si>
    <t>P49755</t>
  </si>
  <si>
    <t>P49756</t>
  </si>
  <si>
    <t>P49757-4</t>
  </si>
  <si>
    <t>P49770</t>
  </si>
  <si>
    <t>P49773</t>
  </si>
  <si>
    <t>P49790</t>
  </si>
  <si>
    <t>P49792</t>
  </si>
  <si>
    <t>P49795</t>
  </si>
  <si>
    <t>P49796-1</t>
  </si>
  <si>
    <t>P49840</t>
  </si>
  <si>
    <t>P49841</t>
  </si>
  <si>
    <t>P49902</t>
  </si>
  <si>
    <t>P49903</t>
  </si>
  <si>
    <t>P49914</t>
  </si>
  <si>
    <t>P49915</t>
  </si>
  <si>
    <t>P49959</t>
  </si>
  <si>
    <t>P50135</t>
  </si>
  <si>
    <t>P50148</t>
  </si>
  <si>
    <t>P50151</t>
  </si>
  <si>
    <t>P50213</t>
  </si>
  <si>
    <t>P50224</t>
  </si>
  <si>
    <t>P50225</t>
  </si>
  <si>
    <t>P50238</t>
  </si>
  <si>
    <t>P50281</t>
  </si>
  <si>
    <t>P50336</t>
  </si>
  <si>
    <t>P50402</t>
  </si>
  <si>
    <t>P50416</t>
  </si>
  <si>
    <t>P50452</t>
  </si>
  <si>
    <t>P50453</t>
  </si>
  <si>
    <t>P50454</t>
  </si>
  <si>
    <t>P50479</t>
  </si>
  <si>
    <t>P50502</t>
  </si>
  <si>
    <t>P50552</t>
  </si>
  <si>
    <t>P50570-2</t>
  </si>
  <si>
    <t>P50579</t>
  </si>
  <si>
    <t>P50583</t>
  </si>
  <si>
    <t>P50747</t>
  </si>
  <si>
    <t>P50749</t>
  </si>
  <si>
    <t>P50895</t>
  </si>
  <si>
    <t>P50897</t>
  </si>
  <si>
    <t>P50914</t>
  </si>
  <si>
    <t>P50990</t>
  </si>
  <si>
    <t>P50991</t>
  </si>
  <si>
    <t>P51116</t>
  </si>
  <si>
    <t>P51148</t>
  </si>
  <si>
    <t>P51149</t>
  </si>
  <si>
    <t>P51151</t>
  </si>
  <si>
    <t>P51153</t>
  </si>
  <si>
    <t>P51157</t>
  </si>
  <si>
    <t>P51159-2</t>
  </si>
  <si>
    <t>P51178</t>
  </si>
  <si>
    <t>P51397</t>
  </si>
  <si>
    <t>P51398-2</t>
  </si>
  <si>
    <t>P51452</t>
  </si>
  <si>
    <t>P51531-2</t>
  </si>
  <si>
    <t>P51553</t>
  </si>
  <si>
    <t>P51570</t>
  </si>
  <si>
    <t>P51571</t>
  </si>
  <si>
    <t>P51572</t>
  </si>
  <si>
    <t>P51580</t>
  </si>
  <si>
    <t>P51608</t>
  </si>
  <si>
    <t>P51610-2</t>
  </si>
  <si>
    <t>P51659</t>
  </si>
  <si>
    <t>P51665</t>
  </si>
  <si>
    <t>P51668</t>
  </si>
  <si>
    <t>P51687</t>
  </si>
  <si>
    <t>P51688</t>
  </si>
  <si>
    <t>P51689-3</t>
  </si>
  <si>
    <t>P51692</t>
  </si>
  <si>
    <t>P51790-4</t>
  </si>
  <si>
    <t>P51795</t>
  </si>
  <si>
    <t>P51805</t>
  </si>
  <si>
    <t>P51809</t>
  </si>
  <si>
    <t>P51812</t>
  </si>
  <si>
    <t>P51857-2</t>
  </si>
  <si>
    <t>P51858</t>
  </si>
  <si>
    <t>P51884</t>
  </si>
  <si>
    <t>P51911</t>
  </si>
  <si>
    <t>P51948-2</t>
  </si>
  <si>
    <t>P51970</t>
  </si>
  <si>
    <t>P51991</t>
  </si>
  <si>
    <t>P52272-2</t>
  </si>
  <si>
    <t>P52292</t>
  </si>
  <si>
    <t>P52294</t>
  </si>
  <si>
    <t>P52306</t>
  </si>
  <si>
    <t>P52306-4</t>
  </si>
  <si>
    <t>P52565</t>
  </si>
  <si>
    <t>P52597</t>
  </si>
  <si>
    <t>P52630-4</t>
  </si>
  <si>
    <t>P52655</t>
  </si>
  <si>
    <t>P52657</t>
  </si>
  <si>
    <t>P52735-3</t>
  </si>
  <si>
    <t>P52758</t>
  </si>
  <si>
    <t>P52788</t>
  </si>
  <si>
    <t>P52789</t>
  </si>
  <si>
    <t>P52799</t>
  </si>
  <si>
    <t>P52848</t>
  </si>
  <si>
    <t>P52888</t>
  </si>
  <si>
    <t>P52907</t>
  </si>
  <si>
    <t>P52943</t>
  </si>
  <si>
    <t>P53004</t>
  </si>
  <si>
    <t>P53007</t>
  </si>
  <si>
    <t>P53365</t>
  </si>
  <si>
    <t>P53367</t>
  </si>
  <si>
    <t>P53367-2</t>
  </si>
  <si>
    <t>P53370</t>
  </si>
  <si>
    <t>P53384-2</t>
  </si>
  <si>
    <t>P53396</t>
  </si>
  <si>
    <t>P53582</t>
  </si>
  <si>
    <t>P53597</t>
  </si>
  <si>
    <t>P53602</t>
  </si>
  <si>
    <t>P53609</t>
  </si>
  <si>
    <t>P53611</t>
  </si>
  <si>
    <t>P53618</t>
  </si>
  <si>
    <t>P53621</t>
  </si>
  <si>
    <t>P53634</t>
  </si>
  <si>
    <t>P53701</t>
  </si>
  <si>
    <t>P53778</t>
  </si>
  <si>
    <t>P53794</t>
  </si>
  <si>
    <t>P53801</t>
  </si>
  <si>
    <t>P53805</t>
  </si>
  <si>
    <t>P53814-5</t>
  </si>
  <si>
    <t>P53985</t>
  </si>
  <si>
    <t>P53990-2</t>
  </si>
  <si>
    <t>P53992</t>
  </si>
  <si>
    <t>P53999</t>
  </si>
  <si>
    <t>P54136</t>
  </si>
  <si>
    <t>P54253</t>
  </si>
  <si>
    <t>P54259</t>
  </si>
  <si>
    <t>P54284-5</t>
  </si>
  <si>
    <t>P54577</t>
  </si>
  <si>
    <t>P54578</t>
  </si>
  <si>
    <t>P54619-2</t>
  </si>
  <si>
    <t>P54646</t>
  </si>
  <si>
    <t>P54652</t>
  </si>
  <si>
    <t>P54687</t>
  </si>
  <si>
    <t>P54687-5</t>
  </si>
  <si>
    <t>P54709</t>
  </si>
  <si>
    <t>P54725</t>
  </si>
  <si>
    <t>P54727</t>
  </si>
  <si>
    <t>P54802</t>
  </si>
  <si>
    <t>P54819</t>
  </si>
  <si>
    <t>P54886-2</t>
  </si>
  <si>
    <t>P54920</t>
  </si>
  <si>
    <t>P54922</t>
  </si>
  <si>
    <t>P55010</t>
  </si>
  <si>
    <t>P55011-3</t>
  </si>
  <si>
    <t>P55036</t>
  </si>
  <si>
    <t>P55039</t>
  </si>
  <si>
    <t>P55042</t>
  </si>
  <si>
    <t>P55060-3</t>
  </si>
  <si>
    <t>P55072</t>
  </si>
  <si>
    <t>P55081</t>
  </si>
  <si>
    <t>P55145</t>
  </si>
  <si>
    <t>P55210</t>
  </si>
  <si>
    <t>P55212</t>
  </si>
  <si>
    <t>P55263</t>
  </si>
  <si>
    <t>P55268</t>
  </si>
  <si>
    <t>P55273</t>
  </si>
  <si>
    <t>P55285</t>
  </si>
  <si>
    <t>P55290</t>
  </si>
  <si>
    <t>P55345</t>
  </si>
  <si>
    <t>P55735</t>
  </si>
  <si>
    <t>P55789</t>
  </si>
  <si>
    <t>P55795</t>
  </si>
  <si>
    <t>P55809</t>
  </si>
  <si>
    <t>P55884</t>
  </si>
  <si>
    <t>P55899</t>
  </si>
  <si>
    <t>P55957</t>
  </si>
  <si>
    <t>P56181-2</t>
  </si>
  <si>
    <t>P56192</t>
  </si>
  <si>
    <t>P56199</t>
  </si>
  <si>
    <t>P56211</t>
  </si>
  <si>
    <t>P56277</t>
  </si>
  <si>
    <t>P56377</t>
  </si>
  <si>
    <t>P56381</t>
  </si>
  <si>
    <t>P56385</t>
  </si>
  <si>
    <t>P56524</t>
  </si>
  <si>
    <t>P56537</t>
  </si>
  <si>
    <t>P56545-2</t>
  </si>
  <si>
    <t>P56589</t>
  </si>
  <si>
    <t>P56937-3</t>
  </si>
  <si>
    <t>P56945-5</t>
  </si>
  <si>
    <t>P56962</t>
  </si>
  <si>
    <t>P57060</t>
  </si>
  <si>
    <t>P57076</t>
  </si>
  <si>
    <t>P57077-4</t>
  </si>
  <si>
    <t>P57081-2</t>
  </si>
  <si>
    <t>P57088</t>
  </si>
  <si>
    <t>P57105</t>
  </si>
  <si>
    <t>P57737-3</t>
  </si>
  <si>
    <t>P57768</t>
  </si>
  <si>
    <t>P58004</t>
  </si>
  <si>
    <t>P58546</t>
  </si>
  <si>
    <t>P59768</t>
  </si>
  <si>
    <t>P60059</t>
  </si>
  <si>
    <t>P60174-1</t>
  </si>
  <si>
    <t>P60174-4</t>
  </si>
  <si>
    <t>P60228</t>
  </si>
  <si>
    <t>P60468</t>
  </si>
  <si>
    <t>P60484</t>
  </si>
  <si>
    <t>P60510</t>
  </si>
  <si>
    <t>P60520</t>
  </si>
  <si>
    <t>P60602</t>
  </si>
  <si>
    <t>P60604-2</t>
  </si>
  <si>
    <t>P60763</t>
  </si>
  <si>
    <t>P60842</t>
  </si>
  <si>
    <t>P60866</t>
  </si>
  <si>
    <t>P60880-2</t>
  </si>
  <si>
    <t>P60891</t>
  </si>
  <si>
    <t>P60896</t>
  </si>
  <si>
    <t>P60903</t>
  </si>
  <si>
    <t>P60953</t>
  </si>
  <si>
    <t>P60981</t>
  </si>
  <si>
    <t>P60983</t>
  </si>
  <si>
    <t>P61006</t>
  </si>
  <si>
    <t>P61011</t>
  </si>
  <si>
    <t>P61018</t>
  </si>
  <si>
    <t>P61019</t>
  </si>
  <si>
    <t>P61020</t>
  </si>
  <si>
    <t>P61026</t>
  </si>
  <si>
    <t>P61077</t>
  </si>
  <si>
    <t>P61081</t>
  </si>
  <si>
    <t>P61086</t>
  </si>
  <si>
    <t>P61088</t>
  </si>
  <si>
    <t>P61106</t>
  </si>
  <si>
    <t>P61158</t>
  </si>
  <si>
    <t>P61160</t>
  </si>
  <si>
    <t>P61163</t>
  </si>
  <si>
    <t>P61201</t>
  </si>
  <si>
    <t>P61218</t>
  </si>
  <si>
    <t>P61221</t>
  </si>
  <si>
    <t>P61224</t>
  </si>
  <si>
    <t>P61225</t>
  </si>
  <si>
    <t>P61244-2</t>
  </si>
  <si>
    <t>P61247</t>
  </si>
  <si>
    <t>P61289</t>
  </si>
  <si>
    <t>P61326</t>
  </si>
  <si>
    <t>P61353</t>
  </si>
  <si>
    <t>P61586</t>
  </si>
  <si>
    <t>P61587</t>
  </si>
  <si>
    <t>P61599</t>
  </si>
  <si>
    <t>P61601</t>
  </si>
  <si>
    <t>P61604</t>
  </si>
  <si>
    <t>P61758</t>
  </si>
  <si>
    <t>P61764</t>
  </si>
  <si>
    <t>P61769</t>
  </si>
  <si>
    <t>P61812</t>
  </si>
  <si>
    <t>P61925</t>
  </si>
  <si>
    <t>P61927</t>
  </si>
  <si>
    <t>P61952</t>
  </si>
  <si>
    <t>P61960-2</t>
  </si>
  <si>
    <t>P61962</t>
  </si>
  <si>
    <t>P61964</t>
  </si>
  <si>
    <t>P61970</t>
  </si>
  <si>
    <t>P61978-3</t>
  </si>
  <si>
    <t>P61981</t>
  </si>
  <si>
    <t>P62070</t>
  </si>
  <si>
    <t>P62072</t>
  </si>
  <si>
    <t>P62081</t>
  </si>
  <si>
    <t>P62136</t>
  </si>
  <si>
    <t>P62140</t>
  </si>
  <si>
    <t>P62166</t>
  </si>
  <si>
    <t>P62191</t>
  </si>
  <si>
    <t>P62195-2</t>
  </si>
  <si>
    <t>P62241</t>
  </si>
  <si>
    <t>P62249</t>
  </si>
  <si>
    <t>P62253</t>
  </si>
  <si>
    <t>P62258</t>
  </si>
  <si>
    <t>P62263</t>
  </si>
  <si>
    <t>P62269</t>
  </si>
  <si>
    <t>P62273</t>
  </si>
  <si>
    <t>P62277</t>
  </si>
  <si>
    <t>P62280</t>
  </si>
  <si>
    <t>P62304</t>
  </si>
  <si>
    <t>P62306</t>
  </si>
  <si>
    <t>P62308</t>
  </si>
  <si>
    <t>P62310</t>
  </si>
  <si>
    <t>P62312</t>
  </si>
  <si>
    <t>P62314</t>
  </si>
  <si>
    <t>P62316</t>
  </si>
  <si>
    <t>P62328</t>
  </si>
  <si>
    <t>P62330</t>
  </si>
  <si>
    <t>P62333</t>
  </si>
  <si>
    <t>P62380</t>
  </si>
  <si>
    <t>P62424</t>
  </si>
  <si>
    <t>P62487</t>
  </si>
  <si>
    <t>P62495</t>
  </si>
  <si>
    <t>P62633-4</t>
  </si>
  <si>
    <t>P62701</t>
  </si>
  <si>
    <t>P62714</t>
  </si>
  <si>
    <t>P62736</t>
  </si>
  <si>
    <t>P62745</t>
  </si>
  <si>
    <t>P62750</t>
  </si>
  <si>
    <t>P62753</t>
  </si>
  <si>
    <t>P62805</t>
  </si>
  <si>
    <t>P62820</t>
  </si>
  <si>
    <t>P62829</t>
  </si>
  <si>
    <t>P62834</t>
  </si>
  <si>
    <t>P62851</t>
  </si>
  <si>
    <t>P62857</t>
  </si>
  <si>
    <t>P62873</t>
  </si>
  <si>
    <t>P62877</t>
  </si>
  <si>
    <t>P62879</t>
  </si>
  <si>
    <t>P62888</t>
  </si>
  <si>
    <t>P62906</t>
  </si>
  <si>
    <t>P62913-2</t>
  </si>
  <si>
    <t>P62937</t>
  </si>
  <si>
    <t>P62942</t>
  </si>
  <si>
    <t>P62979</t>
  </si>
  <si>
    <t>P62987</t>
  </si>
  <si>
    <t>P62993</t>
  </si>
  <si>
    <t>P62995-3</t>
  </si>
  <si>
    <t>P63000</t>
  </si>
  <si>
    <t>P63010</t>
  </si>
  <si>
    <t>P63092</t>
  </si>
  <si>
    <t>P63092-3</t>
  </si>
  <si>
    <t>P63096</t>
  </si>
  <si>
    <t>P63104</t>
  </si>
  <si>
    <t>P63146</t>
  </si>
  <si>
    <t>P63151</t>
  </si>
  <si>
    <t>P63167</t>
  </si>
  <si>
    <t>P63173</t>
  </si>
  <si>
    <t>P63218</t>
  </si>
  <si>
    <t>P63244</t>
  </si>
  <si>
    <t>P67809</t>
  </si>
  <si>
    <t>P67936</t>
  </si>
  <si>
    <t>P67936-2</t>
  </si>
  <si>
    <t>P68036</t>
  </si>
  <si>
    <t>P68104</t>
  </si>
  <si>
    <t>P68371</t>
  </si>
  <si>
    <t>P68402</t>
  </si>
  <si>
    <t>P68871</t>
  </si>
  <si>
    <t>P78310</t>
  </si>
  <si>
    <t>P78314</t>
  </si>
  <si>
    <t>P78318</t>
  </si>
  <si>
    <t>P78324</t>
  </si>
  <si>
    <t>P78330</t>
  </si>
  <si>
    <t>P78347-2</t>
  </si>
  <si>
    <t>P78356</t>
  </si>
  <si>
    <t>P78371</t>
  </si>
  <si>
    <t>P78406</t>
  </si>
  <si>
    <t>P78417</t>
  </si>
  <si>
    <t>P78536</t>
  </si>
  <si>
    <t>P78537</t>
  </si>
  <si>
    <t>P78552</t>
  </si>
  <si>
    <t>P78560</t>
  </si>
  <si>
    <t>P80217</t>
  </si>
  <si>
    <t>P80297</t>
  </si>
  <si>
    <t>P80303</t>
  </si>
  <si>
    <t>P80723</t>
  </si>
  <si>
    <t>P81408-3</t>
  </si>
  <si>
    <t>P82094</t>
  </si>
  <si>
    <t>P82909</t>
  </si>
  <si>
    <t>P82979</t>
  </si>
  <si>
    <t>P83111</t>
  </si>
  <si>
    <t>P83436</t>
  </si>
  <si>
    <t>P83876</t>
  </si>
  <si>
    <t>P84077</t>
  </si>
  <si>
    <t>P84085</t>
  </si>
  <si>
    <t>P84090</t>
  </si>
  <si>
    <t>P84095</t>
  </si>
  <si>
    <t>P84098</t>
  </si>
  <si>
    <t>P84101-4</t>
  </si>
  <si>
    <t>P84157</t>
  </si>
  <si>
    <t>P84157-3</t>
  </si>
  <si>
    <t>P85037</t>
  </si>
  <si>
    <t>P86397</t>
  </si>
  <si>
    <t>P86791</t>
  </si>
  <si>
    <t>P98082-3</t>
  </si>
  <si>
    <t>P98155-2</t>
  </si>
  <si>
    <t>P98160</t>
  </si>
  <si>
    <t>P98170</t>
  </si>
  <si>
    <t>P98172</t>
  </si>
  <si>
    <t>P98173</t>
  </si>
  <si>
    <t>P98175-2</t>
  </si>
  <si>
    <t>P98179</t>
  </si>
  <si>
    <t>Q00013-2</t>
  </si>
  <si>
    <t>Q00169</t>
  </si>
  <si>
    <t>Q00325-2</t>
  </si>
  <si>
    <t>Q00341</t>
  </si>
  <si>
    <t>Q00403</t>
  </si>
  <si>
    <t>Q00534</t>
  </si>
  <si>
    <t>Q00535</t>
  </si>
  <si>
    <t>Q00536</t>
  </si>
  <si>
    <t>Q00577</t>
  </si>
  <si>
    <t>Q00587-2</t>
  </si>
  <si>
    <t>Q00610-2</t>
  </si>
  <si>
    <t>Q00653-4</t>
  </si>
  <si>
    <t>Q00688</t>
  </si>
  <si>
    <t>Q00765</t>
  </si>
  <si>
    <t>Q00796</t>
  </si>
  <si>
    <t>Q00839-2</t>
  </si>
  <si>
    <t>Q00978</t>
  </si>
  <si>
    <t>Q01082</t>
  </si>
  <si>
    <t>Q01085-2</t>
  </si>
  <si>
    <t>Q01105</t>
  </si>
  <si>
    <t>Q01415</t>
  </si>
  <si>
    <t>Q01459</t>
  </si>
  <si>
    <t>Q01469</t>
  </si>
  <si>
    <t>Q01518-2</t>
  </si>
  <si>
    <t>Q01581</t>
  </si>
  <si>
    <t>Q01650</t>
  </si>
  <si>
    <t>Q01658</t>
  </si>
  <si>
    <t>Q01813</t>
  </si>
  <si>
    <t>Q01850</t>
  </si>
  <si>
    <t>Q01968</t>
  </si>
  <si>
    <t>Q01970</t>
  </si>
  <si>
    <t>Q01974</t>
  </si>
  <si>
    <t>Q01995</t>
  </si>
  <si>
    <t>Q02083-2</t>
  </si>
  <si>
    <t>Q02127</t>
  </si>
  <si>
    <t>Q02156</t>
  </si>
  <si>
    <t>Q02252</t>
  </si>
  <si>
    <t>Q02318</t>
  </si>
  <si>
    <t>Q02338</t>
  </si>
  <si>
    <t>Q02388-2</t>
  </si>
  <si>
    <t>Q02410</t>
  </si>
  <si>
    <t>Q02543</t>
  </si>
  <si>
    <t>Q02742</t>
  </si>
  <si>
    <t>Q02750</t>
  </si>
  <si>
    <t>Q02790</t>
  </si>
  <si>
    <t>Q02809</t>
  </si>
  <si>
    <t>Q02818</t>
  </si>
  <si>
    <t>Q02878</t>
  </si>
  <si>
    <t>Q02952-3</t>
  </si>
  <si>
    <t>Q03001</t>
  </si>
  <si>
    <t>Q03001-3</t>
  </si>
  <si>
    <t>Q03013</t>
  </si>
  <si>
    <t>Q03135</t>
  </si>
  <si>
    <t>Q03154</t>
  </si>
  <si>
    <t>Q03169</t>
  </si>
  <si>
    <t>Q03393</t>
  </si>
  <si>
    <t>Q03405</t>
  </si>
  <si>
    <t>Q03519</t>
  </si>
  <si>
    <t>Q04446</t>
  </si>
  <si>
    <t>Q04656-5</t>
  </si>
  <si>
    <t>Q04721</t>
  </si>
  <si>
    <t>Q04760</t>
  </si>
  <si>
    <t>Q04771</t>
  </si>
  <si>
    <t>Q04828</t>
  </si>
  <si>
    <t>Q04837</t>
  </si>
  <si>
    <t>Q04912-2</t>
  </si>
  <si>
    <t>Q04917</t>
  </si>
  <si>
    <t>Q04941</t>
  </si>
  <si>
    <t>Q05048</t>
  </si>
  <si>
    <t>Q05086-3</t>
  </si>
  <si>
    <t>Q05193-3</t>
  </si>
  <si>
    <t>Q05209</t>
  </si>
  <si>
    <t>Q05519-2</t>
  </si>
  <si>
    <t>Q05639</t>
  </si>
  <si>
    <t>Q05655</t>
  </si>
  <si>
    <t>Q06124</t>
  </si>
  <si>
    <t>Q06136</t>
  </si>
  <si>
    <t>Q06190</t>
  </si>
  <si>
    <t>Q06203</t>
  </si>
  <si>
    <t>Q06210-2</t>
  </si>
  <si>
    <t>Q06265</t>
  </si>
  <si>
    <t>Q06278</t>
  </si>
  <si>
    <t>Q06323</t>
  </si>
  <si>
    <t>Q06330</t>
  </si>
  <si>
    <t>Q06481-3</t>
  </si>
  <si>
    <t>Q06546</t>
  </si>
  <si>
    <t>Q06587</t>
  </si>
  <si>
    <t>Q06830</t>
  </si>
  <si>
    <t>Q07021</t>
  </si>
  <si>
    <t>Q07065</t>
  </si>
  <si>
    <t>Q07092-2</t>
  </si>
  <si>
    <t>Q07352</t>
  </si>
  <si>
    <t>Q07507</t>
  </si>
  <si>
    <t>Q07812-5</t>
  </si>
  <si>
    <t>Q07866-6</t>
  </si>
  <si>
    <t>Q07912</t>
  </si>
  <si>
    <t>Q07954</t>
  </si>
  <si>
    <t>Q07960</t>
  </si>
  <si>
    <t>Q08209-2</t>
  </si>
  <si>
    <t>Q08211</t>
  </si>
  <si>
    <t>Q08257</t>
  </si>
  <si>
    <t>Q08357</t>
  </si>
  <si>
    <t>Q08378</t>
  </si>
  <si>
    <t>Q08379</t>
  </si>
  <si>
    <t>Q08380</t>
  </si>
  <si>
    <t>Q08426</t>
  </si>
  <si>
    <t>Q08629</t>
  </si>
  <si>
    <t>Q08722</t>
  </si>
  <si>
    <t>Q08752</t>
  </si>
  <si>
    <t>Q08AD1-2</t>
  </si>
  <si>
    <t>Q08AE8-2</t>
  </si>
  <si>
    <t>Q08AF3</t>
  </si>
  <si>
    <t>Q08AG7</t>
  </si>
  <si>
    <t>Q08AM6</t>
  </si>
  <si>
    <t>Q08E86</t>
  </si>
  <si>
    <t>Q08J23</t>
  </si>
  <si>
    <t>Q09028-3</t>
  </si>
  <si>
    <t>Q09161</t>
  </si>
  <si>
    <t>Q09328</t>
  </si>
  <si>
    <t>Q09666</t>
  </si>
  <si>
    <t>Q09666-2</t>
  </si>
  <si>
    <t>Q0JRZ9</t>
  </si>
  <si>
    <t>Q0VDF9</t>
  </si>
  <si>
    <t>Q0VDG4</t>
  </si>
  <si>
    <t>Q0VG06</t>
  </si>
  <si>
    <t>Q0VGL1</t>
  </si>
  <si>
    <t>Q0ZGT2-4</t>
  </si>
  <si>
    <t>Q10469</t>
  </si>
  <si>
    <t>Q10471</t>
  </si>
  <si>
    <t>Q10567-2</t>
  </si>
  <si>
    <t>Q10567-3</t>
  </si>
  <si>
    <t>Q10713</t>
  </si>
  <si>
    <t>Q11201</t>
  </si>
  <si>
    <t>Q11206-3</t>
  </si>
  <si>
    <t>Q12765</t>
  </si>
  <si>
    <t>Q12792</t>
  </si>
  <si>
    <t>Q12797</t>
  </si>
  <si>
    <t>Q12802-4</t>
  </si>
  <si>
    <t>Q12805-2</t>
  </si>
  <si>
    <t>Q12841</t>
  </si>
  <si>
    <t>Q12846</t>
  </si>
  <si>
    <t>Q12849</t>
  </si>
  <si>
    <t>Q12872</t>
  </si>
  <si>
    <t>Q12874</t>
  </si>
  <si>
    <t>Q12882</t>
  </si>
  <si>
    <t>Q12884</t>
  </si>
  <si>
    <t>Q12888</t>
  </si>
  <si>
    <t>Q12893</t>
  </si>
  <si>
    <t>Q12905</t>
  </si>
  <si>
    <t>Q12906</t>
  </si>
  <si>
    <t>Q12907</t>
  </si>
  <si>
    <t>Q12923-2</t>
  </si>
  <si>
    <t>Q12929</t>
  </si>
  <si>
    <t>Q12959-5</t>
  </si>
  <si>
    <t>Q12962</t>
  </si>
  <si>
    <t>Q12965</t>
  </si>
  <si>
    <t>Q12972</t>
  </si>
  <si>
    <t>Q12974</t>
  </si>
  <si>
    <t>Q12979-4</t>
  </si>
  <si>
    <t>Q12981</t>
  </si>
  <si>
    <t>Q13011</t>
  </si>
  <si>
    <t>Q13017-2</t>
  </si>
  <si>
    <t>Q13018-2</t>
  </si>
  <si>
    <t>Q13033-2</t>
  </si>
  <si>
    <t>Q13043</t>
  </si>
  <si>
    <t>Q13045</t>
  </si>
  <si>
    <t>Q13049</t>
  </si>
  <si>
    <t>Q13057</t>
  </si>
  <si>
    <t>Q13107-2</t>
  </si>
  <si>
    <t>Q13126</t>
  </si>
  <si>
    <t>Q13131</t>
  </si>
  <si>
    <t>Q13136</t>
  </si>
  <si>
    <t>Q13148</t>
  </si>
  <si>
    <t>Q13151</t>
  </si>
  <si>
    <t>Q13153</t>
  </si>
  <si>
    <t>Q13158</t>
  </si>
  <si>
    <t>Q13162</t>
  </si>
  <si>
    <t>Q13164</t>
  </si>
  <si>
    <t>Q13177</t>
  </si>
  <si>
    <t>Q13185</t>
  </si>
  <si>
    <t>Q13188</t>
  </si>
  <si>
    <t>Q13190</t>
  </si>
  <si>
    <t>Q13200</t>
  </si>
  <si>
    <t>Q13217</t>
  </si>
  <si>
    <t>Q13228</t>
  </si>
  <si>
    <t>Q13232</t>
  </si>
  <si>
    <t>Q13242</t>
  </si>
  <si>
    <t>Q13243-3</t>
  </si>
  <si>
    <t>Q13247-3</t>
  </si>
  <si>
    <t>Q13263</t>
  </si>
  <si>
    <t>Q13277-2</t>
  </si>
  <si>
    <t>Q13283</t>
  </si>
  <si>
    <t>Q13287</t>
  </si>
  <si>
    <t>Q13308</t>
  </si>
  <si>
    <t>Q13310-3</t>
  </si>
  <si>
    <t>Q13322-3</t>
  </si>
  <si>
    <t>Q13325</t>
  </si>
  <si>
    <t>Q13336</t>
  </si>
  <si>
    <t>Q13347</t>
  </si>
  <si>
    <t>Q13362-4</t>
  </si>
  <si>
    <t>Q13363</t>
  </si>
  <si>
    <t>Q13371</t>
  </si>
  <si>
    <t>Q13409-6</t>
  </si>
  <si>
    <t>Q13418</t>
  </si>
  <si>
    <t>Q13423</t>
  </si>
  <si>
    <t>Q13424</t>
  </si>
  <si>
    <t>Q13425</t>
  </si>
  <si>
    <t>Q13432</t>
  </si>
  <si>
    <t>Q13433</t>
  </si>
  <si>
    <t>Q13435</t>
  </si>
  <si>
    <t>Q13438-4</t>
  </si>
  <si>
    <t>Q13439-3</t>
  </si>
  <si>
    <t>Q13442</t>
  </si>
  <si>
    <t>Q13443</t>
  </si>
  <si>
    <t>Q13444-10</t>
  </si>
  <si>
    <t>Q13445</t>
  </si>
  <si>
    <t>Q13451</t>
  </si>
  <si>
    <t>Q13464</t>
  </si>
  <si>
    <t>Q13480-2</t>
  </si>
  <si>
    <t>Q13488</t>
  </si>
  <si>
    <t>Q13492-3</t>
  </si>
  <si>
    <t>Q13496</t>
  </si>
  <si>
    <t>Q13501</t>
  </si>
  <si>
    <t>Q13505-3</t>
  </si>
  <si>
    <t>Q13509</t>
  </si>
  <si>
    <t>Q13526</t>
  </si>
  <si>
    <t>Q13541</t>
  </si>
  <si>
    <t>Q13542</t>
  </si>
  <si>
    <t>Q13546</t>
  </si>
  <si>
    <t>Q13564</t>
  </si>
  <si>
    <t>Q13572</t>
  </si>
  <si>
    <t>Q13573</t>
  </si>
  <si>
    <t>Q13586</t>
  </si>
  <si>
    <t>Q13595-2</t>
  </si>
  <si>
    <t>Q13596</t>
  </si>
  <si>
    <t>Q13610</t>
  </si>
  <si>
    <t>Q13616</t>
  </si>
  <si>
    <t>Q13617</t>
  </si>
  <si>
    <t>Q13618-2</t>
  </si>
  <si>
    <t>Q13619</t>
  </si>
  <si>
    <t>Q13630</t>
  </si>
  <si>
    <t>Q13636</t>
  </si>
  <si>
    <t>Q13637</t>
  </si>
  <si>
    <t>Q13641</t>
  </si>
  <si>
    <t>Q13642-5</t>
  </si>
  <si>
    <t>Q13643</t>
  </si>
  <si>
    <t>Q13671</t>
  </si>
  <si>
    <t>Q13683-3</t>
  </si>
  <si>
    <t>Q13724</t>
  </si>
  <si>
    <t>Q13740-2</t>
  </si>
  <si>
    <t>Q13795</t>
  </si>
  <si>
    <t>Q13813</t>
  </si>
  <si>
    <t>Q13868</t>
  </si>
  <si>
    <t>Q13873</t>
  </si>
  <si>
    <t>Q13884</t>
  </si>
  <si>
    <t>Q13885</t>
  </si>
  <si>
    <t>Q13895</t>
  </si>
  <si>
    <t>Q13905-2</t>
  </si>
  <si>
    <t>Q13907</t>
  </si>
  <si>
    <t>Q13951</t>
  </si>
  <si>
    <t>Q13951-2</t>
  </si>
  <si>
    <t>Q13952-3</t>
  </si>
  <si>
    <t>Q13976-2</t>
  </si>
  <si>
    <t>Q14008-2</t>
  </si>
  <si>
    <t>Q14011</t>
  </si>
  <si>
    <t>Q14012</t>
  </si>
  <si>
    <t>Q14019</t>
  </si>
  <si>
    <t>Q14061</t>
  </si>
  <si>
    <t>Q14103-3</t>
  </si>
  <si>
    <t>Q14108</t>
  </si>
  <si>
    <t>Q14112-2</t>
  </si>
  <si>
    <t>Q14114-4</t>
  </si>
  <si>
    <t>Q14118</t>
  </si>
  <si>
    <t>Q14123-2</t>
  </si>
  <si>
    <t>Q14139</t>
  </si>
  <si>
    <t>Q14151</t>
  </si>
  <si>
    <t>Q14152</t>
  </si>
  <si>
    <t>Q14157</t>
  </si>
  <si>
    <t>Q14160</t>
  </si>
  <si>
    <t>Q14165</t>
  </si>
  <si>
    <t>Q14166</t>
  </si>
  <si>
    <t>Q14185</t>
  </si>
  <si>
    <t>Q14195-2</t>
  </si>
  <si>
    <t>Q14204</t>
  </si>
  <si>
    <t>Q14232</t>
  </si>
  <si>
    <t>Q14240-2</t>
  </si>
  <si>
    <t>Q14241</t>
  </si>
  <si>
    <t>Q14247</t>
  </si>
  <si>
    <t>Q14249</t>
  </si>
  <si>
    <t>Q14254</t>
  </si>
  <si>
    <t>Q14257</t>
  </si>
  <si>
    <t>Q14258</t>
  </si>
  <si>
    <t>Q14315</t>
  </si>
  <si>
    <t>Q14318-2</t>
  </si>
  <si>
    <t>Q14320</t>
  </si>
  <si>
    <t>Q14332</t>
  </si>
  <si>
    <t>Q14344</t>
  </si>
  <si>
    <t>Q14353</t>
  </si>
  <si>
    <t>Q14376</t>
  </si>
  <si>
    <t>Q14392</t>
  </si>
  <si>
    <t>Q14393-2</t>
  </si>
  <si>
    <t>Q14444-2</t>
  </si>
  <si>
    <t>Q14498-3</t>
  </si>
  <si>
    <t>Q14511-3</t>
  </si>
  <si>
    <t>Q14517</t>
  </si>
  <si>
    <t>Q14520-2</t>
  </si>
  <si>
    <t>Q14534</t>
  </si>
  <si>
    <t>Q14554</t>
  </si>
  <si>
    <t>Q14558</t>
  </si>
  <si>
    <t>Q14642</t>
  </si>
  <si>
    <t>Q14644</t>
  </si>
  <si>
    <t>Q14653</t>
  </si>
  <si>
    <t>Q14657</t>
  </si>
  <si>
    <t>Q14669-3</t>
  </si>
  <si>
    <t>Q14676-4</t>
  </si>
  <si>
    <t>Q14677</t>
  </si>
  <si>
    <t>Q14681</t>
  </si>
  <si>
    <t>Q14693</t>
  </si>
  <si>
    <t>Q14694</t>
  </si>
  <si>
    <t>Q14696</t>
  </si>
  <si>
    <t>Q14697</t>
  </si>
  <si>
    <t>Q14699</t>
  </si>
  <si>
    <t>Q14714</t>
  </si>
  <si>
    <t>Q14739</t>
  </si>
  <si>
    <t>Q14764</t>
  </si>
  <si>
    <t>Q14766-3</t>
  </si>
  <si>
    <t>Q14789-2</t>
  </si>
  <si>
    <t>Q14790</t>
  </si>
  <si>
    <t>Q147X3</t>
  </si>
  <si>
    <t>Q14847</t>
  </si>
  <si>
    <t>Q14872</t>
  </si>
  <si>
    <t>Q14914-2</t>
  </si>
  <si>
    <t>Q14964</t>
  </si>
  <si>
    <t>Q14966</t>
  </si>
  <si>
    <t>Q14974</t>
  </si>
  <si>
    <t>Q14978</t>
  </si>
  <si>
    <t>Q14980</t>
  </si>
  <si>
    <t>Q14C86-3</t>
  </si>
  <si>
    <t>Q14CS0</t>
  </si>
  <si>
    <t>Q14CX7-2</t>
  </si>
  <si>
    <t>Q15006</t>
  </si>
  <si>
    <t>Q15008</t>
  </si>
  <si>
    <t>Q15011-3</t>
  </si>
  <si>
    <t>Q15012</t>
  </si>
  <si>
    <t>Q15013</t>
  </si>
  <si>
    <t>Q15018</t>
  </si>
  <si>
    <t>Q15019-2</t>
  </si>
  <si>
    <t>Q15024</t>
  </si>
  <si>
    <t>Q15029-2</t>
  </si>
  <si>
    <t>Q15031</t>
  </si>
  <si>
    <t>Q15036</t>
  </si>
  <si>
    <t>Q15043-2</t>
  </si>
  <si>
    <t>Q15046</t>
  </si>
  <si>
    <t>Q15056-2</t>
  </si>
  <si>
    <t>Q15057</t>
  </si>
  <si>
    <t>Q15061</t>
  </si>
  <si>
    <t>Q15067</t>
  </si>
  <si>
    <t>Q15075</t>
  </si>
  <si>
    <t>Q15102</t>
  </si>
  <si>
    <t>Q15113</t>
  </si>
  <si>
    <t>Q15118</t>
  </si>
  <si>
    <t>Q15119</t>
  </si>
  <si>
    <t>Q15121</t>
  </si>
  <si>
    <t>Q15124</t>
  </si>
  <si>
    <t>Q15126</t>
  </si>
  <si>
    <t>Q15139</t>
  </si>
  <si>
    <t>Q15147</t>
  </si>
  <si>
    <t>Q15149-3</t>
  </si>
  <si>
    <t>Q15149-4</t>
  </si>
  <si>
    <t>Q15149-8</t>
  </si>
  <si>
    <t>Q15155</t>
  </si>
  <si>
    <t>Q15170-2</t>
  </si>
  <si>
    <t>Q15172</t>
  </si>
  <si>
    <t>Q15173-2</t>
  </si>
  <si>
    <t>Q15181</t>
  </si>
  <si>
    <t>Q15208</t>
  </si>
  <si>
    <t>Q15223</t>
  </si>
  <si>
    <t>Q15233-2</t>
  </si>
  <si>
    <t>Q15257</t>
  </si>
  <si>
    <t>Q15274</t>
  </si>
  <si>
    <t>Q15276</t>
  </si>
  <si>
    <t>Q15283-2</t>
  </si>
  <si>
    <t>Q15286</t>
  </si>
  <si>
    <t>Q15291-2</t>
  </si>
  <si>
    <t>Q15293</t>
  </si>
  <si>
    <t>Q15311</t>
  </si>
  <si>
    <t>Q15363</t>
  </si>
  <si>
    <t>Q15365</t>
  </si>
  <si>
    <t>Q15370</t>
  </si>
  <si>
    <t>Q15382</t>
  </si>
  <si>
    <t>Q15386</t>
  </si>
  <si>
    <t>Q15393</t>
  </si>
  <si>
    <t>Q15404</t>
  </si>
  <si>
    <t>Q15417</t>
  </si>
  <si>
    <t>Q15424</t>
  </si>
  <si>
    <t>Q15428</t>
  </si>
  <si>
    <t>Q15435</t>
  </si>
  <si>
    <t>Q15437</t>
  </si>
  <si>
    <t>Q15438-2</t>
  </si>
  <si>
    <t>Q15459</t>
  </si>
  <si>
    <t>Q15464</t>
  </si>
  <si>
    <t>Q15493</t>
  </si>
  <si>
    <t>Q15506</t>
  </si>
  <si>
    <t>Q15526-2</t>
  </si>
  <si>
    <t>Q15545</t>
  </si>
  <si>
    <t>Q15555-4</t>
  </si>
  <si>
    <t>Q15582</t>
  </si>
  <si>
    <t>Q15599</t>
  </si>
  <si>
    <t>Q15628</t>
  </si>
  <si>
    <t>Q15637-5</t>
  </si>
  <si>
    <t>Q15642</t>
  </si>
  <si>
    <t>Q15642-2</t>
  </si>
  <si>
    <t>Q15643</t>
  </si>
  <si>
    <t>Q15645</t>
  </si>
  <si>
    <t>Q15648</t>
  </si>
  <si>
    <t>Q15652-3</t>
  </si>
  <si>
    <t>Q15654</t>
  </si>
  <si>
    <t>Q15691</t>
  </si>
  <si>
    <t>Q15714</t>
  </si>
  <si>
    <t>Q15717</t>
  </si>
  <si>
    <t>Q15738</t>
  </si>
  <si>
    <t>Q15742-3</t>
  </si>
  <si>
    <t>Q15743</t>
  </si>
  <si>
    <t>Q15746-6</t>
  </si>
  <si>
    <t>Q15750-2</t>
  </si>
  <si>
    <t>Q15758</t>
  </si>
  <si>
    <t>Q15759</t>
  </si>
  <si>
    <t>Q15771</t>
  </si>
  <si>
    <t>Q15785</t>
  </si>
  <si>
    <t>Q15800</t>
  </si>
  <si>
    <t>Q15813</t>
  </si>
  <si>
    <t>Q15814</t>
  </si>
  <si>
    <t>Q15819</t>
  </si>
  <si>
    <t>Q15831-2</t>
  </si>
  <si>
    <t>Q15833-2</t>
  </si>
  <si>
    <t>Q15834</t>
  </si>
  <si>
    <t>Q15836</t>
  </si>
  <si>
    <t>Q15847</t>
  </si>
  <si>
    <t>Q15904</t>
  </si>
  <si>
    <t>Q15907</t>
  </si>
  <si>
    <t>Q15942</t>
  </si>
  <si>
    <t>Q16082</t>
  </si>
  <si>
    <t>Q16134</t>
  </si>
  <si>
    <t>Q16143</t>
  </si>
  <si>
    <t>Q16181</t>
  </si>
  <si>
    <t>Q16186</t>
  </si>
  <si>
    <t>Q16204</t>
  </si>
  <si>
    <t>Q16222-3</t>
  </si>
  <si>
    <t>Q16254</t>
  </si>
  <si>
    <t>Q16270-2</t>
  </si>
  <si>
    <t>Q16352</t>
  </si>
  <si>
    <t>Q16363-2</t>
  </si>
  <si>
    <t>Q16401-2</t>
  </si>
  <si>
    <t>Q16512</t>
  </si>
  <si>
    <t>Q16513</t>
  </si>
  <si>
    <t>Q16531</t>
  </si>
  <si>
    <t>Q16539</t>
  </si>
  <si>
    <t>Q16539-2</t>
  </si>
  <si>
    <t>Q16543</t>
  </si>
  <si>
    <t>Q16555</t>
  </si>
  <si>
    <t>Q16566</t>
  </si>
  <si>
    <t>Q16576</t>
  </si>
  <si>
    <t>Q16585</t>
  </si>
  <si>
    <t>Q16610</t>
  </si>
  <si>
    <t>Q16619-2</t>
  </si>
  <si>
    <t>Q16625-5</t>
  </si>
  <si>
    <t>Q16626</t>
  </si>
  <si>
    <t>Q16643</t>
  </si>
  <si>
    <t>Q16644</t>
  </si>
  <si>
    <t>Q16647</t>
  </si>
  <si>
    <t>Q16658</t>
  </si>
  <si>
    <t>Q16706</t>
  </si>
  <si>
    <t>Q16718</t>
  </si>
  <si>
    <t>Q16720-8</t>
  </si>
  <si>
    <t>Q16740</t>
  </si>
  <si>
    <t>Q16762</t>
  </si>
  <si>
    <t>Q16775-2</t>
  </si>
  <si>
    <t>Q16799</t>
  </si>
  <si>
    <t>Q16822</t>
  </si>
  <si>
    <t>Q16831</t>
  </si>
  <si>
    <t>Q16832</t>
  </si>
  <si>
    <t>Q16850</t>
  </si>
  <si>
    <t>Q16851</t>
  </si>
  <si>
    <t>Q16854</t>
  </si>
  <si>
    <t>Q16864</t>
  </si>
  <si>
    <t>Q17R31-2</t>
  </si>
  <si>
    <t>Q17RU2</t>
  </si>
  <si>
    <t>Q1RMZ1</t>
  </si>
  <si>
    <t>Q27J81</t>
  </si>
  <si>
    <t>Q29RF7</t>
  </si>
  <si>
    <t>Q2M1Z3</t>
  </si>
  <si>
    <t>Q2M2I8-2</t>
  </si>
  <si>
    <t>Q2NL98</t>
  </si>
  <si>
    <t>Q2T9J0-2</t>
  </si>
  <si>
    <t>Q2TAA5</t>
  </si>
  <si>
    <t>Q2TAL8</t>
  </si>
  <si>
    <t>Q2TAM5</t>
  </si>
  <si>
    <t>Q2TAY7</t>
  </si>
  <si>
    <t>Q30201-5</t>
  </si>
  <si>
    <t>Q32MZ4-4</t>
  </si>
  <si>
    <t>Q32P28</t>
  </si>
  <si>
    <t>Q32P41</t>
  </si>
  <si>
    <t>Q32Q12</t>
  </si>
  <si>
    <t>Q3B726</t>
  </si>
  <si>
    <t>Q3KQU3-2</t>
  </si>
  <si>
    <t>Q3KQV9</t>
  </si>
  <si>
    <t>Q3KRA6</t>
  </si>
  <si>
    <t>Q3KRA9</t>
  </si>
  <si>
    <t>Q3LXA3</t>
  </si>
  <si>
    <t>Q3MHD2</t>
  </si>
  <si>
    <t>Q3MIT2</t>
  </si>
  <si>
    <t>Q3SXM5</t>
  </si>
  <si>
    <t>Q3SXZ0</t>
  </si>
  <si>
    <t>Q3SY69</t>
  </si>
  <si>
    <t>Q3T906</t>
  </si>
  <si>
    <t>Q3V6T2-4</t>
  </si>
  <si>
    <t>Q3YEC7</t>
  </si>
  <si>
    <t>Q3ZCM7</t>
  </si>
  <si>
    <t>Q3ZCQ8</t>
  </si>
  <si>
    <t>Q3ZCW2</t>
  </si>
  <si>
    <t>Q495W5-2</t>
  </si>
  <si>
    <t>Q49AH0-2</t>
  </si>
  <si>
    <t>Q49AR2</t>
  </si>
  <si>
    <t>Q49B96</t>
  </si>
  <si>
    <t>Q4G0F5</t>
  </si>
  <si>
    <t>Q4G0I0</t>
  </si>
  <si>
    <t>Q4G0N4</t>
  </si>
  <si>
    <t>Q4G0X4</t>
  </si>
  <si>
    <t>Q4G148-2</t>
  </si>
  <si>
    <t>Q4G176</t>
  </si>
  <si>
    <t>Q4J6C6-4</t>
  </si>
  <si>
    <t>Q4KMP7</t>
  </si>
  <si>
    <t>Q4KMQ2-3</t>
  </si>
  <si>
    <t>Q4KWH8-3</t>
  </si>
  <si>
    <t>Q4L180-3</t>
  </si>
  <si>
    <t>Q4LDE5</t>
  </si>
  <si>
    <t>Q4LDG9</t>
  </si>
  <si>
    <t>Q4V328</t>
  </si>
  <si>
    <t>Q4V9L6</t>
  </si>
  <si>
    <t>Q4VC05</t>
  </si>
  <si>
    <t>Q4VXZ8</t>
  </si>
  <si>
    <t>Q4ZIN3-2</t>
  </si>
  <si>
    <t>Q504U0</t>
  </si>
  <si>
    <t>Q52LW3</t>
  </si>
  <si>
    <t>Q53EL6-2</t>
  </si>
  <si>
    <t>Q53EP0</t>
  </si>
  <si>
    <t>Q53F39</t>
  </si>
  <si>
    <t>Q53FA7</t>
  </si>
  <si>
    <t>Q53FP2</t>
  </si>
  <si>
    <t>Q53FT3</t>
  </si>
  <si>
    <t>Q53GA4</t>
  </si>
  <si>
    <t>Q53GG5-2</t>
  </si>
  <si>
    <t>Q53GQ0</t>
  </si>
  <si>
    <t>Q53H82</t>
  </si>
  <si>
    <t>Q53H96</t>
  </si>
  <si>
    <t>Q53QV2</t>
  </si>
  <si>
    <t>Q53S33</t>
  </si>
  <si>
    <t>Q53T59</t>
  </si>
  <si>
    <t>Q53TN4-3</t>
  </si>
  <si>
    <t>Q53XA7</t>
  </si>
  <si>
    <t>Q562R1</t>
  </si>
  <si>
    <t>Q567Q0</t>
  </si>
  <si>
    <t>Q569H4</t>
  </si>
  <si>
    <t>Q56VL3</t>
  </si>
  <si>
    <t>Q587I9</t>
  </si>
  <si>
    <t>Q58DX5</t>
  </si>
  <si>
    <t>Q58FF6</t>
  </si>
  <si>
    <t>Q58FF8</t>
  </si>
  <si>
    <t>Q58FG1</t>
  </si>
  <si>
    <t>Q58WW2-3</t>
  </si>
  <si>
    <t>Q59GN2</t>
  </si>
  <si>
    <t>Q5BJH7-6</t>
  </si>
  <si>
    <t>Q5BKU9</t>
  </si>
  <si>
    <t>Q5BKX5</t>
  </si>
  <si>
    <t>Q5D1E8</t>
  </si>
  <si>
    <t>Q5EBL4</t>
  </si>
  <si>
    <t>Q5EBL8</t>
  </si>
  <si>
    <t>Q5GJ75</t>
  </si>
  <si>
    <t>Q5GLZ8-2</t>
  </si>
  <si>
    <t>Q5H937</t>
  </si>
  <si>
    <t>Q5H9A7</t>
  </si>
  <si>
    <t>Q5H9L1</t>
  </si>
  <si>
    <t>Q5HYI7</t>
  </si>
  <si>
    <t>Q5HYI8</t>
  </si>
  <si>
    <t>Q5HYK3</t>
  </si>
  <si>
    <t>Q5HYK7</t>
  </si>
  <si>
    <t>Q5JP53</t>
  </si>
  <si>
    <t>Q5JPE7-2</t>
  </si>
  <si>
    <t>Q5JPH6</t>
  </si>
  <si>
    <t>Q5JPI9</t>
  </si>
  <si>
    <t>Q5JQQ4</t>
  </si>
  <si>
    <t>Q5JR08</t>
  </si>
  <si>
    <t>Q5JRA6</t>
  </si>
  <si>
    <t>Q5JRG1</t>
  </si>
  <si>
    <t>Q5JRI1</t>
  </si>
  <si>
    <t>Q5JRX3</t>
  </si>
  <si>
    <t>Q5JS36</t>
  </si>
  <si>
    <t>Q5JS37</t>
  </si>
  <si>
    <t>Q5JS54</t>
  </si>
  <si>
    <t>Q5JSH3-2</t>
  </si>
  <si>
    <t>Q5JSK7</t>
  </si>
  <si>
    <t>Q5JSZ5</t>
  </si>
  <si>
    <t>Q5JTD0-2</t>
  </si>
  <si>
    <t>Q5JTJ3-3</t>
  </si>
  <si>
    <t>Q5JTV8</t>
  </si>
  <si>
    <t>Q5JTZ9</t>
  </si>
  <si>
    <t>Q5JU21</t>
  </si>
  <si>
    <t>Q5JU69</t>
  </si>
  <si>
    <t>Q5JV73</t>
  </si>
  <si>
    <t>Q5JVF3-3</t>
  </si>
  <si>
    <t>Q5JVS0</t>
  </si>
  <si>
    <t>Q5JVZ5</t>
  </si>
  <si>
    <t>Q5JW02</t>
  </si>
  <si>
    <t>Q5JW30</t>
  </si>
  <si>
    <t>Q5JWB9</t>
  </si>
  <si>
    <t>Q5JXX2</t>
  </si>
  <si>
    <t>Q5JY65</t>
  </si>
  <si>
    <t>Q5JYT7</t>
  </si>
  <si>
    <t>Q5JZH3</t>
  </si>
  <si>
    <t>Q5K4L6</t>
  </si>
  <si>
    <t>Q5KU26</t>
  </si>
  <si>
    <t>Q5M775-4</t>
  </si>
  <si>
    <t>Q5MIZ7-3</t>
  </si>
  <si>
    <t>Q5MNZ6</t>
  </si>
  <si>
    <t>Q5MNZ9-2</t>
  </si>
  <si>
    <t>Q5NDL2</t>
  </si>
  <si>
    <t>Q5QJ74</t>
  </si>
  <si>
    <t>Q5QNY5</t>
  </si>
  <si>
    <t>Q5QNZ2</t>
  </si>
  <si>
    <t>Q5QP56</t>
  </si>
  <si>
    <t>Q5QPK2</t>
  </si>
  <si>
    <t>Q5QPM7</t>
  </si>
  <si>
    <t>Q5R372-4</t>
  </si>
  <si>
    <t>Q5R372-7</t>
  </si>
  <si>
    <t>Q5R3B4</t>
  </si>
  <si>
    <t>Q5R3E4</t>
  </si>
  <si>
    <t>Q5RI15</t>
  </si>
  <si>
    <t>Q5RJ85</t>
  </si>
  <si>
    <t>Q5RKV6</t>
  </si>
  <si>
    <t>Q5SNW6</t>
  </si>
  <si>
    <t>Q5SPY9</t>
  </si>
  <si>
    <t>Q5SQU3</t>
  </si>
  <si>
    <t>Q5SR56</t>
  </si>
  <si>
    <t>Q5SRE7-2</t>
  </si>
  <si>
    <t>Q5SRN5</t>
  </si>
  <si>
    <t>Q5SRQ6</t>
  </si>
  <si>
    <t>Q5SVK8</t>
  </si>
  <si>
    <t>Q5SW96</t>
  </si>
  <si>
    <t>Q5SWX3</t>
  </si>
  <si>
    <t>Q5SWX8</t>
  </si>
  <si>
    <t>Q5SX86</t>
  </si>
  <si>
    <t>Q5SXM8</t>
  </si>
  <si>
    <t>Q5SYE7-2</t>
  </si>
  <si>
    <t>Q5SZE2</t>
  </si>
  <si>
    <t>Q5T0D9</t>
  </si>
  <si>
    <t>Q5T0N5-3</t>
  </si>
  <si>
    <t>Q5T0S4</t>
  </si>
  <si>
    <t>Q5T123</t>
  </si>
  <si>
    <t>Q5T160</t>
  </si>
  <si>
    <t>Q5T171</t>
  </si>
  <si>
    <t>Q5T179</t>
  </si>
  <si>
    <t>Q5T1C6</t>
  </si>
  <si>
    <t>Q5T1M5</t>
  </si>
  <si>
    <t>Q5T1N9</t>
  </si>
  <si>
    <t>Q5T1V6</t>
  </si>
  <si>
    <t>Q5T1Z4</t>
  </si>
  <si>
    <t>Q5T200-2</t>
  </si>
  <si>
    <t>Q5T2E6</t>
  </si>
  <si>
    <t>Q5T3F8</t>
  </si>
  <si>
    <t>Q5T3J3-2</t>
  </si>
  <si>
    <t>Q5T440</t>
  </si>
  <si>
    <t>Q5T4B2</t>
  </si>
  <si>
    <t>Q5T4P9</t>
  </si>
  <si>
    <t>Q5T4S7-3</t>
  </si>
  <si>
    <t>Q5T4U5</t>
  </si>
  <si>
    <t>Q5T593</t>
  </si>
  <si>
    <t>Q5T5C0</t>
  </si>
  <si>
    <t>Q5T5U3</t>
  </si>
  <si>
    <t>Q5T5Y3-2</t>
  </si>
  <si>
    <t>Q5T6F2</t>
  </si>
  <si>
    <t>Q5T6V5</t>
  </si>
  <si>
    <t>Q5T6X4</t>
  </si>
  <si>
    <t>Q5T7M9</t>
  </si>
  <si>
    <t>Q5T7V8</t>
  </si>
  <si>
    <t>Q5T8D3-2</t>
  </si>
  <si>
    <t>Q5T8I0</t>
  </si>
  <si>
    <t>Q5T8N1</t>
  </si>
  <si>
    <t>Q5T8P6-2</t>
  </si>
  <si>
    <t>Q5T8T7</t>
  </si>
  <si>
    <t>Q5T8U5</t>
  </si>
  <si>
    <t>Q5T9B7</t>
  </si>
  <si>
    <t>Q5T9P7</t>
  </si>
  <si>
    <t>Q5TA50</t>
  </si>
  <si>
    <t>Q5TAA8</t>
  </si>
  <si>
    <t>Q5TC82-2</t>
  </si>
  <si>
    <t>Q5TD07</t>
  </si>
  <si>
    <t>Q5TDH0</t>
  </si>
  <si>
    <t>Q5TEA3</t>
  </si>
  <si>
    <t>Q5TEE2</t>
  </si>
  <si>
    <t>Q5TEU4</t>
  </si>
  <si>
    <t>Q5TFE4</t>
  </si>
  <si>
    <t>Q5TG81</t>
  </si>
  <si>
    <t>Q5TGE1</t>
  </si>
  <si>
    <t>Q5TGL8</t>
  </si>
  <si>
    <t>Q5TGY1</t>
  </si>
  <si>
    <t>Q5TIE1</t>
  </si>
  <si>
    <t>Q5TIH2</t>
  </si>
  <si>
    <t>Q5TZA2</t>
  </si>
  <si>
    <t>Q5U5Q3</t>
  </si>
  <si>
    <t>Q5U5X0</t>
  </si>
  <si>
    <t>Q5VIR6-4</t>
  </si>
  <si>
    <t>Q5VSL9</t>
  </si>
  <si>
    <t>Q5VST6</t>
  </si>
  <si>
    <t>Q5VT52-2</t>
  </si>
  <si>
    <t>Q5VT94</t>
  </si>
  <si>
    <t>Q5VTQ0-2</t>
  </si>
  <si>
    <t>Q5VTR2</t>
  </si>
  <si>
    <t>Q5VTU3</t>
  </si>
  <si>
    <t>Q5VU10</t>
  </si>
  <si>
    <t>Q5VU97</t>
  </si>
  <si>
    <t>Q5VUA4</t>
  </si>
  <si>
    <t>Q5VUE5</t>
  </si>
  <si>
    <t>Q5VUJ6-2</t>
  </si>
  <si>
    <t>Q5VUM1</t>
  </si>
  <si>
    <t>Q5VV89</t>
  </si>
  <si>
    <t>Q5VVD7</t>
  </si>
  <si>
    <t>Q5VVQ6-2</t>
  </si>
  <si>
    <t>Q5VVW5</t>
  </si>
  <si>
    <t>Q5VW27</t>
  </si>
  <si>
    <t>Q5VW32</t>
  </si>
  <si>
    <t>Q5VWJ9</t>
  </si>
  <si>
    <t>Q5VWQ8-2</t>
  </si>
  <si>
    <t>Q5VWU8</t>
  </si>
  <si>
    <t>Q5VWZ2</t>
  </si>
  <si>
    <t>Q5VY43</t>
  </si>
  <si>
    <t>Q5VYS8-2</t>
  </si>
  <si>
    <t>Q5VYX0-2</t>
  </si>
  <si>
    <t>Q5VZE5</t>
  </si>
  <si>
    <t>Q5VZI3-2</t>
  </si>
  <si>
    <t>Q5VZK9</t>
  </si>
  <si>
    <t>Q5VZZ6</t>
  </si>
  <si>
    <t>Q5W0A2</t>
  </si>
  <si>
    <t>Q5W0V3</t>
  </si>
  <si>
    <t>Q5W0Z9-3</t>
  </si>
  <si>
    <t>Q5W111</t>
  </si>
  <si>
    <t>Q5W145</t>
  </si>
  <si>
    <t>Q5XKP0</t>
  </si>
  <si>
    <t>Q5XPI4</t>
  </si>
  <si>
    <t>Q5XUX1-3</t>
  </si>
  <si>
    <t>Q5ZPR3</t>
  </si>
  <si>
    <t>Q63HM1</t>
  </si>
  <si>
    <t>Q63HN8</t>
  </si>
  <si>
    <t>Q63HQ0</t>
  </si>
  <si>
    <t>Q63ZY3-3</t>
  </si>
  <si>
    <t>Q641Q2</t>
  </si>
  <si>
    <t>Q658P3-3</t>
  </si>
  <si>
    <t>Q66K14-2</t>
  </si>
  <si>
    <t>Q66LE6</t>
  </si>
  <si>
    <t>Q66PJ3</t>
  </si>
  <si>
    <t>Q674X7-3</t>
  </si>
  <si>
    <t>Q68CQ4</t>
  </si>
  <si>
    <t>Q68CQ7</t>
  </si>
  <si>
    <t>Q68CZ2</t>
  </si>
  <si>
    <t>Q68D91</t>
  </si>
  <si>
    <t>Q68DM5</t>
  </si>
  <si>
    <t>Q68EM7-6</t>
  </si>
  <si>
    <t>Q69YL0</t>
  </si>
  <si>
    <t>Q69YN2-3</t>
  </si>
  <si>
    <t>Q69YQ0-2</t>
  </si>
  <si>
    <t>Q69YU5</t>
  </si>
  <si>
    <t>Q6AWC2-4</t>
  </si>
  <si>
    <t>Q6AZY7-2</t>
  </si>
  <si>
    <t>Q6BCY4</t>
  </si>
  <si>
    <t>Q6DD88</t>
  </si>
  <si>
    <t>Q6DHV7</t>
  </si>
  <si>
    <t>Q6DKJ4</t>
  </si>
  <si>
    <t>Q6DKK2</t>
  </si>
  <si>
    <t>Q6EEV4-2</t>
  </si>
  <si>
    <t>Q6EMK4</t>
  </si>
  <si>
    <t>Q6FI81-3</t>
  </si>
  <si>
    <t>Q6FIF0-2</t>
  </si>
  <si>
    <t>Q6GMV2</t>
  </si>
  <si>
    <t>Q6GMV3</t>
  </si>
  <si>
    <t>Q6GQQ9</t>
  </si>
  <si>
    <t>Q6GYA4</t>
  </si>
  <si>
    <t>Q6I9Y2</t>
  </si>
  <si>
    <t>Q6IA69</t>
  </si>
  <si>
    <t>Q6IA86-3</t>
  </si>
  <si>
    <t>Q6IAA8</t>
  </si>
  <si>
    <t>Q6IAN0</t>
  </si>
  <si>
    <t>Q6IBS0</t>
  </si>
  <si>
    <t>Q6ICB0</t>
  </si>
  <si>
    <t>Q6ICB4</t>
  </si>
  <si>
    <t>Q6ICG6</t>
  </si>
  <si>
    <t>Q6ICJ4</t>
  </si>
  <si>
    <t>Q6ICL3</t>
  </si>
  <si>
    <t>Q6IN85-2</t>
  </si>
  <si>
    <t>Q6IQ22</t>
  </si>
  <si>
    <t>Q6IQ49-3</t>
  </si>
  <si>
    <t>Q6JVM2</t>
  </si>
  <si>
    <t>Q6N022</t>
  </si>
  <si>
    <t>Q6N063</t>
  </si>
  <si>
    <t>Q6NSJ0</t>
  </si>
  <si>
    <t>Q6NT16</t>
  </si>
  <si>
    <t>Q6NT89</t>
  </si>
  <si>
    <t>Q6NUK1</t>
  </si>
  <si>
    <t>Q6NUK4</t>
  </si>
  <si>
    <t>Q6NUM9</t>
  </si>
  <si>
    <t>Q6NUQ1</t>
  </si>
  <si>
    <t>Q6NUQ4-2</t>
  </si>
  <si>
    <t>Q6NVU6</t>
  </si>
  <si>
    <t>Q6NVY1</t>
  </si>
  <si>
    <t>Q6NXT1</t>
  </si>
  <si>
    <t>Q6NXT6</t>
  </si>
  <si>
    <t>Q6NYC8</t>
  </si>
  <si>
    <t>Q6NZ53</t>
  </si>
  <si>
    <t>Q6NZI2</t>
  </si>
  <si>
    <t>Q6NZY7</t>
  </si>
  <si>
    <t>Q6P161</t>
  </si>
  <si>
    <t>Q6P179</t>
  </si>
  <si>
    <t>Q6P1J9</t>
  </si>
  <si>
    <t>Q6P1K2-4</t>
  </si>
  <si>
    <t>Q6P1L8</t>
  </si>
  <si>
    <t>Q6P1M0</t>
  </si>
  <si>
    <t>Q6P1N0-2</t>
  </si>
  <si>
    <t>Q6P1Q9</t>
  </si>
  <si>
    <t>Q6P1R4</t>
  </si>
  <si>
    <t>Q6P1X6</t>
  </si>
  <si>
    <t>Q6P2E9</t>
  </si>
  <si>
    <t>Q6P2P2</t>
  </si>
  <si>
    <t>Q6P3S1-5</t>
  </si>
  <si>
    <t>Q6P3W7</t>
  </si>
  <si>
    <t>Q6P3X3</t>
  </si>
  <si>
    <t>Q6P499-2</t>
  </si>
  <si>
    <t>Q6P4E1</t>
  </si>
  <si>
    <t>Q6P4F2</t>
  </si>
  <si>
    <t>Q6P4I2</t>
  </si>
  <si>
    <t>Q6P4R8-3</t>
  </si>
  <si>
    <t>Q6P582</t>
  </si>
  <si>
    <t>Q6P587</t>
  </si>
  <si>
    <t>Q6P6B1</t>
  </si>
  <si>
    <t>Q6P6C2-3</t>
  </si>
  <si>
    <t>Q6P9B6</t>
  </si>
  <si>
    <t>Q6P9B9</t>
  </si>
  <si>
    <t>Q6PCE3</t>
  </si>
  <si>
    <t>Q6PD74</t>
  </si>
  <si>
    <t>Q6PGP7</t>
  </si>
  <si>
    <t>Q6PHR2-3</t>
  </si>
  <si>
    <t>Q6PI78</t>
  </si>
  <si>
    <t>Q6PID6</t>
  </si>
  <si>
    <t>Q6PII3</t>
  </si>
  <si>
    <t>Q6PII5-2</t>
  </si>
  <si>
    <t>Q6PJ69</t>
  </si>
  <si>
    <t>Q6PJT7-5</t>
  </si>
  <si>
    <t>Q6PJW8</t>
  </si>
  <si>
    <t>Q6PK18</t>
  </si>
  <si>
    <t>Q6PKG0</t>
  </si>
  <si>
    <t>Q6PL24</t>
  </si>
  <si>
    <t>Q6PML9</t>
  </si>
  <si>
    <t>Q6QHF9-2</t>
  </si>
  <si>
    <t>Q6QNY0</t>
  </si>
  <si>
    <t>Q6QNY1</t>
  </si>
  <si>
    <t>Q6RW13-2</t>
  </si>
  <si>
    <t>Q6T4R5-4</t>
  </si>
  <si>
    <t>Q6UB28</t>
  </si>
  <si>
    <t>Q6UB35</t>
  </si>
  <si>
    <t>Q6ULP2-3</t>
  </si>
  <si>
    <t>Q6UN15-3</t>
  </si>
  <si>
    <t>Q6UUV7-3</t>
  </si>
  <si>
    <t>Q6UUV9-3</t>
  </si>
  <si>
    <t>Q6UVK1</t>
  </si>
  <si>
    <t>Q6UVY6-2</t>
  </si>
  <si>
    <t>Q6UW56</t>
  </si>
  <si>
    <t>Q6UW63</t>
  </si>
  <si>
    <t>Q6UW78</t>
  </si>
  <si>
    <t>Q6UWE0</t>
  </si>
  <si>
    <t>Q6UWH4</t>
  </si>
  <si>
    <t>Q6UWP2</t>
  </si>
  <si>
    <t>Q6UWP7-3</t>
  </si>
  <si>
    <t>Q6UWS5</t>
  </si>
  <si>
    <t>Q6UWU4</t>
  </si>
  <si>
    <t>Q6UWY0</t>
  </si>
  <si>
    <t>Q6UX04</t>
  </si>
  <si>
    <t>Q6UX15-2</t>
  </si>
  <si>
    <t>Q6UX53</t>
  </si>
  <si>
    <t>Q6UX71</t>
  </si>
  <si>
    <t>Q6UXD5-6</t>
  </si>
  <si>
    <t>Q6UXH1-4</t>
  </si>
  <si>
    <t>Q6UXH8</t>
  </si>
  <si>
    <t>Q6UXN9</t>
  </si>
  <si>
    <t>Q6UXV4</t>
  </si>
  <si>
    <t>Q6V0I7-3</t>
  </si>
  <si>
    <t>Q6V1X1-2</t>
  </si>
  <si>
    <t>Q6VY07</t>
  </si>
  <si>
    <t>Q6WCQ1</t>
  </si>
  <si>
    <t>Q6WKZ4</t>
  </si>
  <si>
    <t>Q6XQN6</t>
  </si>
  <si>
    <t>Q6Y288</t>
  </si>
  <si>
    <t>Q6Y7W6-4</t>
  </si>
  <si>
    <t>Q6YHK3</t>
  </si>
  <si>
    <t>Q6YHU6-3</t>
  </si>
  <si>
    <t>Q6YN16</t>
  </si>
  <si>
    <t>Q6YP21-3</t>
  </si>
  <si>
    <t>Q6ZMG9</t>
  </si>
  <si>
    <t>Q6ZMZ3-2</t>
  </si>
  <si>
    <t>Q6ZN03</t>
  </si>
  <si>
    <t>Q6ZN18-2</t>
  </si>
  <si>
    <t>Q6ZNW5</t>
  </si>
  <si>
    <t>Q6ZPD9</t>
  </si>
  <si>
    <t>Q6ZRP7</t>
  </si>
  <si>
    <t>Q6ZS17-2</t>
  </si>
  <si>
    <t>Q6ZSJ8</t>
  </si>
  <si>
    <t>Q6ZSS7</t>
  </si>
  <si>
    <t>Q6ZT21-2</t>
  </si>
  <si>
    <t>Q6ZTN6-3</t>
  </si>
  <si>
    <t>Q6ZUT6</t>
  </si>
  <si>
    <t>Q6ZUX7</t>
  </si>
  <si>
    <t>Q6ZVK8</t>
  </si>
  <si>
    <t>Q6ZVM7</t>
  </si>
  <si>
    <t>Q6ZWT7</t>
  </si>
  <si>
    <t>Q6ZXV5-2</t>
  </si>
  <si>
    <t>Q6ZYL4</t>
  </si>
  <si>
    <t>Q709C8-3</t>
  </si>
  <si>
    <t>Q709F0</t>
  </si>
  <si>
    <t>Q70E73-7</t>
  </si>
  <si>
    <t>Q70IA6</t>
  </si>
  <si>
    <t>Q70UQ0</t>
  </si>
  <si>
    <t>Q70UQ0-4</t>
  </si>
  <si>
    <t>Q712K3</t>
  </si>
  <si>
    <t>Q71RC2-6</t>
  </si>
  <si>
    <t>Q71U36-2</t>
  </si>
  <si>
    <t>Q765P7</t>
  </si>
  <si>
    <t>Q76M96</t>
  </si>
  <si>
    <t>Q7KYR7-5</t>
  </si>
  <si>
    <t>Q7KZ85</t>
  </si>
  <si>
    <t>Q7KZ85-2</t>
  </si>
  <si>
    <t>Q7KZF4</t>
  </si>
  <si>
    <t>Q7L014</t>
  </si>
  <si>
    <t>Q7L099-3</t>
  </si>
  <si>
    <t>Q7L0J3-2</t>
  </si>
  <si>
    <t>Q7L0Y3</t>
  </si>
  <si>
    <t>Q7L1Q6</t>
  </si>
  <si>
    <t>Q7L1T6</t>
  </si>
  <si>
    <t>Q7L211</t>
  </si>
  <si>
    <t>Q7L273</t>
  </si>
  <si>
    <t>Q7L2H7</t>
  </si>
  <si>
    <t>Q7L4I2-2</t>
  </si>
  <si>
    <t>Q7L523</t>
  </si>
  <si>
    <t>Q7L576</t>
  </si>
  <si>
    <t>Q7L592</t>
  </si>
  <si>
    <t>Q7L5D6</t>
  </si>
  <si>
    <t>Q7L5N7</t>
  </si>
  <si>
    <t>Q7L5Y1</t>
  </si>
  <si>
    <t>Q7L775</t>
  </si>
  <si>
    <t>Q7L7X3</t>
  </si>
  <si>
    <t>Q7L804</t>
  </si>
  <si>
    <t>Q7L8J4</t>
  </si>
  <si>
    <t>Q7LBC6</t>
  </si>
  <si>
    <t>Q7LBR1</t>
  </si>
  <si>
    <t>Q7LG56</t>
  </si>
  <si>
    <t>Q7LGA3</t>
  </si>
  <si>
    <t>Q7LGC8</t>
  </si>
  <si>
    <t>Q7RTP6</t>
  </si>
  <si>
    <t>Q7RTS9</t>
  </si>
  <si>
    <t>Q7RTV0</t>
  </si>
  <si>
    <t>Q7RTV5</t>
  </si>
  <si>
    <t>Q7Z2K8</t>
  </si>
  <si>
    <t>Q7Z2X4-4</t>
  </si>
  <si>
    <t>Q7Z2Z2</t>
  </si>
  <si>
    <t>Q7Z388</t>
  </si>
  <si>
    <t>Q7Z3B1</t>
  </si>
  <si>
    <t>Q7Z3D4</t>
  </si>
  <si>
    <t>Q7Z3D6-2</t>
  </si>
  <si>
    <t>Q7Z3E2</t>
  </si>
  <si>
    <t>Q7Z3E5</t>
  </si>
  <si>
    <t>Q7Z3T8</t>
  </si>
  <si>
    <t>Q7Z3V4</t>
  </si>
  <si>
    <t>Q7Z417</t>
  </si>
  <si>
    <t>Q7Z422-2</t>
  </si>
  <si>
    <t>Q7Z434</t>
  </si>
  <si>
    <t>Q7Z449</t>
  </si>
  <si>
    <t>Q7Z478</t>
  </si>
  <si>
    <t>Q7Z4F1</t>
  </si>
  <si>
    <t>Q7Z4G1</t>
  </si>
  <si>
    <t>Q7Z4G4-2</t>
  </si>
  <si>
    <t>Q7Z4H3</t>
  </si>
  <si>
    <t>Q7Z4H7-3</t>
  </si>
  <si>
    <t>Q7Z4H8</t>
  </si>
  <si>
    <t>Q7Z4L0</t>
  </si>
  <si>
    <t>Q7Z4N8</t>
  </si>
  <si>
    <t>Q7Z4Q2</t>
  </si>
  <si>
    <t>Q7Z4W1</t>
  </si>
  <si>
    <t>Q7Z5G4-3</t>
  </si>
  <si>
    <t>Q7Z5H3-3</t>
  </si>
  <si>
    <t>Q7Z5K2</t>
  </si>
  <si>
    <t>Q7Z5L2-2</t>
  </si>
  <si>
    <t>Q7Z5L7</t>
  </si>
  <si>
    <t>Q7Z5R6</t>
  </si>
  <si>
    <t>Q7Z624</t>
  </si>
  <si>
    <t>Q7Z6B0-2</t>
  </si>
  <si>
    <t>Q7Z6B7</t>
  </si>
  <si>
    <t>Q7Z6E9-4</t>
  </si>
  <si>
    <t>Q7Z6J0</t>
  </si>
  <si>
    <t>Q7Z6K3</t>
  </si>
  <si>
    <t>Q7Z6K5</t>
  </si>
  <si>
    <t>Q7Z6L1</t>
  </si>
  <si>
    <t>Q7Z6M1</t>
  </si>
  <si>
    <t>Q7Z6M3</t>
  </si>
  <si>
    <t>Q7Z6M4</t>
  </si>
  <si>
    <t>Q7Z6V5-2</t>
  </si>
  <si>
    <t>Q7Z6Z7-2</t>
  </si>
  <si>
    <t>Q7Z7A3</t>
  </si>
  <si>
    <t>Q7Z7A4</t>
  </si>
  <si>
    <t>Q7Z7E8</t>
  </si>
  <si>
    <t>Q7Z7H5-3</t>
  </si>
  <si>
    <t>Q7Z7J9</t>
  </si>
  <si>
    <t>Q7Z7L8</t>
  </si>
  <si>
    <t>Q7Z7M9</t>
  </si>
  <si>
    <t>Q7Z7N9</t>
  </si>
  <si>
    <t>Q86SF2</t>
  </si>
  <si>
    <t>Q86SJ2</t>
  </si>
  <si>
    <t>Q86SQ0</t>
  </si>
  <si>
    <t>Q86SQ7</t>
  </si>
  <si>
    <t>Q86SQ9-3</t>
  </si>
  <si>
    <t>Q86SR1</t>
  </si>
  <si>
    <t>Q86SX6</t>
  </si>
  <si>
    <t>Q86SZ2</t>
  </si>
  <si>
    <t>Q86T13</t>
  </si>
  <si>
    <t>Q86TB9-4</t>
  </si>
  <si>
    <t>Q86TG1</t>
  </si>
  <si>
    <t>Q86TI2</t>
  </si>
  <si>
    <t>Q86TP1</t>
  </si>
  <si>
    <t>Q86TS9-3</t>
  </si>
  <si>
    <t>Q86TU7</t>
  </si>
  <si>
    <t>Q86TV2</t>
  </si>
  <si>
    <t>Q86TX2</t>
  </si>
  <si>
    <t>Q86U28</t>
  </si>
  <si>
    <t>Q86U44</t>
  </si>
  <si>
    <t>Q86U90</t>
  </si>
  <si>
    <t>Q86UA1</t>
  </si>
  <si>
    <t>Q86UE4</t>
  </si>
  <si>
    <t>Q86UK7-2</t>
  </si>
  <si>
    <t>Q86UL3</t>
  </si>
  <si>
    <t>Q86UL8-2</t>
  </si>
  <si>
    <t>Q86UP2</t>
  </si>
  <si>
    <t>Q86US8</t>
  </si>
  <si>
    <t>Q86UU0-4</t>
  </si>
  <si>
    <t>Q86UU1-2</t>
  </si>
  <si>
    <t>Q86UY0</t>
  </si>
  <si>
    <t>Q86UY8-2</t>
  </si>
  <si>
    <t>Q86V21</t>
  </si>
  <si>
    <t>Q86V48</t>
  </si>
  <si>
    <t>Q86V84</t>
  </si>
  <si>
    <t>Q86V85</t>
  </si>
  <si>
    <t>Q86V87</t>
  </si>
  <si>
    <t>Q86VG3</t>
  </si>
  <si>
    <t>Q86VN1-2</t>
  </si>
  <si>
    <t>Q86VP6</t>
  </si>
  <si>
    <t>Q86VQ1</t>
  </si>
  <si>
    <t>Q86VR2</t>
  </si>
  <si>
    <t>Q86VS8</t>
  </si>
  <si>
    <t>Q86VU3</t>
  </si>
  <si>
    <t>Q86VW0</t>
  </si>
  <si>
    <t>Q86VZ4</t>
  </si>
  <si>
    <t>Q86W33</t>
  </si>
  <si>
    <t>Q86W34</t>
  </si>
  <si>
    <t>Q86WA6-2</t>
  </si>
  <si>
    <t>Q86WA9</t>
  </si>
  <si>
    <t>Q86WG5</t>
  </si>
  <si>
    <t>Q86WN1</t>
  </si>
  <si>
    <t>Q86WQ0</t>
  </si>
  <si>
    <t>Q86WR0</t>
  </si>
  <si>
    <t>Q86WR7</t>
  </si>
  <si>
    <t>Q86WV5</t>
  </si>
  <si>
    <t>Q86WV6</t>
  </si>
  <si>
    <t>Q86WV7</t>
  </si>
  <si>
    <t>Q86X02</t>
  </si>
  <si>
    <t>Q86X19</t>
  </si>
  <si>
    <t>Q86X27</t>
  </si>
  <si>
    <t>Q86X55-1</t>
  </si>
  <si>
    <t>Q86X76-2</t>
  </si>
  <si>
    <t>Q86XP3</t>
  </si>
  <si>
    <t>Q86XZ4</t>
  </si>
  <si>
    <t>Q86Y37</t>
  </si>
  <si>
    <t>Q86Y38</t>
  </si>
  <si>
    <t>Q86Y39</t>
  </si>
  <si>
    <t>Q86Y56</t>
  </si>
  <si>
    <t>Q86Y82</t>
  </si>
  <si>
    <t>Q86YB8</t>
  </si>
  <si>
    <t>Q86YH6</t>
  </si>
  <si>
    <t>Q86YM7</t>
  </si>
  <si>
    <t>Q86YP4-2</t>
  </si>
  <si>
    <t>Q86YQ8</t>
  </si>
  <si>
    <t>Q86YR5-4</t>
  </si>
  <si>
    <t>Q86YS6</t>
  </si>
  <si>
    <t>Q86YV5</t>
  </si>
  <si>
    <t>Q8IU85-2</t>
  </si>
  <si>
    <t>Q8IUC6</t>
  </si>
  <si>
    <t>Q8IUD2</t>
  </si>
  <si>
    <t>Q8IUI8</t>
  </si>
  <si>
    <t>Q8IUR0</t>
  </si>
  <si>
    <t>Q8IUW3</t>
  </si>
  <si>
    <t>Q8IUW5</t>
  </si>
  <si>
    <t>Q8IUX1-4</t>
  </si>
  <si>
    <t>Q8IUZ5</t>
  </si>
  <si>
    <t>Q8IV08</t>
  </si>
  <si>
    <t>Q8IV20</t>
  </si>
  <si>
    <t>Q8IV38</t>
  </si>
  <si>
    <t>Q8IV50</t>
  </si>
  <si>
    <t>Q8IVB5</t>
  </si>
  <si>
    <t>Q8IVD9</t>
  </si>
  <si>
    <t>Q8IVF2-3</t>
  </si>
  <si>
    <t>Q8IVH4</t>
  </si>
  <si>
    <t>Q8IVL5</t>
  </si>
  <si>
    <t>Q8IVM0</t>
  </si>
  <si>
    <t>Q8IVS2</t>
  </si>
  <si>
    <t>Q8IW45</t>
  </si>
  <si>
    <t>Q8IWA4</t>
  </si>
  <si>
    <t>Q8IWA5</t>
  </si>
  <si>
    <t>Q8IWB1</t>
  </si>
  <si>
    <t>Q8IWB7</t>
  </si>
  <si>
    <t>Q8IWB9</t>
  </si>
  <si>
    <t>Q8IWC1-2</t>
  </si>
  <si>
    <t>Q8IWE2</t>
  </si>
  <si>
    <t>Q8IWE4</t>
  </si>
  <si>
    <t>Q8IWJ2</t>
  </si>
  <si>
    <t>Q8IWL3</t>
  </si>
  <si>
    <t>Q8IWV7</t>
  </si>
  <si>
    <t>Q8IWV8-4</t>
  </si>
  <si>
    <t>Q8IWW6-2</t>
  </si>
  <si>
    <t>Q8IWW6-3</t>
  </si>
  <si>
    <t>Q8IWW8-2</t>
  </si>
  <si>
    <t>Q8IWZ3-6</t>
  </si>
  <si>
    <t>Q8IWZ8</t>
  </si>
  <si>
    <t>Q8IX04</t>
  </si>
  <si>
    <t>Q8IX12-2</t>
  </si>
  <si>
    <t>Q8IXB1</t>
  </si>
  <si>
    <t>Q8IXI2-4</t>
  </si>
  <si>
    <t>Q8IXJ6-2</t>
  </si>
  <si>
    <t>Q8IXQ4</t>
  </si>
  <si>
    <t>Q8IY17-3</t>
  </si>
  <si>
    <t>Q8IY22-3</t>
  </si>
  <si>
    <t>Q8IY26</t>
  </si>
  <si>
    <t>Q8IY31</t>
  </si>
  <si>
    <t>Q8IY33</t>
  </si>
  <si>
    <t>Q8IY95-2</t>
  </si>
  <si>
    <t>Q8IYB1</t>
  </si>
  <si>
    <t>Q8IYB5-3</t>
  </si>
  <si>
    <t>Q8IYB7</t>
  </si>
  <si>
    <t>Q8IYB8</t>
  </si>
  <si>
    <t>Q8IYD1</t>
  </si>
  <si>
    <t>Q8IYI6</t>
  </si>
  <si>
    <t>Q8IYL3</t>
  </si>
  <si>
    <t>Q8IYM9-2</t>
  </si>
  <si>
    <t>Q8IYN6</t>
  </si>
  <si>
    <t>Q8IYQ7</t>
  </si>
  <si>
    <t>Q8IYS2</t>
  </si>
  <si>
    <t>Q8IYU8</t>
  </si>
  <si>
    <t>Q8IZ07</t>
  </si>
  <si>
    <t>Q8IZ21-3</t>
  </si>
  <si>
    <t>Q8IZ68</t>
  </si>
  <si>
    <t>Q8IZ73</t>
  </si>
  <si>
    <t>Q8IZ81</t>
  </si>
  <si>
    <t>Q8IZ83</t>
  </si>
  <si>
    <t>Q8IZD4</t>
  </si>
  <si>
    <t>Q8IZE3-2</t>
  </si>
  <si>
    <t>Q8IZJ1-2</t>
  </si>
  <si>
    <t>Q8IZL2</t>
  </si>
  <si>
    <t>Q8IZR5-3</t>
  </si>
  <si>
    <t>Q8IZV5</t>
  </si>
  <si>
    <t>Q8N0T1</t>
  </si>
  <si>
    <t>Q8N0U4</t>
  </si>
  <si>
    <t>Q8N0U8</t>
  </si>
  <si>
    <t>Q8N0W3</t>
  </si>
  <si>
    <t>Q8N0X4</t>
  </si>
  <si>
    <t>Q8N0X7</t>
  </si>
  <si>
    <t>Q8N0Z6</t>
  </si>
  <si>
    <t>Q8N108-17</t>
  </si>
  <si>
    <t>Q8N111</t>
  </si>
  <si>
    <t>Q8N122</t>
  </si>
  <si>
    <t>Q8N129</t>
  </si>
  <si>
    <t>Q8N130</t>
  </si>
  <si>
    <t>Q8N138-4</t>
  </si>
  <si>
    <t>Q8N142</t>
  </si>
  <si>
    <t>Q8N163-2</t>
  </si>
  <si>
    <t>Q8N183</t>
  </si>
  <si>
    <t>Q8N1A6</t>
  </si>
  <si>
    <t>Q8N1B4</t>
  </si>
  <si>
    <t>Q8N1F7</t>
  </si>
  <si>
    <t>Q8N1G2</t>
  </si>
  <si>
    <t>Q8N1G4</t>
  </si>
  <si>
    <t>Q8N1Q1</t>
  </si>
  <si>
    <t>Q8N1S5-2</t>
  </si>
  <si>
    <t>Q8N1W1-3</t>
  </si>
  <si>
    <t>Q8N283</t>
  </si>
  <si>
    <t>Q8N2F6-3</t>
  </si>
  <si>
    <t>Q8N2G8-3</t>
  </si>
  <si>
    <t>Q8N2H3</t>
  </si>
  <si>
    <t>Q8N2K0</t>
  </si>
  <si>
    <t>Q8N300</t>
  </si>
  <si>
    <t>Q8N335</t>
  </si>
  <si>
    <t>Q8N350</t>
  </si>
  <si>
    <t>Q8N357</t>
  </si>
  <si>
    <t>Q8N392</t>
  </si>
  <si>
    <t>Q8N3D4</t>
  </si>
  <si>
    <t>Q8N3F8</t>
  </si>
  <si>
    <t>Q8N3V7-2</t>
  </si>
  <si>
    <t>Q8N3X1</t>
  </si>
  <si>
    <t>Q8N465</t>
  </si>
  <si>
    <t>Q8N474</t>
  </si>
  <si>
    <t>Q8N488</t>
  </si>
  <si>
    <t>Q8N490-2</t>
  </si>
  <si>
    <t>Q8N4C8</t>
  </si>
  <si>
    <t>Q8N4H5</t>
  </si>
  <si>
    <t>Q8N4N3-2</t>
  </si>
  <si>
    <t>Q8N4P3</t>
  </si>
  <si>
    <t>Q8N4Q0</t>
  </si>
  <si>
    <t>Q8N4S0-2</t>
  </si>
  <si>
    <t>Q8N4V1</t>
  </si>
  <si>
    <t>Q8N556</t>
  </si>
  <si>
    <t>Q8N573-2</t>
  </si>
  <si>
    <t>Q8N573-8</t>
  </si>
  <si>
    <t>Q8N584</t>
  </si>
  <si>
    <t>Q8N5C1</t>
  </si>
  <si>
    <t>Q8N5G0-2</t>
  </si>
  <si>
    <t>Q8N5G2-2</t>
  </si>
  <si>
    <t>Q8N5H3-4</t>
  </si>
  <si>
    <t>Q8N5I4</t>
  </si>
  <si>
    <t>Q8N5I9</t>
  </si>
  <si>
    <t>Q8N5J2</t>
  </si>
  <si>
    <t>Q8N5K1</t>
  </si>
  <si>
    <t>Q8N5L8</t>
  </si>
  <si>
    <t>Q8N5M1</t>
  </si>
  <si>
    <t>Q8N5M9</t>
  </si>
  <si>
    <t>Q8N5N7</t>
  </si>
  <si>
    <t>Q8N5W9</t>
  </si>
  <si>
    <t>Q8N5X7</t>
  </si>
  <si>
    <t>Q8N668</t>
  </si>
  <si>
    <t>Q8N684-2</t>
  </si>
  <si>
    <t>Q8N697</t>
  </si>
  <si>
    <t>Q8N6H7</t>
  </si>
  <si>
    <t>Q8N6M0</t>
  </si>
  <si>
    <t>Q8N6N3</t>
  </si>
  <si>
    <t>Q8N6Q8</t>
  </si>
  <si>
    <t>Q8N6T3</t>
  </si>
  <si>
    <t>Q8N755</t>
  </si>
  <si>
    <t>Q8N766-4</t>
  </si>
  <si>
    <t>Q8N7R7-3</t>
  </si>
  <si>
    <t>Q8N8L6</t>
  </si>
  <si>
    <t>Q8N8N7</t>
  </si>
  <si>
    <t>Q8N8R5</t>
  </si>
  <si>
    <t>Q8N8S7-2</t>
  </si>
  <si>
    <t>Q8N954</t>
  </si>
  <si>
    <t>Q8N999</t>
  </si>
  <si>
    <t>Q8N9A8-2</t>
  </si>
  <si>
    <t>Q8N9B5-2</t>
  </si>
  <si>
    <t>Q8N9N2-2</t>
  </si>
  <si>
    <t>Q8N9N7</t>
  </si>
  <si>
    <t>Q8N9V3-2</t>
  </si>
  <si>
    <t>Q8NAF0</t>
  </si>
  <si>
    <t>Q8NB16</t>
  </si>
  <si>
    <t>Q8NB37</t>
  </si>
  <si>
    <t>Q8NB49-3</t>
  </si>
  <si>
    <t>Q8NBF2</t>
  </si>
  <si>
    <t>Q8NBF6</t>
  </si>
  <si>
    <t>Q8NBI6</t>
  </si>
  <si>
    <t>Q8NBJ4-2</t>
  </si>
  <si>
    <t>Q8NBJ5</t>
  </si>
  <si>
    <t>Q8NBK3</t>
  </si>
  <si>
    <t>Q8NBL1</t>
  </si>
  <si>
    <t>Q8NBM4-4</t>
  </si>
  <si>
    <t>Q8NBM8</t>
  </si>
  <si>
    <t>Q8NBN3</t>
  </si>
  <si>
    <t>Q8NBN7</t>
  </si>
  <si>
    <t>Q8NBU5</t>
  </si>
  <si>
    <t>Q8NBX0</t>
  </si>
  <si>
    <t>Q8NC44</t>
  </si>
  <si>
    <t>Q8NC51-2</t>
  </si>
  <si>
    <t>Q8NC54</t>
  </si>
  <si>
    <t>Q8NC56</t>
  </si>
  <si>
    <t>Q8NC96</t>
  </si>
  <si>
    <t>Q8NCC3</t>
  </si>
  <si>
    <t>Q8NCE2-2</t>
  </si>
  <si>
    <t>Q8NCF5</t>
  </si>
  <si>
    <t>Q8NCG7-4</t>
  </si>
  <si>
    <t>Q8NCL4</t>
  </si>
  <si>
    <t>Q8NCN5</t>
  </si>
  <si>
    <t>Q8NCW5</t>
  </si>
  <si>
    <t>Q8ND24</t>
  </si>
  <si>
    <t>Q8ND30</t>
  </si>
  <si>
    <t>Q8ND56-2</t>
  </si>
  <si>
    <t>Q8ND76-3</t>
  </si>
  <si>
    <t>Q8ND90</t>
  </si>
  <si>
    <t>Q8ND94</t>
  </si>
  <si>
    <t>Q8NDC0</t>
  </si>
  <si>
    <t>Q8NDH3</t>
  </si>
  <si>
    <t>Q8NDI1-3</t>
  </si>
  <si>
    <t>Q8NDZ4</t>
  </si>
  <si>
    <t>Q8NE00</t>
  </si>
  <si>
    <t>Q8NE71-2</t>
  </si>
  <si>
    <t>Q8NE86-3</t>
  </si>
  <si>
    <t>Q8NEC7</t>
  </si>
  <si>
    <t>Q8NEL9-2</t>
  </si>
  <si>
    <t>Q8NEN9</t>
  </si>
  <si>
    <t>Q8NEU8</t>
  </si>
  <si>
    <t>Q8NEW0</t>
  </si>
  <si>
    <t>Q8NEY1-2</t>
  </si>
  <si>
    <t>Q8NEZ2-2</t>
  </si>
  <si>
    <t>Q8NEZ5</t>
  </si>
  <si>
    <t>Q8NF37</t>
  </si>
  <si>
    <t>Q8NFC6</t>
  </si>
  <si>
    <t>Q8NFF5-2</t>
  </si>
  <si>
    <t>Q8NFG4</t>
  </si>
  <si>
    <t>Q8NFH3</t>
  </si>
  <si>
    <t>Q8NFH4</t>
  </si>
  <si>
    <t>Q8NFQ8</t>
  </si>
  <si>
    <t>Q8NFV4</t>
  </si>
  <si>
    <t>Q8NFX7-2</t>
  </si>
  <si>
    <t>Q8NFZ4</t>
  </si>
  <si>
    <t>Q8NFZ8</t>
  </si>
  <si>
    <t>Q8NG27-3</t>
  </si>
  <si>
    <t>Q8NG68</t>
  </si>
  <si>
    <t>Q8NHG7</t>
  </si>
  <si>
    <t>Q8NHH9</t>
  </si>
  <si>
    <t>Q8NHP8</t>
  </si>
  <si>
    <t>Q8NHU3</t>
  </si>
  <si>
    <t>Q8NHU6</t>
  </si>
  <si>
    <t>Q8NHV1</t>
  </si>
  <si>
    <t>Q8NHV4</t>
  </si>
  <si>
    <t>Q8NHZ8</t>
  </si>
  <si>
    <t>Q8NI08-2</t>
  </si>
  <si>
    <t>Q8NI22-2</t>
  </si>
  <si>
    <t>Q8NI37</t>
  </si>
  <si>
    <t>Q8TAA9-2</t>
  </si>
  <si>
    <t>Q8TAE8</t>
  </si>
  <si>
    <t>Q8TAF3</t>
  </si>
  <si>
    <t>Q8TAP6-2</t>
  </si>
  <si>
    <t>Q8TAP8</t>
  </si>
  <si>
    <t>Q8TAT6</t>
  </si>
  <si>
    <t>Q8TB03</t>
  </si>
  <si>
    <t>Q8TB22-3</t>
  </si>
  <si>
    <t>Q8TB24</t>
  </si>
  <si>
    <t>Q8TB36-2</t>
  </si>
  <si>
    <t>Q8TB37</t>
  </si>
  <si>
    <t>Q8TB40</t>
  </si>
  <si>
    <t>Q8TB52</t>
  </si>
  <si>
    <t>Q8TB61-3</t>
  </si>
  <si>
    <t>Q8TB70</t>
  </si>
  <si>
    <t>Q8TB72-2</t>
  </si>
  <si>
    <t>Q8TB96</t>
  </si>
  <si>
    <t>Q8TBA6-2</t>
  </si>
  <si>
    <t>Q8TBB0-2</t>
  </si>
  <si>
    <t>Q8TBB6</t>
  </si>
  <si>
    <t>Q8TBC4</t>
  </si>
  <si>
    <t>Q8TBC5-4</t>
  </si>
  <si>
    <t>Q8TBE9</t>
  </si>
  <si>
    <t>Q8TBM8</t>
  </si>
  <si>
    <t>Q8TBN0</t>
  </si>
  <si>
    <t>Q8TBX8</t>
  </si>
  <si>
    <t>Q8TC07-2</t>
  </si>
  <si>
    <t>Q8TC12</t>
  </si>
  <si>
    <t>Q8TC71-2</t>
  </si>
  <si>
    <t>Q8TCA0</t>
  </si>
  <si>
    <t>Q8TCD1</t>
  </si>
  <si>
    <t>Q8TCD5</t>
  </si>
  <si>
    <t>Q8TCE6-2</t>
  </si>
  <si>
    <t>Q8TCG2</t>
  </si>
  <si>
    <t>Q8TCJ2</t>
  </si>
  <si>
    <t>Q8TCT9-5</t>
  </si>
  <si>
    <t>Q8TCX1</t>
  </si>
  <si>
    <t>Q8TCZ2-6</t>
  </si>
  <si>
    <t>Q8TD16</t>
  </si>
  <si>
    <t>Q8TD19</t>
  </si>
  <si>
    <t>Q8TD30</t>
  </si>
  <si>
    <t>Q8TD55</t>
  </si>
  <si>
    <t>Q8TDB4</t>
  </si>
  <si>
    <t>Q8TDH9</t>
  </si>
  <si>
    <t>Q8TDM0-3</t>
  </si>
  <si>
    <t>Q8TDM6</t>
  </si>
  <si>
    <t>Q8TDQ7</t>
  </si>
  <si>
    <t>Q8TDX7</t>
  </si>
  <si>
    <t>Q8TDY4-3</t>
  </si>
  <si>
    <t>Q8TDZ2</t>
  </si>
  <si>
    <t>Q8TE73</t>
  </si>
  <si>
    <t>Q8TE77</t>
  </si>
  <si>
    <t>Q8TEA1</t>
  </si>
  <si>
    <t>Q8TEA8</t>
  </si>
  <si>
    <t>Q8TED1</t>
  </si>
  <si>
    <t>Q8TEJ3</t>
  </si>
  <si>
    <t>Q8TEQ6</t>
  </si>
  <si>
    <t>Q8TEW8-5</t>
  </si>
  <si>
    <t>Q8TEX9</t>
  </si>
  <si>
    <t>Q8TF01</t>
  </si>
  <si>
    <t>Q8TF05-2</t>
  </si>
  <si>
    <t>Q8TF42</t>
  </si>
  <si>
    <t>Q8TF66</t>
  </si>
  <si>
    <t>Q8TF72</t>
  </si>
  <si>
    <t>Q8TF74</t>
  </si>
  <si>
    <t>Q8WTS1</t>
  </si>
  <si>
    <t>Q8WTS6</t>
  </si>
  <si>
    <t>Q8WU10</t>
  </si>
  <si>
    <t>Q8WU17</t>
  </si>
  <si>
    <t>Q8WU76-2</t>
  </si>
  <si>
    <t>Q8WU79-2</t>
  </si>
  <si>
    <t>Q8WU90</t>
  </si>
  <si>
    <t>Q8WUA2</t>
  </si>
  <si>
    <t>Q8WUA8</t>
  </si>
  <si>
    <t>Q8WUD1</t>
  </si>
  <si>
    <t>Q8WUF5</t>
  </si>
  <si>
    <t>Q8WUF8</t>
  </si>
  <si>
    <t>Q8WUH6</t>
  </si>
  <si>
    <t>Q8WUI4-3</t>
  </si>
  <si>
    <t>Q8WUJ0</t>
  </si>
  <si>
    <t>Q8WUK0-2</t>
  </si>
  <si>
    <t>Q8WUM4</t>
  </si>
  <si>
    <t>Q8WUM9</t>
  </si>
  <si>
    <t>Q8WUP2</t>
  </si>
  <si>
    <t>Q8WUR7</t>
  </si>
  <si>
    <t>Q8WUX2</t>
  </si>
  <si>
    <t>Q8WUX9</t>
  </si>
  <si>
    <t>Q8WUY1</t>
  </si>
  <si>
    <t>Q8WUY3-4</t>
  </si>
  <si>
    <t>Q8WUY8</t>
  </si>
  <si>
    <t>Q8WV41</t>
  </si>
  <si>
    <t>Q8WV93</t>
  </si>
  <si>
    <t>Q8WVC0</t>
  </si>
  <si>
    <t>Q8WVC2</t>
  </si>
  <si>
    <t>Q8WVD5</t>
  </si>
  <si>
    <t>Q8WVE0</t>
  </si>
  <si>
    <t>Q8WVJ2</t>
  </si>
  <si>
    <t>Q8WVK2</t>
  </si>
  <si>
    <t>Q8WVM8</t>
  </si>
  <si>
    <t>Q8WVN8-3</t>
  </si>
  <si>
    <t>Q8WVQ1</t>
  </si>
  <si>
    <t>Q8WVT3</t>
  </si>
  <si>
    <t>Q8WVY7</t>
  </si>
  <si>
    <t>Q8WW01</t>
  </si>
  <si>
    <t>Q8WW12</t>
  </si>
  <si>
    <t>Q8WW59</t>
  </si>
  <si>
    <t>Q8WWB7-2</t>
  </si>
  <si>
    <t>Q8WWH5</t>
  </si>
  <si>
    <t>Q8WWI5</t>
  </si>
  <si>
    <t>Q8WWM7</t>
  </si>
  <si>
    <t>Q8WWM9</t>
  </si>
  <si>
    <t>Q8WWV3</t>
  </si>
  <si>
    <t>Q8WWX9</t>
  </si>
  <si>
    <t>Q8WX92</t>
  </si>
  <si>
    <t>Q8WX93-3</t>
  </si>
  <si>
    <t>Q8WXA9-2</t>
  </si>
  <si>
    <t>Q8WXD5</t>
  </si>
  <si>
    <t>Q8WXE0-2</t>
  </si>
  <si>
    <t>Q8WXE1-5</t>
  </si>
  <si>
    <t>Q8WXF1</t>
  </si>
  <si>
    <t>Q8WXH0</t>
  </si>
  <si>
    <t>Q8WXI4-2</t>
  </si>
  <si>
    <t>Q8WXI9</t>
  </si>
  <si>
    <t>Q8WXX5</t>
  </si>
  <si>
    <t>Q8WYA6-3</t>
  </si>
  <si>
    <t>Q8WYL5</t>
  </si>
  <si>
    <t>Q8WYN0</t>
  </si>
  <si>
    <t>Q8WYP5</t>
  </si>
  <si>
    <t>Q8WZ82</t>
  </si>
  <si>
    <t>Q8WZA0</t>
  </si>
  <si>
    <t>Q8WZA9</t>
  </si>
  <si>
    <t>Q92478</t>
  </si>
  <si>
    <t>Q92499</t>
  </si>
  <si>
    <t>Q92503-3</t>
  </si>
  <si>
    <t>Q92504</t>
  </si>
  <si>
    <t>Q92508</t>
  </si>
  <si>
    <t>Q92520</t>
  </si>
  <si>
    <t>Q92526</t>
  </si>
  <si>
    <t>Q92529</t>
  </si>
  <si>
    <t>Q92537</t>
  </si>
  <si>
    <t>Q92538</t>
  </si>
  <si>
    <t>Q92541</t>
  </si>
  <si>
    <t>Q92544</t>
  </si>
  <si>
    <t>Q92546</t>
  </si>
  <si>
    <t>Q92567-2</t>
  </si>
  <si>
    <t>Q92572</t>
  </si>
  <si>
    <t>Q92574</t>
  </si>
  <si>
    <t>Q92575</t>
  </si>
  <si>
    <t>Q92581-3</t>
  </si>
  <si>
    <t>Q92597</t>
  </si>
  <si>
    <t>Q92598-2</t>
  </si>
  <si>
    <t>Q92600</t>
  </si>
  <si>
    <t>Q92609</t>
  </si>
  <si>
    <t>Q92615</t>
  </si>
  <si>
    <t>Q92616</t>
  </si>
  <si>
    <t>Q92620</t>
  </si>
  <si>
    <t>Q92625</t>
  </si>
  <si>
    <t>Q92626</t>
  </si>
  <si>
    <t>Q92629-2</t>
  </si>
  <si>
    <t>Q92636</t>
  </si>
  <si>
    <t>Q92686</t>
  </si>
  <si>
    <t>Q92688</t>
  </si>
  <si>
    <t>Q92692</t>
  </si>
  <si>
    <t>Q92692-2</t>
  </si>
  <si>
    <t>Q92696</t>
  </si>
  <si>
    <t>Q92734-2</t>
  </si>
  <si>
    <t>Q92738</t>
  </si>
  <si>
    <t>Q92747</t>
  </si>
  <si>
    <t>Q92781</t>
  </si>
  <si>
    <t>Q92783-2</t>
  </si>
  <si>
    <t>Q92793</t>
  </si>
  <si>
    <t>Q92797</t>
  </si>
  <si>
    <t>Q92804-2</t>
  </si>
  <si>
    <t>Q92805</t>
  </si>
  <si>
    <t>Q92819</t>
  </si>
  <si>
    <t>Q92820</t>
  </si>
  <si>
    <t>Q92834-4</t>
  </si>
  <si>
    <t>Q92843-2</t>
  </si>
  <si>
    <t>Q92844</t>
  </si>
  <si>
    <t>Q92859-3</t>
  </si>
  <si>
    <t>Q92871</t>
  </si>
  <si>
    <t>Q92882</t>
  </si>
  <si>
    <t>Q92888-3</t>
  </si>
  <si>
    <t>Q92889</t>
  </si>
  <si>
    <t>Q92890</t>
  </si>
  <si>
    <t>Q92896</t>
  </si>
  <si>
    <t>Q92900-2</t>
  </si>
  <si>
    <t>Q92905</t>
  </si>
  <si>
    <t>Q92917</t>
  </si>
  <si>
    <t>Q92930</t>
  </si>
  <si>
    <t>Q92934</t>
  </si>
  <si>
    <t>Q92945</t>
  </si>
  <si>
    <t>Q92947</t>
  </si>
  <si>
    <t>Q92963</t>
  </si>
  <si>
    <t>Q92968</t>
  </si>
  <si>
    <t>Q92973-2</t>
  </si>
  <si>
    <t>Q92974-2</t>
  </si>
  <si>
    <t>Q92979</t>
  </si>
  <si>
    <t>Q92990</t>
  </si>
  <si>
    <t>Q92995</t>
  </si>
  <si>
    <t>Q93008-1</t>
  </si>
  <si>
    <t>Q93015-2</t>
  </si>
  <si>
    <t>Q93034</t>
  </si>
  <si>
    <t>Q93052</t>
  </si>
  <si>
    <t>Q93063</t>
  </si>
  <si>
    <t>Q969E2-2</t>
  </si>
  <si>
    <t>Q969E4</t>
  </si>
  <si>
    <t>Q969E8</t>
  </si>
  <si>
    <t>Q969G6</t>
  </si>
  <si>
    <t>Q969H8</t>
  </si>
  <si>
    <t>Q969K3</t>
  </si>
  <si>
    <t>Q969K7-3</t>
  </si>
  <si>
    <t>Q969M3</t>
  </si>
  <si>
    <t>Q969N2-3</t>
  </si>
  <si>
    <t>Q969P0-3</t>
  </si>
  <si>
    <t>Q969Q5</t>
  </si>
  <si>
    <t>Q969S3</t>
  </si>
  <si>
    <t>Q969S9-3</t>
  </si>
  <si>
    <t>Q969T7-2</t>
  </si>
  <si>
    <t>Q969V3-2</t>
  </si>
  <si>
    <t>Q969X5-2</t>
  </si>
  <si>
    <t>Q969Y2-3</t>
  </si>
  <si>
    <t>Q969Z0</t>
  </si>
  <si>
    <t>Q969Z3</t>
  </si>
  <si>
    <t>Q96A00</t>
  </si>
  <si>
    <t>Q96A19</t>
  </si>
  <si>
    <t>Q96A33</t>
  </si>
  <si>
    <t>Q96A46</t>
  </si>
  <si>
    <t>Q96A49</t>
  </si>
  <si>
    <t>Q96A65</t>
  </si>
  <si>
    <t>Q96A73-2</t>
  </si>
  <si>
    <t>Q96AB3</t>
  </si>
  <si>
    <t>Q96AB6</t>
  </si>
  <si>
    <t>Q96AC1</t>
  </si>
  <si>
    <t>Q96AD5</t>
  </si>
  <si>
    <t>Q96AE4</t>
  </si>
  <si>
    <t>Q96AE4-2</t>
  </si>
  <si>
    <t>Q96AG3</t>
  </si>
  <si>
    <t>Q96AG4</t>
  </si>
  <si>
    <t>Q96AH8</t>
  </si>
  <si>
    <t>Q96AJ9-1</t>
  </si>
  <si>
    <t>Q96AM1</t>
  </si>
  <si>
    <t>Q96AQ6-2</t>
  </si>
  <si>
    <t>Q96AQ8</t>
  </si>
  <si>
    <t>Q96AT1</t>
  </si>
  <si>
    <t>Q96AT9</t>
  </si>
  <si>
    <t>Q96AY3</t>
  </si>
  <si>
    <t>Q96AY4</t>
  </si>
  <si>
    <t>Q96B23-2</t>
  </si>
  <si>
    <t>Q96B26</t>
  </si>
  <si>
    <t>Q96B36</t>
  </si>
  <si>
    <t>Q96B45</t>
  </si>
  <si>
    <t>Q96B49</t>
  </si>
  <si>
    <t>Q96BA8</t>
  </si>
  <si>
    <t>Q96BH1</t>
  </si>
  <si>
    <t>Q96BJ3</t>
  </si>
  <si>
    <t>Q96BM9</t>
  </si>
  <si>
    <t>Q96BN8</t>
  </si>
  <si>
    <t>Q96BP2</t>
  </si>
  <si>
    <t>Q96BP3</t>
  </si>
  <si>
    <t>Q96BR5</t>
  </si>
  <si>
    <t>Q96BW5-2</t>
  </si>
  <si>
    <t>Q96BX8</t>
  </si>
  <si>
    <t>Q96BY7</t>
  </si>
  <si>
    <t>Q96BZ9</t>
  </si>
  <si>
    <t>Q96C01</t>
  </si>
  <si>
    <t>Q96C11</t>
  </si>
  <si>
    <t>Q96C19</t>
  </si>
  <si>
    <t>Q96C23</t>
  </si>
  <si>
    <t>Q96C36</t>
  </si>
  <si>
    <t>Q96C86</t>
  </si>
  <si>
    <t>Q96C90</t>
  </si>
  <si>
    <t>Q96C92-4</t>
  </si>
  <si>
    <t>Q96CB9-4</t>
  </si>
  <si>
    <t>Q96CC6</t>
  </si>
  <si>
    <t>Q96CD0</t>
  </si>
  <si>
    <t>Q96CD2</t>
  </si>
  <si>
    <t>Q96CG8</t>
  </si>
  <si>
    <t>Q96CN7</t>
  </si>
  <si>
    <t>Q96CN9</t>
  </si>
  <si>
    <t>Q96CP2</t>
  </si>
  <si>
    <t>Q96CQ1</t>
  </si>
  <si>
    <t>Q96CS3</t>
  </si>
  <si>
    <t>Q96CT7</t>
  </si>
  <si>
    <t>Q96CU9-3</t>
  </si>
  <si>
    <t>Q96CV9</t>
  </si>
  <si>
    <t>Q96CW1-2</t>
  </si>
  <si>
    <t>Q96CW5-3</t>
  </si>
  <si>
    <t>Q96CW6</t>
  </si>
  <si>
    <t>Q96CX2</t>
  </si>
  <si>
    <t>Q96D15</t>
  </si>
  <si>
    <t>Q96DA6-2</t>
  </si>
  <si>
    <t>Q96DB5</t>
  </si>
  <si>
    <t>Q96DC8</t>
  </si>
  <si>
    <t>Q96DD7</t>
  </si>
  <si>
    <t>Q96DE0</t>
  </si>
  <si>
    <t>Q96DE5</t>
  </si>
  <si>
    <t>Q96DF8</t>
  </si>
  <si>
    <t>Q96DG6</t>
  </si>
  <si>
    <t>Q96DI7</t>
  </si>
  <si>
    <t>Q96DR4</t>
  </si>
  <si>
    <t>Q96DT0-3</t>
  </si>
  <si>
    <t>Q96DT6</t>
  </si>
  <si>
    <t>Q96DU7</t>
  </si>
  <si>
    <t>Q96DX4</t>
  </si>
  <si>
    <t>Q96DX7</t>
  </si>
  <si>
    <t>Q96DZ1</t>
  </si>
  <si>
    <t>Q96E09</t>
  </si>
  <si>
    <t>Q96E11-3</t>
  </si>
  <si>
    <t>Q96EB6-2</t>
  </si>
  <si>
    <t>Q96EC8</t>
  </si>
  <si>
    <t>Q96EE3</t>
  </si>
  <si>
    <t>Q96EH3</t>
  </si>
  <si>
    <t>Q96EI5</t>
  </si>
  <si>
    <t>Q96EK5</t>
  </si>
  <si>
    <t>Q96EK6</t>
  </si>
  <si>
    <t>Q96EL3</t>
  </si>
  <si>
    <t>Q96EM0</t>
  </si>
  <si>
    <t>Q96EP5-2</t>
  </si>
  <si>
    <t>Q96EQ0</t>
  </si>
  <si>
    <t>Q96ER3</t>
  </si>
  <si>
    <t>Q96ER9</t>
  </si>
  <si>
    <t>Q96EU7</t>
  </si>
  <si>
    <t>Q96EV2</t>
  </si>
  <si>
    <t>Q96EV8</t>
  </si>
  <si>
    <t>Q96EX1</t>
  </si>
  <si>
    <t>Q96EY5</t>
  </si>
  <si>
    <t>Q96EY8</t>
  </si>
  <si>
    <t>Q96EY9</t>
  </si>
  <si>
    <t>Q96F10</t>
  </si>
  <si>
    <t>Q96F24-2</t>
  </si>
  <si>
    <t>Q96F25</t>
  </si>
  <si>
    <t>Q96F46</t>
  </si>
  <si>
    <t>Q96F85</t>
  </si>
  <si>
    <t>Q96FE7-4</t>
  </si>
  <si>
    <t>Q96FH0-2</t>
  </si>
  <si>
    <t>Q96FJ0</t>
  </si>
  <si>
    <t>Q96FJ2</t>
  </si>
  <si>
    <t>Q96FN4</t>
  </si>
  <si>
    <t>Q96FQ6</t>
  </si>
  <si>
    <t>Q96FS4</t>
  </si>
  <si>
    <t>Q96FT9</t>
  </si>
  <si>
    <t>Q96FX2</t>
  </si>
  <si>
    <t>Q96FX7</t>
  </si>
  <si>
    <t>Q96FZ7</t>
  </si>
  <si>
    <t>Q96G03</t>
  </si>
  <si>
    <t>Q96G25</t>
  </si>
  <si>
    <t>Q96G28</t>
  </si>
  <si>
    <t>Q96G46</t>
  </si>
  <si>
    <t>Q96G61</t>
  </si>
  <si>
    <t>Q96GA3</t>
  </si>
  <si>
    <t>Q96GA7</t>
  </si>
  <si>
    <t>Q96GD0</t>
  </si>
  <si>
    <t>Q96GF1</t>
  </si>
  <si>
    <t>Q96GG9</t>
  </si>
  <si>
    <t>Q96GK7</t>
  </si>
  <si>
    <t>Q96GP6-2</t>
  </si>
  <si>
    <t>Q96GS4</t>
  </si>
  <si>
    <t>Q96GS6</t>
  </si>
  <si>
    <t>Q96GW9</t>
  </si>
  <si>
    <t>Q96GX2</t>
  </si>
  <si>
    <t>Q96GX9</t>
  </si>
  <si>
    <t>Q96GY0</t>
  </si>
  <si>
    <t>Q96H20</t>
  </si>
  <si>
    <t>Q96H79</t>
  </si>
  <si>
    <t>Q96HA4-4</t>
  </si>
  <si>
    <t>Q96HA8</t>
  </si>
  <si>
    <t>Q96HC4</t>
  </si>
  <si>
    <t>Q96HD1</t>
  </si>
  <si>
    <t>Q96HE7</t>
  </si>
  <si>
    <t>Q96HJ9</t>
  </si>
  <si>
    <t>Q96HQ2-2</t>
  </si>
  <si>
    <t>Q96HR9</t>
  </si>
  <si>
    <t>Q96HS1</t>
  </si>
  <si>
    <t>Q96HY6</t>
  </si>
  <si>
    <t>Q96I15</t>
  </si>
  <si>
    <t>Q96I23</t>
  </si>
  <si>
    <t>Q96I24</t>
  </si>
  <si>
    <t>Q96I25</t>
  </si>
  <si>
    <t>Q96I36</t>
  </si>
  <si>
    <t>Q96I51</t>
  </si>
  <si>
    <t>Q96I99</t>
  </si>
  <si>
    <t>Q96IG2</t>
  </si>
  <si>
    <t>Q96IJ6</t>
  </si>
  <si>
    <t>Q96IK1</t>
  </si>
  <si>
    <t>Q96IU4</t>
  </si>
  <si>
    <t>Q96IV0-2</t>
  </si>
  <si>
    <t>Q96IX5</t>
  </si>
  <si>
    <t>Q96IZ0</t>
  </si>
  <si>
    <t>Q96J02-2</t>
  </si>
  <si>
    <t>Q96J84</t>
  </si>
  <si>
    <t>Q96J88-2</t>
  </si>
  <si>
    <t>Q96JA1</t>
  </si>
  <si>
    <t>Q96JB2</t>
  </si>
  <si>
    <t>Q96JB5</t>
  </si>
  <si>
    <t>Q96JC1-2</t>
  </si>
  <si>
    <t>Q96JH7</t>
  </si>
  <si>
    <t>Q96JJ7</t>
  </si>
  <si>
    <t>Q96JP5</t>
  </si>
  <si>
    <t>Q96JQ0</t>
  </si>
  <si>
    <t>Q96JY6</t>
  </si>
  <si>
    <t>Q96K19-2</t>
  </si>
  <si>
    <t>Q96KA5-2</t>
  </si>
  <si>
    <t>Q96KB5</t>
  </si>
  <si>
    <t>Q96KB7</t>
  </si>
  <si>
    <t>Q96KC2</t>
  </si>
  <si>
    <t>Q96KC8</t>
  </si>
  <si>
    <t>Q96KN4</t>
  </si>
  <si>
    <t>Q96KP1</t>
  </si>
  <si>
    <t>Q96KP4</t>
  </si>
  <si>
    <t>Q96KR1</t>
  </si>
  <si>
    <t>Q96L35</t>
  </si>
  <si>
    <t>Q96L92</t>
  </si>
  <si>
    <t>Q96L93-6</t>
  </si>
  <si>
    <t>Q96LD8</t>
  </si>
  <si>
    <t>Q96LJ7</t>
  </si>
  <si>
    <t>Q96LW7-2</t>
  </si>
  <si>
    <t>Q96M20-2</t>
  </si>
  <si>
    <t>Q96M27</t>
  </si>
  <si>
    <t>Q96ME1-4</t>
  </si>
  <si>
    <t>Q96MH2</t>
  </si>
  <si>
    <t>Q96MH6-2</t>
  </si>
  <si>
    <t>Q96MP8-2</t>
  </si>
  <si>
    <t>Q96MW5</t>
  </si>
  <si>
    <t>Q96MX6</t>
  </si>
  <si>
    <t>Q96N21-2</t>
  </si>
  <si>
    <t>Q96N66-2</t>
  </si>
  <si>
    <t>Q96NA2</t>
  </si>
  <si>
    <t>Q96NC0</t>
  </si>
  <si>
    <t>Q96NT0</t>
  </si>
  <si>
    <t>Q96NT1</t>
  </si>
  <si>
    <t>Q96NY7-2</t>
  </si>
  <si>
    <t>Q96P47</t>
  </si>
  <si>
    <t>Q96P48-3</t>
  </si>
  <si>
    <t>Q96P50</t>
  </si>
  <si>
    <t>Q96P70</t>
  </si>
  <si>
    <t>Q96PD2</t>
  </si>
  <si>
    <t>Q96PE1-2</t>
  </si>
  <si>
    <t>Q96PE2</t>
  </si>
  <si>
    <t>Q96PE7</t>
  </si>
  <si>
    <t>Q96PK6</t>
  </si>
  <si>
    <t>Q96PU5-2</t>
  </si>
  <si>
    <t>Q96PU8-9</t>
  </si>
  <si>
    <t>Q96PY6-4</t>
  </si>
  <si>
    <t>Q96PZ0</t>
  </si>
  <si>
    <t>Q96Q06-2</t>
  </si>
  <si>
    <t>Q96Q11-2</t>
  </si>
  <si>
    <t>Q96Q42</t>
  </si>
  <si>
    <t>Q96Q45-2</t>
  </si>
  <si>
    <t>Q96Q83</t>
  </si>
  <si>
    <t>Q96QB1</t>
  </si>
  <si>
    <t>Q96QC0</t>
  </si>
  <si>
    <t>Q96QD8</t>
  </si>
  <si>
    <t>Q96QE2</t>
  </si>
  <si>
    <t>Q96QG7</t>
  </si>
  <si>
    <t>Q96QK1</t>
  </si>
  <si>
    <t>Q96QR8</t>
  </si>
  <si>
    <t>Q96QU8</t>
  </si>
  <si>
    <t>Q96QZ7-4</t>
  </si>
  <si>
    <t>Q96RD7</t>
  </si>
  <si>
    <t>Q96RE7</t>
  </si>
  <si>
    <t>Q96RF0-2</t>
  </si>
  <si>
    <t>Q96RN5-3</t>
  </si>
  <si>
    <t>Q96RP9</t>
  </si>
  <si>
    <t>Q96RQ1</t>
  </si>
  <si>
    <t>Q96RR4</t>
  </si>
  <si>
    <t>Q96RS6</t>
  </si>
  <si>
    <t>Q96RT1-5</t>
  </si>
  <si>
    <t>Q96RU3-3</t>
  </si>
  <si>
    <t>Q96RW7-2</t>
  </si>
  <si>
    <t>Q96S19</t>
  </si>
  <si>
    <t>Q96S44</t>
  </si>
  <si>
    <t>Q96S52-2</t>
  </si>
  <si>
    <t>Q96S66</t>
  </si>
  <si>
    <t>Q96S82</t>
  </si>
  <si>
    <t>Q96S99</t>
  </si>
  <si>
    <t>Q96SB3</t>
  </si>
  <si>
    <t>Q96SL1-2</t>
  </si>
  <si>
    <t>Q96SL4</t>
  </si>
  <si>
    <t>Q96SQ9</t>
  </si>
  <si>
    <t>Q96ST2</t>
  </si>
  <si>
    <t>Q96SZ5</t>
  </si>
  <si>
    <t>Q96T23-2</t>
  </si>
  <si>
    <t>Q96T51</t>
  </si>
  <si>
    <t>Q96T58</t>
  </si>
  <si>
    <t>Q96T76</t>
  </si>
  <si>
    <t>Q96T83</t>
  </si>
  <si>
    <t>Q96TA1</t>
  </si>
  <si>
    <t>Q96TA2-3</t>
  </si>
  <si>
    <t>Q96TC7</t>
  </si>
  <si>
    <t>Q99081</t>
  </si>
  <si>
    <t>Q99417</t>
  </si>
  <si>
    <t>Q99424</t>
  </si>
  <si>
    <t>Q99426</t>
  </si>
  <si>
    <t>Q99436</t>
  </si>
  <si>
    <t>Q99447</t>
  </si>
  <si>
    <t>Q99460</t>
  </si>
  <si>
    <t>Q99470</t>
  </si>
  <si>
    <t>Q99471</t>
  </si>
  <si>
    <t>Q99487</t>
  </si>
  <si>
    <t>Q99496</t>
  </si>
  <si>
    <t>Q99497</t>
  </si>
  <si>
    <t>Q99504-2</t>
  </si>
  <si>
    <t>Q99519</t>
  </si>
  <si>
    <t>Q99523</t>
  </si>
  <si>
    <t>Q99536</t>
  </si>
  <si>
    <t>Q99541</t>
  </si>
  <si>
    <t>Q99543</t>
  </si>
  <si>
    <t>Q99567</t>
  </si>
  <si>
    <t>Q99569-2</t>
  </si>
  <si>
    <t>Q99574</t>
  </si>
  <si>
    <t>Q99576</t>
  </si>
  <si>
    <t>Q99584</t>
  </si>
  <si>
    <t>Q99595</t>
  </si>
  <si>
    <t>Q99598</t>
  </si>
  <si>
    <t>Q99614</t>
  </si>
  <si>
    <t>Q99615</t>
  </si>
  <si>
    <t>Q99622</t>
  </si>
  <si>
    <t>Q99650</t>
  </si>
  <si>
    <t>Q99653</t>
  </si>
  <si>
    <t>Q99674</t>
  </si>
  <si>
    <t>Q99685</t>
  </si>
  <si>
    <t>Q99700-4</t>
  </si>
  <si>
    <t>Q99704</t>
  </si>
  <si>
    <t>Q99707</t>
  </si>
  <si>
    <t>Q99714</t>
  </si>
  <si>
    <t>Q99720</t>
  </si>
  <si>
    <t>Q99729-3</t>
  </si>
  <si>
    <t>Q99733</t>
  </si>
  <si>
    <t>Q99747</t>
  </si>
  <si>
    <t>Q99757</t>
  </si>
  <si>
    <t>Q99766</t>
  </si>
  <si>
    <t>Q99797</t>
  </si>
  <si>
    <t>Q99805</t>
  </si>
  <si>
    <t>Q99808</t>
  </si>
  <si>
    <t>Q99832</t>
  </si>
  <si>
    <t>Q99952-2</t>
  </si>
  <si>
    <t>Q99961</t>
  </si>
  <si>
    <t>Q99969</t>
  </si>
  <si>
    <t>Q99996-5</t>
  </si>
  <si>
    <t>Q9BPW8</t>
  </si>
  <si>
    <t>Q9BPX5</t>
  </si>
  <si>
    <t>Q9BPX7</t>
  </si>
  <si>
    <t>Q9BQ24</t>
  </si>
  <si>
    <t>Q9BQ51</t>
  </si>
  <si>
    <t>Q9BQ52-4</t>
  </si>
  <si>
    <t>Q9BQ61</t>
  </si>
  <si>
    <t>Q9BQ69</t>
  </si>
  <si>
    <t>Q9BQ95</t>
  </si>
  <si>
    <t>Q9BQB6</t>
  </si>
  <si>
    <t>Q9BQC3</t>
  </si>
  <si>
    <t>Q9BQG0</t>
  </si>
  <si>
    <t>Q9BQJ4</t>
  </si>
  <si>
    <t>Q9BQL6</t>
  </si>
  <si>
    <t>Q9BQP7</t>
  </si>
  <si>
    <t>Q9BQS8</t>
  </si>
  <si>
    <t>Q9BQT8-2</t>
  </si>
  <si>
    <t>Q9BR61</t>
  </si>
  <si>
    <t>Q9BR76</t>
  </si>
  <si>
    <t>Q9BRA2</t>
  </si>
  <si>
    <t>Q9BRF8</t>
  </si>
  <si>
    <t>Q9BRG1</t>
  </si>
  <si>
    <t>Q9BRK0-2</t>
  </si>
  <si>
    <t>Q9BRK5</t>
  </si>
  <si>
    <t>Q9BRP1</t>
  </si>
  <si>
    <t>Q9BRP4</t>
  </si>
  <si>
    <t>Q9BRP8-2</t>
  </si>
  <si>
    <t>Q9BRQ8</t>
  </si>
  <si>
    <t>Q9BRR6-2</t>
  </si>
  <si>
    <t>Q9BRS8</t>
  </si>
  <si>
    <t>Q9BRT2</t>
  </si>
  <si>
    <t>Q9BRV8</t>
  </si>
  <si>
    <t>Q9BRX2</t>
  </si>
  <si>
    <t>Q9BRX8-2</t>
  </si>
  <si>
    <t>Q9BRZ2</t>
  </si>
  <si>
    <t>Q9BS18</t>
  </si>
  <si>
    <t>Q9BS26</t>
  </si>
  <si>
    <t>Q9BS40</t>
  </si>
  <si>
    <t>Q9BSA9</t>
  </si>
  <si>
    <t>Q9BSB4</t>
  </si>
  <si>
    <t>Q9BSD7</t>
  </si>
  <si>
    <t>Q9BSE4</t>
  </si>
  <si>
    <t>Q9BSE5</t>
  </si>
  <si>
    <t>Q9BSF4</t>
  </si>
  <si>
    <t>Q9BSG0</t>
  </si>
  <si>
    <t>Q9BSH4</t>
  </si>
  <si>
    <t>Q9BSH5</t>
  </si>
  <si>
    <t>Q9BSJ5-3</t>
  </si>
  <si>
    <t>Q9BSJ8-2</t>
  </si>
  <si>
    <t>Q9BSL1</t>
  </si>
  <si>
    <t>Q9BSN7</t>
  </si>
  <si>
    <t>Q9BSR8</t>
  </si>
  <si>
    <t>Q9BST9-2</t>
  </si>
  <si>
    <t>Q9BSU1</t>
  </si>
  <si>
    <t>Q9BSY4</t>
  </si>
  <si>
    <t>Q9BT09</t>
  </si>
  <si>
    <t>Q9BT22</t>
  </si>
  <si>
    <t>Q9BT30</t>
  </si>
  <si>
    <t>Q9BT73</t>
  </si>
  <si>
    <t>Q9BT78</t>
  </si>
  <si>
    <t>Q9BTA9-5</t>
  </si>
  <si>
    <t>Q9BTC0</t>
  </si>
  <si>
    <t>Q9BTE3-2</t>
  </si>
  <si>
    <t>Q9BTL3</t>
  </si>
  <si>
    <t>Q9BTT0</t>
  </si>
  <si>
    <t>Q9BTT4</t>
  </si>
  <si>
    <t>Q9BTT6</t>
  </si>
  <si>
    <t>Q9BTU6</t>
  </si>
  <si>
    <t>Q9BTV4</t>
  </si>
  <si>
    <t>Q9BTV6</t>
  </si>
  <si>
    <t>Q9BTX7</t>
  </si>
  <si>
    <t>Q9BTY2</t>
  </si>
  <si>
    <t>Q9BTY7</t>
  </si>
  <si>
    <t>Q9BTZ2</t>
  </si>
  <si>
    <t>Q9BU02</t>
  </si>
  <si>
    <t>Q9BU23-3</t>
  </si>
  <si>
    <t>Q9BU61</t>
  </si>
  <si>
    <t>Q9BU76-2</t>
  </si>
  <si>
    <t>Q9BU89</t>
  </si>
  <si>
    <t>Q9BUB5-2</t>
  </si>
  <si>
    <t>Q9BUB7-2</t>
  </si>
  <si>
    <t>Q9BUD6</t>
  </si>
  <si>
    <t>Q9BUE0</t>
  </si>
  <si>
    <t>Q9BUE6</t>
  </si>
  <si>
    <t>Q9BUF5</t>
  </si>
  <si>
    <t>Q9BUH6</t>
  </si>
  <si>
    <t>Q9BUJ2-2</t>
  </si>
  <si>
    <t>Q9BUK6-3</t>
  </si>
  <si>
    <t>Q9BUP3-3</t>
  </si>
  <si>
    <t>Q9BUR4</t>
  </si>
  <si>
    <t>Q9BUT1</t>
  </si>
  <si>
    <t>Q9BUW7</t>
  </si>
  <si>
    <t>Q9BV19</t>
  </si>
  <si>
    <t>Q9BV20</t>
  </si>
  <si>
    <t>Q9BV23</t>
  </si>
  <si>
    <t>Q9BV38</t>
  </si>
  <si>
    <t>Q9BV44</t>
  </si>
  <si>
    <t>Q9BV57</t>
  </si>
  <si>
    <t>Q9BV68-2</t>
  </si>
  <si>
    <t>Q9BV79</t>
  </si>
  <si>
    <t>Q9BV86</t>
  </si>
  <si>
    <t>Q9BVA0</t>
  </si>
  <si>
    <t>Q9BVA6</t>
  </si>
  <si>
    <t>Q9BVC4-3</t>
  </si>
  <si>
    <t>Q9BVC6</t>
  </si>
  <si>
    <t>Q9BVG4</t>
  </si>
  <si>
    <t>Q9BVG9</t>
  </si>
  <si>
    <t>Q9BVJ7</t>
  </si>
  <si>
    <t>Q9BVK6</t>
  </si>
  <si>
    <t>Q9BVL4</t>
  </si>
  <si>
    <t>Q9BVM4</t>
  </si>
  <si>
    <t>Q9BW30</t>
  </si>
  <si>
    <t>Q9BW60-2</t>
  </si>
  <si>
    <t>Q9BW61</t>
  </si>
  <si>
    <t>Q9BW62</t>
  </si>
  <si>
    <t>Q9BW83</t>
  </si>
  <si>
    <t>Q9BW91-2</t>
  </si>
  <si>
    <t>Q9BW92</t>
  </si>
  <si>
    <t>Q9BWD1</t>
  </si>
  <si>
    <t>Q9BWH2</t>
  </si>
  <si>
    <t>Q9BWH6</t>
  </si>
  <si>
    <t>Q9BWJ5</t>
  </si>
  <si>
    <t>Q9BWM7</t>
  </si>
  <si>
    <t>Q9BWU0</t>
  </si>
  <si>
    <t>Q9BWW5</t>
  </si>
  <si>
    <t>Q9BX40</t>
  </si>
  <si>
    <t>Q9BX59</t>
  </si>
  <si>
    <t>Q9BX67</t>
  </si>
  <si>
    <t>Q9BX68</t>
  </si>
  <si>
    <t>Q9BX95</t>
  </si>
  <si>
    <t>Q9BXB5</t>
  </si>
  <si>
    <t>Q9BXF6</t>
  </si>
  <si>
    <t>Q9BXJ9</t>
  </si>
  <si>
    <t>Q9BXK5</t>
  </si>
  <si>
    <t>Q9BXP2</t>
  </si>
  <si>
    <t>Q9BXP5-5</t>
  </si>
  <si>
    <t>Q9BXR0</t>
  </si>
  <si>
    <t>Q9BXS4</t>
  </si>
  <si>
    <t>Q9BXV9</t>
  </si>
  <si>
    <t>Q9BXW6</t>
  </si>
  <si>
    <t>Q9BXW7-2</t>
  </si>
  <si>
    <t>Q9BY32</t>
  </si>
  <si>
    <t>Q9BY43</t>
  </si>
  <si>
    <t>Q9BY77</t>
  </si>
  <si>
    <t>Q9BYB4</t>
  </si>
  <si>
    <t>Q9BYC8</t>
  </si>
  <si>
    <t>Q9BYD6</t>
  </si>
  <si>
    <t>Q9BYM8</t>
  </si>
  <si>
    <t>Q9BYN0</t>
  </si>
  <si>
    <t>Q9BYT8</t>
  </si>
  <si>
    <t>Q9BYV8</t>
  </si>
  <si>
    <t>Q9BYX2-3</t>
  </si>
  <si>
    <t>Q9BZ23-4</t>
  </si>
  <si>
    <t>Q9BZ67-2</t>
  </si>
  <si>
    <t>Q9BZD2</t>
  </si>
  <si>
    <t>Q9BZE2</t>
  </si>
  <si>
    <t>Q9BZE9</t>
  </si>
  <si>
    <t>Q9BZF1-3</t>
  </si>
  <si>
    <t>Q9BZK7</t>
  </si>
  <si>
    <t>Q9BZL1</t>
  </si>
  <si>
    <t>Q9BZM1</t>
  </si>
  <si>
    <t>Q9BZM4</t>
  </si>
  <si>
    <t>Q9BZM5</t>
  </si>
  <si>
    <t>Q9BZQ8</t>
  </si>
  <si>
    <t>Q9BZX2</t>
  </si>
  <si>
    <t>Q9BZZ5-2</t>
  </si>
  <si>
    <t>Q9C004</t>
  </si>
  <si>
    <t>Q9C005</t>
  </si>
  <si>
    <t>Q9C037-2</t>
  </si>
  <si>
    <t>Q9C073</t>
  </si>
  <si>
    <t>Q9C0B0</t>
  </si>
  <si>
    <t>Q9C0B1</t>
  </si>
  <si>
    <t>Q9C0B5-2</t>
  </si>
  <si>
    <t>Q9C0B7</t>
  </si>
  <si>
    <t>Q9C0C2</t>
  </si>
  <si>
    <t>Q9C0C9</t>
  </si>
  <si>
    <t>Q9C0D5-2</t>
  </si>
  <si>
    <t>Q9C0H2-2</t>
  </si>
  <si>
    <t>Q9C0I1</t>
  </si>
  <si>
    <t>Q9C0K7-2</t>
  </si>
  <si>
    <t>Q9GZL7</t>
  </si>
  <si>
    <t>Q9GZN8</t>
  </si>
  <si>
    <t>Q9GZP1</t>
  </si>
  <si>
    <t>Q9GZP4</t>
  </si>
  <si>
    <t>Q9GZP9</t>
  </si>
  <si>
    <t>Q9GZQ3</t>
  </si>
  <si>
    <t>Q9GZS3</t>
  </si>
  <si>
    <t>Q9GZT3-2</t>
  </si>
  <si>
    <t>Q9GZT4</t>
  </si>
  <si>
    <t>Q9GZT6-2</t>
  </si>
  <si>
    <t>Q9GZT8-2</t>
  </si>
  <si>
    <t>Q9GZT9</t>
  </si>
  <si>
    <t>Q9GZU7</t>
  </si>
  <si>
    <t>Q9GZU8</t>
  </si>
  <si>
    <t>Q9GZV5</t>
  </si>
  <si>
    <t>Q9GZX9</t>
  </si>
  <si>
    <t>Q9GZZ9</t>
  </si>
  <si>
    <t>Q9H008</t>
  </si>
  <si>
    <t>Q9H019-3</t>
  </si>
  <si>
    <t>Q9H029</t>
  </si>
  <si>
    <t>Q9H074</t>
  </si>
  <si>
    <t>Q9H078-2</t>
  </si>
  <si>
    <t>Q9H082</t>
  </si>
  <si>
    <t>Q9H098</t>
  </si>
  <si>
    <t>Q9H0B6-2</t>
  </si>
  <si>
    <t>Q9H0C8</t>
  </si>
  <si>
    <t>Q9H0D6</t>
  </si>
  <si>
    <t>Q9H0E2</t>
  </si>
  <si>
    <t>Q9H0F6</t>
  </si>
  <si>
    <t>Q9H0G5</t>
  </si>
  <si>
    <t>Q9H0K1</t>
  </si>
  <si>
    <t>Q9H0L4</t>
  </si>
  <si>
    <t>Q9H0N0</t>
  </si>
  <si>
    <t>Q9H0P0-2</t>
  </si>
  <si>
    <t>Q9H0Q0</t>
  </si>
  <si>
    <t>Q9H0R4</t>
  </si>
  <si>
    <t>Q9H0R5</t>
  </si>
  <si>
    <t>Q9H0R6</t>
  </si>
  <si>
    <t>Q9H0U3</t>
  </si>
  <si>
    <t>Q9H0U4</t>
  </si>
  <si>
    <t>Q9H0U9</t>
  </si>
  <si>
    <t>Q9H0V9</t>
  </si>
  <si>
    <t>Q9H0W8</t>
  </si>
  <si>
    <t>Q9H0W9</t>
  </si>
  <si>
    <t>Q9H0X4</t>
  </si>
  <si>
    <t>Q9H115</t>
  </si>
  <si>
    <t>Q9H173</t>
  </si>
  <si>
    <t>Q9H1A3-2</t>
  </si>
  <si>
    <t>Q9H1B7</t>
  </si>
  <si>
    <t>Q9H1C3</t>
  </si>
  <si>
    <t>Q9H1E3</t>
  </si>
  <si>
    <t>Q9H1E5</t>
  </si>
  <si>
    <t>Q9H1I8-3</t>
  </si>
  <si>
    <t>Q9H1J1-3</t>
  </si>
  <si>
    <t>Q9H1J7</t>
  </si>
  <si>
    <t>Q9H1K0</t>
  </si>
  <si>
    <t>Q9H1K1</t>
  </si>
  <si>
    <t>Q9H1P3-2</t>
  </si>
  <si>
    <t>Q9H1Y0</t>
  </si>
  <si>
    <t>Q9H1Z4</t>
  </si>
  <si>
    <t>Q9H1Z9</t>
  </si>
  <si>
    <t>Q9H204</t>
  </si>
  <si>
    <t>Q9H223</t>
  </si>
  <si>
    <t>Q9H246</t>
  </si>
  <si>
    <t>Q9H267</t>
  </si>
  <si>
    <t>Q9H269-2</t>
  </si>
  <si>
    <t>Q9H270</t>
  </si>
  <si>
    <t>Q9H2D1</t>
  </si>
  <si>
    <t>Q9H2D6-5</t>
  </si>
  <si>
    <t>Q9H2G9</t>
  </si>
  <si>
    <t>Q9H2H8</t>
  </si>
  <si>
    <t>Q9H2J4</t>
  </si>
  <si>
    <t>Q9H2K8</t>
  </si>
  <si>
    <t>Q9H2M9</t>
  </si>
  <si>
    <t>Q9H2P9-3</t>
  </si>
  <si>
    <t>Q9H2U2</t>
  </si>
  <si>
    <t>Q9H2W6</t>
  </si>
  <si>
    <t>Q9H307</t>
  </si>
  <si>
    <t>Q9H329-2</t>
  </si>
  <si>
    <t>Q9H330-2</t>
  </si>
  <si>
    <t>Q9H3F6</t>
  </si>
  <si>
    <t>Q9H3H3-2</t>
  </si>
  <si>
    <t>Q9H3H5-2</t>
  </si>
  <si>
    <t>Q9H3K6</t>
  </si>
  <si>
    <t>Q9H3M7</t>
  </si>
  <si>
    <t>Q9H3N1</t>
  </si>
  <si>
    <t>Q9H3P7</t>
  </si>
  <si>
    <t>Q9H3Q1</t>
  </si>
  <si>
    <t>Q9H3S7</t>
  </si>
  <si>
    <t>Q9H3U1-2</t>
  </si>
  <si>
    <t>Q9H3U5-3</t>
  </si>
  <si>
    <t>Q9H3Y8</t>
  </si>
  <si>
    <t>Q9H3Z4-2</t>
  </si>
  <si>
    <t>Q9H425</t>
  </si>
  <si>
    <t>Q9H444</t>
  </si>
  <si>
    <t>Q9H446-2</t>
  </si>
  <si>
    <t>Q9H467</t>
  </si>
  <si>
    <t>Q9H469</t>
  </si>
  <si>
    <t>Q9H479</t>
  </si>
  <si>
    <t>Q9H488</t>
  </si>
  <si>
    <t>Q9H492</t>
  </si>
  <si>
    <t>Q9H496</t>
  </si>
  <si>
    <t>Q9H497</t>
  </si>
  <si>
    <t>Q9H4A4</t>
  </si>
  <si>
    <t>Q9H4A5</t>
  </si>
  <si>
    <t>Q9H4A6</t>
  </si>
  <si>
    <t>Q9H4G0-2</t>
  </si>
  <si>
    <t>Q9H4G4</t>
  </si>
  <si>
    <t>Q9H4I2</t>
  </si>
  <si>
    <t>Q9H4M9</t>
  </si>
  <si>
    <t>Q9H4P4-2</t>
  </si>
  <si>
    <t>Q9H4X1-2</t>
  </si>
  <si>
    <t>Q9H553</t>
  </si>
  <si>
    <t>Q9H5K3</t>
  </si>
  <si>
    <t>Q9H5N1</t>
  </si>
  <si>
    <t>Q9H5V8</t>
  </si>
  <si>
    <t>Q9H5V9-2</t>
  </si>
  <si>
    <t>Q9H5X1</t>
  </si>
  <si>
    <t>Q9H668</t>
  </si>
  <si>
    <t>Q9H694</t>
  </si>
  <si>
    <t>Q9H6B4</t>
  </si>
  <si>
    <t>Q9H6D3</t>
  </si>
  <si>
    <t>Q9H6E4</t>
  </si>
  <si>
    <t>Q9H6K1</t>
  </si>
  <si>
    <t>Q9H6Q4</t>
  </si>
  <si>
    <t>Q9H6R3</t>
  </si>
  <si>
    <t>Q9H6S1</t>
  </si>
  <si>
    <t>Q9H6S3</t>
  </si>
  <si>
    <t>Q9H6T3</t>
  </si>
  <si>
    <t>Q9H6U8</t>
  </si>
  <si>
    <t>Q9H6X2</t>
  </si>
  <si>
    <t>Q9H6X4-2</t>
  </si>
  <si>
    <t>Q9H6Y2</t>
  </si>
  <si>
    <t>Q9H773</t>
  </si>
  <si>
    <t>Q9H777</t>
  </si>
  <si>
    <t>Q9H788-2</t>
  </si>
  <si>
    <t>Q9H792</t>
  </si>
  <si>
    <t>Q9H7B4</t>
  </si>
  <si>
    <t>Q9H7C4-2</t>
  </si>
  <si>
    <t>Q9H7C9</t>
  </si>
  <si>
    <t>Q9H7D0</t>
  </si>
  <si>
    <t>Q9H7F0</t>
  </si>
  <si>
    <t>Q9H7F4</t>
  </si>
  <si>
    <t>Q9H7X7-2</t>
  </si>
  <si>
    <t>Q9H7Z7</t>
  </si>
  <si>
    <t>Q9H814</t>
  </si>
  <si>
    <t>Q9H832</t>
  </si>
  <si>
    <t>Q9H840</t>
  </si>
  <si>
    <t>Q9H845</t>
  </si>
  <si>
    <t>Q9H857-2</t>
  </si>
  <si>
    <t>Q9H8G2</t>
  </si>
  <si>
    <t>Q9H8H0</t>
  </si>
  <si>
    <t>Q9H8K7</t>
  </si>
  <si>
    <t>Q9H8M7</t>
  </si>
  <si>
    <t>Q9H8S9</t>
  </si>
  <si>
    <t>Q9H8U3</t>
  </si>
  <si>
    <t>Q9H8W4</t>
  </si>
  <si>
    <t>Q9H8Y8</t>
  </si>
  <si>
    <t>Q9H910-2</t>
  </si>
  <si>
    <t>Q9H936</t>
  </si>
  <si>
    <t>Q9H939</t>
  </si>
  <si>
    <t>Q9H944</t>
  </si>
  <si>
    <t>Q9H974</t>
  </si>
  <si>
    <t>Q9H977</t>
  </si>
  <si>
    <t>Q9H993</t>
  </si>
  <si>
    <t>Q9H9A6</t>
  </si>
  <si>
    <t>Q9H9B1-4</t>
  </si>
  <si>
    <t>Q9H9B4</t>
  </si>
  <si>
    <t>Q9H9H4</t>
  </si>
  <si>
    <t>Q9H9S4</t>
  </si>
  <si>
    <t>Q9H9V9-2</t>
  </si>
  <si>
    <t>Q9H9Y4</t>
  </si>
  <si>
    <t>Q9HA64</t>
  </si>
  <si>
    <t>Q9HA65</t>
  </si>
  <si>
    <t>Q9HA77</t>
  </si>
  <si>
    <t>Q9HAB8</t>
  </si>
  <si>
    <t>Q9HAD4</t>
  </si>
  <si>
    <t>Q9HAT2-2</t>
  </si>
  <si>
    <t>Q9HAU0</t>
  </si>
  <si>
    <t>Q9HAU4</t>
  </si>
  <si>
    <t>Q9HAU8</t>
  </si>
  <si>
    <t>Q9HAV0</t>
  </si>
  <si>
    <t>Q9HAV4</t>
  </si>
  <si>
    <t>Q9HAV5</t>
  </si>
  <si>
    <t>Q9HAV7</t>
  </si>
  <si>
    <t>Q9HB07</t>
  </si>
  <si>
    <t>Q9HB09</t>
  </si>
  <si>
    <t>Q9HB19</t>
  </si>
  <si>
    <t>Q9HB20</t>
  </si>
  <si>
    <t>Q9HB40</t>
  </si>
  <si>
    <t>Q9HB71</t>
  </si>
  <si>
    <t>Q9HB90</t>
  </si>
  <si>
    <t>Q9HBH5</t>
  </si>
  <si>
    <t>Q9HBI1</t>
  </si>
  <si>
    <t>Q9HBK9</t>
  </si>
  <si>
    <t>Q9HBL7</t>
  </si>
  <si>
    <t>Q9HBL8</t>
  </si>
  <si>
    <t>Q9HBM8</t>
  </si>
  <si>
    <t>Q9HBR0</t>
  </si>
  <si>
    <t>Q9HBU6</t>
  </si>
  <si>
    <t>Q9HBZ2-2</t>
  </si>
  <si>
    <t>Q9HC21</t>
  </si>
  <si>
    <t>Q9HC35</t>
  </si>
  <si>
    <t>Q9HC38-2</t>
  </si>
  <si>
    <t>Q9HC57</t>
  </si>
  <si>
    <t>Q9HCC0</t>
  </si>
  <si>
    <t>Q9HCD6</t>
  </si>
  <si>
    <t>Q9HCE0</t>
  </si>
  <si>
    <t>Q9HCE3</t>
  </si>
  <si>
    <t>Q9HCE5</t>
  </si>
  <si>
    <t>Q9HCH0-3</t>
  </si>
  <si>
    <t>Q9HCH5-6</t>
  </si>
  <si>
    <t>Q9HCJ6</t>
  </si>
  <si>
    <t>Q9HCK4</t>
  </si>
  <si>
    <t>Q9HCN3</t>
  </si>
  <si>
    <t>Q9HCN4-2</t>
  </si>
  <si>
    <t>Q9HCN8</t>
  </si>
  <si>
    <t>Q9HCP0-2</t>
  </si>
  <si>
    <t>Q9HCU0</t>
  </si>
  <si>
    <t>Q9HCU5</t>
  </si>
  <si>
    <t>Q9HD15</t>
  </si>
  <si>
    <t>Q9HD20-2</t>
  </si>
  <si>
    <t>Q9HD42</t>
  </si>
  <si>
    <t>Q9HD45</t>
  </si>
  <si>
    <t>Q9HD47</t>
  </si>
  <si>
    <t>Q9HDC9</t>
  </si>
  <si>
    <t>Q9NNW7-2</t>
  </si>
  <si>
    <t>Q9NP58-4</t>
  </si>
  <si>
    <t>Q9NP61</t>
  </si>
  <si>
    <t>Q9NP72</t>
  </si>
  <si>
    <t>Q9NP74-2</t>
  </si>
  <si>
    <t>Q9NP77</t>
  </si>
  <si>
    <t>Q9NP79</t>
  </si>
  <si>
    <t>Q9NP80-3</t>
  </si>
  <si>
    <t>Q9NP84</t>
  </si>
  <si>
    <t>Q9NPA0</t>
  </si>
  <si>
    <t>Q9NPA3</t>
  </si>
  <si>
    <t>Q9NPA8-2</t>
  </si>
  <si>
    <t>Q9NPB8</t>
  </si>
  <si>
    <t>Q9NPD3</t>
  </si>
  <si>
    <t>Q9NPF0</t>
  </si>
  <si>
    <t>Q9NPF4</t>
  </si>
  <si>
    <t>Q9NPH0</t>
  </si>
  <si>
    <t>Q9NPI6</t>
  </si>
  <si>
    <t>Q9NPJ3</t>
  </si>
  <si>
    <t>Q9NPJ6</t>
  </si>
  <si>
    <t>Q9NPL8</t>
  </si>
  <si>
    <t>Q9NPQ8-4</t>
  </si>
  <si>
    <t>Q9NPR9</t>
  </si>
  <si>
    <t>Q9NQ75</t>
  </si>
  <si>
    <t>Q9NQ88</t>
  </si>
  <si>
    <t>Q9NQC3</t>
  </si>
  <si>
    <t>Q9NQC3-5</t>
  </si>
  <si>
    <t>Q9NQE9</t>
  </si>
  <si>
    <t>Q9NQG1</t>
  </si>
  <si>
    <t>Q9NQG5</t>
  </si>
  <si>
    <t>Q9NQH7-2</t>
  </si>
  <si>
    <t>Q9NQR4</t>
  </si>
  <si>
    <t>Q9NQS1</t>
  </si>
  <si>
    <t>Q9NQS3</t>
  </si>
  <si>
    <t>Q9NQT8</t>
  </si>
  <si>
    <t>Q9NQW7-3</t>
  </si>
  <si>
    <t>Q9NQY0</t>
  </si>
  <si>
    <t>Q9NQZ5</t>
  </si>
  <si>
    <t>Q9NR12</t>
  </si>
  <si>
    <t>Q9NR19</t>
  </si>
  <si>
    <t>Q9NR28-2</t>
  </si>
  <si>
    <t>Q9NR30</t>
  </si>
  <si>
    <t>Q9NR31</t>
  </si>
  <si>
    <t>Q9NR33</t>
  </si>
  <si>
    <t>Q9NR45</t>
  </si>
  <si>
    <t>Q9NR48-2</t>
  </si>
  <si>
    <t>Q9NR50</t>
  </si>
  <si>
    <t>Q9NRA2</t>
  </si>
  <si>
    <t>Q9NRB3</t>
  </si>
  <si>
    <t>Q9NRC6</t>
  </si>
  <si>
    <t>Q9NRF2-2</t>
  </si>
  <si>
    <t>Q9NRF8</t>
  </si>
  <si>
    <t>Q9NRF9</t>
  </si>
  <si>
    <t>Q9NRG0</t>
  </si>
  <si>
    <t>Q9NRG1</t>
  </si>
  <si>
    <t>Q9NRG4</t>
  </si>
  <si>
    <t>Q9NRG7-2</t>
  </si>
  <si>
    <t>Q9NRH1</t>
  </si>
  <si>
    <t>Q9NRK6</t>
  </si>
  <si>
    <t>Q9NRN5-3</t>
  </si>
  <si>
    <t>Q9NRN7</t>
  </si>
  <si>
    <t>Q9NRN9</t>
  </si>
  <si>
    <t>Q9NRP0</t>
  </si>
  <si>
    <t>Q9NRP2</t>
  </si>
  <si>
    <t>Q9NRQ2</t>
  </si>
  <si>
    <t>Q9NRR5</t>
  </si>
  <si>
    <t>Q9NRR8</t>
  </si>
  <si>
    <t>Q9NRS6</t>
  </si>
  <si>
    <t>Q9NRV9</t>
  </si>
  <si>
    <t>Q9NRW1</t>
  </si>
  <si>
    <t>Q9NRW4</t>
  </si>
  <si>
    <t>Q9NRX4</t>
  </si>
  <si>
    <t>Q9NRX5</t>
  </si>
  <si>
    <t>Q9NRY2</t>
  </si>
  <si>
    <t>Q9NRY4</t>
  </si>
  <si>
    <t>Q9NRY5</t>
  </si>
  <si>
    <t>Q9NRY6</t>
  </si>
  <si>
    <t>Q9NRZ5</t>
  </si>
  <si>
    <t>Q9NRZ7-2</t>
  </si>
  <si>
    <t>Q9NS15</t>
  </si>
  <si>
    <t>Q9NS69</t>
  </si>
  <si>
    <t>Q9NS86</t>
  </si>
  <si>
    <t>Q9NS87-4</t>
  </si>
  <si>
    <t>Q9NS93</t>
  </si>
  <si>
    <t>Q9NSA3</t>
  </si>
  <si>
    <t>Q9NSC5-5</t>
  </si>
  <si>
    <t>Q9NSD9</t>
  </si>
  <si>
    <t>Q9NSE4</t>
  </si>
  <si>
    <t>Q9NSI2-2</t>
  </si>
  <si>
    <t>Q9NSK7-4</t>
  </si>
  <si>
    <t>Q9NSY0</t>
  </si>
  <si>
    <t>Q9NSY1</t>
  </si>
  <si>
    <t>Q9NSY2</t>
  </si>
  <si>
    <t>Q9NT62</t>
  </si>
  <si>
    <t>Q9NTG7</t>
  </si>
  <si>
    <t>Q9NTJ5</t>
  </si>
  <si>
    <t>Q9NTK5-2</t>
  </si>
  <si>
    <t>Q9NTN3</t>
  </si>
  <si>
    <t>Q9NTX5-2</t>
  </si>
  <si>
    <t>Q9NTX5-3</t>
  </si>
  <si>
    <t>Q9NTX7-2</t>
  </si>
  <si>
    <t>Q9NTZ6</t>
  </si>
  <si>
    <t>Q9NU23</t>
  </si>
  <si>
    <t>Q9NUG6</t>
  </si>
  <si>
    <t>Q9NUJ1</t>
  </si>
  <si>
    <t>Q9NUL5-3</t>
  </si>
  <si>
    <t>Q9NUM4</t>
  </si>
  <si>
    <t>Q9NUN5-3</t>
  </si>
  <si>
    <t>Q9NUP1</t>
  </si>
  <si>
    <t>Q9NUP9</t>
  </si>
  <si>
    <t>Q9NUQ3</t>
  </si>
  <si>
    <t>Q9NUQ6</t>
  </si>
  <si>
    <t>Q9NUQ7</t>
  </si>
  <si>
    <t>Q9NUQ8-2</t>
  </si>
  <si>
    <t>Q9NUQ9</t>
  </si>
  <si>
    <t>Q9NUS5</t>
  </si>
  <si>
    <t>Q9NUU7</t>
  </si>
  <si>
    <t>Q9NUY8</t>
  </si>
  <si>
    <t>Q9NV35</t>
  </si>
  <si>
    <t>Q9NV56</t>
  </si>
  <si>
    <t>Q9NV70-2</t>
  </si>
  <si>
    <t>Q9NV88-3</t>
  </si>
  <si>
    <t>Q9NV96</t>
  </si>
  <si>
    <t>Q9NVA2-2</t>
  </si>
  <si>
    <t>Q9NVA4</t>
  </si>
  <si>
    <t>Q9NVC3</t>
  </si>
  <si>
    <t>Q9NVE7</t>
  </si>
  <si>
    <t>Q9NVG8</t>
  </si>
  <si>
    <t>Q9NVH6</t>
  </si>
  <si>
    <t>Q9NVI7-2</t>
  </si>
  <si>
    <t>Q9NVJ2</t>
  </si>
  <si>
    <t>Q9NVM1</t>
  </si>
  <si>
    <t>Q9NVM4-3</t>
  </si>
  <si>
    <t>Q9NVM6</t>
  </si>
  <si>
    <t>Q9NVR5</t>
  </si>
  <si>
    <t>Q9NVS9</t>
  </si>
  <si>
    <t>Q9NVT9</t>
  </si>
  <si>
    <t>Q9NVW2</t>
  </si>
  <si>
    <t>Q9NVX2</t>
  </si>
  <si>
    <t>Q9NVX7</t>
  </si>
  <si>
    <t>Q9NVZ3</t>
  </si>
  <si>
    <t>Q9NW15</t>
  </si>
  <si>
    <t>Q9NW21</t>
  </si>
  <si>
    <t>Q9NW68-4</t>
  </si>
  <si>
    <t>Q9NW82</t>
  </si>
  <si>
    <t>Q9NW97</t>
  </si>
  <si>
    <t>Q9NWA0</t>
  </si>
  <si>
    <t>Q9NWB6-2</t>
  </si>
  <si>
    <t>Q9NWD8</t>
  </si>
  <si>
    <t>Q9NWH2</t>
  </si>
  <si>
    <t>Q9NWM3</t>
  </si>
  <si>
    <t>Q9NWM8</t>
  </si>
  <si>
    <t>Q9NWQ8</t>
  </si>
  <si>
    <t>Q9NWQ9</t>
  </si>
  <si>
    <t>Q9NWS0</t>
  </si>
  <si>
    <t>Q9NWS6</t>
  </si>
  <si>
    <t>Q9NWT6</t>
  </si>
  <si>
    <t>Q9NWU1</t>
  </si>
  <si>
    <t>Q9NWU2</t>
  </si>
  <si>
    <t>Q9NWV4</t>
  </si>
  <si>
    <t>Q9NWW6</t>
  </si>
  <si>
    <t>Q9NWX6</t>
  </si>
  <si>
    <t>Q9NWY4</t>
  </si>
  <si>
    <t>Q9NWZ3</t>
  </si>
  <si>
    <t>Q9NX00</t>
  </si>
  <si>
    <t>Q9NX01</t>
  </si>
  <si>
    <t>Q9NX07</t>
  </si>
  <si>
    <t>Q9NX08</t>
  </si>
  <si>
    <t>Q9NX14</t>
  </si>
  <si>
    <t>Q9NX40</t>
  </si>
  <si>
    <t>Q9NX46</t>
  </si>
  <si>
    <t>Q9NX47</t>
  </si>
  <si>
    <t>Q9NX55</t>
  </si>
  <si>
    <t>Q9NX62</t>
  </si>
  <si>
    <t>Q9NX70</t>
  </si>
  <si>
    <t>Q9NX74</t>
  </si>
  <si>
    <t>Q9NX76</t>
  </si>
  <si>
    <t>Q9NX94</t>
  </si>
  <si>
    <t>Q9NXA8</t>
  </si>
  <si>
    <t>Q9NXF7</t>
  </si>
  <si>
    <t>Q9NXG6</t>
  </si>
  <si>
    <t>Q9NXH9</t>
  </si>
  <si>
    <t>Q9NXJ5</t>
  </si>
  <si>
    <t>Q9NXN4-2</t>
  </si>
  <si>
    <t>Q9NXR1-2</t>
  </si>
  <si>
    <t>Q9NXR7</t>
  </si>
  <si>
    <t>Q9NXU5</t>
  </si>
  <si>
    <t>Q9NXV6</t>
  </si>
  <si>
    <t>Q9NXW9</t>
  </si>
  <si>
    <t>Q9NY27</t>
  </si>
  <si>
    <t>Q9NY33</t>
  </si>
  <si>
    <t>Q9NYA1-2</t>
  </si>
  <si>
    <t>Q9NYB0</t>
  </si>
  <si>
    <t>Q9NYF8-2</t>
  </si>
  <si>
    <t>Q9NYJ1</t>
  </si>
  <si>
    <t>Q9NYJ8</t>
  </si>
  <si>
    <t>Q9NYK5</t>
  </si>
  <si>
    <t>Q9NYL2-2</t>
  </si>
  <si>
    <t>Q9NYL9</t>
  </si>
  <si>
    <t>Q9NYM9</t>
  </si>
  <si>
    <t>Q9NYU2-2</t>
  </si>
  <si>
    <t>Q9NYY8-2</t>
  </si>
  <si>
    <t>Q9NZ01</t>
  </si>
  <si>
    <t>Q9NZ08</t>
  </si>
  <si>
    <t>Q9NZ08-2</t>
  </si>
  <si>
    <t>Q9NZ09</t>
  </si>
  <si>
    <t>Q9NZ32</t>
  </si>
  <si>
    <t>Q9NZ43</t>
  </si>
  <si>
    <t>Q9NZ45</t>
  </si>
  <si>
    <t>Q9NZ53</t>
  </si>
  <si>
    <t>Q9NZ56</t>
  </si>
  <si>
    <t>Q9NZ63</t>
  </si>
  <si>
    <t>Q9NZB2-4</t>
  </si>
  <si>
    <t>Q9NZB8-7</t>
  </si>
  <si>
    <t>Q9NZC3</t>
  </si>
  <si>
    <t>Q9NZC9</t>
  </si>
  <si>
    <t>Q9NZD2</t>
  </si>
  <si>
    <t>Q9NZD8-2</t>
  </si>
  <si>
    <t>Q9NZI7-4</t>
  </si>
  <si>
    <t>Q9NZJ6</t>
  </si>
  <si>
    <t>Q9NZJ7-2</t>
  </si>
  <si>
    <t>Q9NZJ9</t>
  </si>
  <si>
    <t>Q9NZJ9-2</t>
  </si>
  <si>
    <t>Q9NZL4</t>
  </si>
  <si>
    <t>Q9NZL9</t>
  </si>
  <si>
    <t>Q9NZL9-2</t>
  </si>
  <si>
    <t>Q9NZM1-6</t>
  </si>
  <si>
    <t>Q9NZM3-2</t>
  </si>
  <si>
    <t>Q9NZM4-2</t>
  </si>
  <si>
    <t>Q9NZN3</t>
  </si>
  <si>
    <t>Q9NZN4</t>
  </si>
  <si>
    <t>Q9NZN9-3</t>
  </si>
  <si>
    <t>Q9NZQ3-3</t>
  </si>
  <si>
    <t>Q9NZQ7-3</t>
  </si>
  <si>
    <t>Q9NZS9</t>
  </si>
  <si>
    <t>Q9NZT2-2</t>
  </si>
  <si>
    <t>Q9NZU5</t>
  </si>
  <si>
    <t>Q9NZV1</t>
  </si>
  <si>
    <t>Q9NZW5</t>
  </si>
  <si>
    <t>Q9NZZ3</t>
  </si>
  <si>
    <t>Q9P000</t>
  </si>
  <si>
    <t>Q9P013</t>
  </si>
  <si>
    <t>Q9P016</t>
  </si>
  <si>
    <t>Q9P032</t>
  </si>
  <si>
    <t>Q9P035</t>
  </si>
  <si>
    <t>Q9P0I2</t>
  </si>
  <si>
    <t>Q9P0J1</t>
  </si>
  <si>
    <t>Q9P0J7</t>
  </si>
  <si>
    <t>Q9P0K7-4</t>
  </si>
  <si>
    <t>Q9P0L0</t>
  </si>
  <si>
    <t>Q9P0P0</t>
  </si>
  <si>
    <t>Q9P0R6</t>
  </si>
  <si>
    <t>Q9P0S2</t>
  </si>
  <si>
    <t>Q9P0V3</t>
  </si>
  <si>
    <t>Q9P1F3</t>
  </si>
  <si>
    <t>Q9P1U0</t>
  </si>
  <si>
    <t>Q9P1Z2-2</t>
  </si>
  <si>
    <t>Q9P253</t>
  </si>
  <si>
    <t>Q9P258</t>
  </si>
  <si>
    <t>Q9P260-2</t>
  </si>
  <si>
    <t>Q9P265</t>
  </si>
  <si>
    <t>Q9P266</t>
  </si>
  <si>
    <t>Q9P270</t>
  </si>
  <si>
    <t>Q9P287</t>
  </si>
  <si>
    <t>Q9P287-2</t>
  </si>
  <si>
    <t>Q9P299</t>
  </si>
  <si>
    <t>Q9P2B4</t>
  </si>
  <si>
    <t>Q9P2B7</t>
  </si>
  <si>
    <t>Q9P2C4</t>
  </si>
  <si>
    <t>Q9P2E7</t>
  </si>
  <si>
    <t>Q9P2E9</t>
  </si>
  <si>
    <t>Q9P2E9-2</t>
  </si>
  <si>
    <t>Q9P2G1</t>
  </si>
  <si>
    <t>Q9P2H5</t>
  </si>
  <si>
    <t>Q9P2I0</t>
  </si>
  <si>
    <t>Q9P2K8-2</t>
  </si>
  <si>
    <t>Q9P2N5</t>
  </si>
  <si>
    <t>Q9P2R3</t>
  </si>
  <si>
    <t>Q9P2X0</t>
  </si>
  <si>
    <t>Q9P2X3</t>
  </si>
  <si>
    <t>Q9UBB4</t>
  </si>
  <si>
    <t>Q9UBB6</t>
  </si>
  <si>
    <t>Q9UBC2-2</t>
  </si>
  <si>
    <t>Q9UBD8</t>
  </si>
  <si>
    <t>Q9UBE0</t>
  </si>
  <si>
    <t>Q9UBF2</t>
  </si>
  <si>
    <t>Q9UBF6</t>
  </si>
  <si>
    <t>Q9UBF8-2</t>
  </si>
  <si>
    <t>Q9UBG0</t>
  </si>
  <si>
    <t>Q9UBI6</t>
  </si>
  <si>
    <t>Q9UBK8-2</t>
  </si>
  <si>
    <t>Q9UBK9</t>
  </si>
  <si>
    <t>Q9UBL6-2</t>
  </si>
  <si>
    <t>Q9UBM7</t>
  </si>
  <si>
    <t>Q9UBN6</t>
  </si>
  <si>
    <t>Q9UBP0-3</t>
  </si>
  <si>
    <t>Q9UBP6</t>
  </si>
  <si>
    <t>Q9UBP9-4</t>
  </si>
  <si>
    <t>Q9UBQ0</t>
  </si>
  <si>
    <t>Q9UBQ7</t>
  </si>
  <si>
    <t>Q9UBR2</t>
  </si>
  <si>
    <t>Q9UBS0</t>
  </si>
  <si>
    <t>Q9UBS4</t>
  </si>
  <si>
    <t>Q9UBS8</t>
  </si>
  <si>
    <t>Q9UBT2</t>
  </si>
  <si>
    <t>Q9UBT7-2</t>
  </si>
  <si>
    <t>Q9UBU6</t>
  </si>
  <si>
    <t>Q9UBV2</t>
  </si>
  <si>
    <t>Q9UBV8</t>
  </si>
  <si>
    <t>Q9UBW8</t>
  </si>
  <si>
    <t>Q9UBY9</t>
  </si>
  <si>
    <t>Q9UDR5</t>
  </si>
  <si>
    <t>Q9UDT6-2</t>
  </si>
  <si>
    <t>Q9UDW1</t>
  </si>
  <si>
    <t>Q9UDY2-6</t>
  </si>
  <si>
    <t>Q9UDY4</t>
  </si>
  <si>
    <t>Q9UDY8</t>
  </si>
  <si>
    <t>Q9UEE9</t>
  </si>
  <si>
    <t>Q9UET6-2</t>
  </si>
  <si>
    <t>Q9UEU0</t>
  </si>
  <si>
    <t>Q9UEW8</t>
  </si>
  <si>
    <t>Q9UEY8-2</t>
  </si>
  <si>
    <t>Q9UFG5</t>
  </si>
  <si>
    <t>Q9UFN0</t>
  </si>
  <si>
    <t>Q9UFW8</t>
  </si>
  <si>
    <t>Q9UG56-2</t>
  </si>
  <si>
    <t>Q9UG63</t>
  </si>
  <si>
    <t>Q9UGI8</t>
  </si>
  <si>
    <t>Q9UGK8</t>
  </si>
  <si>
    <t>Q9UGP4</t>
  </si>
  <si>
    <t>Q9UGP8</t>
  </si>
  <si>
    <t>Q9UGQ2-2</t>
  </si>
  <si>
    <t>Q9UGQ3-2</t>
  </si>
  <si>
    <t>Q9UGT4</t>
  </si>
  <si>
    <t>Q9UGV2</t>
  </si>
  <si>
    <t>Q9UH62</t>
  </si>
  <si>
    <t>Q9UH65</t>
  </si>
  <si>
    <t>Q9UH99</t>
  </si>
  <si>
    <t>Q9UHA4</t>
  </si>
  <si>
    <t>Q9UHB7-2</t>
  </si>
  <si>
    <t>Q9UHD1</t>
  </si>
  <si>
    <t>Q9UHD2</t>
  </si>
  <si>
    <t>Q9UHD8-5</t>
  </si>
  <si>
    <t>Q9UHD9</t>
  </si>
  <si>
    <t>Q9UHE8</t>
  </si>
  <si>
    <t>Q9UHG3</t>
  </si>
  <si>
    <t>Q9UHJ6</t>
  </si>
  <si>
    <t>Q9UHL4</t>
  </si>
  <si>
    <t>Q9UHN6</t>
  </si>
  <si>
    <t>Q9UHP3</t>
  </si>
  <si>
    <t>Q9UHQ4</t>
  </si>
  <si>
    <t>Q9UHQ9</t>
  </si>
  <si>
    <t>Q9UHR4</t>
  </si>
  <si>
    <t>Q9UHV9</t>
  </si>
  <si>
    <t>Q9UHW5</t>
  </si>
  <si>
    <t>Q9UHX1-4</t>
  </si>
  <si>
    <t>Q9UHY1</t>
  </si>
  <si>
    <t>Q9UHY7</t>
  </si>
  <si>
    <t>Q9UHY8</t>
  </si>
  <si>
    <t>Q9UI08</t>
  </si>
  <si>
    <t>Q9UI12-2</t>
  </si>
  <si>
    <t>Q9UI15</t>
  </si>
  <si>
    <t>Q9UI26</t>
  </si>
  <si>
    <t>Q9UI30</t>
  </si>
  <si>
    <t>Q9UI42-2</t>
  </si>
  <si>
    <t>Q9UIC8</t>
  </si>
  <si>
    <t>Q9UID3-2</t>
  </si>
  <si>
    <t>Q9UII2</t>
  </si>
  <si>
    <t>Q9UIJ5</t>
  </si>
  <si>
    <t>Q9UIJ7</t>
  </si>
  <si>
    <t>Q9UIL1-3</t>
  </si>
  <si>
    <t>Q9UIQ6-3</t>
  </si>
  <si>
    <t>Q9UJ14</t>
  </si>
  <si>
    <t>Q9UJ68-5</t>
  </si>
  <si>
    <t>Q9UJ70</t>
  </si>
  <si>
    <t>Q9UJA5</t>
  </si>
  <si>
    <t>Q9UJG1-2</t>
  </si>
  <si>
    <t>Q9UJJ9</t>
  </si>
  <si>
    <t>Q9UJM3</t>
  </si>
  <si>
    <t>Q9UJS0</t>
  </si>
  <si>
    <t>Q9UJT0</t>
  </si>
  <si>
    <t>Q9UJU6</t>
  </si>
  <si>
    <t>Q9UJU6-2</t>
  </si>
  <si>
    <t>Q9UJW0-2</t>
  </si>
  <si>
    <t>Q9UJX2</t>
  </si>
  <si>
    <t>Q9UJX5</t>
  </si>
  <si>
    <t>Q9UJX6-2</t>
  </si>
  <si>
    <t>Q9UJY1</t>
  </si>
  <si>
    <t>Q9UJY4</t>
  </si>
  <si>
    <t>Q9UJY5-4</t>
  </si>
  <si>
    <t>Q9UJZ1</t>
  </si>
  <si>
    <t>Q9UK23-2</t>
  </si>
  <si>
    <t>Q9UK39</t>
  </si>
  <si>
    <t>Q9UK41</t>
  </si>
  <si>
    <t>Q9UK45</t>
  </si>
  <si>
    <t>Q9UK59</t>
  </si>
  <si>
    <t>Q9UK76</t>
  </si>
  <si>
    <t>Q9UK97-3</t>
  </si>
  <si>
    <t>Q9UK99</t>
  </si>
  <si>
    <t>Q9UKA4</t>
  </si>
  <si>
    <t>Q9UKB3</t>
  </si>
  <si>
    <t>Q9UKC9</t>
  </si>
  <si>
    <t>Q9UKE5-5</t>
  </si>
  <si>
    <t>Q9UKF6</t>
  </si>
  <si>
    <t>Q9UKG1</t>
  </si>
  <si>
    <t>Q9UKG9</t>
  </si>
  <si>
    <t>Q9UKK3</t>
  </si>
  <si>
    <t>Q9UKK9</t>
  </si>
  <si>
    <t>Q9UKL6</t>
  </si>
  <si>
    <t>Q9UKR5</t>
  </si>
  <si>
    <t>Q9UKS6</t>
  </si>
  <si>
    <t>Q9UKT4-2</t>
  </si>
  <si>
    <t>Q9UKT5</t>
  </si>
  <si>
    <t>Q9UKU6</t>
  </si>
  <si>
    <t>Q9UKU7</t>
  </si>
  <si>
    <t>Q9UKV5</t>
  </si>
  <si>
    <t>Q9UKV8</t>
  </si>
  <si>
    <t>Q9UKX5</t>
  </si>
  <si>
    <t>Q9UKX7-2</t>
  </si>
  <si>
    <t>Q9UKY7</t>
  </si>
  <si>
    <t>Q9UKZ1</t>
  </si>
  <si>
    <t>Q9UL15</t>
  </si>
  <si>
    <t>Q9UL25</t>
  </si>
  <si>
    <t>Q9UL26</t>
  </si>
  <si>
    <t>Q9UL46</t>
  </si>
  <si>
    <t>Q9ULC3</t>
  </si>
  <si>
    <t>Q9ULC4</t>
  </si>
  <si>
    <t>Q9ULC8</t>
  </si>
  <si>
    <t>Q9ULF5</t>
  </si>
  <si>
    <t>Q9ULH0-5</t>
  </si>
  <si>
    <t>Q9ULH1</t>
  </si>
  <si>
    <t>Q9ULH7-4</t>
  </si>
  <si>
    <t>Q9ULI3</t>
  </si>
  <si>
    <t>Q9ULJ6</t>
  </si>
  <si>
    <t>Q9ULJ7</t>
  </si>
  <si>
    <t>Q9ULP9-2</t>
  </si>
  <si>
    <t>Q9ULR0</t>
  </si>
  <si>
    <t>Q9ULT8</t>
  </si>
  <si>
    <t>Q9ULV4</t>
  </si>
  <si>
    <t>Q9ULZ3-2</t>
  </si>
  <si>
    <t>Q9UM47</t>
  </si>
  <si>
    <t>Q9UMF0</t>
  </si>
  <si>
    <t>Q9UMS0-3</t>
  </si>
  <si>
    <t>Q9UMS4</t>
  </si>
  <si>
    <t>Q9UMS6</t>
  </si>
  <si>
    <t>Q9UMX0-2</t>
  </si>
  <si>
    <t>Q9UMX1</t>
  </si>
  <si>
    <t>Q9UMX5</t>
  </si>
  <si>
    <t>Q9UMY4-2</t>
  </si>
  <si>
    <t>Q9UMZ2-6</t>
  </si>
  <si>
    <t>Q9UN37</t>
  </si>
  <si>
    <t>Q9UN86-2</t>
  </si>
  <si>
    <t>Q9UNE7</t>
  </si>
  <si>
    <t>Q9UNF0</t>
  </si>
  <si>
    <t>Q9UNF1</t>
  </si>
  <si>
    <t>Q9UNH6</t>
  </si>
  <si>
    <t>Q9UNH7</t>
  </si>
  <si>
    <t>Q9UNI6</t>
  </si>
  <si>
    <t>Q9UNK0</t>
  </si>
  <si>
    <t>Q9UNM6</t>
  </si>
  <si>
    <t>Q9UNN5</t>
  </si>
  <si>
    <t>Q9UNN8</t>
  </si>
  <si>
    <t>Q9UNP9</t>
  </si>
  <si>
    <t>Q9UNS2</t>
  </si>
  <si>
    <t>Q9UNW1</t>
  </si>
  <si>
    <t>Q9UNY4-2</t>
  </si>
  <si>
    <t>Q9UP38</t>
  </si>
  <si>
    <t>Q9UP79</t>
  </si>
  <si>
    <t>Q9UP83</t>
  </si>
  <si>
    <t>Q9UP95-5</t>
  </si>
  <si>
    <t>Q9UPM8-2</t>
  </si>
  <si>
    <t>Q9UPN6</t>
  </si>
  <si>
    <t>Q9UPN7</t>
  </si>
  <si>
    <t>Q9UPN9-2</t>
  </si>
  <si>
    <t>Q9UPP5-2</t>
  </si>
  <si>
    <t>Q9UPQ9-1</t>
  </si>
  <si>
    <t>Q9UPR3</t>
  </si>
  <si>
    <t>Q9UPT5-2</t>
  </si>
  <si>
    <t>Q9UPU5</t>
  </si>
  <si>
    <t>Q9UPU7-2</t>
  </si>
  <si>
    <t>Q9UPY8</t>
  </si>
  <si>
    <t>Q9UPZ3-2</t>
  </si>
  <si>
    <t>Q9UQ13-2</t>
  </si>
  <si>
    <t>Q9UQ35</t>
  </si>
  <si>
    <t>Q9UQ80</t>
  </si>
  <si>
    <t>Q9UQB8-2</t>
  </si>
  <si>
    <t>Q9UQC2-2</t>
  </si>
  <si>
    <t>Q9UQN3</t>
  </si>
  <si>
    <t>Q9Y217</t>
  </si>
  <si>
    <t>Q9Y223-3</t>
  </si>
  <si>
    <t>Q9Y224</t>
  </si>
  <si>
    <t>Q9Y230</t>
  </si>
  <si>
    <t>Q9Y237</t>
  </si>
  <si>
    <t>Q9Y241</t>
  </si>
  <si>
    <t>Q9Y243-2</t>
  </si>
  <si>
    <t>Q9Y244</t>
  </si>
  <si>
    <t>Q9Y257</t>
  </si>
  <si>
    <t>Q9Y259</t>
  </si>
  <si>
    <t>Q9Y263</t>
  </si>
  <si>
    <t>Q9Y265</t>
  </si>
  <si>
    <t>Q9Y266</t>
  </si>
  <si>
    <t>Q9Y276</t>
  </si>
  <si>
    <t>Q9Y281</t>
  </si>
  <si>
    <t>Q9Y294</t>
  </si>
  <si>
    <t>Q9Y295</t>
  </si>
  <si>
    <t>Q9Y296</t>
  </si>
  <si>
    <t>Q9Y2A7</t>
  </si>
  <si>
    <t>Q9Y2B0</t>
  </si>
  <si>
    <t>Q9Y2C2</t>
  </si>
  <si>
    <t>Q9Y2C4</t>
  </si>
  <si>
    <t>Q9Y2D0</t>
  </si>
  <si>
    <t>Q9Y2D4</t>
  </si>
  <si>
    <t>Q9Y2D5-6</t>
  </si>
  <si>
    <t>Q9Y2E4</t>
  </si>
  <si>
    <t>Q9Y2E5</t>
  </si>
  <si>
    <t>Q9Y2G3</t>
  </si>
  <si>
    <t>Q9Y2G5</t>
  </si>
  <si>
    <t>Q9Y2H1</t>
  </si>
  <si>
    <t>Q9Y2H6-2</t>
  </si>
  <si>
    <t>Q9Y2I1</t>
  </si>
  <si>
    <t>Q9Y2I8</t>
  </si>
  <si>
    <t>Q9Y2J2-2</t>
  </si>
  <si>
    <t>Q9Y2J4</t>
  </si>
  <si>
    <t>Q9Y2L1</t>
  </si>
  <si>
    <t>Q9Y2Q3</t>
  </si>
  <si>
    <t>Q9Y2Q5</t>
  </si>
  <si>
    <t>Q9Y2Q9</t>
  </si>
  <si>
    <t>Q9Y2R0</t>
  </si>
  <si>
    <t>Q9Y2S2-2</t>
  </si>
  <si>
    <t>Q9Y2S6</t>
  </si>
  <si>
    <t>Q9Y2S7</t>
  </si>
  <si>
    <t>Q9Y2T2</t>
  </si>
  <si>
    <t>Q9Y2U5</t>
  </si>
  <si>
    <t>Q9Y2U8</t>
  </si>
  <si>
    <t>Q9Y2V7</t>
  </si>
  <si>
    <t>Q9Y2W1</t>
  </si>
  <si>
    <t>Q9Y2X7</t>
  </si>
  <si>
    <t>Q9Y2Y1</t>
  </si>
  <si>
    <t>Q9Y2Z0</t>
  </si>
  <si>
    <t>Q9Y2Z0-2</t>
  </si>
  <si>
    <t>Q9Y2Z4</t>
  </si>
  <si>
    <t>Q9Y2Z9-3</t>
  </si>
  <si>
    <t>Q9Y303</t>
  </si>
  <si>
    <t>Q9Y305</t>
  </si>
  <si>
    <t>Q9Y314</t>
  </si>
  <si>
    <t>Q9Y316</t>
  </si>
  <si>
    <t>Q9Y320-2</t>
  </si>
  <si>
    <t>Q9Y333</t>
  </si>
  <si>
    <t>Q9Y371</t>
  </si>
  <si>
    <t>Q9Y375</t>
  </si>
  <si>
    <t>Q9Y376</t>
  </si>
  <si>
    <t>Q9Y383</t>
  </si>
  <si>
    <t>Q9Y385</t>
  </si>
  <si>
    <t>Q9Y394-2</t>
  </si>
  <si>
    <t>Q9Y3A3-3</t>
  </si>
  <si>
    <t>Q9Y3A5</t>
  </si>
  <si>
    <t>Q9Y3B3</t>
  </si>
  <si>
    <t>Q9Y3B9</t>
  </si>
  <si>
    <t>Q9Y3C1</t>
  </si>
  <si>
    <t>Q9Y3C4-2</t>
  </si>
  <si>
    <t>Q9Y3C5</t>
  </si>
  <si>
    <t>Q9Y3C6</t>
  </si>
  <si>
    <t>Q9Y3C8</t>
  </si>
  <si>
    <t>Q9Y3D0</t>
  </si>
  <si>
    <t>Q9Y3D2</t>
  </si>
  <si>
    <t>Q9Y3D6</t>
  </si>
  <si>
    <t>Q9Y3D8</t>
  </si>
  <si>
    <t>Q9Y3E0</t>
  </si>
  <si>
    <t>Q9Y3E1</t>
  </si>
  <si>
    <t>Q9Y3E2</t>
  </si>
  <si>
    <t>Q9Y3E7</t>
  </si>
  <si>
    <t>Q9Y3F4</t>
  </si>
  <si>
    <t>Q9Y3I0</t>
  </si>
  <si>
    <t>Q9Y3I1</t>
  </si>
  <si>
    <t>Q9Y3L3</t>
  </si>
  <si>
    <t>Q9Y3L5</t>
  </si>
  <si>
    <t>Q9Y3M8-3</t>
  </si>
  <si>
    <t>Q9Y3P9</t>
  </si>
  <si>
    <t>Q9Y3Q3</t>
  </si>
  <si>
    <t>Q9Y3Q8</t>
  </si>
  <si>
    <t>Q9Y3S2</t>
  </si>
  <si>
    <t>Q9Y3T6</t>
  </si>
  <si>
    <t>Q9Y3T9</t>
  </si>
  <si>
    <t>Q9Y3U8</t>
  </si>
  <si>
    <t>Q9Y3V2</t>
  </si>
  <si>
    <t>Q9Y3X0</t>
  </si>
  <si>
    <t>Q9Y3Z3-4</t>
  </si>
  <si>
    <t>Q9Y450-4</t>
  </si>
  <si>
    <t>Q9Y478</t>
  </si>
  <si>
    <t>Q9Y490</t>
  </si>
  <si>
    <t>Q9Y4B5</t>
  </si>
  <si>
    <t>Q9Y4C2-2</t>
  </si>
  <si>
    <t>Q9Y4E1-2</t>
  </si>
  <si>
    <t>Q9Y4E8</t>
  </si>
  <si>
    <t>Q9Y4F1</t>
  </si>
  <si>
    <t>Q9Y4G6</t>
  </si>
  <si>
    <t>Q9Y4G8</t>
  </si>
  <si>
    <t>Q9Y4H2</t>
  </si>
  <si>
    <t>Q9Y4K0</t>
  </si>
  <si>
    <t>Q9Y4K1</t>
  </si>
  <si>
    <t>Q9Y4K4</t>
  </si>
  <si>
    <t>Q9Y4P1-6</t>
  </si>
  <si>
    <t>Q9Y4P8-4</t>
  </si>
  <si>
    <t>Q9Y4U1</t>
  </si>
  <si>
    <t>Q9Y4W6</t>
  </si>
  <si>
    <t>Q9Y4X5</t>
  </si>
  <si>
    <t>Q9Y4Z0</t>
  </si>
  <si>
    <t>Q9Y508</t>
  </si>
  <si>
    <t>Q9Y512</t>
  </si>
  <si>
    <t>Q9Y534</t>
  </si>
  <si>
    <t>Q9Y570</t>
  </si>
  <si>
    <t>Q9Y576</t>
  </si>
  <si>
    <t>Q9Y584</t>
  </si>
  <si>
    <t>Q9Y5A9-2</t>
  </si>
  <si>
    <t>Q9Y5B0</t>
  </si>
  <si>
    <t>Q9Y5B8-2</t>
  </si>
  <si>
    <t>Q9Y5J5</t>
  </si>
  <si>
    <t>Q9Y5J6</t>
  </si>
  <si>
    <t>Q9Y5J7</t>
  </si>
  <si>
    <t>Q9Y5K5-2</t>
  </si>
  <si>
    <t>Q9Y5K6</t>
  </si>
  <si>
    <t>Q9Y5K8</t>
  </si>
  <si>
    <t>Q9Y5L0</t>
  </si>
  <si>
    <t>Q9Y5L4</t>
  </si>
  <si>
    <t>Q9Y5M8</t>
  </si>
  <si>
    <t>Q9Y5N5</t>
  </si>
  <si>
    <t>Q9Y5P4-2</t>
  </si>
  <si>
    <t>Q9Y5P6</t>
  </si>
  <si>
    <t>Q9Y5R8</t>
  </si>
  <si>
    <t>Q9Y5S1</t>
  </si>
  <si>
    <t>Q9Y5S2</t>
  </si>
  <si>
    <t>Q9Y5S9</t>
  </si>
  <si>
    <t>Q9Y5U2-2</t>
  </si>
  <si>
    <t>Q9Y5V3</t>
  </si>
  <si>
    <t>Q9Y5X1</t>
  </si>
  <si>
    <t>Q9Y5X2</t>
  </si>
  <si>
    <t>Q9Y5X3</t>
  </si>
  <si>
    <t>Q9Y5Y2</t>
  </si>
  <si>
    <t>Q9Y5Z4</t>
  </si>
  <si>
    <t>Q9Y5Z7</t>
  </si>
  <si>
    <t>Q9Y605</t>
  </si>
  <si>
    <t>Q9Y608-4</t>
  </si>
  <si>
    <t>Q9Y613</t>
  </si>
  <si>
    <t>Q9Y617</t>
  </si>
  <si>
    <t>Q9Y619</t>
  </si>
  <si>
    <t>Q9Y625</t>
  </si>
  <si>
    <t>Q9Y639-1</t>
  </si>
  <si>
    <t>Q9Y646</t>
  </si>
  <si>
    <t>Q9Y673</t>
  </si>
  <si>
    <t>Q9Y678</t>
  </si>
  <si>
    <t>Q9Y679</t>
  </si>
  <si>
    <t>Q9Y680-2</t>
  </si>
  <si>
    <t>Q9Y689-2</t>
  </si>
  <si>
    <t>Q9Y693</t>
  </si>
  <si>
    <t>Q9Y696</t>
  </si>
  <si>
    <t>Q9Y697-2</t>
  </si>
  <si>
    <t>Q9Y6A4</t>
  </si>
  <si>
    <t>Q9Y6B2-2</t>
  </si>
  <si>
    <t>Q9Y6C2</t>
  </si>
  <si>
    <t>Q9Y6C9</t>
  </si>
  <si>
    <t>Q9Y6D5</t>
  </si>
  <si>
    <t>Q9Y6D6</t>
  </si>
  <si>
    <t>Q9Y6D9</t>
  </si>
  <si>
    <t>Q9Y6E0-2</t>
  </si>
  <si>
    <t>Q9Y6G5</t>
  </si>
  <si>
    <t>Q9Y6G9</t>
  </si>
  <si>
    <t>Q9Y6H1</t>
  </si>
  <si>
    <t>Q9Y6I3</t>
  </si>
  <si>
    <t>Q9Y6I9</t>
  </si>
  <si>
    <t>Q9Y6K8-3</t>
  </si>
  <si>
    <t>Q9Y6M4-3</t>
  </si>
  <si>
    <t>Q9Y6M5</t>
  </si>
  <si>
    <t>Q9Y6N1</t>
  </si>
  <si>
    <t>Q9Y6N5</t>
  </si>
  <si>
    <t>Q9Y6N7-5</t>
  </si>
  <si>
    <t>Q9Y6P5-2</t>
  </si>
  <si>
    <t>Q9Y6Q2</t>
  </si>
  <si>
    <t>Q9Y6Q9-5</t>
  </si>
  <si>
    <t>Q9Y6R0</t>
  </si>
  <si>
    <t>Q9Y6V0-2</t>
  </si>
  <si>
    <t>Q9Y6W3</t>
  </si>
  <si>
    <t>Q9Y6W5</t>
  </si>
  <si>
    <t>Q9Y6X5</t>
  </si>
  <si>
    <t>R4GMM8</t>
  </si>
  <si>
    <t>R4GMN1</t>
  </si>
  <si>
    <t>R4GMR5</t>
  </si>
  <si>
    <t>R4GMU1</t>
  </si>
  <si>
    <t>R4GMX3</t>
  </si>
  <si>
    <t>R4GMX8</t>
  </si>
  <si>
    <t>R4GMY4</t>
  </si>
  <si>
    <t>R4GN55</t>
  </si>
  <si>
    <t>R4GN89</t>
  </si>
  <si>
    <t>R4GN98</t>
  </si>
  <si>
    <t>R4GNB2</t>
  </si>
  <si>
    <t>R4GND3</t>
  </si>
  <si>
    <t>R4GNH3</t>
  </si>
  <si>
    <t>REV</t>
  </si>
  <si>
    <t>norm_FC_TMT126_H.sapiens_lung_fibroblasts_P017095</t>
  </si>
  <si>
    <t>norm_FC_TMT127L_H.sapiens_lung_fibroblasts_P017095</t>
  </si>
  <si>
    <t>norm_FC_TMT127H_H.sapiens_lung_fibroblasts_P017095</t>
  </si>
  <si>
    <t>norm_FC_TMT128L_H.sapiens_lung_fibroblasts_P017095</t>
  </si>
  <si>
    <t>norm_FC_TMT128H_H.sapiens_lung_fibroblasts_P017095</t>
  </si>
  <si>
    <t>norm_FC_TMT129L_H.sapiens_lung_fibroblasts_P017095</t>
  </si>
  <si>
    <t>norm_FC_TMT129H_H.sapiens_lung_fibroblasts_P017095</t>
  </si>
  <si>
    <t>norm_FC_TMT130L_H.sapiens_lung_fibroblasts_P017095</t>
  </si>
  <si>
    <t>norm_FC_TMT130H_H.sapiens_lung_fibroblasts_P017095</t>
  </si>
  <si>
    <t>norm_FC_TMT131L_H.sapiens_lung_fibroblasts_P017095</t>
  </si>
  <si>
    <t>a_H.sapiens_lung_fibroblasts_P017095</t>
  </si>
  <si>
    <t>b_H.sapiens_lung_fibroblasts_P017095</t>
  </si>
  <si>
    <t>meltPoint_H.sapiens_lung_fibroblasts_P017095</t>
  </si>
  <si>
    <t>inflPoint_H.sapiens_lung_fibroblasts_P017095</t>
  </si>
  <si>
    <t>slope_H.sapiens_lung_fibroblasts_P017095</t>
  </si>
  <si>
    <t>plateau_H.sapiens_lung_fibroblasts_P017095</t>
  </si>
  <si>
    <t>R_sq_H.sapiens_lung_fibroblasts_P017095</t>
  </si>
  <si>
    <t>protein_identified_in_H.sapiens_lung_fibroblasts_P017095</t>
  </si>
  <si>
    <t>model_converged_H.sapiens_lung_fibroblasts_P017095</t>
  </si>
  <si>
    <t>sufficient_data_for_fit_H.sapiens_lung_fibroblasts_P017095</t>
  </si>
  <si>
    <t>Proteinname_H.sapiens_lung_fibroblasts_P017095</t>
  </si>
  <si>
    <t>numSpec_H.sapiens_lung_fibroblasts_P017095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</si>
</sst>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858"/>
  <sheetViews>
    <sheetView tabSelected="1" topLeftCell="D1" workbookViewId="0">
      <selection sqref="A1:XFD1"/>
    </sheetView>
  </sheetViews>
  <sheetFormatPr defaultRowHeight="15" x14ac:dyDescent="0.25"/>
  <sheetData>
    <row r="1" spans="1:28" s="2" customFormat="1" ht="105" x14ac:dyDescent="0.25">
      <c r="A1" s="1" t="s">
        <v>0</v>
      </c>
      <c r="B1" s="1" t="s">
        <v>29066</v>
      </c>
      <c r="C1" s="1" t="s">
        <v>29067</v>
      </c>
      <c r="D1" s="1" t="s">
        <v>29068</v>
      </c>
      <c r="E1" s="1" t="s">
        <v>29069</v>
      </c>
      <c r="F1" s="1" t="s">
        <v>29070</v>
      </c>
      <c r="G1" s="1" t="s">
        <v>29071</v>
      </c>
      <c r="H1" s="1" t="s">
        <v>29072</v>
      </c>
      <c r="I1" s="1" t="s">
        <v>29073</v>
      </c>
      <c r="J1" s="1" t="s">
        <v>29074</v>
      </c>
      <c r="K1" s="1" t="s">
        <v>29075</v>
      </c>
      <c r="L1" s="1" t="s">
        <v>29076</v>
      </c>
      <c r="M1" s="1" t="s">
        <v>29077</v>
      </c>
      <c r="N1" s="1" t="s">
        <v>29078</v>
      </c>
      <c r="O1" s="1" t="s">
        <v>29079</v>
      </c>
      <c r="P1" s="1" t="s">
        <v>29080</v>
      </c>
      <c r="Q1" s="1" t="s">
        <v>29081</v>
      </c>
      <c r="R1" s="1" t="s">
        <v>29082</v>
      </c>
      <c r="S1" s="1" t="s">
        <v>1</v>
      </c>
      <c r="T1" s="1" t="s">
        <v>29083</v>
      </c>
      <c r="U1" s="1" t="s">
        <v>29084</v>
      </c>
      <c r="V1" s="1" t="s">
        <v>29085</v>
      </c>
      <c r="W1" s="1" t="s">
        <v>29086</v>
      </c>
      <c r="X1" s="1" t="s">
        <v>29087</v>
      </c>
      <c r="Y1" s="1" t="s">
        <v>2</v>
      </c>
      <c r="Z1" s="1" t="s">
        <v>3</v>
      </c>
      <c r="AA1" s="1" t="s">
        <v>4</v>
      </c>
      <c r="AB1" s="1" t="s">
        <v>5</v>
      </c>
    </row>
    <row r="2" spans="1:28" x14ac:dyDescent="0.25">
      <c r="A2" t="s">
        <v>6</v>
      </c>
      <c r="B2">
        <v>0.99334974765950101</v>
      </c>
      <c r="C2">
        <v>1.2411386208870101</v>
      </c>
      <c r="D2">
        <v>1.0138135739946501</v>
      </c>
      <c r="E2">
        <v>0.74840184959037304</v>
      </c>
      <c r="F2">
        <v>0.75497505617711902</v>
      </c>
      <c r="G2">
        <v>0.56774589885677995</v>
      </c>
      <c r="H2">
        <v>0.52771498911077896</v>
      </c>
      <c r="I2">
        <v>0.43360737554370699</v>
      </c>
      <c r="J2">
        <v>0.23566306433034501</v>
      </c>
      <c r="K2">
        <v>0.23541329864935301</v>
      </c>
      <c r="L2">
        <v>593.41205912304702</v>
      </c>
      <c r="M2">
        <v>10.147498000597301</v>
      </c>
      <c r="N2">
        <v>59.8647327015833</v>
      </c>
      <c r="O2">
        <v>56.343924711363002</v>
      </c>
      <c r="P2">
        <v>-4.0329488549884503E-2</v>
      </c>
      <c r="Q2">
        <v>0.104694660708886</v>
      </c>
      <c r="R2">
        <v>0.90052830554219998</v>
      </c>
      <c r="S2" t="s">
        <v>5863</v>
      </c>
      <c r="T2" t="s">
        <v>11720</v>
      </c>
      <c r="U2" t="s">
        <v>11720</v>
      </c>
      <c r="V2" t="s">
        <v>11720</v>
      </c>
      <c r="W2" t="s">
        <v>11722</v>
      </c>
      <c r="X2">
        <v>3</v>
      </c>
      <c r="Y2" t="s">
        <v>17516</v>
      </c>
      <c r="Z2" t="s">
        <v>23209</v>
      </c>
      <c r="AA2">
        <v>0.66263756523012374</v>
      </c>
      <c r="AB2" t="str">
        <f>HYPERLINK("Melting_Curves/meltCurve_A0AVI4_TMEM129.pdf", "Melting_Curves/meltCurve_A0AVI4_TMEM129.pdf")</f>
        <v>Melting_Curves/meltCurve_A0AVI4_TMEM129.pdf</v>
      </c>
    </row>
    <row r="3" spans="1:28" x14ac:dyDescent="0.25">
      <c r="A3" t="s">
        <v>7</v>
      </c>
      <c r="B3">
        <v>0.99334974765950101</v>
      </c>
      <c r="C3">
        <v>1.0032902264810699</v>
      </c>
      <c r="D3">
        <v>1.0266916092092999</v>
      </c>
      <c r="E3">
        <v>0.54865531275021595</v>
      </c>
      <c r="F3">
        <v>0.17050683173369599</v>
      </c>
      <c r="G3">
        <v>0.110527420510403</v>
      </c>
      <c r="H3">
        <v>7.9726518507796301E-2</v>
      </c>
      <c r="I3">
        <v>7.6264870689386102E-2</v>
      </c>
      <c r="J3">
        <v>6.4769261922182894E-2</v>
      </c>
      <c r="K3">
        <v>5.5405809921187203E-2</v>
      </c>
      <c r="L3">
        <v>2175.6392148130499</v>
      </c>
      <c r="M3">
        <v>43.433519000701601</v>
      </c>
      <c r="N3">
        <v>50.288327311518401</v>
      </c>
      <c r="O3">
        <v>49.985411440439101</v>
      </c>
      <c r="P3">
        <v>-0.200231200208318</v>
      </c>
      <c r="Q3">
        <v>7.8258064850410702E-2</v>
      </c>
      <c r="R3">
        <v>0.99771371406532705</v>
      </c>
      <c r="S3" t="s">
        <v>5864</v>
      </c>
      <c r="T3" t="s">
        <v>11720</v>
      </c>
      <c r="U3" t="s">
        <v>11720</v>
      </c>
      <c r="V3" t="s">
        <v>11720</v>
      </c>
      <c r="W3" t="s">
        <v>11723</v>
      </c>
      <c r="X3">
        <v>34</v>
      </c>
      <c r="Y3" t="s">
        <v>17517</v>
      </c>
      <c r="Z3" t="s">
        <v>23210</v>
      </c>
      <c r="AA3">
        <v>0.39101300624288948</v>
      </c>
      <c r="AB3" t="str">
        <f>HYPERLINK("Melting_Curves/meltCurve_A0AVT1_UBA6.pdf", "Melting_Curves/meltCurve_A0AVT1_UBA6.pdf")</f>
        <v>Melting_Curves/meltCurve_A0AVT1_UBA6.pdf</v>
      </c>
    </row>
    <row r="4" spans="1:28" x14ac:dyDescent="0.25">
      <c r="A4" t="s">
        <v>8</v>
      </c>
      <c r="B4">
        <v>0.99334974765950101</v>
      </c>
      <c r="C4">
        <v>1.0849493971703601</v>
      </c>
      <c r="D4">
        <v>1.1498145116730301</v>
      </c>
      <c r="E4">
        <v>1.0585939779411899</v>
      </c>
      <c r="F4">
        <v>1.2914348013911701</v>
      </c>
      <c r="G4">
        <v>0.90845938595518305</v>
      </c>
      <c r="H4">
        <v>0.49244872924354299</v>
      </c>
      <c r="I4">
        <v>0.40490172398020302</v>
      </c>
      <c r="J4">
        <v>0.48990611523159899</v>
      </c>
      <c r="K4">
        <v>0.51520534350592495</v>
      </c>
      <c r="L4">
        <v>4789.9704102145397</v>
      </c>
      <c r="M4">
        <v>82.451283813505597</v>
      </c>
      <c r="N4">
        <v>60.224235233090802</v>
      </c>
      <c r="O4">
        <v>58.060420583093197</v>
      </c>
      <c r="P4">
        <v>-0.187127127622228</v>
      </c>
      <c r="Q4">
        <v>0.47291662331526801</v>
      </c>
      <c r="R4">
        <v>0.87163892069276605</v>
      </c>
      <c r="S4" t="s">
        <v>5865</v>
      </c>
      <c r="T4" t="s">
        <v>11720</v>
      </c>
      <c r="U4" t="s">
        <v>11720</v>
      </c>
      <c r="V4" t="s">
        <v>11720</v>
      </c>
      <c r="W4" t="s">
        <v>11724</v>
      </c>
      <c r="X4">
        <v>1</v>
      </c>
      <c r="Y4" t="s">
        <v>17518</v>
      </c>
      <c r="Z4" t="s">
        <v>23211</v>
      </c>
      <c r="AA4">
        <v>0.79132281569015395</v>
      </c>
      <c r="AB4" t="str">
        <f>HYPERLINK("Melting_Curves/meltCurve_A0JNW5_UHRF1BP1L.pdf", "Melting_Curves/meltCurve_A0JNW5_UHRF1BP1L.pdf")</f>
        <v>Melting_Curves/meltCurve_A0JNW5_UHRF1BP1L.pdf</v>
      </c>
    </row>
    <row r="5" spans="1:28" x14ac:dyDescent="0.25">
      <c r="A5" t="s">
        <v>9</v>
      </c>
      <c r="B5">
        <v>0.99334974765950101</v>
      </c>
      <c r="C5">
        <v>0.96592855015644097</v>
      </c>
      <c r="D5">
        <v>0.905392701767882</v>
      </c>
      <c r="E5">
        <v>0.78463130730778496</v>
      </c>
      <c r="F5">
        <v>0.47711892209732498</v>
      </c>
      <c r="G5">
        <v>0.385610510925323</v>
      </c>
      <c r="H5">
        <v>0.31125308473621499</v>
      </c>
      <c r="I5">
        <v>0.32829242201205899</v>
      </c>
      <c r="J5">
        <v>0.36584609175308302</v>
      </c>
      <c r="K5">
        <v>0.34350705897650802</v>
      </c>
      <c r="L5">
        <v>1367.7300150427</v>
      </c>
      <c r="M5">
        <v>26.857730286871799</v>
      </c>
      <c r="N5">
        <v>53.115761354483801</v>
      </c>
      <c r="O5">
        <v>50.645194968800197</v>
      </c>
      <c r="P5">
        <v>-8.81852356557878E-2</v>
      </c>
      <c r="Q5">
        <v>0.33484875242108803</v>
      </c>
      <c r="R5">
        <v>0.98820399535184</v>
      </c>
      <c r="S5" t="s">
        <v>5866</v>
      </c>
      <c r="T5" t="s">
        <v>11720</v>
      </c>
      <c r="U5" t="s">
        <v>11720</v>
      </c>
      <c r="V5" t="s">
        <v>11720</v>
      </c>
      <c r="W5" t="s">
        <v>11725</v>
      </c>
      <c r="X5">
        <v>3</v>
      </c>
      <c r="Y5" t="s">
        <v>17519</v>
      </c>
      <c r="Z5" t="s">
        <v>23212</v>
      </c>
      <c r="AA5">
        <v>0.58228450097256845</v>
      </c>
      <c r="AB5" t="str">
        <f>HYPERLINK("Melting_Curves/meltCurve_A1A4S6_ARHGAP10.pdf", "Melting_Curves/meltCurve_A1A4S6_ARHGAP10.pdf")</f>
        <v>Melting_Curves/meltCurve_A1A4S6_ARHGAP10.pdf</v>
      </c>
    </row>
    <row r="6" spans="1:28" x14ac:dyDescent="0.25">
      <c r="A6" t="s">
        <v>10</v>
      </c>
      <c r="B6">
        <v>0.99334974765950101</v>
      </c>
      <c r="C6">
        <v>0.98239784279993303</v>
      </c>
      <c r="D6">
        <v>1.02902810651918</v>
      </c>
      <c r="E6">
        <v>0.96091901665898705</v>
      </c>
      <c r="F6">
        <v>0.79517738402410898</v>
      </c>
      <c r="G6">
        <v>0.57478781208797103</v>
      </c>
      <c r="H6">
        <v>0.43218337191741801</v>
      </c>
      <c r="I6">
        <v>0.50620814997074204</v>
      </c>
      <c r="J6">
        <v>0.446883476458319</v>
      </c>
      <c r="K6">
        <v>0.282986291913708</v>
      </c>
      <c r="L6">
        <v>1156.3074550039</v>
      </c>
      <c r="M6">
        <v>21.014863187839701</v>
      </c>
      <c r="N6">
        <v>59.144290557963402</v>
      </c>
      <c r="O6">
        <v>54.532338779350198</v>
      </c>
      <c r="P6">
        <v>-5.93118170247341E-2</v>
      </c>
      <c r="Q6">
        <v>0.38437371540091603</v>
      </c>
      <c r="R6">
        <v>0.96402029811638201</v>
      </c>
      <c r="S6" t="s">
        <v>5867</v>
      </c>
      <c r="T6" t="s">
        <v>11720</v>
      </c>
      <c r="U6" t="s">
        <v>11720</v>
      </c>
      <c r="V6" t="s">
        <v>11720</v>
      </c>
      <c r="W6" t="s">
        <v>11726</v>
      </c>
      <c r="X6">
        <v>24</v>
      </c>
      <c r="Y6" t="s">
        <v>17520</v>
      </c>
      <c r="Z6" t="s">
        <v>23213</v>
      </c>
      <c r="AA6">
        <v>0.70026100009318359</v>
      </c>
      <c r="AB6" t="str">
        <f>HYPERLINK("Melting_Curves/meltCurve_A1L0T0_ILVBL.pdf", "Melting_Curves/meltCurve_A1L0T0_ILVBL.pdf")</f>
        <v>Melting_Curves/meltCurve_A1L0T0_ILVBL.pdf</v>
      </c>
    </row>
    <row r="7" spans="1:28" x14ac:dyDescent="0.25">
      <c r="A7" t="s">
        <v>11</v>
      </c>
      <c r="B7">
        <v>0.99334974765950101</v>
      </c>
      <c r="C7">
        <v>1.0186248896246499</v>
      </c>
      <c r="D7">
        <v>0.92227713422963198</v>
      </c>
      <c r="E7">
        <v>0.74276109832028803</v>
      </c>
      <c r="F7">
        <v>0.86374917581130595</v>
      </c>
      <c r="G7">
        <v>0.68161642716272697</v>
      </c>
      <c r="H7">
        <v>0.60936326174463795</v>
      </c>
      <c r="I7">
        <v>0.52427980243162897</v>
      </c>
      <c r="J7">
        <v>0.73783542097108901</v>
      </c>
      <c r="K7">
        <v>0.67544939141595295</v>
      </c>
      <c r="L7">
        <v>747.83849486891097</v>
      </c>
      <c r="M7">
        <v>14.851879084475399</v>
      </c>
      <c r="O7">
        <v>49.466704863334797</v>
      </c>
      <c r="P7">
        <v>-2.7569775094566502E-2</v>
      </c>
      <c r="Q7">
        <v>0.63273546981380002</v>
      </c>
      <c r="R7">
        <v>0.79887210755636395</v>
      </c>
      <c r="S7" t="s">
        <v>5868</v>
      </c>
      <c r="T7" t="s">
        <v>11720</v>
      </c>
      <c r="U7" t="s">
        <v>11720</v>
      </c>
      <c r="V7" t="s">
        <v>11720</v>
      </c>
      <c r="W7" t="s">
        <v>11727</v>
      </c>
      <c r="X7">
        <v>2</v>
      </c>
      <c r="Y7" t="s">
        <v>17521</v>
      </c>
      <c r="Z7" t="s">
        <v>23214</v>
      </c>
      <c r="AA7">
        <v>0.76828949447011341</v>
      </c>
      <c r="AB7" t="str">
        <f>HYPERLINK("Melting_Curves/meltCurve_A1L188_C17orf89.pdf", "Melting_Curves/meltCurve_A1L188_C17orf89.pdf")</f>
        <v>Melting_Curves/meltCurve_A1L188_C17orf89.pdf</v>
      </c>
    </row>
    <row r="8" spans="1:28" x14ac:dyDescent="0.25">
      <c r="A8" t="s">
        <v>12</v>
      </c>
      <c r="B8">
        <v>0.99334974765950101</v>
      </c>
      <c r="C8">
        <v>0.97316237061494004</v>
      </c>
      <c r="D8">
        <v>0.75280183487469698</v>
      </c>
      <c r="E8">
        <v>0.389446135608433</v>
      </c>
      <c r="F8">
        <v>0.24140831536928101</v>
      </c>
      <c r="G8">
        <v>0.189356821162004</v>
      </c>
      <c r="H8">
        <v>0.152707476734884</v>
      </c>
      <c r="I8">
        <v>0.16609227605547999</v>
      </c>
      <c r="J8">
        <v>0.13126040917082901</v>
      </c>
      <c r="K8">
        <v>0.10239714060284</v>
      </c>
      <c r="L8">
        <v>1061.84006334998</v>
      </c>
      <c r="M8">
        <v>22.109931815233899</v>
      </c>
      <c r="N8">
        <v>48.752541967171801</v>
      </c>
      <c r="O8">
        <v>47.637787413980902</v>
      </c>
      <c r="P8">
        <v>-9.9738023126623304E-2</v>
      </c>
      <c r="Q8">
        <v>0.14044153679577401</v>
      </c>
      <c r="R8">
        <v>0.996704277829351</v>
      </c>
      <c r="S8" t="s">
        <v>5869</v>
      </c>
      <c r="T8" t="s">
        <v>11720</v>
      </c>
      <c r="U8" t="s">
        <v>11720</v>
      </c>
      <c r="V8" t="s">
        <v>11720</v>
      </c>
      <c r="W8" t="s">
        <v>11728</v>
      </c>
      <c r="X8">
        <v>19</v>
      </c>
      <c r="Y8" t="s">
        <v>17522</v>
      </c>
      <c r="Z8" t="s">
        <v>23215</v>
      </c>
      <c r="AA8">
        <v>0.38025265410322828</v>
      </c>
      <c r="AB8" t="str">
        <f>HYPERLINK("Melting_Curves/meltCurve_A1X283_SH3PXD2B.pdf", "Melting_Curves/meltCurve_A1X283_SH3PXD2B.pdf")</f>
        <v>Melting_Curves/meltCurve_A1X283_SH3PXD2B.pdf</v>
      </c>
    </row>
    <row r="9" spans="1:28" x14ac:dyDescent="0.25">
      <c r="A9" t="s">
        <v>13</v>
      </c>
      <c r="B9">
        <v>0.99334974765950101</v>
      </c>
      <c r="C9">
        <v>0.93811060348335196</v>
      </c>
      <c r="D9">
        <v>0.93236327216519699</v>
      </c>
      <c r="E9">
        <v>0.45186572444246398</v>
      </c>
      <c r="F9">
        <v>0.14735905366372101</v>
      </c>
      <c r="G9">
        <v>9.9892151449129593E-2</v>
      </c>
      <c r="H9">
        <v>6.8929777614268606E-2</v>
      </c>
      <c r="I9">
        <v>6.06433846875509E-2</v>
      </c>
      <c r="J9">
        <v>6.0248122947351199E-2</v>
      </c>
      <c r="K9">
        <v>4.9357313574322499E-2</v>
      </c>
      <c r="L9">
        <v>1609.3597891444599</v>
      </c>
      <c r="M9">
        <v>32.540603093172301</v>
      </c>
      <c r="N9">
        <v>49.662487595515998</v>
      </c>
      <c r="O9">
        <v>49.271316774900598</v>
      </c>
      <c r="P9">
        <v>-0.154709769530404</v>
      </c>
      <c r="Q9">
        <v>6.2989932810341598E-2</v>
      </c>
      <c r="R9">
        <v>0.99733113372778504</v>
      </c>
      <c r="S9" t="s">
        <v>5870</v>
      </c>
      <c r="T9" t="s">
        <v>11720</v>
      </c>
      <c r="U9" t="s">
        <v>11720</v>
      </c>
      <c r="V9" t="s">
        <v>11720</v>
      </c>
      <c r="W9" t="s">
        <v>11729</v>
      </c>
      <c r="X9">
        <v>34</v>
      </c>
      <c r="Y9" t="s">
        <v>17523</v>
      </c>
      <c r="Z9" t="s">
        <v>23216</v>
      </c>
      <c r="AA9">
        <v>0.36323587429967952</v>
      </c>
      <c r="AB9" t="str">
        <f>HYPERLINK("Melting_Curves/meltCurve_A2A274_ACO2.pdf", "Melting_Curves/meltCurve_A2A274_ACO2.pdf")</f>
        <v>Melting_Curves/meltCurve_A2A274_ACO2.pdf</v>
      </c>
    </row>
    <row r="10" spans="1:28" x14ac:dyDescent="0.25">
      <c r="A10" t="s">
        <v>14</v>
      </c>
      <c r="B10">
        <v>0.99334974765950101</v>
      </c>
      <c r="C10">
        <v>0.79980680369242996</v>
      </c>
      <c r="D10">
        <v>1.1141046283173901</v>
      </c>
      <c r="E10">
        <v>0.85574564756427995</v>
      </c>
      <c r="F10">
        <v>0.941988297736577</v>
      </c>
      <c r="G10">
        <v>0.85255784764119602</v>
      </c>
      <c r="H10">
        <v>0.727746024746455</v>
      </c>
      <c r="I10">
        <v>0.62599884924188798</v>
      </c>
      <c r="J10">
        <v>0.51020573712105199</v>
      </c>
      <c r="K10">
        <v>0.37615238650567101</v>
      </c>
      <c r="L10">
        <v>637.03776302281506</v>
      </c>
      <c r="M10">
        <v>9.4986906604478296</v>
      </c>
      <c r="N10">
        <v>67.065849217855899</v>
      </c>
      <c r="O10">
        <v>64.295149219424204</v>
      </c>
      <c r="P10">
        <v>-3.69558005265513E-2</v>
      </c>
      <c r="Q10">
        <v>0</v>
      </c>
      <c r="R10">
        <v>0.85333085792294805</v>
      </c>
      <c r="S10" t="s">
        <v>5871</v>
      </c>
      <c r="T10" t="s">
        <v>11720</v>
      </c>
      <c r="U10" t="s">
        <v>11720</v>
      </c>
      <c r="V10" t="s">
        <v>11720</v>
      </c>
      <c r="W10" t="s">
        <v>11730</v>
      </c>
      <c r="X10">
        <v>1</v>
      </c>
      <c r="Y10" t="s">
        <v>17524</v>
      </c>
      <c r="Z10" t="s">
        <v>23217</v>
      </c>
      <c r="AA10">
        <v>0.8139663664802107</v>
      </c>
      <c r="AB10" t="str">
        <f>HYPERLINK("Melting_Curves/meltCurve_A2A2F4_PMEPA1.pdf", "Melting_Curves/meltCurve_A2A2F4_PMEPA1.pdf")</f>
        <v>Melting_Curves/meltCurve_A2A2F4_PMEPA1.pdf</v>
      </c>
    </row>
    <row r="11" spans="1:28" x14ac:dyDescent="0.25">
      <c r="A11" t="s">
        <v>15</v>
      </c>
      <c r="B11">
        <v>0.99334974765950101</v>
      </c>
      <c r="C11">
        <v>1.01192910319628</v>
      </c>
      <c r="D11">
        <v>0.94163601358452298</v>
      </c>
      <c r="E11">
        <v>0.52249703003664605</v>
      </c>
      <c r="F11">
        <v>0.283641810323983</v>
      </c>
      <c r="G11">
        <v>0.13056959105442001</v>
      </c>
      <c r="H11">
        <v>9.7701411868128807E-2</v>
      </c>
      <c r="I11">
        <v>8.6685445971864797E-2</v>
      </c>
      <c r="J11">
        <v>9.0930211123645105E-2</v>
      </c>
      <c r="K11">
        <v>6.2649641329194095E-2</v>
      </c>
      <c r="L11">
        <v>1295.0548645454501</v>
      </c>
      <c r="M11">
        <v>25.875227833174598</v>
      </c>
      <c r="N11">
        <v>50.413713876423103</v>
      </c>
      <c r="O11">
        <v>49.75391520214</v>
      </c>
      <c r="P11">
        <v>-0.118947047090615</v>
      </c>
      <c r="Q11">
        <v>8.5146306588691503E-2</v>
      </c>
      <c r="R11">
        <v>0.997908477616124</v>
      </c>
      <c r="S11" t="s">
        <v>5872</v>
      </c>
      <c r="T11" t="s">
        <v>11720</v>
      </c>
      <c r="U11" t="s">
        <v>11720</v>
      </c>
      <c r="V11" t="s">
        <v>11720</v>
      </c>
      <c r="W11" t="s">
        <v>11731</v>
      </c>
      <c r="X11">
        <v>4</v>
      </c>
      <c r="Y11" t="s">
        <v>17525</v>
      </c>
      <c r="Z11" t="s">
        <v>23218</v>
      </c>
      <c r="AA11">
        <v>0.39925589590994159</v>
      </c>
      <c r="AB11" t="str">
        <f>HYPERLINK("Melting_Curves/meltCurve_A2A2Q9_AAR2.pdf", "Melting_Curves/meltCurve_A2A2Q9_AAR2.pdf")</f>
        <v>Melting_Curves/meltCurve_A2A2Q9_AAR2.pdf</v>
      </c>
    </row>
    <row r="12" spans="1:28" x14ac:dyDescent="0.25">
      <c r="A12" t="s">
        <v>16</v>
      </c>
      <c r="B12">
        <v>0.99334974765950101</v>
      </c>
      <c r="C12">
        <v>0.97358420104263299</v>
      </c>
      <c r="D12">
        <v>0.90817922700447795</v>
      </c>
      <c r="E12">
        <v>0.86756556800179097</v>
      </c>
      <c r="F12">
        <v>0.93852504909207501</v>
      </c>
      <c r="G12">
        <v>0.86201126529272898</v>
      </c>
      <c r="H12">
        <v>0.88564060988830196</v>
      </c>
      <c r="I12">
        <v>0.97380510488818095</v>
      </c>
      <c r="J12">
        <v>1.1762407380793301</v>
      </c>
      <c r="K12">
        <v>0.81231039951920803</v>
      </c>
      <c r="L12">
        <v>10748.373485125299</v>
      </c>
      <c r="M12">
        <v>250</v>
      </c>
      <c r="O12">
        <v>42.990742626678603</v>
      </c>
      <c r="P12">
        <v>-0.10462319754999699</v>
      </c>
      <c r="Q12">
        <v>0.928034736720174</v>
      </c>
      <c r="R12">
        <v>5.4770492950802399E-2</v>
      </c>
      <c r="S12" t="s">
        <v>5873</v>
      </c>
      <c r="T12" t="s">
        <v>11720</v>
      </c>
      <c r="U12" t="s">
        <v>11720</v>
      </c>
      <c r="V12" t="s">
        <v>11720</v>
      </c>
      <c r="W12" t="s">
        <v>11732</v>
      </c>
      <c r="X12">
        <v>5</v>
      </c>
      <c r="Y12" t="s">
        <v>17526</v>
      </c>
      <c r="Z12" t="s">
        <v>23219</v>
      </c>
      <c r="AA12">
        <v>0.93522108603005127</v>
      </c>
      <c r="AB12" t="str">
        <f>HYPERLINK("Melting_Curves/meltCurve_A2A2V1_PRNP.pdf", "Melting_Curves/meltCurve_A2A2V1_PRNP.pdf")</f>
        <v>Melting_Curves/meltCurve_A2A2V1_PRNP.pdf</v>
      </c>
    </row>
    <row r="13" spans="1:28" x14ac:dyDescent="0.25">
      <c r="A13" t="s">
        <v>17</v>
      </c>
      <c r="B13">
        <v>0.99334974765950101</v>
      </c>
      <c r="C13">
        <v>0.88459341367607502</v>
      </c>
      <c r="D13">
        <v>0.773919978701751</v>
      </c>
      <c r="E13">
        <v>0.36922293384194799</v>
      </c>
      <c r="F13">
        <v>0.28990850233716597</v>
      </c>
      <c r="G13">
        <v>0.17756152475673101</v>
      </c>
      <c r="H13">
        <v>0.14716992256487299</v>
      </c>
      <c r="I13">
        <v>0.103617620774346</v>
      </c>
      <c r="J13">
        <v>8.9011921848559494E-2</v>
      </c>
      <c r="K13">
        <v>4.0988049936345701E-2</v>
      </c>
      <c r="L13">
        <v>805.55224297749396</v>
      </c>
      <c r="M13">
        <v>16.621822952096601</v>
      </c>
      <c r="N13">
        <v>49.008608581974798</v>
      </c>
      <c r="O13">
        <v>47.778339113304497</v>
      </c>
      <c r="P13">
        <v>-7.9638974607982901E-2</v>
      </c>
      <c r="Q13">
        <v>8.4393405974847902E-2</v>
      </c>
      <c r="R13">
        <v>0.99080247464458204</v>
      </c>
      <c r="S13" t="s">
        <v>5874</v>
      </c>
      <c r="T13" t="s">
        <v>11720</v>
      </c>
      <c r="U13" t="s">
        <v>11720</v>
      </c>
      <c r="V13" t="s">
        <v>11720</v>
      </c>
      <c r="W13" t="s">
        <v>11733</v>
      </c>
      <c r="X13">
        <v>2</v>
      </c>
      <c r="Y13" t="s">
        <v>17527</v>
      </c>
      <c r="Z13" t="s">
        <v>23220</v>
      </c>
      <c r="AA13">
        <v>0.36155365669585132</v>
      </c>
      <c r="AB13" t="str">
        <f>HYPERLINK("Melting_Curves/meltCurve_A2RRP1_NBAS.pdf", "Melting_Curves/meltCurve_A2RRP1_NBAS.pdf")</f>
        <v>Melting_Curves/meltCurve_A2RRP1_NBAS.pdf</v>
      </c>
    </row>
    <row r="14" spans="1:28" x14ac:dyDescent="0.25">
      <c r="A14" t="s">
        <v>18</v>
      </c>
      <c r="B14">
        <v>0.99334974765950101</v>
      </c>
      <c r="C14">
        <v>0.79536369326365597</v>
      </c>
      <c r="D14">
        <v>1.00136468327035</v>
      </c>
      <c r="E14">
        <v>0.90040580983704399</v>
      </c>
      <c r="F14">
        <v>1.21115196961219</v>
      </c>
      <c r="G14">
        <v>0.82150905974542299</v>
      </c>
      <c r="H14">
        <v>0.79256794503213601</v>
      </c>
      <c r="I14">
        <v>0.99202742162894098</v>
      </c>
      <c r="J14">
        <v>0.93094968215055696</v>
      </c>
      <c r="K14">
        <v>0.73700582657654401</v>
      </c>
      <c r="L14">
        <v>378.17498970777899</v>
      </c>
      <c r="M14">
        <v>3.91318928429867</v>
      </c>
      <c r="Q14">
        <v>0</v>
      </c>
      <c r="R14">
        <v>0.10282007022180301</v>
      </c>
      <c r="S14" t="s">
        <v>5875</v>
      </c>
      <c r="T14" t="s">
        <v>11720</v>
      </c>
      <c r="U14" t="s">
        <v>11720</v>
      </c>
      <c r="V14" t="s">
        <v>11720</v>
      </c>
      <c r="W14" t="s">
        <v>11734</v>
      </c>
      <c r="X14">
        <v>1</v>
      </c>
      <c r="Y14" t="s">
        <v>17528</v>
      </c>
      <c r="Z14" t="s">
        <v>23221</v>
      </c>
      <c r="AA14">
        <v>0.93523669848935631</v>
      </c>
      <c r="AB14" t="str">
        <f>HYPERLINK("Melting_Curves/meltCurve_A2RU67_KIAA1467.pdf", "Melting_Curves/meltCurve_A2RU67_KIAA1467.pdf")</f>
        <v>Melting_Curves/meltCurve_A2RU67_KIAA1467.pdf</v>
      </c>
    </row>
    <row r="15" spans="1:28" x14ac:dyDescent="0.25">
      <c r="A15" t="s">
        <v>19</v>
      </c>
      <c r="B15">
        <v>0.99334974765950101</v>
      </c>
      <c r="C15">
        <v>0.990839851052011</v>
      </c>
      <c r="D15">
        <v>1.04659214996878</v>
      </c>
      <c r="E15">
        <v>0.98036071250089996</v>
      </c>
      <c r="F15">
        <v>0.80265628537512301</v>
      </c>
      <c r="G15">
        <v>0.67763630986557499</v>
      </c>
      <c r="H15">
        <v>0.57846521016062302</v>
      </c>
      <c r="I15">
        <v>0.80112704690944103</v>
      </c>
      <c r="J15">
        <v>0.59346850674809704</v>
      </c>
      <c r="K15">
        <v>0.58388492459981201</v>
      </c>
      <c r="L15">
        <v>2353.55087348187</v>
      </c>
      <c r="M15">
        <v>44.567083771127102</v>
      </c>
      <c r="O15">
        <v>52.703170393920999</v>
      </c>
      <c r="P15">
        <v>-7.5350847269329294E-2</v>
      </c>
      <c r="Q15">
        <v>0.64357337480413102</v>
      </c>
      <c r="R15">
        <v>0.88113306477320497</v>
      </c>
      <c r="S15" t="s">
        <v>5876</v>
      </c>
      <c r="T15" t="s">
        <v>11720</v>
      </c>
      <c r="U15" t="s">
        <v>11720</v>
      </c>
      <c r="V15" t="s">
        <v>11720</v>
      </c>
      <c r="W15" t="s">
        <v>11735</v>
      </c>
      <c r="X15">
        <v>3</v>
      </c>
      <c r="Y15" t="s">
        <v>17529</v>
      </c>
      <c r="Z15" t="s">
        <v>23222</v>
      </c>
      <c r="AA15">
        <v>0.79680383631121521</v>
      </c>
      <c r="AB15" t="str">
        <f>HYPERLINK("Melting_Curves/meltCurve_A2VDF0_FUOM.pdf", "Melting_Curves/meltCurve_A2VDF0_FUOM.pdf")</f>
        <v>Melting_Curves/meltCurve_A2VDF0_FUOM.pdf</v>
      </c>
    </row>
    <row r="16" spans="1:28" x14ac:dyDescent="0.25">
      <c r="A16" t="s">
        <v>20</v>
      </c>
      <c r="B16">
        <v>0.99334974765950101</v>
      </c>
      <c r="C16">
        <v>0.91915053580508799</v>
      </c>
      <c r="D16">
        <v>0.92043543545773698</v>
      </c>
      <c r="E16">
        <v>0.68122532887777498</v>
      </c>
      <c r="F16">
        <v>0.27547239447007699</v>
      </c>
      <c r="G16">
        <v>0.22847675378087001</v>
      </c>
      <c r="H16">
        <v>0.17189884590753499</v>
      </c>
      <c r="I16">
        <v>0.16597303250147999</v>
      </c>
      <c r="J16">
        <v>0.15417791290354499</v>
      </c>
      <c r="K16">
        <v>0.156436880711389</v>
      </c>
      <c r="L16">
        <v>1672.21258494823</v>
      </c>
      <c r="M16">
        <v>33.096568184959999</v>
      </c>
      <c r="N16">
        <v>51.149916291471399</v>
      </c>
      <c r="O16">
        <v>50.341875437247801</v>
      </c>
      <c r="P16">
        <v>-0.137036780681424</v>
      </c>
      <c r="Q16">
        <v>0.16623896836200899</v>
      </c>
      <c r="R16">
        <v>0.98932968145562195</v>
      </c>
      <c r="S16" t="s">
        <v>5877</v>
      </c>
      <c r="T16" t="s">
        <v>11720</v>
      </c>
      <c r="U16" t="s">
        <v>11720</v>
      </c>
      <c r="V16" t="s">
        <v>11720</v>
      </c>
      <c r="W16" t="s">
        <v>11736</v>
      </c>
      <c r="X16">
        <v>3</v>
      </c>
      <c r="Y16" t="s">
        <v>17530</v>
      </c>
      <c r="Z16" t="s">
        <v>23223</v>
      </c>
      <c r="AA16">
        <v>0.46302466011565802</v>
      </c>
      <c r="AB16" t="str">
        <f>HYPERLINK("Melting_Curves/meltCurve_A3KN83_3_SBNO1.pdf", "Melting_Curves/meltCurve_A3KN83_3_SBNO1.pdf")</f>
        <v>Melting_Curves/meltCurve_A3KN83_3_SBNO1.pdf</v>
      </c>
    </row>
    <row r="17" spans="1:28" x14ac:dyDescent="0.25">
      <c r="A17" t="s">
        <v>21</v>
      </c>
      <c r="B17">
        <v>0.99334974765950101</v>
      </c>
      <c r="C17">
        <v>1.0833545297924101</v>
      </c>
      <c r="D17">
        <v>0.99524774096584201</v>
      </c>
      <c r="E17">
        <v>0.89558658793715396</v>
      </c>
      <c r="F17">
        <v>0.91815503536297705</v>
      </c>
      <c r="G17">
        <v>0.85013956704172999</v>
      </c>
      <c r="H17">
        <v>0.85080326720649402</v>
      </c>
      <c r="I17">
        <v>0.90491508531359999</v>
      </c>
      <c r="J17">
        <v>0.45903733907746003</v>
      </c>
      <c r="K17">
        <v>0.12990103400619801</v>
      </c>
      <c r="L17">
        <v>2765.4906185762702</v>
      </c>
      <c r="M17">
        <v>41.396491999254103</v>
      </c>
      <c r="N17">
        <v>66.804951020436903</v>
      </c>
      <c r="O17">
        <v>66.649622168798302</v>
      </c>
      <c r="P17">
        <v>-0.155276828165962</v>
      </c>
      <c r="Q17">
        <v>0</v>
      </c>
      <c r="R17">
        <v>0.913240908199482</v>
      </c>
      <c r="S17" t="s">
        <v>5878</v>
      </c>
      <c r="T17" t="s">
        <v>11720</v>
      </c>
      <c r="U17" t="s">
        <v>11720</v>
      </c>
      <c r="V17" t="s">
        <v>11720</v>
      </c>
      <c r="W17" t="s">
        <v>11737</v>
      </c>
      <c r="X17">
        <v>2</v>
      </c>
      <c r="Y17" t="s">
        <v>17531</v>
      </c>
      <c r="Z17" t="s">
        <v>23224</v>
      </c>
      <c r="AA17">
        <v>0.88902140565716137</v>
      </c>
      <c r="AB17" t="str">
        <f>HYPERLINK("Melting_Curves/meltCurve_A4D126_ISPD.pdf", "Melting_Curves/meltCurve_A4D126_ISPD.pdf")</f>
        <v>Melting_Curves/meltCurve_A4D126_ISPD.pdf</v>
      </c>
    </row>
    <row r="18" spans="1:28" x14ac:dyDescent="0.25">
      <c r="A18" t="s">
        <v>22</v>
      </c>
      <c r="B18">
        <v>0.99334974765950101</v>
      </c>
      <c r="C18">
        <v>0.983157755952485</v>
      </c>
      <c r="D18">
        <v>0.73450527089296502</v>
      </c>
      <c r="E18">
        <v>0.67495183930813396</v>
      </c>
      <c r="F18">
        <v>1.3292847491820701</v>
      </c>
      <c r="G18">
        <v>0.48619764949149502</v>
      </c>
      <c r="H18">
        <v>0.187418781699624</v>
      </c>
      <c r="I18">
        <v>0</v>
      </c>
      <c r="J18">
        <v>0</v>
      </c>
      <c r="K18">
        <v>0</v>
      </c>
      <c r="L18">
        <v>7509.37680502889</v>
      </c>
      <c r="M18">
        <v>131.899211212924</v>
      </c>
      <c r="N18">
        <v>56.975134045947598</v>
      </c>
      <c r="O18">
        <v>56.919604372340899</v>
      </c>
      <c r="P18">
        <v>-0.55221217155463698</v>
      </c>
      <c r="Q18">
        <v>4.6796490314990002E-2</v>
      </c>
      <c r="R18">
        <v>0.85057593016164301</v>
      </c>
      <c r="S18" t="s">
        <v>5879</v>
      </c>
      <c r="T18" t="s">
        <v>11720</v>
      </c>
      <c r="U18" t="s">
        <v>11720</v>
      </c>
      <c r="V18" t="s">
        <v>11720</v>
      </c>
      <c r="W18" t="s">
        <v>11738</v>
      </c>
      <c r="X18">
        <v>1</v>
      </c>
      <c r="Y18" t="s">
        <v>17532</v>
      </c>
      <c r="Z18" t="s">
        <v>23225</v>
      </c>
      <c r="AA18">
        <v>0.58514879746072312</v>
      </c>
      <c r="AB18" t="str">
        <f>HYPERLINK("Melting_Curves/meltCurve_A4D1U4_LCHN.pdf", "Melting_Curves/meltCurve_A4D1U4_LCHN.pdf")</f>
        <v>Melting_Curves/meltCurve_A4D1U4_LCHN.pdf</v>
      </c>
    </row>
    <row r="19" spans="1:28" x14ac:dyDescent="0.25">
      <c r="A19" t="s">
        <v>23</v>
      </c>
      <c r="B19">
        <v>0.99334974765950101</v>
      </c>
      <c r="C19">
        <v>0.83863697586949004</v>
      </c>
      <c r="D19">
        <v>0.62229995488081002</v>
      </c>
      <c r="E19">
        <v>0.66458787803049901</v>
      </c>
      <c r="F19">
        <v>0.17240760867738</v>
      </c>
      <c r="G19">
        <v>0.10744142555773301</v>
      </c>
      <c r="H19">
        <v>0.103604529925057</v>
      </c>
      <c r="I19">
        <v>0.12835036741544101</v>
      </c>
      <c r="J19">
        <v>0.16587781077921299</v>
      </c>
      <c r="K19">
        <v>0.14037951541170901</v>
      </c>
      <c r="L19">
        <v>692.043667717625</v>
      </c>
      <c r="M19">
        <v>14.2814476091161</v>
      </c>
      <c r="N19">
        <v>49.157460930642699</v>
      </c>
      <c r="O19">
        <v>47.5371326037912</v>
      </c>
      <c r="P19">
        <v>-6.8205129540517606E-2</v>
      </c>
      <c r="Q19">
        <v>9.20025811674373E-2</v>
      </c>
      <c r="R19">
        <v>0.92085429864290902</v>
      </c>
      <c r="S19" t="s">
        <v>5880</v>
      </c>
      <c r="T19" t="s">
        <v>11720</v>
      </c>
      <c r="U19" t="s">
        <v>11720</v>
      </c>
      <c r="V19" t="s">
        <v>11720</v>
      </c>
      <c r="W19" t="s">
        <v>11739</v>
      </c>
      <c r="X19">
        <v>2</v>
      </c>
      <c r="Y19" t="s">
        <v>17533</v>
      </c>
      <c r="Z19" t="s">
        <v>23226</v>
      </c>
      <c r="AA19">
        <v>0.37313678318485338</v>
      </c>
      <c r="AB19" t="str">
        <f>HYPERLINK("Melting_Curves/meltCurve_A4D1W8_UCC1.pdf", "Melting_Curves/meltCurve_A4D1W8_UCC1.pdf")</f>
        <v>Melting_Curves/meltCurve_A4D1W8_UCC1.pdf</v>
      </c>
    </row>
    <row r="20" spans="1:28" x14ac:dyDescent="0.25">
      <c r="A20" t="s">
        <v>24</v>
      </c>
      <c r="B20">
        <v>0.99334974765950101</v>
      </c>
      <c r="C20">
        <v>0.96813633477311001</v>
      </c>
      <c r="D20">
        <v>0.88066766033920996</v>
      </c>
      <c r="E20">
        <v>0.72973197538781698</v>
      </c>
      <c r="F20">
        <v>0.595265727080727</v>
      </c>
      <c r="G20">
        <v>0.46985742570830202</v>
      </c>
      <c r="H20">
        <v>0.36954491476718199</v>
      </c>
      <c r="I20">
        <v>0.35289797474164503</v>
      </c>
      <c r="J20">
        <v>0.40090207950753398</v>
      </c>
      <c r="K20">
        <v>0.28723886951301802</v>
      </c>
      <c r="L20">
        <v>692.41216253917003</v>
      </c>
      <c r="M20">
        <v>13.409192069272599</v>
      </c>
      <c r="N20">
        <v>55.653119975240799</v>
      </c>
      <c r="O20">
        <v>50.5292514340263</v>
      </c>
      <c r="P20">
        <v>-4.5783906102537998E-2</v>
      </c>
      <c r="Q20">
        <v>0.31000634763248902</v>
      </c>
      <c r="R20">
        <v>0.99065398830449902</v>
      </c>
      <c r="S20" t="s">
        <v>5881</v>
      </c>
      <c r="T20" t="s">
        <v>11720</v>
      </c>
      <c r="U20" t="s">
        <v>11720</v>
      </c>
      <c r="V20" t="s">
        <v>11720</v>
      </c>
      <c r="W20" t="s">
        <v>11740</v>
      </c>
      <c r="X20">
        <v>6</v>
      </c>
      <c r="Y20" t="s">
        <v>17534</v>
      </c>
      <c r="Z20" t="s">
        <v>23227</v>
      </c>
      <c r="AA20">
        <v>0.59617152719308708</v>
      </c>
      <c r="AB20" t="str">
        <f>HYPERLINK("Melting_Curves/meltCurve_A4D2B0_MBLAC1.pdf", "Melting_Curves/meltCurve_A4D2B0_MBLAC1.pdf")</f>
        <v>Melting_Curves/meltCurve_A4D2B0_MBLAC1.pdf</v>
      </c>
    </row>
    <row r="21" spans="1:28" x14ac:dyDescent="0.25">
      <c r="A21" t="s">
        <v>25</v>
      </c>
      <c r="B21">
        <v>0.99334974765950101</v>
      </c>
      <c r="C21">
        <v>1.0209098341192899</v>
      </c>
      <c r="D21">
        <v>0.87760214742982001</v>
      </c>
      <c r="E21">
        <v>1.0618099720196399</v>
      </c>
      <c r="F21">
        <v>0.774491520018604</v>
      </c>
      <c r="G21">
        <v>0.75699632981026499</v>
      </c>
      <c r="H21">
        <v>0.78728113354159301</v>
      </c>
      <c r="I21">
        <v>1.5356188344485799</v>
      </c>
      <c r="J21">
        <v>1.63813792235648</v>
      </c>
      <c r="K21">
        <v>1.65638316411104</v>
      </c>
      <c r="L21">
        <v>15000</v>
      </c>
      <c r="M21">
        <v>239.28606454313601</v>
      </c>
      <c r="O21">
        <v>62.682110527751199</v>
      </c>
      <c r="P21">
        <v>0.477181837927943</v>
      </c>
      <c r="Q21">
        <v>1.5</v>
      </c>
      <c r="R21">
        <v>0.81338112516149197</v>
      </c>
      <c r="S21" t="s">
        <v>5882</v>
      </c>
      <c r="T21" t="s">
        <v>11720</v>
      </c>
      <c r="U21" t="s">
        <v>11720</v>
      </c>
      <c r="V21" t="s">
        <v>11720</v>
      </c>
      <c r="W21" t="s">
        <v>11741</v>
      </c>
      <c r="X21">
        <v>3</v>
      </c>
      <c r="Y21" t="s">
        <v>17535</v>
      </c>
      <c r="Z21" t="s">
        <v>23228</v>
      </c>
      <c r="AA21">
        <v>1.1218320323566711</v>
      </c>
      <c r="AB21" t="str">
        <f>HYPERLINK("Melting_Curves/meltCurve_A4UGR9_2_XIRP2.pdf", "Melting_Curves/meltCurve_A4UGR9_2_XIRP2.pdf")</f>
        <v>Melting_Curves/meltCurve_A4UGR9_2_XIRP2.pdf</v>
      </c>
    </row>
    <row r="22" spans="1:28" x14ac:dyDescent="0.25">
      <c r="A22" t="s">
        <v>26</v>
      </c>
      <c r="B22">
        <v>0.99334974765950101</v>
      </c>
      <c r="C22">
        <v>0.96212755035373398</v>
      </c>
      <c r="D22">
        <v>0.84151343594174299</v>
      </c>
      <c r="E22">
        <v>0.65105316158453896</v>
      </c>
      <c r="F22">
        <v>0.26730637715370698</v>
      </c>
      <c r="G22">
        <v>0.17018029265574899</v>
      </c>
      <c r="H22">
        <v>0.13595881674722499</v>
      </c>
      <c r="I22">
        <v>0.12831060232202099</v>
      </c>
      <c r="J22">
        <v>0.128107725801862</v>
      </c>
      <c r="K22">
        <v>9.6936940139529804E-2</v>
      </c>
      <c r="L22">
        <v>1108.9425895694301</v>
      </c>
      <c r="M22">
        <v>22.051375758069401</v>
      </c>
      <c r="N22">
        <v>50.857193594233699</v>
      </c>
      <c r="O22">
        <v>49.880948692164203</v>
      </c>
      <c r="P22">
        <v>-9.8456387929115E-2</v>
      </c>
      <c r="Q22">
        <v>0.109173140696703</v>
      </c>
      <c r="R22">
        <v>0.99033315463447502</v>
      </c>
      <c r="S22" t="s">
        <v>5883</v>
      </c>
      <c r="T22" t="s">
        <v>11720</v>
      </c>
      <c r="U22" t="s">
        <v>11720</v>
      </c>
      <c r="V22" t="s">
        <v>11720</v>
      </c>
      <c r="W22" t="s">
        <v>11742</v>
      </c>
      <c r="X22">
        <v>10</v>
      </c>
      <c r="Y22" t="s">
        <v>17536</v>
      </c>
      <c r="Z22" t="s">
        <v>23229</v>
      </c>
      <c r="AA22">
        <v>0.42494155941650202</v>
      </c>
      <c r="AB22" t="str">
        <f>HYPERLINK("Melting_Curves/meltCurve_A5YKK6_2_CNOT1.pdf", "Melting_Curves/meltCurve_A5YKK6_2_CNOT1.pdf")</f>
        <v>Melting_Curves/meltCurve_A5YKK6_2_CNOT1.pdf</v>
      </c>
    </row>
    <row r="23" spans="1:28" x14ac:dyDescent="0.25">
      <c r="A23" t="s">
        <v>27</v>
      </c>
      <c r="B23">
        <v>0.99334974765950101</v>
      </c>
      <c r="C23">
        <v>0.97411483352791295</v>
      </c>
      <c r="D23">
        <v>1.04770890529241</v>
      </c>
      <c r="E23">
        <v>0.30783741460266201</v>
      </c>
      <c r="F23">
        <v>0.19999120582003399</v>
      </c>
      <c r="G23">
        <v>0.13405042811949</v>
      </c>
      <c r="H23">
        <v>0.102974767054372</v>
      </c>
      <c r="I23">
        <v>8.6894264738440294E-2</v>
      </c>
      <c r="J23">
        <v>7.5745112918617602E-2</v>
      </c>
      <c r="K23">
        <v>5.5204656359726101E-2</v>
      </c>
      <c r="L23">
        <v>3834.0890184096802</v>
      </c>
      <c r="M23">
        <v>77.904453123754905</v>
      </c>
      <c r="N23">
        <v>49.369742470851598</v>
      </c>
      <c r="O23">
        <v>49.182872007688403</v>
      </c>
      <c r="P23">
        <v>-0.35316969724251202</v>
      </c>
      <c r="Q23">
        <v>0.108143516380448</v>
      </c>
      <c r="R23">
        <v>0.99006390939682298</v>
      </c>
      <c r="S23" t="s">
        <v>5884</v>
      </c>
      <c r="T23" t="s">
        <v>11720</v>
      </c>
      <c r="U23" t="s">
        <v>11720</v>
      </c>
      <c r="V23" t="s">
        <v>11720</v>
      </c>
      <c r="W23" t="s">
        <v>11743</v>
      </c>
      <c r="X23">
        <v>11</v>
      </c>
      <c r="Y23" t="s">
        <v>17537</v>
      </c>
      <c r="Z23" t="s">
        <v>23230</v>
      </c>
      <c r="AA23">
        <v>0.38289516432007942</v>
      </c>
      <c r="AB23" t="str">
        <f>HYPERLINK("Melting_Curves/meltCurve_A6H8Z3_RAB3GAP1.pdf", "Melting_Curves/meltCurve_A6H8Z3_RAB3GAP1.pdf")</f>
        <v>Melting_Curves/meltCurve_A6H8Z3_RAB3GAP1.pdf</v>
      </c>
    </row>
    <row r="24" spans="1:28" x14ac:dyDescent="0.25">
      <c r="A24" t="s">
        <v>28</v>
      </c>
      <c r="B24">
        <v>0.99334974765950101</v>
      </c>
      <c r="C24">
        <v>1.00148237596446</v>
      </c>
      <c r="D24">
        <v>0.93919184833335101</v>
      </c>
      <c r="E24">
        <v>0.92138050439824004</v>
      </c>
      <c r="F24">
        <v>0.79864158246819295</v>
      </c>
      <c r="G24">
        <v>0.73183694250339404</v>
      </c>
      <c r="H24">
        <v>0.63181554992122502</v>
      </c>
      <c r="I24">
        <v>0.71522235913103904</v>
      </c>
      <c r="J24">
        <v>0.74111832295625002</v>
      </c>
      <c r="K24">
        <v>0.909408973288242</v>
      </c>
      <c r="L24">
        <v>1793.4983315546999</v>
      </c>
      <c r="M24">
        <v>35.202114411352298</v>
      </c>
      <c r="O24">
        <v>50.785021388176403</v>
      </c>
      <c r="P24">
        <v>-4.4158973209151797E-2</v>
      </c>
      <c r="Q24">
        <v>0.74517365618948295</v>
      </c>
      <c r="R24">
        <v>0.70942092373001098</v>
      </c>
      <c r="S24" t="s">
        <v>5885</v>
      </c>
      <c r="T24" t="s">
        <v>11720</v>
      </c>
      <c r="U24" t="s">
        <v>11720</v>
      </c>
      <c r="V24" t="s">
        <v>11720</v>
      </c>
      <c r="W24" t="s">
        <v>11744</v>
      </c>
      <c r="X24">
        <v>2</v>
      </c>
      <c r="Y24" t="s">
        <v>17538</v>
      </c>
      <c r="Z24" t="s">
        <v>23231</v>
      </c>
      <c r="AA24">
        <v>0.83933416881757061</v>
      </c>
      <c r="AB24" t="str">
        <f>HYPERLINK("Melting_Curves/meltCurve_A6NC48_BST1.pdf", "Melting_Curves/meltCurve_A6NC48_BST1.pdf")</f>
        <v>Melting_Curves/meltCurve_A6NC48_BST1.pdf</v>
      </c>
    </row>
    <row r="25" spans="1:28" x14ac:dyDescent="0.25">
      <c r="A25" t="s">
        <v>29</v>
      </c>
      <c r="B25">
        <v>0.99334974765950101</v>
      </c>
      <c r="C25">
        <v>1.01229394834446</v>
      </c>
      <c r="D25">
        <v>0.97300543516215099</v>
      </c>
      <c r="E25">
        <v>0.88739862302012396</v>
      </c>
      <c r="F25">
        <v>0.91667665303395396</v>
      </c>
      <c r="G25">
        <v>0.65350131010493595</v>
      </c>
      <c r="H25">
        <v>0.50274107383926903</v>
      </c>
      <c r="I25">
        <v>0.202529225877041</v>
      </c>
      <c r="J25">
        <v>0.10205366450895299</v>
      </c>
      <c r="K25">
        <v>8.1457908817267402E-2</v>
      </c>
      <c r="L25">
        <v>992.99715146949802</v>
      </c>
      <c r="M25">
        <v>16.6236829735012</v>
      </c>
      <c r="N25">
        <v>59.733884212234301</v>
      </c>
      <c r="O25">
        <v>58.889555373737402</v>
      </c>
      <c r="P25">
        <v>-7.057620050789E-2</v>
      </c>
      <c r="Q25">
        <v>0</v>
      </c>
      <c r="R25">
        <v>0.98523755497344301</v>
      </c>
      <c r="S25" t="s">
        <v>5886</v>
      </c>
      <c r="T25" t="s">
        <v>11720</v>
      </c>
      <c r="U25" t="s">
        <v>11720</v>
      </c>
      <c r="V25" t="s">
        <v>11720</v>
      </c>
      <c r="W25" t="s">
        <v>11745</v>
      </c>
      <c r="X25">
        <v>14</v>
      </c>
      <c r="Y25" t="s">
        <v>17539</v>
      </c>
      <c r="Z25" t="s">
        <v>23232</v>
      </c>
      <c r="AA25">
        <v>0.66649452942412979</v>
      </c>
      <c r="AB25" t="str">
        <f>HYPERLINK("Melting_Curves/meltCurve_A6NDG6_PGP.pdf", "Melting_Curves/meltCurve_A6NDG6_PGP.pdf")</f>
        <v>Melting_Curves/meltCurve_A6NDG6_PGP.pdf</v>
      </c>
    </row>
    <row r="26" spans="1:28" x14ac:dyDescent="0.25">
      <c r="A26" t="s">
        <v>30</v>
      </c>
      <c r="B26">
        <v>0.99334974765950101</v>
      </c>
      <c r="C26">
        <v>0.82183523397554603</v>
      </c>
      <c r="D26">
        <v>0.88472015237424095</v>
      </c>
      <c r="E26">
        <v>0.55759161445105199</v>
      </c>
      <c r="F26">
        <v>0.18415375692677599</v>
      </c>
      <c r="G26">
        <v>8.89038684072712E-2</v>
      </c>
      <c r="H26">
        <v>6.6180973509653199E-2</v>
      </c>
      <c r="I26">
        <v>5.4112514491914301E-2</v>
      </c>
      <c r="J26">
        <v>5.96458182075848E-2</v>
      </c>
      <c r="K26">
        <v>4.27678480795608E-2</v>
      </c>
      <c r="L26">
        <v>1130.2360780167601</v>
      </c>
      <c r="M26">
        <v>22.659026053067301</v>
      </c>
      <c r="N26">
        <v>50.073717232254701</v>
      </c>
      <c r="O26">
        <v>49.496539690244497</v>
      </c>
      <c r="P26">
        <v>-0.10965110429764199</v>
      </c>
      <c r="Q26">
        <v>4.19283844678413E-2</v>
      </c>
      <c r="R26">
        <v>0.97847033811670803</v>
      </c>
      <c r="S26" t="s">
        <v>5887</v>
      </c>
      <c r="T26" t="s">
        <v>11720</v>
      </c>
      <c r="U26" t="s">
        <v>11720</v>
      </c>
      <c r="V26" t="s">
        <v>11720</v>
      </c>
      <c r="W26" t="s">
        <v>11746</v>
      </c>
      <c r="X26">
        <v>4</v>
      </c>
      <c r="Y26" t="s">
        <v>17540</v>
      </c>
      <c r="Z26" t="s">
        <v>23233</v>
      </c>
      <c r="AA26">
        <v>0.36787880592358652</v>
      </c>
      <c r="AB26" t="str">
        <f>HYPERLINK("Melting_Curves/meltCurve_A6NDU8_C5orf51.pdf", "Melting_Curves/meltCurve_A6NDU8_C5orf51.pdf")</f>
        <v>Melting_Curves/meltCurve_A6NDU8_C5orf51.pdf</v>
      </c>
    </row>
    <row r="27" spans="1:28" x14ac:dyDescent="0.25">
      <c r="A27" t="s">
        <v>31</v>
      </c>
      <c r="B27">
        <v>0.99334974765950101</v>
      </c>
      <c r="C27">
        <v>0.99747862970912504</v>
      </c>
      <c r="D27">
        <v>0.95407805855956596</v>
      </c>
      <c r="E27">
        <v>0.83280388705519004</v>
      </c>
      <c r="F27">
        <v>0.51372648267968601</v>
      </c>
      <c r="G27">
        <v>0.28667407772613901</v>
      </c>
      <c r="H27">
        <v>0.221452001688978</v>
      </c>
      <c r="I27">
        <v>0.20388606403633799</v>
      </c>
      <c r="J27">
        <v>0.191169847574539</v>
      </c>
      <c r="K27">
        <v>0.16164517000727599</v>
      </c>
      <c r="L27">
        <v>1337.74786740588</v>
      </c>
      <c r="M27">
        <v>25.548401769736699</v>
      </c>
      <c r="N27">
        <v>53.3372211935583</v>
      </c>
      <c r="O27">
        <v>52.043689734276199</v>
      </c>
      <c r="P27">
        <v>-9.9813664456593995E-2</v>
      </c>
      <c r="Q27">
        <v>0.18670363843795901</v>
      </c>
      <c r="R27">
        <v>0.99808111990550197</v>
      </c>
      <c r="S27" t="s">
        <v>5888</v>
      </c>
      <c r="T27" t="s">
        <v>11720</v>
      </c>
      <c r="U27" t="s">
        <v>11720</v>
      </c>
      <c r="V27" t="s">
        <v>11720</v>
      </c>
      <c r="W27" t="s">
        <v>11747</v>
      </c>
      <c r="X27">
        <v>4</v>
      </c>
      <c r="Y27" t="s">
        <v>17541</v>
      </c>
      <c r="Z27" t="s">
        <v>23234</v>
      </c>
      <c r="AA27">
        <v>0.52896410198431887</v>
      </c>
      <c r="AB27" t="str">
        <f>HYPERLINK("Melting_Curves/meltCurve_A6NED2_RCCD1.pdf", "Melting_Curves/meltCurve_A6NED2_RCCD1.pdf")</f>
        <v>Melting_Curves/meltCurve_A6NED2_RCCD1.pdf</v>
      </c>
    </row>
    <row r="28" spans="1:28" x14ac:dyDescent="0.25">
      <c r="A28" t="s">
        <v>32</v>
      </c>
      <c r="B28">
        <v>0.99334974765950101</v>
      </c>
      <c r="C28">
        <v>1.01257633291014</v>
      </c>
      <c r="D28">
        <v>0.95128179814578295</v>
      </c>
      <c r="E28">
        <v>0.85944017574044895</v>
      </c>
      <c r="F28">
        <v>0.62123312248307405</v>
      </c>
      <c r="G28">
        <v>0.45850697472548801</v>
      </c>
      <c r="H28">
        <v>0.23793355586126899</v>
      </c>
      <c r="I28">
        <v>0.236652071398464</v>
      </c>
      <c r="J28">
        <v>0.25776985830045501</v>
      </c>
      <c r="K28">
        <v>0.183559850573255</v>
      </c>
      <c r="L28">
        <v>953.01364661359401</v>
      </c>
      <c r="M28">
        <v>17.682826412005699</v>
      </c>
      <c r="N28">
        <v>55.405392585511997</v>
      </c>
      <c r="O28">
        <v>53.2197640596548</v>
      </c>
      <c r="P28">
        <v>-6.7182325957495598E-2</v>
      </c>
      <c r="Q28">
        <v>0.191251799521895</v>
      </c>
      <c r="R28">
        <v>0.99224966609561005</v>
      </c>
      <c r="S28" t="s">
        <v>5889</v>
      </c>
      <c r="T28" t="s">
        <v>11720</v>
      </c>
      <c r="U28" t="s">
        <v>11720</v>
      </c>
      <c r="V28" t="s">
        <v>11720</v>
      </c>
      <c r="W28" t="s">
        <v>11748</v>
      </c>
      <c r="X28">
        <v>27</v>
      </c>
      <c r="Y28" t="s">
        <v>17542</v>
      </c>
      <c r="Z28" t="s">
        <v>23235</v>
      </c>
      <c r="AA28">
        <v>0.57915788234873955</v>
      </c>
      <c r="AB28" t="str">
        <f>HYPERLINK("Melting_Curves/meltCurve_A6NEM2_HCFC1.pdf", "Melting_Curves/meltCurve_A6NEM2_HCFC1.pdf")</f>
        <v>Melting_Curves/meltCurve_A6NEM2_HCFC1.pdf</v>
      </c>
    </row>
    <row r="29" spans="1:28" x14ac:dyDescent="0.25">
      <c r="A29" t="s">
        <v>33</v>
      </c>
      <c r="B29">
        <v>0.99334974765950101</v>
      </c>
      <c r="C29">
        <v>0.98175852897395299</v>
      </c>
      <c r="D29">
        <v>0.94566860603842695</v>
      </c>
      <c r="E29">
        <v>0.80102284234722199</v>
      </c>
      <c r="F29">
        <v>0.77560376624338401</v>
      </c>
      <c r="G29">
        <v>0.69403788946909795</v>
      </c>
      <c r="H29">
        <v>0.59598162743220595</v>
      </c>
      <c r="I29">
        <v>0.66521321462144001</v>
      </c>
      <c r="J29">
        <v>0.58937199603825996</v>
      </c>
      <c r="K29">
        <v>0.54431296601901002</v>
      </c>
      <c r="L29">
        <v>594.00076454074303</v>
      </c>
      <c r="M29">
        <v>11.3065257688366</v>
      </c>
      <c r="O29">
        <v>50.9731206184196</v>
      </c>
      <c r="P29">
        <v>-2.4832227989823201E-2</v>
      </c>
      <c r="Q29">
        <v>0.55233188445974601</v>
      </c>
      <c r="R29">
        <v>0.96787600623696102</v>
      </c>
      <c r="S29" t="s">
        <v>5890</v>
      </c>
      <c r="T29" t="s">
        <v>11720</v>
      </c>
      <c r="U29" t="s">
        <v>11720</v>
      </c>
      <c r="V29" t="s">
        <v>11720</v>
      </c>
      <c r="W29" t="s">
        <v>11749</v>
      </c>
      <c r="X29">
        <v>3</v>
      </c>
      <c r="Y29" t="s">
        <v>17543</v>
      </c>
      <c r="Z29" t="s">
        <v>23236</v>
      </c>
      <c r="AA29">
        <v>0.75354245863838187</v>
      </c>
      <c r="AB29" t="str">
        <f>HYPERLINK("Melting_Curves/meltCurve_A6NEP9_TSPAN14.pdf", "Melting_Curves/meltCurve_A6NEP9_TSPAN14.pdf")</f>
        <v>Melting_Curves/meltCurve_A6NEP9_TSPAN14.pdf</v>
      </c>
    </row>
    <row r="30" spans="1:28" x14ac:dyDescent="0.25">
      <c r="A30" t="s">
        <v>34</v>
      </c>
      <c r="B30">
        <v>0.99334974765950101</v>
      </c>
      <c r="C30">
        <v>1.01428625879156</v>
      </c>
      <c r="D30">
        <v>0.70116159446521997</v>
      </c>
      <c r="E30">
        <v>0.78588788733287096</v>
      </c>
      <c r="F30">
        <v>0.779053783147587</v>
      </c>
      <c r="G30">
        <v>0.37228385261608599</v>
      </c>
      <c r="H30">
        <v>0.43871185314392702</v>
      </c>
      <c r="I30">
        <v>0.53022267109056198</v>
      </c>
      <c r="J30">
        <v>0.72168480375890898</v>
      </c>
      <c r="K30">
        <v>0.31779270494685702</v>
      </c>
      <c r="L30">
        <v>596.859539880169</v>
      </c>
      <c r="M30">
        <v>11.9441932243555</v>
      </c>
      <c r="N30">
        <v>62.443744875002402</v>
      </c>
      <c r="O30">
        <v>48.631767750444503</v>
      </c>
      <c r="P30">
        <v>-3.35336593084513E-2</v>
      </c>
      <c r="Q30">
        <v>0.45399398486981002</v>
      </c>
      <c r="R30">
        <v>0.66959580620513803</v>
      </c>
      <c r="S30" t="s">
        <v>5891</v>
      </c>
      <c r="T30" t="s">
        <v>11720</v>
      </c>
      <c r="U30" t="s">
        <v>11720</v>
      </c>
      <c r="V30" t="s">
        <v>11720</v>
      </c>
      <c r="W30" t="s">
        <v>11750</v>
      </c>
      <c r="X30">
        <v>1</v>
      </c>
      <c r="Y30" t="s">
        <v>17544</v>
      </c>
      <c r="Z30" t="s">
        <v>23237</v>
      </c>
      <c r="AA30">
        <v>0.65453423390192433</v>
      </c>
      <c r="AB30" t="str">
        <f>HYPERLINK("Melting_Curves/meltCurve_A6NF31_OFD1.pdf", "Melting_Curves/meltCurve_A6NF31_OFD1.pdf")</f>
        <v>Melting_Curves/meltCurve_A6NF31_OFD1.pdf</v>
      </c>
    </row>
    <row r="31" spans="1:28" x14ac:dyDescent="0.25">
      <c r="A31" t="s">
        <v>35</v>
      </c>
      <c r="B31">
        <v>0.99334974765950101</v>
      </c>
      <c r="C31">
        <v>0.98107951059508303</v>
      </c>
      <c r="D31">
        <v>0.78806128553142696</v>
      </c>
      <c r="E31">
        <v>0.80208411038771099</v>
      </c>
      <c r="F31">
        <v>0.64638366187726004</v>
      </c>
      <c r="G31">
        <v>0.552714433220729</v>
      </c>
      <c r="H31">
        <v>0.50582761466883097</v>
      </c>
      <c r="I31">
        <v>0.61729967763787197</v>
      </c>
      <c r="J31">
        <v>0.70016834966069996</v>
      </c>
      <c r="K31">
        <v>0.62185663597021701</v>
      </c>
      <c r="L31">
        <v>825.52346141032695</v>
      </c>
      <c r="M31">
        <v>17.360291397077699</v>
      </c>
      <c r="O31">
        <v>46.934901285615901</v>
      </c>
      <c r="P31">
        <v>-3.7100636273700603E-2</v>
      </c>
      <c r="Q31">
        <v>0.598805144637098</v>
      </c>
      <c r="R31">
        <v>0.84966106371608197</v>
      </c>
      <c r="S31" t="s">
        <v>5892</v>
      </c>
      <c r="T31" t="s">
        <v>11720</v>
      </c>
      <c r="U31" t="s">
        <v>11720</v>
      </c>
      <c r="V31" t="s">
        <v>11720</v>
      </c>
      <c r="W31" t="s">
        <v>11751</v>
      </c>
      <c r="X31">
        <v>7</v>
      </c>
      <c r="Y31" t="s">
        <v>17545</v>
      </c>
      <c r="Z31" t="s">
        <v>23238</v>
      </c>
      <c r="AA31">
        <v>0.70760828016173904</v>
      </c>
      <c r="AB31" t="str">
        <f>HYPERLINK("Melting_Curves/meltCurve_A6NG32_CHMP1A.pdf", "Melting_Curves/meltCurve_A6NG32_CHMP1A.pdf")</f>
        <v>Melting_Curves/meltCurve_A6NG32_CHMP1A.pdf</v>
      </c>
    </row>
    <row r="32" spans="1:28" x14ac:dyDescent="0.25">
      <c r="A32" t="s">
        <v>36</v>
      </c>
      <c r="B32">
        <v>0.99334974765950101</v>
      </c>
      <c r="C32">
        <v>0.889511892624123</v>
      </c>
      <c r="D32">
        <v>0.78843686250056</v>
      </c>
      <c r="E32">
        <v>0.73020735072998499</v>
      </c>
      <c r="F32">
        <v>0.62625197859715998</v>
      </c>
      <c r="G32">
        <v>0.53171804463921202</v>
      </c>
      <c r="H32">
        <v>0.485074968908693</v>
      </c>
      <c r="I32">
        <v>0.52815843415322095</v>
      </c>
      <c r="J32">
        <v>0.56623883398820596</v>
      </c>
      <c r="K32">
        <v>0.59535135683314</v>
      </c>
      <c r="L32">
        <v>662.37272306000602</v>
      </c>
      <c r="M32">
        <v>14.001774510711501</v>
      </c>
      <c r="O32">
        <v>46.372741945695203</v>
      </c>
      <c r="P32">
        <v>-3.5359579636193801E-2</v>
      </c>
      <c r="Q32">
        <v>0.53162975001117996</v>
      </c>
      <c r="R32">
        <v>0.94464703971196096</v>
      </c>
      <c r="S32" t="s">
        <v>5893</v>
      </c>
      <c r="T32" t="s">
        <v>11720</v>
      </c>
      <c r="U32" t="s">
        <v>11720</v>
      </c>
      <c r="V32" t="s">
        <v>11720</v>
      </c>
      <c r="W32" t="s">
        <v>11752</v>
      </c>
      <c r="X32">
        <v>5</v>
      </c>
      <c r="Y32" t="s">
        <v>17546</v>
      </c>
      <c r="Z32" t="s">
        <v>23239</v>
      </c>
      <c r="AA32">
        <v>0.66004545092993461</v>
      </c>
      <c r="AB32" t="str">
        <f>HYPERLINK("Melting_Curves/meltCurve_A6NG79_PRCC.pdf", "Melting_Curves/meltCurve_A6NG79_PRCC.pdf")</f>
        <v>Melting_Curves/meltCurve_A6NG79_PRCC.pdf</v>
      </c>
    </row>
    <row r="33" spans="1:28" x14ac:dyDescent="0.25">
      <c r="A33" t="s">
        <v>37</v>
      </c>
      <c r="B33">
        <v>0.99334974765950101</v>
      </c>
      <c r="C33">
        <v>0.95156867544935897</v>
      </c>
      <c r="D33">
        <v>0.93723312496746203</v>
      </c>
      <c r="E33">
        <v>0.82308860632005898</v>
      </c>
      <c r="F33">
        <v>0.80024121945495397</v>
      </c>
      <c r="G33">
        <v>0.68396670746072097</v>
      </c>
      <c r="H33">
        <v>0.44005720344052301</v>
      </c>
      <c r="I33">
        <v>0.30722759209108802</v>
      </c>
      <c r="J33">
        <v>0.223685318716145</v>
      </c>
      <c r="K33">
        <v>0.138711761367798</v>
      </c>
      <c r="L33">
        <v>647.24226317146702</v>
      </c>
      <c r="M33">
        <v>10.8600447229779</v>
      </c>
      <c r="N33">
        <v>59.598496322894498</v>
      </c>
      <c r="O33">
        <v>57.6844841140502</v>
      </c>
      <c r="P33">
        <v>-4.7083259694898703E-2</v>
      </c>
      <c r="Q33">
        <v>0</v>
      </c>
      <c r="R33">
        <v>0.98824610508618405</v>
      </c>
      <c r="S33" t="s">
        <v>5894</v>
      </c>
      <c r="T33" t="s">
        <v>11720</v>
      </c>
      <c r="U33" t="s">
        <v>11720</v>
      </c>
      <c r="V33" t="s">
        <v>11720</v>
      </c>
      <c r="W33" t="s">
        <v>11753</v>
      </c>
      <c r="X33">
        <v>1</v>
      </c>
      <c r="Y33" t="s">
        <v>17547</v>
      </c>
      <c r="Z33" t="s">
        <v>23240</v>
      </c>
      <c r="AA33">
        <v>0.65518908521291397</v>
      </c>
      <c r="AB33" t="str">
        <f>HYPERLINK("Melting_Curves/meltCurve_A6NGC4_TLCD2.pdf", "Melting_Curves/meltCurve_A6NGC4_TLCD2.pdf")</f>
        <v>Melting_Curves/meltCurve_A6NGC4_TLCD2.pdf</v>
      </c>
    </row>
    <row r="34" spans="1:28" x14ac:dyDescent="0.25">
      <c r="A34" t="s">
        <v>38</v>
      </c>
      <c r="B34">
        <v>0.99334974765950101</v>
      </c>
      <c r="C34">
        <v>1.04625710385435</v>
      </c>
      <c r="D34">
        <v>0.90095164740240696</v>
      </c>
      <c r="E34">
        <v>1.05601284043827</v>
      </c>
      <c r="F34">
        <v>2.2027054070543501</v>
      </c>
      <c r="G34">
        <v>1.34126291944757</v>
      </c>
      <c r="H34">
        <v>0.58414411677428002</v>
      </c>
      <c r="I34">
        <v>0.33558336472969802</v>
      </c>
      <c r="J34">
        <v>0.25005438848631101</v>
      </c>
      <c r="K34">
        <v>0.184231316193707</v>
      </c>
      <c r="L34">
        <v>6137.9805882250203</v>
      </c>
      <c r="M34">
        <v>100.833814545987</v>
      </c>
      <c r="N34">
        <v>61.303641897496703</v>
      </c>
      <c r="O34">
        <v>60.848295700192402</v>
      </c>
      <c r="P34">
        <v>-0.30902517746490299</v>
      </c>
      <c r="Q34">
        <v>0.25407326674189701</v>
      </c>
      <c r="R34">
        <v>0.51811539793212602</v>
      </c>
      <c r="S34" t="s">
        <v>5895</v>
      </c>
      <c r="T34" t="s">
        <v>11720</v>
      </c>
      <c r="U34" t="s">
        <v>11720</v>
      </c>
      <c r="V34" t="s">
        <v>11720</v>
      </c>
      <c r="W34" t="s">
        <v>11754</v>
      </c>
      <c r="X34">
        <v>2</v>
      </c>
      <c r="Y34" t="s">
        <v>17548</v>
      </c>
      <c r="Z34" t="s">
        <v>23241</v>
      </c>
      <c r="AA34">
        <v>0.77353579459516175</v>
      </c>
      <c r="AB34" t="str">
        <f>HYPERLINK("Melting_Curves/meltCurve_A6NGJ0_DYNLT3.pdf", "Melting_Curves/meltCurve_A6NGJ0_DYNLT3.pdf")</f>
        <v>Melting_Curves/meltCurve_A6NGJ0_DYNLT3.pdf</v>
      </c>
    </row>
    <row r="35" spans="1:28" x14ac:dyDescent="0.25">
      <c r="A35" t="s">
        <v>39</v>
      </c>
      <c r="B35">
        <v>0.99334974765950101</v>
      </c>
      <c r="C35">
        <v>0.89682124837696398</v>
      </c>
      <c r="D35">
        <v>0.73978265763927697</v>
      </c>
      <c r="E35">
        <v>0.67227144251412496</v>
      </c>
      <c r="F35">
        <v>0.92473398626071701</v>
      </c>
      <c r="G35">
        <v>0.68725827711554699</v>
      </c>
      <c r="H35">
        <v>0.78978505366177998</v>
      </c>
      <c r="I35">
        <v>0.82820742178110196</v>
      </c>
      <c r="J35">
        <v>1.1737219673269901</v>
      </c>
      <c r="K35">
        <v>0.97134047246530297</v>
      </c>
      <c r="L35">
        <v>10692.5560267644</v>
      </c>
      <c r="M35">
        <v>250</v>
      </c>
      <c r="O35">
        <v>42.7674843925655</v>
      </c>
      <c r="P35">
        <v>-0.22156483480102099</v>
      </c>
      <c r="Q35">
        <v>0.84838766075427097</v>
      </c>
      <c r="R35">
        <v>8.9375468477491907E-2</v>
      </c>
      <c r="S35" t="s">
        <v>5896</v>
      </c>
      <c r="T35" t="s">
        <v>11720</v>
      </c>
      <c r="U35" t="s">
        <v>11720</v>
      </c>
      <c r="V35" t="s">
        <v>11720</v>
      </c>
      <c r="W35" t="s">
        <v>11755</v>
      </c>
      <c r="X35">
        <v>18</v>
      </c>
      <c r="Y35" t="s">
        <v>17549</v>
      </c>
      <c r="Z35" t="s">
        <v>23242</v>
      </c>
      <c r="AA35">
        <v>0.8623990461994081</v>
      </c>
      <c r="AB35" t="str">
        <f>HYPERLINK("Melting_Curves/meltCurve_A6NGP5_HN1L.pdf", "Melting_Curves/meltCurve_A6NGP5_HN1L.pdf")</f>
        <v>Melting_Curves/meltCurve_A6NGP5_HN1L.pdf</v>
      </c>
    </row>
    <row r="36" spans="1:28" x14ac:dyDescent="0.25">
      <c r="A36" t="s">
        <v>40</v>
      </c>
      <c r="B36">
        <v>0.99334974765950101</v>
      </c>
      <c r="C36">
        <v>0.89923194656170602</v>
      </c>
      <c r="D36">
        <v>0.78518564872862795</v>
      </c>
      <c r="E36">
        <v>0.79034265757892397</v>
      </c>
      <c r="F36">
        <v>0.72525733484844102</v>
      </c>
      <c r="G36">
        <v>0.58987855327566596</v>
      </c>
      <c r="H36">
        <v>0.38461582131911398</v>
      </c>
      <c r="I36">
        <v>9.6847148883136502E-2</v>
      </c>
      <c r="J36">
        <v>6.8448034268340896E-2</v>
      </c>
      <c r="K36">
        <v>4.0136318109971002E-2</v>
      </c>
      <c r="L36">
        <v>675.97779876363495</v>
      </c>
      <c r="M36">
        <v>11.906406012251701</v>
      </c>
      <c r="N36">
        <v>56.7742940348598</v>
      </c>
      <c r="O36">
        <v>55.243815282520103</v>
      </c>
      <c r="P36">
        <v>-5.38945601836546E-2</v>
      </c>
      <c r="Q36">
        <v>0</v>
      </c>
      <c r="R36">
        <v>0.94062158196091705</v>
      </c>
      <c r="S36" t="s">
        <v>5897</v>
      </c>
      <c r="T36" t="s">
        <v>11720</v>
      </c>
      <c r="U36" t="s">
        <v>11720</v>
      </c>
      <c r="V36" t="s">
        <v>11720</v>
      </c>
      <c r="W36" t="s">
        <v>11756</v>
      </c>
      <c r="X36">
        <v>3</v>
      </c>
      <c r="Y36" t="s">
        <v>17550</v>
      </c>
      <c r="Z36" t="s">
        <v>23243</v>
      </c>
      <c r="AA36">
        <v>0.57683188387046891</v>
      </c>
      <c r="AB36" t="str">
        <f>HYPERLINK("Melting_Curves/meltCurve_A6NGW1_YIF1A.pdf", "Melting_Curves/meltCurve_A6NGW1_YIF1A.pdf")</f>
        <v>Melting_Curves/meltCurve_A6NGW1_YIF1A.pdf</v>
      </c>
    </row>
    <row r="37" spans="1:28" x14ac:dyDescent="0.25">
      <c r="A37" t="s">
        <v>41</v>
      </c>
      <c r="B37">
        <v>0.99334974765950101</v>
      </c>
      <c r="C37">
        <v>1.0845194556061599</v>
      </c>
      <c r="D37">
        <v>1.25939132433715</v>
      </c>
      <c r="E37">
        <v>1.32461867644061</v>
      </c>
      <c r="F37">
        <v>1.79748190459543</v>
      </c>
      <c r="G37">
        <v>2.6215961129812202</v>
      </c>
      <c r="H37">
        <v>1.0171988076671501</v>
      </c>
      <c r="I37">
        <v>0.179952350262998</v>
      </c>
      <c r="J37">
        <v>8.8233551840168303E-2</v>
      </c>
      <c r="K37">
        <v>5.6210637788421502E-2</v>
      </c>
      <c r="L37">
        <v>15000</v>
      </c>
      <c r="M37">
        <v>236.404529387255</v>
      </c>
      <c r="N37">
        <v>63.492455472048803</v>
      </c>
      <c r="O37">
        <v>63.446019610413103</v>
      </c>
      <c r="P37">
        <v>-0.86424857697199398</v>
      </c>
      <c r="Q37">
        <v>7.2215195237053595E-2</v>
      </c>
      <c r="R37">
        <v>0.40810910459216898</v>
      </c>
      <c r="S37" t="s">
        <v>5898</v>
      </c>
      <c r="T37" t="s">
        <v>11720</v>
      </c>
      <c r="U37" t="s">
        <v>11720</v>
      </c>
      <c r="V37" t="s">
        <v>11720</v>
      </c>
      <c r="W37" t="s">
        <v>11757</v>
      </c>
      <c r="X37">
        <v>8</v>
      </c>
      <c r="Y37" t="s">
        <v>17551</v>
      </c>
      <c r="Z37" t="s">
        <v>23244</v>
      </c>
      <c r="AA37">
        <v>0.79756653980224035</v>
      </c>
      <c r="AB37" t="str">
        <f>HYPERLINK("Melting_Curves/meltCurve_A6NHL2_2_TUBAL3.pdf", "Melting_Curves/meltCurve_A6NHL2_2_TUBAL3.pdf")</f>
        <v>Melting_Curves/meltCurve_A6NHL2_2_TUBAL3.pdf</v>
      </c>
    </row>
    <row r="38" spans="1:28" x14ac:dyDescent="0.25">
      <c r="A38" t="s">
        <v>42</v>
      </c>
      <c r="B38">
        <v>0.99334974765950101</v>
      </c>
      <c r="C38">
        <v>0.99956247755389804</v>
      </c>
      <c r="D38">
        <v>0.91227232784248402</v>
      </c>
      <c r="E38">
        <v>0.90693682735488401</v>
      </c>
      <c r="F38">
        <v>0.64466371686312995</v>
      </c>
      <c r="G38">
        <v>0.56511479074104898</v>
      </c>
      <c r="H38">
        <v>0.40528730971519999</v>
      </c>
      <c r="I38">
        <v>0.24951594552198</v>
      </c>
      <c r="J38">
        <v>0.110286899080248</v>
      </c>
      <c r="K38">
        <v>7.5810151671170306E-2</v>
      </c>
      <c r="L38">
        <v>669.25134259931599</v>
      </c>
      <c r="M38">
        <v>11.612943440639899</v>
      </c>
      <c r="N38">
        <v>57.629769532013</v>
      </c>
      <c r="O38">
        <v>56.000422933398397</v>
      </c>
      <c r="P38">
        <v>-5.1857294520104701E-2</v>
      </c>
      <c r="Q38">
        <v>0</v>
      </c>
      <c r="R38">
        <v>0.98170218838119105</v>
      </c>
      <c r="S38" t="s">
        <v>5899</v>
      </c>
      <c r="T38" t="s">
        <v>11720</v>
      </c>
      <c r="U38" t="s">
        <v>11720</v>
      </c>
      <c r="V38" t="s">
        <v>11720</v>
      </c>
      <c r="W38" t="s">
        <v>11758</v>
      </c>
      <c r="X38">
        <v>4</v>
      </c>
      <c r="Y38" t="s">
        <v>17552</v>
      </c>
      <c r="Z38" t="s">
        <v>23245</v>
      </c>
      <c r="AA38">
        <v>0.60172829277771389</v>
      </c>
      <c r="AB38" t="str">
        <f>HYPERLINK("Melting_Curves/meltCurve_A6NHX0_GATSL2.pdf", "Melting_Curves/meltCurve_A6NHX0_GATSL2.pdf")</f>
        <v>Melting_Curves/meltCurve_A6NHX0_GATSL2.pdf</v>
      </c>
    </row>
    <row r="39" spans="1:28" x14ac:dyDescent="0.25">
      <c r="A39" t="s">
        <v>43</v>
      </c>
      <c r="B39">
        <v>0.99334974765950101</v>
      </c>
      <c r="C39">
        <v>1.0118923242344</v>
      </c>
      <c r="D39">
        <v>0.89212452075802395</v>
      </c>
      <c r="E39">
        <v>0.81247946143310301</v>
      </c>
      <c r="F39">
        <v>0.57439596928474401</v>
      </c>
      <c r="G39">
        <v>0.27844717507600603</v>
      </c>
      <c r="H39">
        <v>0.23372797963254899</v>
      </c>
      <c r="I39">
        <v>0.21207927983071601</v>
      </c>
      <c r="J39">
        <v>0.21364030149326599</v>
      </c>
      <c r="K39">
        <v>0.17329299367339701</v>
      </c>
      <c r="L39">
        <v>1119.11047999685</v>
      </c>
      <c r="M39">
        <v>21.286458395292001</v>
      </c>
      <c r="N39">
        <v>53.739680856087801</v>
      </c>
      <c r="O39">
        <v>52.116425166233903</v>
      </c>
      <c r="P39">
        <v>-8.3229431279573204E-2</v>
      </c>
      <c r="Q39">
        <v>0.18492592614436101</v>
      </c>
      <c r="R39">
        <v>0.99283523003744201</v>
      </c>
      <c r="S39" t="s">
        <v>5900</v>
      </c>
      <c r="T39" t="s">
        <v>11720</v>
      </c>
      <c r="U39" t="s">
        <v>11720</v>
      </c>
      <c r="V39" t="s">
        <v>11720</v>
      </c>
      <c r="W39" t="s">
        <v>11759</v>
      </c>
      <c r="X39">
        <v>10</v>
      </c>
      <c r="Y39" t="s">
        <v>17553</v>
      </c>
      <c r="Z39" t="s">
        <v>23246</v>
      </c>
      <c r="AA39">
        <v>0.53661698552330483</v>
      </c>
      <c r="AB39" t="str">
        <f>HYPERLINK("Melting_Curves/meltCurve_A6NIH7_UNC119B.pdf", "Melting_Curves/meltCurve_A6NIH7_UNC119B.pdf")</f>
        <v>Melting_Curves/meltCurve_A6NIH7_UNC119B.pdf</v>
      </c>
    </row>
    <row r="40" spans="1:28" x14ac:dyDescent="0.25">
      <c r="A40" t="s">
        <v>44</v>
      </c>
      <c r="B40">
        <v>0.99334974765950101</v>
      </c>
      <c r="C40">
        <v>1.8924265563110501</v>
      </c>
      <c r="D40">
        <v>1.44963225200501</v>
      </c>
      <c r="E40">
        <v>1.1512603386607501</v>
      </c>
      <c r="F40">
        <v>0.57099237257046398</v>
      </c>
      <c r="G40">
        <v>0.47808502733474301</v>
      </c>
      <c r="H40">
        <v>7.6490587145900804E-2</v>
      </c>
      <c r="I40">
        <v>0</v>
      </c>
      <c r="J40">
        <v>0</v>
      </c>
      <c r="K40">
        <v>0</v>
      </c>
      <c r="L40">
        <v>1373.96570192482</v>
      </c>
      <c r="M40">
        <v>24.660504681413101</v>
      </c>
      <c r="N40">
        <v>55.715230453407599</v>
      </c>
      <c r="O40">
        <v>55.352753329761804</v>
      </c>
      <c r="P40">
        <v>-0.11138047130864701</v>
      </c>
      <c r="Q40">
        <v>0</v>
      </c>
      <c r="R40">
        <v>0.73539454550693395</v>
      </c>
      <c r="S40" t="s">
        <v>5901</v>
      </c>
      <c r="T40" t="s">
        <v>11720</v>
      </c>
      <c r="U40" t="s">
        <v>11720</v>
      </c>
      <c r="V40" t="s">
        <v>11720</v>
      </c>
      <c r="W40" t="s">
        <v>11760</v>
      </c>
      <c r="X40">
        <v>1</v>
      </c>
      <c r="Y40" t="s">
        <v>17554</v>
      </c>
      <c r="Z40" t="s">
        <v>23247</v>
      </c>
      <c r="AA40">
        <v>0.53326410538430868</v>
      </c>
      <c r="AB40" t="str">
        <f>HYPERLINK("Melting_Curves/meltCurve_A6NIR2_HSPB11.pdf", "Melting_Curves/meltCurve_A6NIR2_HSPB11.pdf")</f>
        <v>Melting_Curves/meltCurve_A6NIR2_HSPB11.pdf</v>
      </c>
    </row>
    <row r="41" spans="1:28" x14ac:dyDescent="0.25">
      <c r="A41" t="s">
        <v>45</v>
      </c>
      <c r="B41">
        <v>0.99334974765950101</v>
      </c>
      <c r="C41">
        <v>0.89290337806726905</v>
      </c>
      <c r="D41">
        <v>0.58554232270352102</v>
      </c>
      <c r="E41">
        <v>0.241535670456035</v>
      </c>
      <c r="F41">
        <v>0.27640166355748202</v>
      </c>
      <c r="G41">
        <v>0.220866916959057</v>
      </c>
      <c r="H41">
        <v>0.21588966365523901</v>
      </c>
      <c r="I41">
        <v>0.12339935930684</v>
      </c>
      <c r="J41">
        <v>0.29916270646846199</v>
      </c>
      <c r="K41">
        <v>0.30207764435797901</v>
      </c>
      <c r="L41">
        <v>1437.81982605195</v>
      </c>
      <c r="M41">
        <v>31.493809627266199</v>
      </c>
      <c r="N41">
        <v>46.5804594722185</v>
      </c>
      <c r="O41">
        <v>45.4711609958227</v>
      </c>
      <c r="P41">
        <v>-0.13285486869454599</v>
      </c>
      <c r="Q41">
        <v>0.23273399051417601</v>
      </c>
      <c r="R41">
        <v>0.97015558707987803</v>
      </c>
      <c r="S41" t="s">
        <v>5902</v>
      </c>
      <c r="T41" t="s">
        <v>11720</v>
      </c>
      <c r="U41" t="s">
        <v>11720</v>
      </c>
      <c r="V41" t="s">
        <v>11720</v>
      </c>
      <c r="W41" t="s">
        <v>11761</v>
      </c>
      <c r="X41">
        <v>1</v>
      </c>
      <c r="Y41" t="s">
        <v>17555</v>
      </c>
      <c r="Z41" t="s">
        <v>23248</v>
      </c>
      <c r="AA41">
        <v>0.38157902336034533</v>
      </c>
      <c r="AB41" t="str">
        <f>HYPERLINK("Melting_Curves/meltCurve_A6NJ78_METTL15.pdf", "Melting_Curves/meltCurve_A6NJ78_METTL15.pdf")</f>
        <v>Melting_Curves/meltCurve_A6NJ78_METTL15.pdf</v>
      </c>
    </row>
    <row r="42" spans="1:28" x14ac:dyDescent="0.25">
      <c r="A42" t="s">
        <v>46</v>
      </c>
      <c r="B42">
        <v>0.99334974765950101</v>
      </c>
      <c r="C42">
        <v>0.93196005300400098</v>
      </c>
      <c r="D42">
        <v>0.86244987308009802</v>
      </c>
      <c r="E42">
        <v>0.549062796473619</v>
      </c>
      <c r="F42">
        <v>0.10809699632572201</v>
      </c>
      <c r="G42">
        <v>4.9857139933396098E-2</v>
      </c>
      <c r="H42">
        <v>3.14012337809964E-2</v>
      </c>
      <c r="I42">
        <v>4.1914857469013599E-2</v>
      </c>
      <c r="J42">
        <v>2.4915139042891599E-2</v>
      </c>
      <c r="K42">
        <v>1.6063893761292199E-2</v>
      </c>
      <c r="L42">
        <v>1428.60141921991</v>
      </c>
      <c r="M42">
        <v>28.630305592121498</v>
      </c>
      <c r="N42">
        <v>49.966577017808902</v>
      </c>
      <c r="O42">
        <v>49.656693733214702</v>
      </c>
      <c r="P42">
        <v>-0.141374274612099</v>
      </c>
      <c r="Q42">
        <v>1.9203841228100999E-2</v>
      </c>
      <c r="R42">
        <v>0.99095734725097395</v>
      </c>
      <c r="S42" t="s">
        <v>5903</v>
      </c>
      <c r="T42" t="s">
        <v>11720</v>
      </c>
      <c r="U42" t="s">
        <v>11720</v>
      </c>
      <c r="V42" t="s">
        <v>11720</v>
      </c>
      <c r="W42" t="s">
        <v>11762</v>
      </c>
      <c r="X42">
        <v>2</v>
      </c>
      <c r="Y42" t="s">
        <v>17556</v>
      </c>
      <c r="Z42" t="s">
        <v>23249</v>
      </c>
      <c r="AA42">
        <v>0.34946627602157387</v>
      </c>
      <c r="AB42" t="str">
        <f>HYPERLINK("Melting_Curves/meltCurve_A6NK28_MAP2K5.pdf", "Melting_Curves/meltCurve_A6NK28_MAP2K5.pdf")</f>
        <v>Melting_Curves/meltCurve_A6NK28_MAP2K5.pdf</v>
      </c>
    </row>
    <row r="43" spans="1:28" x14ac:dyDescent="0.25">
      <c r="A43" t="s">
        <v>47</v>
      </c>
      <c r="B43">
        <v>0.99334974765950101</v>
      </c>
      <c r="C43">
        <v>0.96559826633785495</v>
      </c>
      <c r="D43">
        <v>1.1227280546412299</v>
      </c>
      <c r="E43">
        <v>0.73690388461652501</v>
      </c>
      <c r="F43">
        <v>2.0762805314477899</v>
      </c>
      <c r="G43">
        <v>0.27173589024644801</v>
      </c>
      <c r="H43">
        <v>0.17898625845534299</v>
      </c>
      <c r="I43">
        <v>0.22349916246836499</v>
      </c>
      <c r="J43">
        <v>0.112912013020391</v>
      </c>
      <c r="K43">
        <v>0.13787829764435</v>
      </c>
      <c r="L43">
        <v>14141.433637702699</v>
      </c>
      <c r="M43">
        <v>250</v>
      </c>
      <c r="N43">
        <v>56.655349014114002</v>
      </c>
      <c r="O43">
        <v>56.562114733588601</v>
      </c>
      <c r="P43">
        <v>-0.924515863576859</v>
      </c>
      <c r="Q43">
        <v>0.16331884361811</v>
      </c>
      <c r="R43">
        <v>0.64960837953628303</v>
      </c>
      <c r="S43" t="s">
        <v>5904</v>
      </c>
      <c r="T43" t="s">
        <v>11720</v>
      </c>
      <c r="U43" t="s">
        <v>11720</v>
      </c>
      <c r="V43" t="s">
        <v>11720</v>
      </c>
      <c r="W43" t="s">
        <v>11763</v>
      </c>
      <c r="X43">
        <v>1</v>
      </c>
      <c r="Y43" t="s">
        <v>17557</v>
      </c>
      <c r="Z43" t="s">
        <v>23250</v>
      </c>
      <c r="AA43">
        <v>0.62540983395922178</v>
      </c>
      <c r="AB43" t="str">
        <f>HYPERLINK("Melting_Curves/meltCurve_A6NKF9_GPR89C.pdf", "Melting_Curves/meltCurve_A6NKF9_GPR89C.pdf")</f>
        <v>Melting_Curves/meltCurve_A6NKF9_GPR89C.pdf</v>
      </c>
    </row>
    <row r="44" spans="1:28" x14ac:dyDescent="0.25">
      <c r="A44" t="s">
        <v>48</v>
      </c>
      <c r="B44">
        <v>0.99334974765950101</v>
      </c>
      <c r="C44">
        <v>0.93525933989743404</v>
      </c>
      <c r="D44">
        <v>0.86989413225553902</v>
      </c>
      <c r="E44">
        <v>0.92311932230608096</v>
      </c>
      <c r="F44">
        <v>0.85152421486796304</v>
      </c>
      <c r="G44">
        <v>0.91393583227698205</v>
      </c>
      <c r="H44">
        <v>0.67622701624024895</v>
      </c>
      <c r="I44">
        <v>0.54073147424435797</v>
      </c>
      <c r="J44">
        <v>0.46979556596866601</v>
      </c>
      <c r="K44">
        <v>0.35663013987178899</v>
      </c>
      <c r="L44">
        <v>599.26782540812201</v>
      </c>
      <c r="M44">
        <v>9.0885216164665792</v>
      </c>
      <c r="N44">
        <v>65.936775065014601</v>
      </c>
      <c r="O44">
        <v>62.979664000747</v>
      </c>
      <c r="P44">
        <v>-3.6102454105235701E-2</v>
      </c>
      <c r="Q44">
        <v>0</v>
      </c>
      <c r="R44">
        <v>0.93140140560570395</v>
      </c>
      <c r="S44" t="s">
        <v>5905</v>
      </c>
      <c r="T44" t="s">
        <v>11720</v>
      </c>
      <c r="U44" t="s">
        <v>11720</v>
      </c>
      <c r="V44" t="s">
        <v>11720</v>
      </c>
      <c r="W44" t="s">
        <v>11764</v>
      </c>
      <c r="X44">
        <v>3</v>
      </c>
      <c r="Y44" t="s">
        <v>17558</v>
      </c>
      <c r="Z44" t="s">
        <v>23251</v>
      </c>
      <c r="AA44">
        <v>0.78858549702304692</v>
      </c>
      <c r="AB44" t="str">
        <f>HYPERLINK("Melting_Curves/meltCurve_A6NL54_ZMYM3.pdf", "Melting_Curves/meltCurve_A6NL54_ZMYM3.pdf")</f>
        <v>Melting_Curves/meltCurve_A6NL54_ZMYM3.pdf</v>
      </c>
    </row>
    <row r="45" spans="1:28" x14ac:dyDescent="0.25">
      <c r="A45" t="s">
        <v>49</v>
      </c>
      <c r="B45">
        <v>0.99334974765950101</v>
      </c>
      <c r="C45">
        <v>0.94841867178575001</v>
      </c>
      <c r="D45">
        <v>1.02783020547994</v>
      </c>
      <c r="E45">
        <v>0.699564055835595</v>
      </c>
      <c r="F45">
        <v>0.35863822164012499</v>
      </c>
      <c r="G45">
        <v>0.33327394074257</v>
      </c>
      <c r="H45">
        <v>0.281289642287883</v>
      </c>
      <c r="I45">
        <v>0.29256251294866198</v>
      </c>
      <c r="J45">
        <v>0.221045267751698</v>
      </c>
      <c r="K45">
        <v>0.23551705042110199</v>
      </c>
      <c r="L45">
        <v>2085.6245116637301</v>
      </c>
      <c r="M45">
        <v>41.331234233251003</v>
      </c>
      <c r="N45">
        <v>51.432282650644296</v>
      </c>
      <c r="O45">
        <v>50.343522299269601</v>
      </c>
      <c r="P45">
        <v>-0.14964982281033101</v>
      </c>
      <c r="Q45">
        <v>0.27087728494083801</v>
      </c>
      <c r="R45">
        <v>0.98860072745849104</v>
      </c>
      <c r="S45" t="s">
        <v>5906</v>
      </c>
      <c r="T45" t="s">
        <v>11720</v>
      </c>
      <c r="U45" t="s">
        <v>11720</v>
      </c>
      <c r="V45" t="s">
        <v>11720</v>
      </c>
      <c r="W45" t="s">
        <v>11765</v>
      </c>
      <c r="X45">
        <v>8</v>
      </c>
      <c r="Y45" t="s">
        <v>17559</v>
      </c>
      <c r="Z45" t="s">
        <v>23252</v>
      </c>
      <c r="AA45">
        <v>0.52750884228587447</v>
      </c>
      <c r="AB45" t="str">
        <f>HYPERLINK("Melting_Curves/meltCurve_A6NLG9_BGN.pdf", "Melting_Curves/meltCurve_A6NLG9_BGN.pdf")</f>
        <v>Melting_Curves/meltCurve_A6NLG9_BGN.pdf</v>
      </c>
    </row>
    <row r="46" spans="1:28" x14ac:dyDescent="0.25">
      <c r="A46" t="s">
        <v>50</v>
      </c>
      <c r="B46">
        <v>0.99334974765950101</v>
      </c>
      <c r="C46">
        <v>1.18416767704393</v>
      </c>
      <c r="D46">
        <v>1.32943659150904</v>
      </c>
      <c r="E46">
        <v>1.1945583389874299</v>
      </c>
      <c r="F46">
        <v>0.90700966264569904</v>
      </c>
      <c r="G46">
        <v>2.1330047525848999</v>
      </c>
      <c r="H46">
        <v>1.5420367088499201</v>
      </c>
      <c r="I46">
        <v>0.87271013651826101</v>
      </c>
      <c r="J46">
        <v>0</v>
      </c>
      <c r="K46">
        <v>0</v>
      </c>
      <c r="L46">
        <v>15000</v>
      </c>
      <c r="M46">
        <v>232.44980313350001</v>
      </c>
      <c r="N46">
        <v>64.530061111978299</v>
      </c>
      <c r="O46">
        <v>64.525284711793205</v>
      </c>
      <c r="P46">
        <v>-0.90061518130173801</v>
      </c>
      <c r="Q46">
        <v>0</v>
      </c>
      <c r="R46">
        <v>0.53270457322050102</v>
      </c>
      <c r="S46" t="s">
        <v>5907</v>
      </c>
      <c r="T46" t="s">
        <v>11720</v>
      </c>
      <c r="U46" t="s">
        <v>11720</v>
      </c>
      <c r="V46" t="s">
        <v>11720</v>
      </c>
      <c r="W46" t="s">
        <v>11766</v>
      </c>
      <c r="X46">
        <v>1</v>
      </c>
      <c r="Y46" t="s">
        <v>17560</v>
      </c>
      <c r="Z46" t="s">
        <v>23253</v>
      </c>
      <c r="AA46">
        <v>0.81779970358007981</v>
      </c>
      <c r="AB46" t="str">
        <f>HYPERLINK("Melting_Curves/meltCurve_A6NLH6_CNIH4.pdf", "Melting_Curves/meltCurve_A6NLH6_CNIH4.pdf")</f>
        <v>Melting_Curves/meltCurve_A6NLH6_CNIH4.pdf</v>
      </c>
    </row>
    <row r="47" spans="1:28" x14ac:dyDescent="0.25">
      <c r="A47" t="s">
        <v>51</v>
      </c>
      <c r="B47">
        <v>0.99334974765950101</v>
      </c>
      <c r="C47">
        <v>0.95186742277179504</v>
      </c>
      <c r="D47">
        <v>0.99572161880468801</v>
      </c>
      <c r="E47">
        <v>1.12743197866505</v>
      </c>
      <c r="F47">
        <v>1.57351454255928</v>
      </c>
      <c r="G47">
        <v>1.74459640067546</v>
      </c>
      <c r="H47">
        <v>1.2126654056659101</v>
      </c>
      <c r="I47">
        <v>0.50822475076749496</v>
      </c>
      <c r="J47">
        <v>0.248235358684159</v>
      </c>
      <c r="K47">
        <v>0.16251758973608399</v>
      </c>
      <c r="L47">
        <v>15000</v>
      </c>
      <c r="M47">
        <v>234.85966041820899</v>
      </c>
      <c r="N47">
        <v>64.012075210092107</v>
      </c>
      <c r="O47">
        <v>63.863292665841598</v>
      </c>
      <c r="P47">
        <v>-0.73057440825839604</v>
      </c>
      <c r="Q47">
        <v>0.205365610557012</v>
      </c>
      <c r="R47">
        <v>0.60907326718905996</v>
      </c>
      <c r="S47" t="s">
        <v>5908</v>
      </c>
      <c r="T47" t="s">
        <v>11720</v>
      </c>
      <c r="U47" t="s">
        <v>11720</v>
      </c>
      <c r="V47" t="s">
        <v>11720</v>
      </c>
      <c r="W47" t="s">
        <v>11767</v>
      </c>
      <c r="X47">
        <v>16</v>
      </c>
      <c r="Y47" t="s">
        <v>17561</v>
      </c>
      <c r="Z47" t="s">
        <v>23254</v>
      </c>
      <c r="AA47">
        <v>0.83767576215813755</v>
      </c>
      <c r="AB47" t="str">
        <f>HYPERLINK("Melting_Curves/meltCurve_A6NMH6_SEPT8.pdf", "Melting_Curves/meltCurve_A6NMH6_SEPT8.pdf")</f>
        <v>Melting_Curves/meltCurve_A6NMH6_SEPT8.pdf</v>
      </c>
    </row>
    <row r="48" spans="1:28" x14ac:dyDescent="0.25">
      <c r="A48" t="s">
        <v>52</v>
      </c>
      <c r="B48">
        <v>0.99334974765950101</v>
      </c>
      <c r="C48">
        <v>1.0208789199260899</v>
      </c>
      <c r="D48">
        <v>1.1061183759012201</v>
      </c>
      <c r="E48">
        <v>0.50080683700650697</v>
      </c>
      <c r="F48">
        <v>0.49140696216887497</v>
      </c>
      <c r="G48">
        <v>0.31981105775612201</v>
      </c>
      <c r="H48">
        <v>0.250634963386758</v>
      </c>
      <c r="I48">
        <v>0.16856757951743201</v>
      </c>
      <c r="J48">
        <v>0.17020335801976799</v>
      </c>
      <c r="K48">
        <v>0.14744069844014401</v>
      </c>
      <c r="L48">
        <v>1132.8504822360001</v>
      </c>
      <c r="M48">
        <v>22.3819043613635</v>
      </c>
      <c r="N48">
        <v>51.754941199575299</v>
      </c>
      <c r="O48">
        <v>50.215719208939497</v>
      </c>
      <c r="P48">
        <v>-8.9740552629783601E-2</v>
      </c>
      <c r="Q48">
        <v>0.194654334453886</v>
      </c>
      <c r="R48">
        <v>0.94355461634877702</v>
      </c>
      <c r="S48" t="s">
        <v>5909</v>
      </c>
      <c r="T48" t="s">
        <v>11720</v>
      </c>
      <c r="U48" t="s">
        <v>11720</v>
      </c>
      <c r="V48" t="s">
        <v>11720</v>
      </c>
      <c r="W48" t="s">
        <v>11768</v>
      </c>
      <c r="X48">
        <v>8</v>
      </c>
      <c r="Y48" t="s">
        <v>17562</v>
      </c>
      <c r="Z48" t="s">
        <v>23255</v>
      </c>
      <c r="AA48">
        <v>0.48860873203551042</v>
      </c>
      <c r="AB48" t="str">
        <f>HYPERLINK("Melting_Curves/meltCurve_A6NML8_DIAPH2.pdf", "Melting_Curves/meltCurve_A6NML8_DIAPH2.pdf")</f>
        <v>Melting_Curves/meltCurve_A6NML8_DIAPH2.pdf</v>
      </c>
    </row>
    <row r="49" spans="1:28" x14ac:dyDescent="0.25">
      <c r="A49" t="s">
        <v>53</v>
      </c>
      <c r="B49">
        <v>0.99334974765950101</v>
      </c>
      <c r="C49">
        <v>0.82905570576901599</v>
      </c>
      <c r="D49">
        <v>0.741626479859544</v>
      </c>
      <c r="E49">
        <v>0.50722653853327304</v>
      </c>
      <c r="F49">
        <v>0.47742005758154099</v>
      </c>
      <c r="G49">
        <v>0.202476663591764</v>
      </c>
      <c r="H49">
        <v>0.17649639961847</v>
      </c>
      <c r="I49">
        <v>0.17110034516627601</v>
      </c>
      <c r="J49">
        <v>0.22331569055428199</v>
      </c>
      <c r="K49">
        <v>0.102810069364464</v>
      </c>
      <c r="L49">
        <v>566.55756059486498</v>
      </c>
      <c r="M49">
        <v>11.4326774863206</v>
      </c>
      <c r="N49">
        <v>50.6241918776619</v>
      </c>
      <c r="O49">
        <v>48.112497159574502</v>
      </c>
      <c r="P49">
        <v>-5.3054683903859798E-2</v>
      </c>
      <c r="Q49">
        <v>0.10717281571039999</v>
      </c>
      <c r="R49">
        <v>0.974608049255552</v>
      </c>
      <c r="S49" t="s">
        <v>5910</v>
      </c>
      <c r="T49" t="s">
        <v>11720</v>
      </c>
      <c r="U49" t="s">
        <v>11720</v>
      </c>
      <c r="V49" t="s">
        <v>11720</v>
      </c>
      <c r="W49" t="s">
        <v>11769</v>
      </c>
      <c r="X49">
        <v>2</v>
      </c>
      <c r="Y49" t="s">
        <v>17563</v>
      </c>
      <c r="Z49" t="s">
        <v>23256</v>
      </c>
      <c r="AA49">
        <v>0.4258306629573968</v>
      </c>
      <c r="AB49" t="str">
        <f>HYPERLINK("Melting_Curves/meltCurve_A6NN40_SHROOM1.pdf", "Melting_Curves/meltCurve_A6NN40_SHROOM1.pdf")</f>
        <v>Melting_Curves/meltCurve_A6NN40_SHROOM1.pdf</v>
      </c>
    </row>
    <row r="50" spans="1:28" x14ac:dyDescent="0.25">
      <c r="A50" t="s">
        <v>54</v>
      </c>
      <c r="B50">
        <v>0.99334974765950101</v>
      </c>
      <c r="C50">
        <v>0.98819255398634598</v>
      </c>
      <c r="D50">
        <v>0.816833443682356</v>
      </c>
      <c r="E50">
        <v>0.426269657284851</v>
      </c>
      <c r="F50">
        <v>0.10976821793955401</v>
      </c>
      <c r="G50">
        <v>4.2116221051084299E-2</v>
      </c>
      <c r="H50">
        <v>3.5252139083537998E-2</v>
      </c>
      <c r="I50">
        <v>3.6271820904024997E-2</v>
      </c>
      <c r="J50">
        <v>3.6029441523887103E-2</v>
      </c>
      <c r="K50">
        <v>1.97789202617338E-2</v>
      </c>
      <c r="L50">
        <v>1242.2258142324199</v>
      </c>
      <c r="M50">
        <v>25.341548933717799</v>
      </c>
      <c r="N50">
        <v>49.109634670742601</v>
      </c>
      <c r="O50">
        <v>48.717128304629199</v>
      </c>
      <c r="P50">
        <v>-0.12708556609087099</v>
      </c>
      <c r="Q50">
        <v>2.2764310802904999E-2</v>
      </c>
      <c r="R50">
        <v>0.99746363619662304</v>
      </c>
      <c r="S50" t="s">
        <v>5911</v>
      </c>
      <c r="T50" t="s">
        <v>11720</v>
      </c>
      <c r="U50" t="s">
        <v>11720</v>
      </c>
      <c r="V50" t="s">
        <v>11720</v>
      </c>
      <c r="W50" t="s">
        <v>11770</v>
      </c>
      <c r="X50">
        <v>75</v>
      </c>
      <c r="Y50" t="s">
        <v>17564</v>
      </c>
      <c r="Z50" t="s">
        <v>23257</v>
      </c>
      <c r="AA50">
        <v>0.324986855975126</v>
      </c>
      <c r="AB50" t="str">
        <f>HYPERLINK("Melting_Curves/meltCurve_A6NN80_ANXA6.pdf", "Melting_Curves/meltCurve_A6NN80_ANXA6.pdf")</f>
        <v>Melting_Curves/meltCurve_A6NN80_ANXA6.pdf</v>
      </c>
    </row>
    <row r="51" spans="1:28" x14ac:dyDescent="0.25">
      <c r="A51" t="s">
        <v>55</v>
      </c>
      <c r="B51">
        <v>0.99334974765950101</v>
      </c>
      <c r="C51">
        <v>0.92638896954498096</v>
      </c>
      <c r="D51">
        <v>0.91533608459903304</v>
      </c>
      <c r="E51">
        <v>0.91303639868771402</v>
      </c>
      <c r="F51">
        <v>0.90969076224860901</v>
      </c>
      <c r="G51">
        <v>0.80505601277780703</v>
      </c>
      <c r="H51">
        <v>0.82411175316587504</v>
      </c>
      <c r="I51">
        <v>0.86833897216810096</v>
      </c>
      <c r="J51">
        <v>1.0383012821461099</v>
      </c>
      <c r="K51">
        <v>0.78324469451201095</v>
      </c>
      <c r="L51">
        <v>631.17864193355194</v>
      </c>
      <c r="M51">
        <v>14.3279503779879</v>
      </c>
      <c r="O51">
        <v>43.220793140479202</v>
      </c>
      <c r="P51">
        <v>-1.0748753789444E-2</v>
      </c>
      <c r="Q51">
        <v>0.870319619847988</v>
      </c>
      <c r="R51">
        <v>0.22949810596582701</v>
      </c>
      <c r="S51" t="s">
        <v>5912</v>
      </c>
      <c r="T51" t="s">
        <v>11720</v>
      </c>
      <c r="U51" t="s">
        <v>11720</v>
      </c>
      <c r="V51" t="s">
        <v>11720</v>
      </c>
      <c r="W51" t="s">
        <v>11771</v>
      </c>
      <c r="X51">
        <v>6</v>
      </c>
      <c r="Y51" t="s">
        <v>17565</v>
      </c>
      <c r="Z51" t="s">
        <v>23258</v>
      </c>
      <c r="AA51">
        <v>0.89295898071921131</v>
      </c>
      <c r="AB51" t="str">
        <f>HYPERLINK("Melting_Curves/meltCurve_A6NNI4_CD9.pdf", "Melting_Curves/meltCurve_A6NNI4_CD9.pdf")</f>
        <v>Melting_Curves/meltCurve_A6NNI4_CD9.pdf</v>
      </c>
    </row>
    <row r="52" spans="1:28" x14ac:dyDescent="0.25">
      <c r="A52" t="s">
        <v>56</v>
      </c>
      <c r="B52">
        <v>0.99334974765950101</v>
      </c>
      <c r="C52">
        <v>0.98769843047379602</v>
      </c>
      <c r="D52">
        <v>0.88159284595957099</v>
      </c>
      <c r="E52">
        <v>0.84372326959584498</v>
      </c>
      <c r="F52">
        <v>0.54589781714157704</v>
      </c>
      <c r="G52">
        <v>0.451233045214952</v>
      </c>
      <c r="H52">
        <v>0.32538067691283501</v>
      </c>
      <c r="I52">
        <v>0.32746574563262998</v>
      </c>
      <c r="J52">
        <v>0.29260437220576901</v>
      </c>
      <c r="K52">
        <v>0.23247200869927401</v>
      </c>
      <c r="L52">
        <v>803.76881125468401</v>
      </c>
      <c r="M52">
        <v>15.2485558801607</v>
      </c>
      <c r="N52">
        <v>55.224654909508899</v>
      </c>
      <c r="O52">
        <v>51.829526470527</v>
      </c>
      <c r="P52">
        <v>-5.5152663712650402E-2</v>
      </c>
      <c r="Q52">
        <v>0.25021996891878001</v>
      </c>
      <c r="R52">
        <v>0.983293367429528</v>
      </c>
      <c r="S52" t="s">
        <v>5913</v>
      </c>
      <c r="T52" t="s">
        <v>11720</v>
      </c>
      <c r="U52" t="s">
        <v>11720</v>
      </c>
      <c r="V52" t="s">
        <v>11720</v>
      </c>
      <c r="W52" t="s">
        <v>11772</v>
      </c>
      <c r="X52">
        <v>4</v>
      </c>
      <c r="Y52" t="s">
        <v>17566</v>
      </c>
      <c r="Z52" t="s">
        <v>23259</v>
      </c>
      <c r="AA52">
        <v>0.58384895943928183</v>
      </c>
      <c r="AB52" t="str">
        <f>HYPERLINK("Melting_Curves/meltCurve_A6QRJ0_DNASE1L1.pdf", "Melting_Curves/meltCurve_A6QRJ0_DNASE1L1.pdf")</f>
        <v>Melting_Curves/meltCurve_A6QRJ0_DNASE1L1.pdf</v>
      </c>
    </row>
    <row r="53" spans="1:28" x14ac:dyDescent="0.25">
      <c r="A53" t="s">
        <v>57</v>
      </c>
      <c r="B53">
        <v>0.99334974765950101</v>
      </c>
      <c r="C53">
        <v>0.85618373356462196</v>
      </c>
      <c r="D53">
        <v>0.57235730776173499</v>
      </c>
      <c r="E53">
        <v>0.30528623131944999</v>
      </c>
      <c r="F53">
        <v>0.26137869911337602</v>
      </c>
      <c r="G53">
        <v>0.15567362824853501</v>
      </c>
      <c r="H53">
        <v>0.13498950977317001</v>
      </c>
      <c r="I53">
        <v>0.13044190150082799</v>
      </c>
      <c r="J53">
        <v>0.122315183323468</v>
      </c>
      <c r="K53">
        <v>0.112367745462653</v>
      </c>
      <c r="L53">
        <v>848.33249633866501</v>
      </c>
      <c r="M53">
        <v>18.2738399618794</v>
      </c>
      <c r="N53">
        <v>47.1844253990825</v>
      </c>
      <c r="O53">
        <v>45.8781104724765</v>
      </c>
      <c r="P53">
        <v>-8.68715467829074E-2</v>
      </c>
      <c r="Q53">
        <v>0.12764553191263001</v>
      </c>
      <c r="R53">
        <v>0.99425546969524503</v>
      </c>
      <c r="S53" t="s">
        <v>5914</v>
      </c>
      <c r="T53" t="s">
        <v>11720</v>
      </c>
      <c r="U53" t="s">
        <v>11720</v>
      </c>
      <c r="V53" t="s">
        <v>11720</v>
      </c>
      <c r="W53" t="s">
        <v>11773</v>
      </c>
      <c r="X53">
        <v>7</v>
      </c>
      <c r="Y53" t="s">
        <v>17567</v>
      </c>
      <c r="Z53" t="s">
        <v>23260</v>
      </c>
      <c r="AA53">
        <v>0.33050302231888701</v>
      </c>
      <c r="AB53" t="str">
        <f>HYPERLINK("Melting_Curves/meltCurve_A6ZKI3_FAM127A.pdf", "Melting_Curves/meltCurve_A6ZKI3_FAM127A.pdf")</f>
        <v>Melting_Curves/meltCurve_A6ZKI3_FAM127A.pdf</v>
      </c>
    </row>
    <row r="54" spans="1:28" x14ac:dyDescent="0.25">
      <c r="A54" t="s">
        <v>58</v>
      </c>
      <c r="B54">
        <v>0.99334974765950101</v>
      </c>
      <c r="C54">
        <v>0.98905099558152199</v>
      </c>
      <c r="D54">
        <v>0.936764898677379</v>
      </c>
      <c r="E54">
        <v>0.69837451521868898</v>
      </c>
      <c r="F54">
        <v>0.35891309518896197</v>
      </c>
      <c r="G54">
        <v>0.16821108852318001</v>
      </c>
      <c r="H54">
        <v>0.140490390480035</v>
      </c>
      <c r="I54">
        <v>0.15041867497015601</v>
      </c>
      <c r="J54">
        <v>0.146055364203969</v>
      </c>
      <c r="K54">
        <v>0.133873347028095</v>
      </c>
      <c r="L54">
        <v>1429.02902212856</v>
      </c>
      <c r="M54">
        <v>28.006304279262999</v>
      </c>
      <c r="N54">
        <v>51.613560839182803</v>
      </c>
      <c r="O54">
        <v>50.767237687039398</v>
      </c>
      <c r="P54">
        <v>-0.119071232700788</v>
      </c>
      <c r="Q54">
        <v>0.13664214473535</v>
      </c>
      <c r="R54">
        <v>0.99914813786177503</v>
      </c>
      <c r="S54" t="s">
        <v>5915</v>
      </c>
      <c r="T54" t="s">
        <v>11720</v>
      </c>
      <c r="U54" t="s">
        <v>11720</v>
      </c>
      <c r="V54" t="s">
        <v>11720</v>
      </c>
      <c r="W54" t="s">
        <v>11774</v>
      </c>
      <c r="X54">
        <v>2</v>
      </c>
      <c r="Y54" t="s">
        <v>17568</v>
      </c>
      <c r="Z54" t="s">
        <v>23261</v>
      </c>
      <c r="AA54">
        <v>0.46016403780136977</v>
      </c>
      <c r="AB54" t="str">
        <f>HYPERLINK("Melting_Curves/meltCurve_A8K0B5_ZBTB8OS.pdf", "Melting_Curves/meltCurve_A8K0B5_ZBTB8OS.pdf")</f>
        <v>Melting_Curves/meltCurve_A8K0B5_ZBTB8OS.pdf</v>
      </c>
    </row>
    <row r="55" spans="1:28" x14ac:dyDescent="0.25">
      <c r="A55" t="s">
        <v>59</v>
      </c>
      <c r="B55">
        <v>0.99334974765950101</v>
      </c>
      <c r="C55">
        <v>1.063462413219</v>
      </c>
      <c r="D55">
        <v>1.3811247998515299</v>
      </c>
      <c r="E55">
        <v>1.69415428258224</v>
      </c>
      <c r="F55">
        <v>1.3291933017648301</v>
      </c>
      <c r="G55">
        <v>0.50273418519251101</v>
      </c>
      <c r="H55">
        <v>0.134780870562729</v>
      </c>
      <c r="I55">
        <v>0.11173245996530499</v>
      </c>
      <c r="J55">
        <v>7.9155597412573997E-2</v>
      </c>
      <c r="K55">
        <v>7.3594705685798803E-2</v>
      </c>
      <c r="L55">
        <v>14238.0077211883</v>
      </c>
      <c r="M55">
        <v>250</v>
      </c>
      <c r="N55">
        <v>57.002805271634799</v>
      </c>
      <c r="O55">
        <v>56.948386358085799</v>
      </c>
      <c r="P55">
        <v>-0.98793855471096603</v>
      </c>
      <c r="Q55">
        <v>9.9815897271418402E-2</v>
      </c>
      <c r="R55">
        <v>0.79011540577177697</v>
      </c>
      <c r="S55" t="s">
        <v>5916</v>
      </c>
      <c r="T55" t="s">
        <v>11720</v>
      </c>
      <c r="U55" t="s">
        <v>11720</v>
      </c>
      <c r="V55" t="s">
        <v>11720</v>
      </c>
      <c r="W55" t="s">
        <v>11775</v>
      </c>
      <c r="X55">
        <v>44</v>
      </c>
      <c r="Y55" t="s">
        <v>17569</v>
      </c>
      <c r="Z55" t="s">
        <v>23262</v>
      </c>
      <c r="AA55">
        <v>0.60857082765481496</v>
      </c>
      <c r="AB55" t="str">
        <f>HYPERLINK("Melting_Curves/meltCurve_A8K7Q2_HSPA8.pdf", "Melting_Curves/meltCurve_A8K7Q2_HSPA8.pdf")</f>
        <v>Melting_Curves/meltCurve_A8K7Q2_HSPA8.pdf</v>
      </c>
    </row>
    <row r="56" spans="1:28" x14ac:dyDescent="0.25">
      <c r="A56" t="s">
        <v>60</v>
      </c>
      <c r="B56">
        <v>0.99334974765950101</v>
      </c>
      <c r="C56">
        <v>0.97551529460709896</v>
      </c>
      <c r="D56">
        <v>0.866437743297643</v>
      </c>
      <c r="E56">
        <v>0.78208498096490398</v>
      </c>
      <c r="F56">
        <v>0.59262400170806695</v>
      </c>
      <c r="G56">
        <v>0.44776633127458099</v>
      </c>
      <c r="H56">
        <v>0.38093396232308002</v>
      </c>
      <c r="I56">
        <v>0.38488830670045399</v>
      </c>
      <c r="J56">
        <v>0.43679077149460699</v>
      </c>
      <c r="K56">
        <v>0.38433614834791402</v>
      </c>
      <c r="L56">
        <v>862.65206444688204</v>
      </c>
      <c r="M56">
        <v>16.905317848147</v>
      </c>
      <c r="N56">
        <v>55.638424096740202</v>
      </c>
      <c r="O56">
        <v>50.330464107938802</v>
      </c>
      <c r="P56">
        <v>-5.2335352957530099E-2</v>
      </c>
      <c r="Q56">
        <v>0.376788769939571</v>
      </c>
      <c r="R56">
        <v>0.98632835147461295</v>
      </c>
      <c r="S56" t="s">
        <v>5917</v>
      </c>
      <c r="T56" t="s">
        <v>11720</v>
      </c>
      <c r="U56" t="s">
        <v>11720</v>
      </c>
      <c r="V56" t="s">
        <v>11720</v>
      </c>
      <c r="W56" t="s">
        <v>11776</v>
      </c>
      <c r="X56">
        <v>17</v>
      </c>
      <c r="Y56" t="s">
        <v>17570</v>
      </c>
      <c r="Z56" t="s">
        <v>23263</v>
      </c>
      <c r="AA56">
        <v>0.61762614614241274</v>
      </c>
      <c r="AB56" t="str">
        <f>HYPERLINK("Melting_Curves/meltCurve_A8MQ02_MLLT4.pdf", "Melting_Curves/meltCurve_A8MQ02_MLLT4.pdf")</f>
        <v>Melting_Curves/meltCurve_A8MQ02_MLLT4.pdf</v>
      </c>
    </row>
    <row r="57" spans="1:28" x14ac:dyDescent="0.25">
      <c r="A57" t="s">
        <v>61</v>
      </c>
      <c r="B57">
        <v>0.99334974765950101</v>
      </c>
      <c r="C57">
        <v>0.83390072816919703</v>
      </c>
      <c r="D57">
        <v>0.89012585276711198</v>
      </c>
      <c r="E57">
        <v>0.81063475886474501</v>
      </c>
      <c r="F57">
        <v>0.82491708563321997</v>
      </c>
      <c r="G57">
        <v>0.69331560194795805</v>
      </c>
      <c r="H57">
        <v>0.55469992924016498</v>
      </c>
      <c r="I57">
        <v>0.481108271853669</v>
      </c>
      <c r="J57">
        <v>0.28472194964714198</v>
      </c>
      <c r="K57">
        <v>0.20162512954695699</v>
      </c>
      <c r="L57">
        <v>496.20206017036003</v>
      </c>
      <c r="M57">
        <v>8.0680417422993607</v>
      </c>
      <c r="N57">
        <v>61.502166835178699</v>
      </c>
      <c r="O57">
        <v>58.069318011502098</v>
      </c>
      <c r="P57">
        <v>-3.47725774657184E-2</v>
      </c>
      <c r="Q57">
        <v>0</v>
      </c>
      <c r="R57">
        <v>0.93702751753380997</v>
      </c>
      <c r="S57" t="s">
        <v>5918</v>
      </c>
      <c r="T57" t="s">
        <v>11720</v>
      </c>
      <c r="U57" t="s">
        <v>11720</v>
      </c>
      <c r="V57" t="s">
        <v>11720</v>
      </c>
      <c r="W57" t="s">
        <v>11777</v>
      </c>
      <c r="X57">
        <v>3</v>
      </c>
      <c r="Y57" t="s">
        <v>17571</v>
      </c>
      <c r="Z57" t="s">
        <v>23264</v>
      </c>
      <c r="AA57">
        <v>0.6862733233817806</v>
      </c>
      <c r="AB57" t="str">
        <f>HYPERLINK("Melting_Curves/meltCurve_A8MQ45_JAM2.pdf", "Melting_Curves/meltCurve_A8MQ45_JAM2.pdf")</f>
        <v>Melting_Curves/meltCurve_A8MQ45_JAM2.pdf</v>
      </c>
    </row>
    <row r="58" spans="1:28" x14ac:dyDescent="0.25">
      <c r="A58" t="s">
        <v>62</v>
      </c>
      <c r="B58">
        <v>0.99334974765950101</v>
      </c>
      <c r="C58">
        <v>0.84786743028530198</v>
      </c>
      <c r="D58">
        <v>0.41515190079153103</v>
      </c>
      <c r="E58">
        <v>0.189428735088671</v>
      </c>
      <c r="F58">
        <v>0.15439346102805801</v>
      </c>
      <c r="G58">
        <v>7.1182838092137199E-2</v>
      </c>
      <c r="H58">
        <v>6.0966068731997003E-2</v>
      </c>
      <c r="I58">
        <v>6.1870553874014897E-2</v>
      </c>
      <c r="J58">
        <v>9.9279865992442096E-2</v>
      </c>
      <c r="K58">
        <v>8.14627992320755E-2</v>
      </c>
      <c r="L58">
        <v>1218.6663417437301</v>
      </c>
      <c r="M58">
        <v>26.941911420366299</v>
      </c>
      <c r="N58">
        <v>45.559922652210098</v>
      </c>
      <c r="O58">
        <v>44.986108676378102</v>
      </c>
      <c r="P58">
        <v>-0.13656903958976199</v>
      </c>
      <c r="Q58">
        <v>8.7867517584886798E-2</v>
      </c>
      <c r="R58">
        <v>0.99321800644745395</v>
      </c>
      <c r="S58" t="s">
        <v>5919</v>
      </c>
      <c r="T58" t="s">
        <v>11720</v>
      </c>
      <c r="U58" t="s">
        <v>11720</v>
      </c>
      <c r="V58" t="s">
        <v>11720</v>
      </c>
      <c r="W58" t="s">
        <v>11778</v>
      </c>
      <c r="X58">
        <v>6</v>
      </c>
      <c r="Y58" t="s">
        <v>17572</v>
      </c>
      <c r="Z58" t="s">
        <v>23265</v>
      </c>
      <c r="AA58">
        <v>0.25441347152116872</v>
      </c>
      <c r="AB58" t="str">
        <f>HYPERLINK("Melting_Curves/meltCurve_A8MSH5_RTFDC1.pdf", "Melting_Curves/meltCurve_A8MSH5_RTFDC1.pdf")</f>
        <v>Melting_Curves/meltCurve_A8MSH5_RTFDC1.pdf</v>
      </c>
    </row>
    <row r="59" spans="1:28" x14ac:dyDescent="0.25">
      <c r="A59" t="s">
        <v>63</v>
      </c>
      <c r="B59">
        <v>0.99334974765950101</v>
      </c>
      <c r="C59">
        <v>1.1355513245342399</v>
      </c>
      <c r="D59">
        <v>0.95186176728350003</v>
      </c>
      <c r="E59">
        <v>0.92223341167635298</v>
      </c>
      <c r="F59">
        <v>0.73963510619271799</v>
      </c>
      <c r="G59">
        <v>0.45349099836370699</v>
      </c>
      <c r="H59">
        <v>0.31529279050896297</v>
      </c>
      <c r="I59">
        <v>0.29514698205356499</v>
      </c>
      <c r="J59">
        <v>0.36633143565210902</v>
      </c>
      <c r="K59">
        <v>0.30207406755634703</v>
      </c>
      <c r="L59">
        <v>1442.4300486908101</v>
      </c>
      <c r="M59">
        <v>26.726397074502898</v>
      </c>
      <c r="N59">
        <v>56.001427143548398</v>
      </c>
      <c r="O59">
        <v>53.670803498261002</v>
      </c>
      <c r="P59">
        <v>-8.5858314785172904E-2</v>
      </c>
      <c r="Q59">
        <v>0.31033918912427699</v>
      </c>
      <c r="R59">
        <v>0.97558034636505297</v>
      </c>
      <c r="S59" t="s">
        <v>5920</v>
      </c>
      <c r="T59" t="s">
        <v>11720</v>
      </c>
      <c r="U59" t="s">
        <v>11720</v>
      </c>
      <c r="V59" t="s">
        <v>11720</v>
      </c>
      <c r="W59" t="s">
        <v>11779</v>
      </c>
      <c r="X59">
        <v>4</v>
      </c>
      <c r="Y59" t="s">
        <v>17573</v>
      </c>
      <c r="Z59" t="s">
        <v>23266</v>
      </c>
      <c r="AA59">
        <v>0.63713787075042161</v>
      </c>
      <c r="AB59" t="str">
        <f>HYPERLINK("Melting_Curves/meltCurve_A8MSI8_LYRM9.pdf", "Melting_Curves/meltCurve_A8MSI8_LYRM9.pdf")</f>
        <v>Melting_Curves/meltCurve_A8MSI8_LYRM9.pdf</v>
      </c>
    </row>
    <row r="60" spans="1:28" x14ac:dyDescent="0.25">
      <c r="A60" t="s">
        <v>64</v>
      </c>
      <c r="B60">
        <v>0.99334974765950101</v>
      </c>
      <c r="C60">
        <v>0.78077553578099501</v>
      </c>
      <c r="D60">
        <v>0.79093249304835</v>
      </c>
      <c r="E60">
        <v>1.0053279756731901</v>
      </c>
      <c r="F60">
        <v>1.2454270712314399</v>
      </c>
      <c r="G60">
        <v>2.9119071773968002</v>
      </c>
      <c r="H60">
        <v>2.9640094355816098</v>
      </c>
      <c r="I60">
        <v>2.5724863286680901</v>
      </c>
      <c r="J60">
        <v>2.5907171855894999</v>
      </c>
      <c r="K60">
        <v>1.4226313516561999</v>
      </c>
      <c r="L60">
        <v>13251.93907986</v>
      </c>
      <c r="M60">
        <v>250</v>
      </c>
      <c r="O60">
        <v>53.004364292803103</v>
      </c>
      <c r="P60">
        <v>0.58957409494944402</v>
      </c>
      <c r="Q60">
        <v>1.5</v>
      </c>
      <c r="R60">
        <v>0.12922700160365999</v>
      </c>
      <c r="S60" t="s">
        <v>5921</v>
      </c>
      <c r="T60" t="s">
        <v>11720</v>
      </c>
      <c r="U60" t="s">
        <v>11720</v>
      </c>
      <c r="V60" t="s">
        <v>11720</v>
      </c>
      <c r="W60" t="s">
        <v>11780</v>
      </c>
      <c r="X60">
        <v>1</v>
      </c>
      <c r="Y60" t="s">
        <v>17574</v>
      </c>
      <c r="Z60" t="s">
        <v>23267</v>
      </c>
      <c r="AA60">
        <v>1.283157547448988</v>
      </c>
      <c r="AB60" t="str">
        <f>HYPERLINK("Melting_Curves/meltCurve_A8MT02_SNRPB.pdf", "Melting_Curves/meltCurve_A8MT02_SNRPB.pdf")</f>
        <v>Melting_Curves/meltCurve_A8MT02_SNRPB.pdf</v>
      </c>
    </row>
    <row r="61" spans="1:28" x14ac:dyDescent="0.25">
      <c r="A61" t="s">
        <v>65</v>
      </c>
      <c r="B61">
        <v>0.99334974765950101</v>
      </c>
      <c r="C61">
        <v>0.906147310395783</v>
      </c>
      <c r="D61">
        <v>0.90641992098954505</v>
      </c>
      <c r="E61">
        <v>0.94265237346894004</v>
      </c>
      <c r="F61">
        <v>0.60050417398019895</v>
      </c>
      <c r="G61">
        <v>0.55177888430091804</v>
      </c>
      <c r="H61">
        <v>0.39612774489514901</v>
      </c>
      <c r="I61">
        <v>0.210084827908744</v>
      </c>
      <c r="J61">
        <v>0.104112609953376</v>
      </c>
      <c r="K61">
        <v>5.09240430172304E-2</v>
      </c>
      <c r="L61">
        <v>674.89727282481897</v>
      </c>
      <c r="M61">
        <v>11.8051103786285</v>
      </c>
      <c r="N61">
        <v>57.169922592623898</v>
      </c>
      <c r="O61">
        <v>55.603405523573699</v>
      </c>
      <c r="P61">
        <v>-5.3090903804746903E-2</v>
      </c>
      <c r="Q61">
        <v>0</v>
      </c>
      <c r="R61">
        <v>0.96434530676084695</v>
      </c>
      <c r="S61" t="s">
        <v>5922</v>
      </c>
      <c r="T61" t="s">
        <v>11720</v>
      </c>
      <c r="U61" t="s">
        <v>11720</v>
      </c>
      <c r="V61" t="s">
        <v>11720</v>
      </c>
      <c r="W61" t="s">
        <v>11781</v>
      </c>
      <c r="X61">
        <v>5</v>
      </c>
      <c r="Y61" t="s">
        <v>17575</v>
      </c>
      <c r="Z61" t="s">
        <v>23268</v>
      </c>
      <c r="AA61">
        <v>0.58846105420757888</v>
      </c>
      <c r="AB61" t="str">
        <f>HYPERLINK("Melting_Curves/meltCurve_A8MTG8_ARMC8.pdf", "Melting_Curves/meltCurve_A8MTG8_ARMC8.pdf")</f>
        <v>Melting_Curves/meltCurve_A8MTG8_ARMC8.pdf</v>
      </c>
    </row>
    <row r="62" spans="1:28" x14ac:dyDescent="0.25">
      <c r="A62" t="s">
        <v>66</v>
      </c>
      <c r="B62">
        <v>0.99334974765950101</v>
      </c>
      <c r="C62">
        <v>1.05837529535481</v>
      </c>
      <c r="D62">
        <v>0.89760481978332196</v>
      </c>
      <c r="E62">
        <v>0.80990160125257904</v>
      </c>
      <c r="F62">
        <v>0.58579130406150604</v>
      </c>
      <c r="G62">
        <v>0.373882958081519</v>
      </c>
      <c r="H62">
        <v>0.30820405584629801</v>
      </c>
      <c r="I62">
        <v>0.40752389648341297</v>
      </c>
      <c r="J62">
        <v>0.42449793561615701</v>
      </c>
      <c r="K62">
        <v>0.24496080113951199</v>
      </c>
      <c r="L62">
        <v>1207.1604815026401</v>
      </c>
      <c r="M62">
        <v>23.341288153264099</v>
      </c>
      <c r="N62">
        <v>54.286225183142903</v>
      </c>
      <c r="O62">
        <v>51.342690641066199</v>
      </c>
      <c r="P62">
        <v>-7.5662972467054807E-2</v>
      </c>
      <c r="Q62">
        <v>0.33428318570617499</v>
      </c>
      <c r="R62">
        <v>0.961255246963584</v>
      </c>
      <c r="S62" t="s">
        <v>5923</v>
      </c>
      <c r="T62" t="s">
        <v>11720</v>
      </c>
      <c r="U62" t="s">
        <v>11720</v>
      </c>
      <c r="V62" t="s">
        <v>11720</v>
      </c>
      <c r="W62" t="s">
        <v>11782</v>
      </c>
      <c r="X62">
        <v>3</v>
      </c>
      <c r="Y62" t="s">
        <v>17576</v>
      </c>
      <c r="Z62" t="s">
        <v>23269</v>
      </c>
      <c r="AA62">
        <v>0.60122335280028438</v>
      </c>
      <c r="AB62" t="str">
        <f>HYPERLINK("Melting_Curves/meltCurve_A8MTT3_hCG_1988162.pdf", "Melting_Curves/meltCurve_A8MTT3_hCG_1988162.pdf")</f>
        <v>Melting_Curves/meltCurve_A8MTT3_hCG_1988162.pdf</v>
      </c>
    </row>
    <row r="63" spans="1:28" x14ac:dyDescent="0.25">
      <c r="A63" t="s">
        <v>67</v>
      </c>
      <c r="B63">
        <v>0.99334974765950101</v>
      </c>
      <c r="C63">
        <v>1.06532497248864</v>
      </c>
      <c r="D63">
        <v>1.2509660828821101</v>
      </c>
      <c r="E63">
        <v>1.29457763153217</v>
      </c>
      <c r="F63">
        <v>0.448616847282578</v>
      </c>
      <c r="G63">
        <v>0.17997131920078399</v>
      </c>
      <c r="H63">
        <v>8.9331313005771407E-2</v>
      </c>
      <c r="I63">
        <v>7.9380282021822499E-2</v>
      </c>
      <c r="J63">
        <v>6.1020053846519803E-2</v>
      </c>
      <c r="K63">
        <v>3.9511713681585799E-2</v>
      </c>
      <c r="L63">
        <v>13227.2240737009</v>
      </c>
      <c r="M63">
        <v>250</v>
      </c>
      <c r="N63">
        <v>52.950849425796498</v>
      </c>
      <c r="O63">
        <v>52.9055211602806</v>
      </c>
      <c r="P63">
        <v>-1.07521540176303</v>
      </c>
      <c r="Q63">
        <v>8.9842885250525306E-2</v>
      </c>
      <c r="R63">
        <v>0.93599736171372405</v>
      </c>
      <c r="S63" t="s">
        <v>5924</v>
      </c>
      <c r="T63" t="s">
        <v>11720</v>
      </c>
      <c r="U63" t="s">
        <v>11720</v>
      </c>
      <c r="V63" t="s">
        <v>11720</v>
      </c>
      <c r="W63" t="s">
        <v>11783</v>
      </c>
      <c r="X63">
        <v>3</v>
      </c>
      <c r="Y63" t="s">
        <v>17577</v>
      </c>
      <c r="Z63" t="s">
        <v>23270</v>
      </c>
      <c r="AA63">
        <v>0.4815648574520861</v>
      </c>
      <c r="AB63" t="str">
        <f>HYPERLINK("Melting_Curves/meltCurve_A8MTY9_DSCR3.pdf", "Melting_Curves/meltCurve_A8MTY9_DSCR3.pdf")</f>
        <v>Melting_Curves/meltCurve_A8MTY9_DSCR3.pdf</v>
      </c>
    </row>
    <row r="64" spans="1:28" x14ac:dyDescent="0.25">
      <c r="A64" t="s">
        <v>68</v>
      </c>
      <c r="B64">
        <v>0.99334974765950101</v>
      </c>
      <c r="C64">
        <v>1.05079288789273</v>
      </c>
      <c r="D64">
        <v>1.1604002804207401</v>
      </c>
      <c r="E64">
        <v>0.96548201709968895</v>
      </c>
      <c r="F64">
        <v>0.49856968480281799</v>
      </c>
      <c r="G64">
        <v>0.213533041268194</v>
      </c>
      <c r="H64">
        <v>0.136418174172803</v>
      </c>
      <c r="I64">
        <v>0.17303040895934099</v>
      </c>
      <c r="J64">
        <v>8.9509583288622394E-2</v>
      </c>
      <c r="K64">
        <v>3.2917169493543799E-2</v>
      </c>
      <c r="L64">
        <v>2444.8866636139001</v>
      </c>
      <c r="M64">
        <v>46.338905460922199</v>
      </c>
      <c r="N64">
        <v>53.079821905598401</v>
      </c>
      <c r="O64">
        <v>52.663012833406199</v>
      </c>
      <c r="P64">
        <v>-0.19325568604340701</v>
      </c>
      <c r="Q64">
        <v>0.12147989298780699</v>
      </c>
      <c r="R64">
        <v>0.97594513338538502</v>
      </c>
      <c r="S64" t="s">
        <v>5925</v>
      </c>
      <c r="T64" t="s">
        <v>11720</v>
      </c>
      <c r="U64" t="s">
        <v>11720</v>
      </c>
      <c r="V64" t="s">
        <v>11720</v>
      </c>
      <c r="W64" t="s">
        <v>11784</v>
      </c>
      <c r="X64">
        <v>1</v>
      </c>
      <c r="Y64" t="s">
        <v>17578</v>
      </c>
      <c r="Z64" t="s">
        <v>23271</v>
      </c>
      <c r="AA64">
        <v>0.49755480746672442</v>
      </c>
      <c r="AB64" t="str">
        <f>HYPERLINK("Melting_Curves/meltCurve_A8MU21_TMEM147.pdf", "Melting_Curves/meltCurve_A8MU21_TMEM147.pdf")</f>
        <v>Melting_Curves/meltCurve_A8MU21_TMEM147.pdf</v>
      </c>
    </row>
    <row r="65" spans="1:28" x14ac:dyDescent="0.25">
      <c r="A65" t="s">
        <v>69</v>
      </c>
      <c r="B65">
        <v>0.99334974765950101</v>
      </c>
      <c r="C65">
        <v>1.0211070583087101</v>
      </c>
      <c r="D65">
        <v>0.72746281457530804</v>
      </c>
      <c r="E65">
        <v>0.74221847883604997</v>
      </c>
      <c r="F65">
        <v>0.72080506327513405</v>
      </c>
      <c r="G65">
        <v>0.56323966716749096</v>
      </c>
      <c r="H65">
        <v>0.54812085934793797</v>
      </c>
      <c r="I65">
        <v>0.70355363966818296</v>
      </c>
      <c r="J65">
        <v>0.65056555660622595</v>
      </c>
      <c r="K65">
        <v>0.55652168671968505</v>
      </c>
      <c r="L65">
        <v>882.91569550370002</v>
      </c>
      <c r="M65">
        <v>19.012118718412498</v>
      </c>
      <c r="O65">
        <v>45.9350022253617</v>
      </c>
      <c r="P65">
        <v>-3.9748299876218897E-2</v>
      </c>
      <c r="Q65">
        <v>0.61587333158070801</v>
      </c>
      <c r="R65">
        <v>0.81746008312655105</v>
      </c>
      <c r="S65" t="s">
        <v>5926</v>
      </c>
      <c r="T65" t="s">
        <v>11720</v>
      </c>
      <c r="U65" t="s">
        <v>11720</v>
      </c>
      <c r="V65" t="s">
        <v>11720</v>
      </c>
      <c r="W65" t="s">
        <v>11785</v>
      </c>
      <c r="X65">
        <v>3</v>
      </c>
      <c r="Y65" t="s">
        <v>17579</v>
      </c>
      <c r="Z65" t="s">
        <v>23272</v>
      </c>
      <c r="AA65">
        <v>0.70480096226787303</v>
      </c>
      <c r="AB65" t="str">
        <f>HYPERLINK("Melting_Curves/meltCurve_A8MUA9_SUMO3.pdf", "Melting_Curves/meltCurve_A8MUA9_SUMO3.pdf")</f>
        <v>Melting_Curves/meltCurve_A8MUA9_SUMO3.pdf</v>
      </c>
    </row>
    <row r="66" spans="1:28" x14ac:dyDescent="0.25">
      <c r="A66" t="s">
        <v>70</v>
      </c>
      <c r="B66">
        <v>0.99334974765950101</v>
      </c>
      <c r="C66">
        <v>1.0601849047801299</v>
      </c>
      <c r="D66">
        <v>1.20007247945805</v>
      </c>
      <c r="E66">
        <v>1.0737594270281401</v>
      </c>
      <c r="F66">
        <v>0.88578468514404696</v>
      </c>
      <c r="G66">
        <v>0.920410435914501</v>
      </c>
      <c r="H66">
        <v>0.50491815395274997</v>
      </c>
      <c r="I66">
        <v>0.22942871395199799</v>
      </c>
      <c r="J66">
        <v>0.168172907334775</v>
      </c>
      <c r="K66">
        <v>7.6671138265750893E-2</v>
      </c>
      <c r="L66">
        <v>1903.74347721758</v>
      </c>
      <c r="M66">
        <v>31.352004846632799</v>
      </c>
      <c r="N66">
        <v>61.093432931818697</v>
      </c>
      <c r="O66">
        <v>60.476148673264603</v>
      </c>
      <c r="P66">
        <v>-0.11834751247926301</v>
      </c>
      <c r="Q66">
        <v>8.6863785769797697E-2</v>
      </c>
      <c r="R66">
        <v>0.96113185558807601</v>
      </c>
      <c r="S66" t="s">
        <v>5927</v>
      </c>
      <c r="T66" t="s">
        <v>11720</v>
      </c>
      <c r="U66" t="s">
        <v>11720</v>
      </c>
      <c r="V66" t="s">
        <v>11720</v>
      </c>
      <c r="W66" t="s">
        <v>11786</v>
      </c>
      <c r="X66">
        <v>32</v>
      </c>
      <c r="Y66" t="s">
        <v>17580</v>
      </c>
      <c r="Z66" t="s">
        <v>23273</v>
      </c>
      <c r="AA66">
        <v>0.72254040934563712</v>
      </c>
      <c r="AB66" t="str">
        <f>HYPERLINK("Melting_Curves/meltCurve_A8MUB1_TUBA4A.pdf", "Melting_Curves/meltCurve_A8MUB1_TUBA4A.pdf")</f>
        <v>Melting_Curves/meltCurve_A8MUB1_TUBA4A.pdf</v>
      </c>
    </row>
    <row r="67" spans="1:28" x14ac:dyDescent="0.25">
      <c r="A67" t="s">
        <v>71</v>
      </c>
      <c r="B67">
        <v>0.99334974765950101</v>
      </c>
      <c r="C67">
        <v>0.947420465135699</v>
      </c>
      <c r="D67">
        <v>0.93739117576619702</v>
      </c>
      <c r="E67">
        <v>0.84661584152242197</v>
      </c>
      <c r="F67">
        <v>1.05233930861353</v>
      </c>
      <c r="G67">
        <v>0.34122044149349201</v>
      </c>
      <c r="H67">
        <v>0.214194616231519</v>
      </c>
      <c r="I67">
        <v>0.17000801322446499</v>
      </c>
      <c r="J67">
        <v>0.146689263939871</v>
      </c>
      <c r="K67">
        <v>0.11828093514107201</v>
      </c>
      <c r="L67">
        <v>14175.7056522885</v>
      </c>
      <c r="M67">
        <v>250</v>
      </c>
      <c r="N67">
        <v>56.791970672668199</v>
      </c>
      <c r="O67">
        <v>56.699214708023298</v>
      </c>
      <c r="P67">
        <v>-0.92341127395917499</v>
      </c>
      <c r="Q67">
        <v>0.16229319974627701</v>
      </c>
      <c r="R67">
        <v>0.97450231219652195</v>
      </c>
      <c r="S67" t="s">
        <v>5928</v>
      </c>
      <c r="T67" t="s">
        <v>11720</v>
      </c>
      <c r="U67" t="s">
        <v>11720</v>
      </c>
      <c r="V67" t="s">
        <v>11720</v>
      </c>
      <c r="W67" t="s">
        <v>11787</v>
      </c>
      <c r="X67">
        <v>12</v>
      </c>
      <c r="Y67" t="s">
        <v>17581</v>
      </c>
      <c r="Z67" t="s">
        <v>23274</v>
      </c>
      <c r="AA67">
        <v>0.62877883154120373</v>
      </c>
      <c r="AB67" t="str">
        <f>HYPERLINK("Melting_Curves/meltCurve_A8MUM1_TSSC1.pdf", "Melting_Curves/meltCurve_A8MUM1_TSSC1.pdf")</f>
        <v>Melting_Curves/meltCurve_A8MUM1_TSSC1.pdf</v>
      </c>
    </row>
    <row r="68" spans="1:28" x14ac:dyDescent="0.25">
      <c r="A68" t="s">
        <v>72</v>
      </c>
      <c r="B68">
        <v>0.99334974765950101</v>
      </c>
      <c r="C68">
        <v>1.0131260081598701</v>
      </c>
      <c r="D68">
        <v>1.07237791643862</v>
      </c>
      <c r="E68">
        <v>0.877781324277634</v>
      </c>
      <c r="F68">
        <v>0.98256160927349601</v>
      </c>
      <c r="G68">
        <v>0.66306848500767501</v>
      </c>
      <c r="H68">
        <v>0.68411636783474405</v>
      </c>
      <c r="I68">
        <v>0.55464806094635899</v>
      </c>
      <c r="J68">
        <v>0.60235194040578299</v>
      </c>
      <c r="K68">
        <v>0.49196962333964001</v>
      </c>
      <c r="L68">
        <v>1096.4935572675299</v>
      </c>
      <c r="M68">
        <v>19.462399759031101</v>
      </c>
      <c r="O68">
        <v>55.754390834298803</v>
      </c>
      <c r="P68">
        <v>-4.06775476376941E-2</v>
      </c>
      <c r="Q68">
        <v>0.53389721511310795</v>
      </c>
      <c r="R68">
        <v>0.91201263653991405</v>
      </c>
      <c r="S68" t="s">
        <v>5929</v>
      </c>
      <c r="T68" t="s">
        <v>11720</v>
      </c>
      <c r="U68" t="s">
        <v>11720</v>
      </c>
      <c r="V68" t="s">
        <v>11720</v>
      </c>
      <c r="W68" t="s">
        <v>11788</v>
      </c>
      <c r="X68">
        <v>4</v>
      </c>
      <c r="Y68" t="s">
        <v>17582</v>
      </c>
      <c r="Z68" t="s">
        <v>23275</v>
      </c>
      <c r="AA68">
        <v>0.79387879287212082</v>
      </c>
      <c r="AB68" t="str">
        <f>HYPERLINK("Melting_Curves/meltCurve_A8MVW0_FAM171A2.pdf", "Melting_Curves/meltCurve_A8MVW0_FAM171A2.pdf")</f>
        <v>Melting_Curves/meltCurve_A8MVW0_FAM171A2.pdf</v>
      </c>
    </row>
    <row r="69" spans="1:28" x14ac:dyDescent="0.25">
      <c r="A69" t="s">
        <v>73</v>
      </c>
      <c r="B69">
        <v>0.99334974765950101</v>
      </c>
      <c r="C69">
        <v>1.15437524192751</v>
      </c>
      <c r="D69">
        <v>1.3262045860015801</v>
      </c>
      <c r="E69">
        <v>1.4978185597204601</v>
      </c>
      <c r="F69">
        <v>1.5835086754816901</v>
      </c>
      <c r="G69">
        <v>0.96465665739476103</v>
      </c>
      <c r="H69">
        <v>0.45130610232989898</v>
      </c>
      <c r="I69">
        <v>0.43970939734599701</v>
      </c>
      <c r="J69">
        <v>0.33000167914324302</v>
      </c>
      <c r="K69">
        <v>0.27873965346187302</v>
      </c>
      <c r="L69">
        <v>3758.2439606809799</v>
      </c>
      <c r="M69">
        <v>63.138048932374701</v>
      </c>
      <c r="N69">
        <v>60.641890472245599</v>
      </c>
      <c r="O69">
        <v>59.464604314860303</v>
      </c>
      <c r="P69">
        <v>-0.17417636098001599</v>
      </c>
      <c r="Q69">
        <v>0.34382988490395899</v>
      </c>
      <c r="R69">
        <v>0.66880897010745199</v>
      </c>
      <c r="S69" t="s">
        <v>5930</v>
      </c>
      <c r="T69" t="s">
        <v>11720</v>
      </c>
      <c r="U69" t="s">
        <v>11720</v>
      </c>
      <c r="V69" t="s">
        <v>11720</v>
      </c>
      <c r="W69" t="s">
        <v>11789</v>
      </c>
      <c r="X69">
        <v>5</v>
      </c>
      <c r="Y69" t="s">
        <v>17583</v>
      </c>
      <c r="Z69" t="s">
        <v>23276</v>
      </c>
      <c r="AA69">
        <v>0.77194636664943206</v>
      </c>
      <c r="AB69" t="str">
        <f>HYPERLINK("Melting_Curves/meltCurve_A8MVZ6_BICD1.pdf", "Melting_Curves/meltCurve_A8MVZ6_BICD1.pdf")</f>
        <v>Melting_Curves/meltCurve_A8MVZ6_BICD1.pdf</v>
      </c>
    </row>
    <row r="70" spans="1:28" x14ac:dyDescent="0.25">
      <c r="A70" t="s">
        <v>74</v>
      </c>
      <c r="B70">
        <v>0.99334974765950101</v>
      </c>
      <c r="C70">
        <v>0.96485788299359998</v>
      </c>
      <c r="D70">
        <v>0.90914639981735001</v>
      </c>
      <c r="E70">
        <v>0.93101023264020499</v>
      </c>
      <c r="F70">
        <v>0.88423584327155402</v>
      </c>
      <c r="G70">
        <v>0.86098432368270095</v>
      </c>
      <c r="H70">
        <v>0.79499153623281305</v>
      </c>
      <c r="I70">
        <v>0.92533304666965699</v>
      </c>
      <c r="J70">
        <v>0.80603008357343098</v>
      </c>
      <c r="K70">
        <v>0.60391306106207199</v>
      </c>
      <c r="L70">
        <v>295.46297351855299</v>
      </c>
      <c r="M70">
        <v>3.2921084880124898</v>
      </c>
      <c r="O70">
        <v>68.715462689528394</v>
      </c>
      <c r="P70">
        <v>-1.22589882024667E-2</v>
      </c>
      <c r="Q70">
        <v>0</v>
      </c>
      <c r="R70">
        <v>0.66526803398797696</v>
      </c>
      <c r="S70" t="s">
        <v>5931</v>
      </c>
      <c r="T70" t="s">
        <v>11720</v>
      </c>
      <c r="U70" t="s">
        <v>11720</v>
      </c>
      <c r="V70" t="s">
        <v>11720</v>
      </c>
      <c r="W70" t="s">
        <v>11790</v>
      </c>
      <c r="X70">
        <v>3</v>
      </c>
      <c r="Y70" t="s">
        <v>17584</v>
      </c>
      <c r="Z70" t="s">
        <v>23277</v>
      </c>
      <c r="AA70">
        <v>0.87548016926621341</v>
      </c>
      <c r="AB70" t="str">
        <f>HYPERLINK("Melting_Curves/meltCurve_A8MWK3_CDH2.pdf", "Melting_Curves/meltCurve_A8MWK3_CDH2.pdf")</f>
        <v>Melting_Curves/meltCurve_A8MWK3_CDH2.pdf</v>
      </c>
    </row>
    <row r="71" spans="1:28" x14ac:dyDescent="0.25">
      <c r="A71" t="s">
        <v>75</v>
      </c>
      <c r="B71">
        <v>0.99334974765950101</v>
      </c>
      <c r="C71">
        <v>1.0217090933186601</v>
      </c>
      <c r="D71">
        <v>0.83799212064957795</v>
      </c>
      <c r="E71">
        <v>0.81710828416451298</v>
      </c>
      <c r="F71">
        <v>0.76805441246611506</v>
      </c>
      <c r="G71">
        <v>0.55018732854003705</v>
      </c>
      <c r="H71">
        <v>0.489936260679183</v>
      </c>
      <c r="I71">
        <v>0.19060405660705201</v>
      </c>
      <c r="J71">
        <v>0.47224673291181302</v>
      </c>
      <c r="K71">
        <v>0.273960380098204</v>
      </c>
      <c r="L71">
        <v>596.65983156211996</v>
      </c>
      <c r="M71">
        <v>10.7088469466647</v>
      </c>
      <c r="N71">
        <v>58.847961128495399</v>
      </c>
      <c r="O71">
        <v>53.8790627707941</v>
      </c>
      <c r="P71">
        <v>-3.8911687858915397E-2</v>
      </c>
      <c r="Q71">
        <v>0.21719253962190399</v>
      </c>
      <c r="R71">
        <v>0.90538521667721295</v>
      </c>
      <c r="S71" t="s">
        <v>5932</v>
      </c>
      <c r="T71" t="s">
        <v>11720</v>
      </c>
      <c r="U71" t="s">
        <v>11720</v>
      </c>
      <c r="V71" t="s">
        <v>11720</v>
      </c>
      <c r="W71" t="s">
        <v>11791</v>
      </c>
      <c r="X71">
        <v>1</v>
      </c>
      <c r="Y71" t="s">
        <v>17585</v>
      </c>
      <c r="Z71" t="s">
        <v>23278</v>
      </c>
      <c r="AA71">
        <v>0.64468382304310612</v>
      </c>
      <c r="AB71" t="str">
        <f>HYPERLINK("Melting_Curves/meltCurve_A8MXE8_RAI1.pdf", "Melting_Curves/meltCurve_A8MXE8_RAI1.pdf")</f>
        <v>Melting_Curves/meltCurve_A8MXE8_RAI1.pdf</v>
      </c>
    </row>
    <row r="72" spans="1:28" x14ac:dyDescent="0.25">
      <c r="A72" t="s">
        <v>76</v>
      </c>
      <c r="B72">
        <v>0.99334974765950101</v>
      </c>
      <c r="C72">
        <v>0.99335381852212601</v>
      </c>
      <c r="D72">
        <v>0.908368638143355</v>
      </c>
      <c r="E72">
        <v>0.72088513470731097</v>
      </c>
      <c r="F72">
        <v>0.32495268051542198</v>
      </c>
      <c r="G72">
        <v>0.15047583875982101</v>
      </c>
      <c r="H72">
        <v>9.8380126954442607E-2</v>
      </c>
      <c r="I72">
        <v>8.2388153221680305E-2</v>
      </c>
      <c r="J72">
        <v>5.9400646733211299E-2</v>
      </c>
      <c r="K72">
        <v>5.3451488735279898E-2</v>
      </c>
      <c r="L72">
        <v>1323.4258054028801</v>
      </c>
      <c r="M72">
        <v>25.779924592404001</v>
      </c>
      <c r="N72">
        <v>51.627803864027698</v>
      </c>
      <c r="O72">
        <v>51.029613992669802</v>
      </c>
      <c r="P72">
        <v>-0.117724277749695</v>
      </c>
      <c r="Q72">
        <v>6.7902169979191906E-2</v>
      </c>
      <c r="R72">
        <v>0.99669381324286699</v>
      </c>
      <c r="S72" t="s">
        <v>5933</v>
      </c>
      <c r="T72" t="s">
        <v>11720</v>
      </c>
      <c r="U72" t="s">
        <v>11720</v>
      </c>
      <c r="V72" t="s">
        <v>11720</v>
      </c>
      <c r="W72" t="s">
        <v>11792</v>
      </c>
      <c r="X72">
        <v>8</v>
      </c>
      <c r="Y72" t="s">
        <v>17586</v>
      </c>
      <c r="Z72" t="s">
        <v>23279</v>
      </c>
      <c r="AA72">
        <v>0.42805363906119259</v>
      </c>
      <c r="AB72" t="str">
        <f>HYPERLINK("Melting_Curves/meltCurve_A8MXV4_NUDT19.pdf", "Melting_Curves/meltCurve_A8MXV4_NUDT19.pdf")</f>
        <v>Melting_Curves/meltCurve_A8MXV4_NUDT19.pdf</v>
      </c>
    </row>
    <row r="73" spans="1:28" x14ac:dyDescent="0.25">
      <c r="A73" t="s">
        <v>77</v>
      </c>
      <c r="B73">
        <v>0.99334974765950101</v>
      </c>
      <c r="C73">
        <v>0.92999150420661703</v>
      </c>
      <c r="D73">
        <v>0.77311837768935598</v>
      </c>
      <c r="E73">
        <v>0.62901366239055201</v>
      </c>
      <c r="F73">
        <v>0.34131924372475703</v>
      </c>
      <c r="G73">
        <v>0.11155516123541399</v>
      </c>
      <c r="H73">
        <v>6.6498587996367403E-2</v>
      </c>
      <c r="I73">
        <v>5.0093094554742298E-2</v>
      </c>
      <c r="J73">
        <v>5.24864291566986E-2</v>
      </c>
      <c r="K73">
        <v>3.6215176628748499E-2</v>
      </c>
      <c r="L73">
        <v>783.167773988318</v>
      </c>
      <c r="M73">
        <v>15.4332920910194</v>
      </c>
      <c r="N73">
        <v>50.800549042196501</v>
      </c>
      <c r="O73">
        <v>49.916261431653297</v>
      </c>
      <c r="P73">
        <v>-7.6660355518241102E-2</v>
      </c>
      <c r="Q73">
        <v>8.3120073107659093E-3</v>
      </c>
      <c r="R73">
        <v>0.99155936455954297</v>
      </c>
      <c r="S73" t="s">
        <v>5934</v>
      </c>
      <c r="T73" t="s">
        <v>11720</v>
      </c>
      <c r="U73" t="s">
        <v>11720</v>
      </c>
      <c r="V73" t="s">
        <v>11720</v>
      </c>
      <c r="W73" t="s">
        <v>11793</v>
      </c>
      <c r="X73">
        <v>12</v>
      </c>
      <c r="Y73" t="s">
        <v>17587</v>
      </c>
      <c r="Z73" t="s">
        <v>23280</v>
      </c>
      <c r="AA73">
        <v>0.38552066393740619</v>
      </c>
      <c r="AB73" t="str">
        <f>HYPERLINK("Melting_Curves/meltCurve_A8MYQ9_RAB34.pdf", "Melting_Curves/meltCurve_A8MYQ9_RAB34.pdf")</f>
        <v>Melting_Curves/meltCurve_A8MYQ9_RAB34.pdf</v>
      </c>
    </row>
    <row r="74" spans="1:28" x14ac:dyDescent="0.25">
      <c r="A74" t="s">
        <v>78</v>
      </c>
      <c r="B74">
        <v>0.99334974765950101</v>
      </c>
      <c r="C74">
        <v>0.985668215492982</v>
      </c>
      <c r="D74">
        <v>0.692845415869623</v>
      </c>
      <c r="E74">
        <v>0.62032853033037005</v>
      </c>
      <c r="F74">
        <v>0.54110747077254695</v>
      </c>
      <c r="G74">
        <v>0.337862576809563</v>
      </c>
      <c r="H74">
        <v>0.31474343767493101</v>
      </c>
      <c r="I74">
        <v>0.294337454934336</v>
      </c>
      <c r="J74">
        <v>0.239830808924137</v>
      </c>
      <c r="K74">
        <v>0.14247191266967801</v>
      </c>
      <c r="L74">
        <v>516.34416400359203</v>
      </c>
      <c r="M74">
        <v>10.0859058074837</v>
      </c>
      <c r="N74">
        <v>53.077914154411303</v>
      </c>
      <c r="O74">
        <v>49.304288605436497</v>
      </c>
      <c r="P74">
        <v>-4.3469145820712297E-2</v>
      </c>
      <c r="Q74">
        <v>0.15041574508265501</v>
      </c>
      <c r="R74">
        <v>0.96419660328535295</v>
      </c>
      <c r="S74" t="s">
        <v>5935</v>
      </c>
      <c r="T74" t="s">
        <v>11720</v>
      </c>
      <c r="U74" t="s">
        <v>11720</v>
      </c>
      <c r="V74" t="s">
        <v>11720</v>
      </c>
      <c r="W74" t="s">
        <v>11794</v>
      </c>
      <c r="X74">
        <v>6</v>
      </c>
      <c r="Y74" t="s">
        <v>17588</v>
      </c>
      <c r="Z74" t="s">
        <v>23281</v>
      </c>
      <c r="AA74">
        <v>0.50182333133655088</v>
      </c>
      <c r="AB74" t="str">
        <f>HYPERLINK("Melting_Curves/meltCurve_A8MYT4_PIK3C3.pdf", "Melting_Curves/meltCurve_A8MYT4_PIK3C3.pdf")</f>
        <v>Melting_Curves/meltCurve_A8MYT4_PIK3C3.pdf</v>
      </c>
    </row>
    <row r="75" spans="1:28" x14ac:dyDescent="0.25">
      <c r="A75" t="s">
        <v>79</v>
      </c>
      <c r="B75">
        <v>0.99334974765950101</v>
      </c>
      <c r="C75">
        <v>0.98591244272503598</v>
      </c>
      <c r="D75">
        <v>0.97531006572483203</v>
      </c>
      <c r="E75">
        <v>0.71993539545212604</v>
      </c>
      <c r="F75">
        <v>0.82265029443974502</v>
      </c>
      <c r="G75">
        <v>0.62544388428203002</v>
      </c>
      <c r="H75">
        <v>0.66944799851612902</v>
      </c>
      <c r="I75">
        <v>0.76311496680606505</v>
      </c>
      <c r="J75">
        <v>0.62049606547560998</v>
      </c>
      <c r="K75">
        <v>0.549862147632874</v>
      </c>
      <c r="L75">
        <v>808.46579926404695</v>
      </c>
      <c r="M75">
        <v>16.217289330929201</v>
      </c>
      <c r="O75">
        <v>49.112561851591899</v>
      </c>
      <c r="P75">
        <v>-3.0080423001195102E-2</v>
      </c>
      <c r="Q75">
        <v>0.63564398002631495</v>
      </c>
      <c r="R75">
        <v>0.82088563818259297</v>
      </c>
      <c r="S75" t="s">
        <v>5936</v>
      </c>
      <c r="T75" t="s">
        <v>11720</v>
      </c>
      <c r="U75" t="s">
        <v>11720</v>
      </c>
      <c r="V75" t="s">
        <v>11720</v>
      </c>
      <c r="W75" t="s">
        <v>11795</v>
      </c>
      <c r="X75">
        <v>2</v>
      </c>
      <c r="Y75" t="s">
        <v>17589</v>
      </c>
      <c r="Z75" t="s">
        <v>23282</v>
      </c>
      <c r="AA75">
        <v>0.76287518396726139</v>
      </c>
      <c r="AB75" t="str">
        <f>HYPERLINK("Melting_Curves/meltCurve_A8MZ54_STX1A.pdf", "Melting_Curves/meltCurve_A8MZ54_STX1A.pdf")</f>
        <v>Melting_Curves/meltCurve_A8MZ54_STX1A.pdf</v>
      </c>
    </row>
    <row r="76" spans="1:28" x14ac:dyDescent="0.25">
      <c r="A76" t="s">
        <v>80</v>
      </c>
      <c r="B76">
        <v>0.99334974765950101</v>
      </c>
      <c r="C76">
        <v>1.12330911024601</v>
      </c>
      <c r="D76">
        <v>1.0609848529360899</v>
      </c>
      <c r="E76">
        <v>1.0730133303742699</v>
      </c>
      <c r="F76">
        <v>1.05072835201913</v>
      </c>
      <c r="G76">
        <v>0.39983787016432398</v>
      </c>
      <c r="H76">
        <v>0.20745700054217101</v>
      </c>
      <c r="I76">
        <v>0.17131183813607201</v>
      </c>
      <c r="J76">
        <v>0.135132261761119</v>
      </c>
      <c r="K76">
        <v>0.115735320262927</v>
      </c>
      <c r="L76">
        <v>11328.1253427555</v>
      </c>
      <c r="M76">
        <v>199.64552964279099</v>
      </c>
      <c r="N76">
        <v>56.848854405495501</v>
      </c>
      <c r="O76">
        <v>56.735493995092803</v>
      </c>
      <c r="P76">
        <v>-0.74124473040442296</v>
      </c>
      <c r="Q76">
        <v>0.15740884556937401</v>
      </c>
      <c r="R76">
        <v>0.98313309068949295</v>
      </c>
      <c r="S76" t="s">
        <v>5937</v>
      </c>
      <c r="T76" t="s">
        <v>11720</v>
      </c>
      <c r="U76" t="s">
        <v>11720</v>
      </c>
      <c r="V76" t="s">
        <v>11720</v>
      </c>
      <c r="W76" t="s">
        <v>11796</v>
      </c>
      <c r="X76">
        <v>4</v>
      </c>
      <c r="Y76" t="s">
        <v>17590</v>
      </c>
      <c r="Z76" t="s">
        <v>23283</v>
      </c>
      <c r="AA76">
        <v>0.62773977486876198</v>
      </c>
      <c r="AB76" t="str">
        <f>HYPERLINK("Melting_Curves/meltCurve_A9UHW6_MIF4GD.pdf", "Melting_Curves/meltCurve_A9UHW6_MIF4GD.pdf")</f>
        <v>Melting_Curves/meltCurve_A9UHW6_MIF4GD.pdf</v>
      </c>
    </row>
    <row r="77" spans="1:28" x14ac:dyDescent="0.25">
      <c r="A77" t="s">
        <v>81</v>
      </c>
      <c r="B77">
        <v>0.99334974765950101</v>
      </c>
      <c r="C77">
        <v>1.2800799545588399</v>
      </c>
      <c r="D77">
        <v>1.0141480006513299</v>
      </c>
      <c r="E77">
        <v>0.99550486094649504</v>
      </c>
      <c r="F77">
        <v>0.77142879542097498</v>
      </c>
      <c r="G77">
        <v>0.41390487969684903</v>
      </c>
      <c r="H77">
        <v>0.33618144643630399</v>
      </c>
      <c r="I77">
        <v>0.247671725784913</v>
      </c>
      <c r="J77">
        <v>0.26202333502523401</v>
      </c>
      <c r="K77">
        <v>0.28119656445464702</v>
      </c>
      <c r="L77">
        <v>1752.37824972519</v>
      </c>
      <c r="M77">
        <v>32.189719289997797</v>
      </c>
      <c r="N77">
        <v>55.813890497313302</v>
      </c>
      <c r="O77">
        <v>54.230256177552</v>
      </c>
      <c r="P77">
        <v>-0.107773719001969</v>
      </c>
      <c r="Q77">
        <v>0.27373489448052102</v>
      </c>
      <c r="R77">
        <v>0.93990067539327204</v>
      </c>
      <c r="S77" t="s">
        <v>5938</v>
      </c>
      <c r="T77" t="s">
        <v>11720</v>
      </c>
      <c r="U77" t="s">
        <v>11720</v>
      </c>
      <c r="V77" t="s">
        <v>11720</v>
      </c>
      <c r="W77" t="s">
        <v>11797</v>
      </c>
      <c r="X77">
        <v>4</v>
      </c>
      <c r="Y77" t="s">
        <v>17591</v>
      </c>
      <c r="Z77" t="s">
        <v>23284</v>
      </c>
      <c r="AA77">
        <v>0.62747238043281939</v>
      </c>
      <c r="AB77" t="str">
        <f>HYPERLINK("Melting_Curves/meltCurve_A9Z1X7_SRRM1.pdf", "Melting_Curves/meltCurve_A9Z1X7_SRRM1.pdf")</f>
        <v>Melting_Curves/meltCurve_A9Z1X7_SRRM1.pdf</v>
      </c>
    </row>
    <row r="78" spans="1:28" x14ac:dyDescent="0.25">
      <c r="A78" t="s">
        <v>82</v>
      </c>
      <c r="B78">
        <v>0.99334974765950101</v>
      </c>
      <c r="C78">
        <v>0.95552054105950102</v>
      </c>
      <c r="D78">
        <v>0.916717432790364</v>
      </c>
      <c r="E78">
        <v>0.73299962332235302</v>
      </c>
      <c r="F78">
        <v>0.78208427219510002</v>
      </c>
      <c r="G78">
        <v>0.23437071507128099</v>
      </c>
      <c r="H78">
        <v>0.20338787243590201</v>
      </c>
      <c r="I78">
        <v>0.155985616520295</v>
      </c>
      <c r="J78">
        <v>0.19870401987735001</v>
      </c>
      <c r="K78">
        <v>0.156101689060862</v>
      </c>
      <c r="L78">
        <v>1092.5510511407099</v>
      </c>
      <c r="M78">
        <v>20.339257237252198</v>
      </c>
      <c r="N78">
        <v>54.583924272614198</v>
      </c>
      <c r="O78">
        <v>53.205193628703398</v>
      </c>
      <c r="P78">
        <v>-8.2373120247949405E-2</v>
      </c>
      <c r="Q78">
        <v>0.13811123392793301</v>
      </c>
      <c r="R78">
        <v>0.95555475503006504</v>
      </c>
      <c r="S78" t="s">
        <v>5939</v>
      </c>
      <c r="T78" t="s">
        <v>11720</v>
      </c>
      <c r="U78" t="s">
        <v>11720</v>
      </c>
      <c r="V78" t="s">
        <v>11720</v>
      </c>
      <c r="W78" t="s">
        <v>11798</v>
      </c>
      <c r="X78">
        <v>1</v>
      </c>
      <c r="Y78" t="s">
        <v>17592</v>
      </c>
      <c r="Z78" t="s">
        <v>23285</v>
      </c>
      <c r="AA78">
        <v>0.54361834529743069</v>
      </c>
      <c r="AB78" t="str">
        <f>HYPERLINK("Melting_Curves/meltCurve_B0FLL2_PFKFB2.pdf", "Melting_Curves/meltCurve_B0FLL2_PFKFB2.pdf")</f>
        <v>Melting_Curves/meltCurve_B0FLL2_PFKFB2.pdf</v>
      </c>
    </row>
    <row r="79" spans="1:28" x14ac:dyDescent="0.25">
      <c r="A79" t="s">
        <v>83</v>
      </c>
      <c r="B79">
        <v>0.99334974765950101</v>
      </c>
      <c r="C79">
        <v>1.13498312733739</v>
      </c>
      <c r="D79">
        <v>1.7427935460306601</v>
      </c>
      <c r="E79">
        <v>5.2340657219148401</v>
      </c>
      <c r="F79">
        <v>1.7154163162074101</v>
      </c>
      <c r="G79">
        <v>0.450009623442854</v>
      </c>
      <c r="H79">
        <v>0.29789157791663801</v>
      </c>
      <c r="I79">
        <v>0.25871549277513101</v>
      </c>
      <c r="J79">
        <v>0.241443369801738</v>
      </c>
      <c r="K79">
        <v>0.23415371225955101</v>
      </c>
      <c r="L79">
        <v>14190.000625115499</v>
      </c>
      <c r="M79">
        <v>250</v>
      </c>
      <c r="N79">
        <v>56.925287071405798</v>
      </c>
      <c r="O79">
        <v>56.7563702573486</v>
      </c>
      <c r="P79">
        <v>-0.81703267972374904</v>
      </c>
      <c r="Q79">
        <v>0.25805105261443301</v>
      </c>
      <c r="R79">
        <v>9.4070806487727393E-2</v>
      </c>
      <c r="S79" t="s">
        <v>5940</v>
      </c>
      <c r="T79" t="s">
        <v>11720</v>
      </c>
      <c r="U79" t="s">
        <v>11720</v>
      </c>
      <c r="V79" t="s">
        <v>11720</v>
      </c>
      <c r="W79" t="s">
        <v>11799</v>
      </c>
      <c r="X79">
        <v>17</v>
      </c>
      <c r="Y79" t="s">
        <v>17593</v>
      </c>
      <c r="Z79" t="s">
        <v>23286</v>
      </c>
      <c r="AA79">
        <v>0.6726271674295623</v>
      </c>
      <c r="AB79" t="str">
        <f>HYPERLINK("Melting_Curves/meltCurve_B0QY89_EIF3L.pdf", "Melting_Curves/meltCurve_B0QY89_EIF3L.pdf")</f>
        <v>Melting_Curves/meltCurve_B0QY89_EIF3L.pdf</v>
      </c>
    </row>
    <row r="80" spans="1:28" x14ac:dyDescent="0.25">
      <c r="A80" t="s">
        <v>84</v>
      </c>
      <c r="B80">
        <v>0.99334974765950101</v>
      </c>
      <c r="C80">
        <v>0.94243000481691996</v>
      </c>
      <c r="D80">
        <v>0.78265045832094704</v>
      </c>
      <c r="E80">
        <v>0.58876436205235805</v>
      </c>
      <c r="F80">
        <v>0.36153356936493503</v>
      </c>
      <c r="G80">
        <v>0.185970558678315</v>
      </c>
      <c r="H80">
        <v>0.14424333018177199</v>
      </c>
      <c r="I80">
        <v>0.1235838605992</v>
      </c>
      <c r="J80">
        <v>0.128132188700321</v>
      </c>
      <c r="K80">
        <v>8.2097019210017497E-2</v>
      </c>
      <c r="L80">
        <v>761.184565762783</v>
      </c>
      <c r="M80">
        <v>15.1672886124045</v>
      </c>
      <c r="N80">
        <v>50.804159994251201</v>
      </c>
      <c r="O80">
        <v>49.337778603299</v>
      </c>
      <c r="P80">
        <v>-7.0384770734901805E-2</v>
      </c>
      <c r="Q80">
        <v>8.42679927553735E-2</v>
      </c>
      <c r="R80">
        <v>0.99660138624129002</v>
      </c>
      <c r="S80" t="s">
        <v>5941</v>
      </c>
      <c r="T80" t="s">
        <v>11720</v>
      </c>
      <c r="U80" t="s">
        <v>11720</v>
      </c>
      <c r="V80" t="s">
        <v>11720</v>
      </c>
      <c r="W80" t="s">
        <v>11800</v>
      </c>
      <c r="X80">
        <v>11</v>
      </c>
      <c r="Y80" t="s">
        <v>17594</v>
      </c>
      <c r="Z80" t="s">
        <v>23287</v>
      </c>
      <c r="AA80">
        <v>0.41647636316215009</v>
      </c>
      <c r="AB80" t="str">
        <f>HYPERLINK("Melting_Curves/meltCurve_B0QY95_SMCR7L.pdf", "Melting_Curves/meltCurve_B0QY95_SMCR7L.pdf")</f>
        <v>Melting_Curves/meltCurve_B0QY95_SMCR7L.pdf</v>
      </c>
    </row>
    <row r="81" spans="1:28" x14ac:dyDescent="0.25">
      <c r="A81" t="s">
        <v>85</v>
      </c>
      <c r="B81">
        <v>0.99334974765950101</v>
      </c>
      <c r="C81">
        <v>0.97723827737768998</v>
      </c>
      <c r="D81">
        <v>0.89854567263852603</v>
      </c>
      <c r="E81">
        <v>0.79110449517529002</v>
      </c>
      <c r="F81">
        <v>0.65038067348374096</v>
      </c>
      <c r="G81">
        <v>0.51759018882222396</v>
      </c>
      <c r="H81">
        <v>0.18054442771542401</v>
      </c>
      <c r="I81">
        <v>0.104665989514521</v>
      </c>
      <c r="J81">
        <v>9.0381125063624904E-2</v>
      </c>
      <c r="K81">
        <v>7.6004889326887898E-2</v>
      </c>
      <c r="L81">
        <v>735.740719384523</v>
      </c>
      <c r="M81">
        <v>13.227681317502</v>
      </c>
      <c r="N81">
        <v>55.621297388275302</v>
      </c>
      <c r="O81">
        <v>54.396157768309202</v>
      </c>
      <c r="P81">
        <v>-6.0803308697690697E-2</v>
      </c>
      <c r="Q81">
        <v>0</v>
      </c>
      <c r="R81">
        <v>0.98696564885690796</v>
      </c>
      <c r="S81" t="s">
        <v>5942</v>
      </c>
      <c r="T81" t="s">
        <v>11720</v>
      </c>
      <c r="U81" t="s">
        <v>11720</v>
      </c>
      <c r="V81" t="s">
        <v>11720</v>
      </c>
      <c r="W81" t="s">
        <v>11801</v>
      </c>
      <c r="X81">
        <v>12</v>
      </c>
      <c r="Y81" t="s">
        <v>17595</v>
      </c>
      <c r="Z81" t="s">
        <v>23288</v>
      </c>
      <c r="AA81">
        <v>0.54106743362577536</v>
      </c>
      <c r="AB81" t="str">
        <f>HYPERLINK("Melting_Curves/meltCurve_B0QYI3_TBC1D22A.pdf", "Melting_Curves/meltCurve_B0QYI3_TBC1D22A.pdf")</f>
        <v>Melting_Curves/meltCurve_B0QYI3_TBC1D22A.pdf</v>
      </c>
    </row>
    <row r="82" spans="1:28" x14ac:dyDescent="0.25">
      <c r="A82" t="s">
        <v>86</v>
      </c>
      <c r="B82">
        <v>0.99334974765950101</v>
      </c>
      <c r="C82">
        <v>1.07062731635158</v>
      </c>
      <c r="D82">
        <v>0.93697878639560395</v>
      </c>
      <c r="E82">
        <v>0.761984502185588</v>
      </c>
      <c r="F82">
        <v>0.63008925405022997</v>
      </c>
      <c r="G82">
        <v>0.42001703583783701</v>
      </c>
      <c r="H82">
        <v>0.39745846133812401</v>
      </c>
      <c r="I82">
        <v>0.52439355642976204</v>
      </c>
      <c r="J82">
        <v>0.36970753554323199</v>
      </c>
      <c r="K82">
        <v>0.41965830796327003</v>
      </c>
      <c r="L82">
        <v>1171.5852370423399</v>
      </c>
      <c r="M82">
        <v>22.939501617720499</v>
      </c>
      <c r="N82">
        <v>55.391196777012297</v>
      </c>
      <c r="O82">
        <v>50.689432647897497</v>
      </c>
      <c r="P82">
        <v>-6.6029850501162099E-2</v>
      </c>
      <c r="Q82">
        <v>0.41638598082964701</v>
      </c>
      <c r="R82">
        <v>0.96302324275069595</v>
      </c>
      <c r="S82" t="s">
        <v>5943</v>
      </c>
      <c r="T82" t="s">
        <v>11720</v>
      </c>
      <c r="U82" t="s">
        <v>11720</v>
      </c>
      <c r="V82" t="s">
        <v>11720</v>
      </c>
      <c r="W82" t="s">
        <v>11802</v>
      </c>
      <c r="X82">
        <v>6</v>
      </c>
      <c r="Y82" t="s">
        <v>17596</v>
      </c>
      <c r="Z82" t="s">
        <v>23289</v>
      </c>
      <c r="AA82">
        <v>0.63803476284923377</v>
      </c>
      <c r="AB82" t="str">
        <f>HYPERLINK("Melting_Curves/meltCurve_B0QYK0_EWSR1.pdf", "Melting_Curves/meltCurve_B0QYK0_EWSR1.pdf")</f>
        <v>Melting_Curves/meltCurve_B0QYK0_EWSR1.pdf</v>
      </c>
    </row>
    <row r="83" spans="1:28" x14ac:dyDescent="0.25">
      <c r="A83" t="s">
        <v>87</v>
      </c>
      <c r="B83">
        <v>0.99334974765950101</v>
      </c>
      <c r="C83">
        <v>0.97884661066299605</v>
      </c>
      <c r="D83">
        <v>0.88399511880349002</v>
      </c>
      <c r="E83">
        <v>0.650048403512277</v>
      </c>
      <c r="F83">
        <v>0.204088723681708</v>
      </c>
      <c r="G83">
        <v>0.115554151243563</v>
      </c>
      <c r="H83">
        <v>7.8134641310455902E-2</v>
      </c>
      <c r="I83">
        <v>5.3975246086250803E-2</v>
      </c>
      <c r="J83">
        <v>5.0343126863019901E-2</v>
      </c>
      <c r="K83">
        <v>3.81835487083928E-2</v>
      </c>
      <c r="L83">
        <v>1489.9828744209001</v>
      </c>
      <c r="M83">
        <v>29.4492804737718</v>
      </c>
      <c r="N83">
        <v>50.791321020569498</v>
      </c>
      <c r="O83">
        <v>50.363298042082199</v>
      </c>
      <c r="P83">
        <v>-0.138316945442824</v>
      </c>
      <c r="Q83">
        <v>5.38241253760307E-2</v>
      </c>
      <c r="R83">
        <v>0.99349133282811197</v>
      </c>
      <c r="S83" t="s">
        <v>5944</v>
      </c>
      <c r="T83" t="s">
        <v>11720</v>
      </c>
      <c r="U83" t="s">
        <v>11720</v>
      </c>
      <c r="V83" t="s">
        <v>11720</v>
      </c>
      <c r="W83" t="s">
        <v>11803</v>
      </c>
      <c r="X83">
        <v>22</v>
      </c>
      <c r="Y83" t="s">
        <v>17597</v>
      </c>
      <c r="Z83" t="s">
        <v>23290</v>
      </c>
      <c r="AA83">
        <v>0.39411195598648791</v>
      </c>
      <c r="AB83" t="str">
        <f>HYPERLINK("Melting_Curves/meltCurve_B0QZ18_CPNE1.pdf", "Melting_Curves/meltCurve_B0QZ18_CPNE1.pdf")</f>
        <v>Melting_Curves/meltCurve_B0QZ18_CPNE1.pdf</v>
      </c>
    </row>
    <row r="84" spans="1:28" x14ac:dyDescent="0.25">
      <c r="A84" t="s">
        <v>88</v>
      </c>
      <c r="B84">
        <v>0.99334974765950101</v>
      </c>
      <c r="C84">
        <v>1.01679752626831</v>
      </c>
      <c r="D84">
        <v>0.82801143168548197</v>
      </c>
      <c r="E84">
        <v>0.61850585767296595</v>
      </c>
      <c r="F84">
        <v>0.86173119532166997</v>
      </c>
      <c r="G84">
        <v>0.70769486054668596</v>
      </c>
      <c r="H84">
        <v>0.73031940165452802</v>
      </c>
      <c r="I84">
        <v>0.68070367697675604</v>
      </c>
      <c r="J84">
        <v>0.62382113761367797</v>
      </c>
      <c r="K84">
        <v>0.58157452943417298</v>
      </c>
      <c r="L84">
        <v>11491.081156640301</v>
      </c>
      <c r="M84">
        <v>250</v>
      </c>
      <c r="O84">
        <v>45.9613833603714</v>
      </c>
      <c r="P84">
        <v>-0.426532245635447</v>
      </c>
      <c r="Q84">
        <v>0.68633580844664999</v>
      </c>
      <c r="R84">
        <v>0.75407368542074305</v>
      </c>
      <c r="S84" t="s">
        <v>5945</v>
      </c>
      <c r="T84" t="s">
        <v>11720</v>
      </c>
      <c r="U84" t="s">
        <v>11720</v>
      </c>
      <c r="V84" t="s">
        <v>11720</v>
      </c>
      <c r="W84" t="s">
        <v>11804</v>
      </c>
      <c r="X84">
        <v>1</v>
      </c>
      <c r="Y84" t="s">
        <v>17598</v>
      </c>
      <c r="Z84" t="s">
        <v>23291</v>
      </c>
      <c r="AA84">
        <v>0.74872094609891582</v>
      </c>
      <c r="AB84" t="str">
        <f>HYPERLINK("Melting_Curves/meltCurve_B0QZK9_HP1BP3.pdf", "Melting_Curves/meltCurve_B0QZK9_HP1BP3.pdf")</f>
        <v>Melting_Curves/meltCurve_B0QZK9_HP1BP3.pdf</v>
      </c>
    </row>
    <row r="85" spans="1:28" x14ac:dyDescent="0.25">
      <c r="A85" t="s">
        <v>89</v>
      </c>
      <c r="B85">
        <v>0.99334974765950101</v>
      </c>
      <c r="C85">
        <v>0.99158112732765502</v>
      </c>
      <c r="D85">
        <v>1.09206124459779</v>
      </c>
      <c r="E85">
        <v>0.91062699211592002</v>
      </c>
      <c r="F85">
        <v>0.45627615757233098</v>
      </c>
      <c r="G85">
        <v>0.25602134441015401</v>
      </c>
      <c r="H85">
        <v>0.17885950196046899</v>
      </c>
      <c r="I85">
        <v>0.16078327957692301</v>
      </c>
      <c r="J85">
        <v>0.133020050679308</v>
      </c>
      <c r="K85">
        <v>9.6564095275109799E-2</v>
      </c>
      <c r="L85">
        <v>2126.86989586242</v>
      </c>
      <c r="M85">
        <v>40.617545770632098</v>
      </c>
      <c r="N85">
        <v>52.849415636738499</v>
      </c>
      <c r="O85">
        <v>52.236880328853601</v>
      </c>
      <c r="P85">
        <v>-0.16409206238493601</v>
      </c>
      <c r="Q85">
        <v>0.15586816250212901</v>
      </c>
      <c r="R85">
        <v>0.98770870222501606</v>
      </c>
      <c r="S85" t="s">
        <v>5946</v>
      </c>
      <c r="T85" t="s">
        <v>11720</v>
      </c>
      <c r="U85" t="s">
        <v>11720</v>
      </c>
      <c r="V85" t="s">
        <v>11720</v>
      </c>
      <c r="W85" t="s">
        <v>11805</v>
      </c>
      <c r="X85">
        <v>21</v>
      </c>
      <c r="Y85" t="s">
        <v>17599</v>
      </c>
      <c r="Z85" t="s">
        <v>23292</v>
      </c>
      <c r="AA85">
        <v>0.50670490581496197</v>
      </c>
      <c r="AB85" t="str">
        <f>HYPERLINK("Melting_Curves/meltCurve_B0UX83_BAG6.pdf", "Melting_Curves/meltCurve_B0UX83_BAG6.pdf")</f>
        <v>Melting_Curves/meltCurve_B0UX83_BAG6.pdf</v>
      </c>
    </row>
    <row r="86" spans="1:28" x14ac:dyDescent="0.25">
      <c r="A86" t="s">
        <v>90</v>
      </c>
      <c r="B86">
        <v>0.99334974765950101</v>
      </c>
      <c r="C86">
        <v>0.91801787718823402</v>
      </c>
      <c r="D86">
        <v>0.848457408719275</v>
      </c>
      <c r="E86">
        <v>0.64230882057865701</v>
      </c>
      <c r="F86">
        <v>0.28250138940449698</v>
      </c>
      <c r="G86">
        <v>0.176585442517252</v>
      </c>
      <c r="H86">
        <v>0.14570098347997401</v>
      </c>
      <c r="I86">
        <v>0.135536510876831</v>
      </c>
      <c r="J86">
        <v>0.12378211268629</v>
      </c>
      <c r="K86">
        <v>9.3981688514669301E-2</v>
      </c>
      <c r="L86">
        <v>1007.39821317476</v>
      </c>
      <c r="M86">
        <v>20.044978807288299</v>
      </c>
      <c r="N86">
        <v>50.8684010235906</v>
      </c>
      <c r="O86">
        <v>49.764715461578803</v>
      </c>
      <c r="P86">
        <v>-8.9920124756372899E-2</v>
      </c>
      <c r="Q86">
        <v>0.107067138017602</v>
      </c>
      <c r="R86">
        <v>0.98990567248044203</v>
      </c>
      <c r="S86" t="s">
        <v>5947</v>
      </c>
      <c r="T86" t="s">
        <v>11720</v>
      </c>
      <c r="U86" t="s">
        <v>11720</v>
      </c>
      <c r="V86" t="s">
        <v>11720</v>
      </c>
      <c r="W86" t="s">
        <v>11806</v>
      </c>
      <c r="X86">
        <v>14</v>
      </c>
      <c r="Y86" t="s">
        <v>17600</v>
      </c>
      <c r="Z86" t="s">
        <v>23293</v>
      </c>
      <c r="AA86">
        <v>0.42472345471759421</v>
      </c>
      <c r="AB86" t="str">
        <f>HYPERLINK("Melting_Curves/meltCurve_B0UXB6_ABHD16A.pdf", "Melting_Curves/meltCurve_B0UXB6_ABHD16A.pdf")</f>
        <v>Melting_Curves/meltCurve_B0UXB6_ABHD16A.pdf</v>
      </c>
    </row>
    <row r="87" spans="1:28" x14ac:dyDescent="0.25">
      <c r="A87" t="s">
        <v>91</v>
      </c>
      <c r="B87">
        <v>0.99334974765950101</v>
      </c>
      <c r="C87">
        <v>0.99795514893885195</v>
      </c>
      <c r="D87">
        <v>0.95425299670727204</v>
      </c>
      <c r="E87">
        <v>0.83699566185490704</v>
      </c>
      <c r="F87">
        <v>0.310524382013877</v>
      </c>
      <c r="G87">
        <v>0.21368345147110099</v>
      </c>
      <c r="H87">
        <v>0.14300735813088999</v>
      </c>
      <c r="I87">
        <v>0.14450438853854999</v>
      </c>
      <c r="J87">
        <v>0.108585029776224</v>
      </c>
      <c r="K87">
        <v>9.3714222660340601E-2</v>
      </c>
      <c r="L87">
        <v>2380.1306991885699</v>
      </c>
      <c r="M87">
        <v>46.206810518541303</v>
      </c>
      <c r="N87">
        <v>51.869520840435399</v>
      </c>
      <c r="O87">
        <v>51.414184886851402</v>
      </c>
      <c r="P87">
        <v>-0.19392121821618399</v>
      </c>
      <c r="Q87">
        <v>0.136898698460304</v>
      </c>
      <c r="R87">
        <v>0.99381430966527096</v>
      </c>
      <c r="S87" t="s">
        <v>5948</v>
      </c>
      <c r="T87" t="s">
        <v>11720</v>
      </c>
      <c r="U87" t="s">
        <v>11720</v>
      </c>
      <c r="V87" t="s">
        <v>11720</v>
      </c>
      <c r="W87" t="s">
        <v>11807</v>
      </c>
      <c r="X87">
        <v>12</v>
      </c>
      <c r="Y87" t="s">
        <v>17601</v>
      </c>
      <c r="Z87" t="s">
        <v>23294</v>
      </c>
      <c r="AA87">
        <v>0.47035125665430461</v>
      </c>
      <c r="AB87" t="str">
        <f>HYPERLINK("Melting_Curves/meltCurve_B0V043_VARS.pdf", "Melting_Curves/meltCurve_B0V043_VARS.pdf")</f>
        <v>Melting_Curves/meltCurve_B0V043_VARS.pdf</v>
      </c>
    </row>
    <row r="88" spans="1:28" x14ac:dyDescent="0.25">
      <c r="A88" t="s">
        <v>92</v>
      </c>
      <c r="B88">
        <v>0.99334974765950101</v>
      </c>
      <c r="C88">
        <v>1.0489607093590201</v>
      </c>
      <c r="D88">
        <v>1.0194537119226399</v>
      </c>
      <c r="E88">
        <v>1.0036364115960801</v>
      </c>
      <c r="F88">
        <v>1.29970853628143</v>
      </c>
      <c r="G88">
        <v>2.7891038630743399</v>
      </c>
      <c r="H88">
        <v>3.2618938877109298</v>
      </c>
      <c r="I88">
        <v>2.8139472991218502</v>
      </c>
      <c r="J88">
        <v>2.12891625536703</v>
      </c>
      <c r="K88">
        <v>1.1659819082913401</v>
      </c>
      <c r="L88">
        <v>13228.6390083387</v>
      </c>
      <c r="M88">
        <v>250</v>
      </c>
      <c r="O88">
        <v>52.9111896522449</v>
      </c>
      <c r="P88">
        <v>0.59061253144260495</v>
      </c>
      <c r="Q88">
        <v>1.5</v>
      </c>
      <c r="R88">
        <v>4.5939319361896103E-2</v>
      </c>
      <c r="S88" t="s">
        <v>5949</v>
      </c>
      <c r="T88" t="s">
        <v>11720</v>
      </c>
      <c r="U88" t="s">
        <v>11720</v>
      </c>
      <c r="V88" t="s">
        <v>11720</v>
      </c>
      <c r="W88" t="s">
        <v>11808</v>
      </c>
      <c r="X88">
        <v>5</v>
      </c>
      <c r="Y88" t="s">
        <v>17602</v>
      </c>
      <c r="Z88" t="s">
        <v>23295</v>
      </c>
      <c r="AA88">
        <v>1.2847109673329331</v>
      </c>
      <c r="AB88" t="str">
        <f>HYPERLINK("Melting_Curves/meltCurve_B0V0T3_PSMB9.pdf", "Melting_Curves/meltCurve_B0V0T3_PSMB9.pdf")</f>
        <v>Melting_Curves/meltCurve_B0V0T3_PSMB9.pdf</v>
      </c>
    </row>
    <row r="89" spans="1:28" x14ac:dyDescent="0.25">
      <c r="A89" t="s">
        <v>93</v>
      </c>
      <c r="B89">
        <v>0.99334974765950101</v>
      </c>
      <c r="C89">
        <v>0.91808275939338202</v>
      </c>
      <c r="D89">
        <v>0.89096198268955196</v>
      </c>
      <c r="E89">
        <v>0.74331026044299098</v>
      </c>
      <c r="F89">
        <v>0.61986913990843595</v>
      </c>
      <c r="G89">
        <v>0.50283446477483096</v>
      </c>
      <c r="H89">
        <v>0.58336892366888304</v>
      </c>
      <c r="I89">
        <v>0.58721724930502905</v>
      </c>
      <c r="J89">
        <v>0.74479745199118796</v>
      </c>
      <c r="K89">
        <v>0.65640938428115703</v>
      </c>
      <c r="L89">
        <v>1104.11458853419</v>
      </c>
      <c r="M89">
        <v>23.184310977595199</v>
      </c>
      <c r="O89">
        <v>47.2732740796028</v>
      </c>
      <c r="P89">
        <v>-4.7455713995476198E-2</v>
      </c>
      <c r="Q89">
        <v>0.61295431246827103</v>
      </c>
      <c r="R89">
        <v>0.83548857307389102</v>
      </c>
      <c r="S89" t="s">
        <v>5950</v>
      </c>
      <c r="T89" t="s">
        <v>11720</v>
      </c>
      <c r="U89" t="s">
        <v>11720</v>
      </c>
      <c r="V89" t="s">
        <v>11720</v>
      </c>
      <c r="W89" t="s">
        <v>11809</v>
      </c>
      <c r="X89">
        <v>1</v>
      </c>
      <c r="Y89" t="s">
        <v>17603</v>
      </c>
      <c r="Z89" t="s">
        <v>23296</v>
      </c>
      <c r="AA89">
        <v>0.71533981509661682</v>
      </c>
      <c r="AB89" t="str">
        <f>HYPERLINK("Melting_Curves/meltCurve_B0YIW2_APOC3.pdf", "Melting_Curves/meltCurve_B0YIW2_APOC3.pdf")</f>
        <v>Melting_Curves/meltCurve_B0YIW2_APOC3.pdf</v>
      </c>
    </row>
    <row r="90" spans="1:28" x14ac:dyDescent="0.25">
      <c r="A90" t="s">
        <v>94</v>
      </c>
      <c r="B90">
        <v>0.99334974765950101</v>
      </c>
      <c r="C90">
        <v>1.0075109842290499</v>
      </c>
      <c r="D90">
        <v>0.82680617272089096</v>
      </c>
      <c r="E90">
        <v>1.14747054832419</v>
      </c>
      <c r="F90">
        <v>1.01797534436322</v>
      </c>
      <c r="G90">
        <v>1.3143076962107501</v>
      </c>
      <c r="H90">
        <v>1.18971938160728</v>
      </c>
      <c r="I90">
        <v>1.81346694339182</v>
      </c>
      <c r="J90">
        <v>0.52982323379683505</v>
      </c>
      <c r="K90">
        <v>0.1996954096105</v>
      </c>
      <c r="L90">
        <v>15000</v>
      </c>
      <c r="M90">
        <v>224.233290096795</v>
      </c>
      <c r="N90">
        <v>67.046968633818594</v>
      </c>
      <c r="O90">
        <v>66.889284421174807</v>
      </c>
      <c r="P90">
        <v>-0.67078648130612795</v>
      </c>
      <c r="Q90">
        <v>0.19961152559828699</v>
      </c>
      <c r="R90">
        <v>0.50368736476670795</v>
      </c>
      <c r="S90" t="s">
        <v>5951</v>
      </c>
      <c r="T90" t="s">
        <v>11720</v>
      </c>
      <c r="U90" t="s">
        <v>11720</v>
      </c>
      <c r="V90" t="s">
        <v>11720</v>
      </c>
      <c r="W90" t="s">
        <v>11810</v>
      </c>
      <c r="X90">
        <v>2</v>
      </c>
      <c r="Y90" t="s">
        <v>17604</v>
      </c>
      <c r="Z90" t="s">
        <v>23297</v>
      </c>
      <c r="AA90">
        <v>0.9172659534862071</v>
      </c>
      <c r="AB90" t="str">
        <f>HYPERLINK("Melting_Curves/meltCurve_B1AH87_TSPO.pdf", "Melting_Curves/meltCurve_B1AH87_TSPO.pdf")</f>
        <v>Melting_Curves/meltCurve_B1AH87_TSPO.pdf</v>
      </c>
    </row>
    <row r="91" spans="1:28" x14ac:dyDescent="0.25">
      <c r="A91" t="s">
        <v>95</v>
      </c>
      <c r="B91">
        <v>0.99334974765950101</v>
      </c>
      <c r="C91">
        <v>1.04085223457912</v>
      </c>
      <c r="D91">
        <v>0.93501249850113799</v>
      </c>
      <c r="E91">
        <v>0.850394132861654</v>
      </c>
      <c r="F91">
        <v>0.77071754700217698</v>
      </c>
      <c r="G91">
        <v>0.473227478326819</v>
      </c>
      <c r="H91">
        <v>0.33987838678978</v>
      </c>
      <c r="I91">
        <v>0.27822860340779698</v>
      </c>
      <c r="J91">
        <v>0.22697407166330899</v>
      </c>
      <c r="K91">
        <v>0.175739362536661</v>
      </c>
      <c r="L91">
        <v>831.30024257733203</v>
      </c>
      <c r="M91">
        <v>14.9245475866301</v>
      </c>
      <c r="N91">
        <v>57.115601695552201</v>
      </c>
      <c r="O91">
        <v>54.728873902788401</v>
      </c>
      <c r="P91">
        <v>-5.7642312919897597E-2</v>
      </c>
      <c r="Q91">
        <v>0.15458101816650899</v>
      </c>
      <c r="R91">
        <v>0.99318520709198799</v>
      </c>
      <c r="S91" t="s">
        <v>5952</v>
      </c>
      <c r="T91" t="s">
        <v>11720</v>
      </c>
      <c r="U91" t="s">
        <v>11720</v>
      </c>
      <c r="V91" t="s">
        <v>11720</v>
      </c>
      <c r="W91" t="s">
        <v>11811</v>
      </c>
      <c r="X91">
        <v>4</v>
      </c>
      <c r="Y91" t="s">
        <v>17605</v>
      </c>
      <c r="Z91" t="s">
        <v>23298</v>
      </c>
      <c r="AA91">
        <v>0.61251451806058155</v>
      </c>
      <c r="AB91" t="str">
        <f>HYPERLINK("Melting_Curves/meltCurve_B1AHD1_NHP2L1.pdf", "Melting_Curves/meltCurve_B1AHD1_NHP2L1.pdf")</f>
        <v>Melting_Curves/meltCurve_B1AHD1_NHP2L1.pdf</v>
      </c>
    </row>
    <row r="92" spans="1:28" x14ac:dyDescent="0.25">
      <c r="A92" t="s">
        <v>96</v>
      </c>
      <c r="B92">
        <v>0.99334974765950101</v>
      </c>
      <c r="C92">
        <v>0.97544840465875904</v>
      </c>
      <c r="D92">
        <v>0.93308245696760095</v>
      </c>
      <c r="E92">
        <v>0.839279664699077</v>
      </c>
      <c r="F92">
        <v>0.61243937387922898</v>
      </c>
      <c r="G92">
        <v>0.31147499581169802</v>
      </c>
      <c r="H92">
        <v>0.16600797567287801</v>
      </c>
      <c r="I92">
        <v>0.14998547411781099</v>
      </c>
      <c r="J92">
        <v>0.13638305769105</v>
      </c>
      <c r="K92">
        <v>0.10508941547199201</v>
      </c>
      <c r="L92">
        <v>1064.2614428003301</v>
      </c>
      <c r="M92">
        <v>19.839092623630702</v>
      </c>
      <c r="N92">
        <v>54.292336735197601</v>
      </c>
      <c r="O92">
        <v>53.1085584384873</v>
      </c>
      <c r="P92">
        <v>-8.3551572366306295E-2</v>
      </c>
      <c r="Q92">
        <v>0.105371849949722</v>
      </c>
      <c r="R92">
        <v>0.998244824682333</v>
      </c>
      <c r="S92" t="s">
        <v>5953</v>
      </c>
      <c r="T92" t="s">
        <v>11720</v>
      </c>
      <c r="U92" t="s">
        <v>11720</v>
      </c>
      <c r="V92" t="s">
        <v>11720</v>
      </c>
      <c r="W92" t="s">
        <v>11812</v>
      </c>
      <c r="X92">
        <v>20</v>
      </c>
      <c r="Y92" t="s">
        <v>17606</v>
      </c>
      <c r="Z92" t="s">
        <v>23299</v>
      </c>
      <c r="AA92">
        <v>0.52465248801832087</v>
      </c>
      <c r="AB92" t="str">
        <f>HYPERLINK("Melting_Curves/meltCurve_B1AK13_HMGCL.pdf", "Melting_Curves/meltCurve_B1AK13_HMGCL.pdf")</f>
        <v>Melting_Curves/meltCurve_B1AK13_HMGCL.pdf</v>
      </c>
    </row>
    <row r="93" spans="1:28" x14ac:dyDescent="0.25">
      <c r="A93" t="s">
        <v>97</v>
      </c>
      <c r="B93">
        <v>0.99334974765950101</v>
      </c>
      <c r="C93">
        <v>1.0527289320761799</v>
      </c>
      <c r="D93">
        <v>1.2816084235240499</v>
      </c>
      <c r="E93">
        <v>1.86949254309388</v>
      </c>
      <c r="F93">
        <v>0.45481403693801697</v>
      </c>
      <c r="G93">
        <v>0.35332749850085798</v>
      </c>
      <c r="H93">
        <v>0.26205004845372198</v>
      </c>
      <c r="I93">
        <v>0.25343825712295998</v>
      </c>
      <c r="J93">
        <v>7.4251790771198797E-2</v>
      </c>
      <c r="K93">
        <v>5.37650479198385E-2</v>
      </c>
      <c r="L93">
        <v>13209.821114597</v>
      </c>
      <c r="M93">
        <v>250</v>
      </c>
      <c r="N93">
        <v>52.947022647815103</v>
      </c>
      <c r="O93">
        <v>52.8359042264237</v>
      </c>
      <c r="P93">
        <v>-0.94707589087136101</v>
      </c>
      <c r="Q93">
        <v>0.199366241038961</v>
      </c>
      <c r="R93">
        <v>0.72432051675346498</v>
      </c>
      <c r="S93" t="s">
        <v>5954</v>
      </c>
      <c r="T93" t="s">
        <v>11720</v>
      </c>
      <c r="U93" t="s">
        <v>11720</v>
      </c>
      <c r="V93" t="s">
        <v>11720</v>
      </c>
      <c r="W93" t="s">
        <v>11813</v>
      </c>
      <c r="X93">
        <v>2</v>
      </c>
      <c r="Y93" t="s">
        <v>17607</v>
      </c>
      <c r="Z93" t="s">
        <v>23300</v>
      </c>
      <c r="AA93">
        <v>0.54209263811590624</v>
      </c>
      <c r="AB93" t="str">
        <f>HYPERLINK("Melting_Curves/meltCurve_B1AK81_PIGK.pdf", "Melting_Curves/meltCurve_B1AK81_PIGK.pdf")</f>
        <v>Melting_Curves/meltCurve_B1AK81_PIGK.pdf</v>
      </c>
    </row>
    <row r="94" spans="1:28" x14ac:dyDescent="0.25">
      <c r="A94" t="s">
        <v>98</v>
      </c>
      <c r="B94">
        <v>0.99334974765950101</v>
      </c>
      <c r="C94">
        <v>0.91681303974097295</v>
      </c>
      <c r="D94">
        <v>0.71317090410268702</v>
      </c>
      <c r="E94">
        <v>0.489330395975484</v>
      </c>
      <c r="F94">
        <v>0.33937071634103699</v>
      </c>
      <c r="G94">
        <v>0.30285651230404598</v>
      </c>
      <c r="H94">
        <v>0.199887971320866</v>
      </c>
      <c r="I94">
        <v>0.18227088275950401</v>
      </c>
      <c r="J94">
        <v>0.15916680047989501</v>
      </c>
      <c r="K94">
        <v>0.14709477976058999</v>
      </c>
      <c r="L94">
        <v>691.72069688099805</v>
      </c>
      <c r="M94">
        <v>14.233861096589999</v>
      </c>
      <c r="N94">
        <v>49.904403074872398</v>
      </c>
      <c r="O94">
        <v>47.667809658348197</v>
      </c>
      <c r="P94">
        <v>-6.3039758056380901E-2</v>
      </c>
      <c r="Q94">
        <v>0.155648735633104</v>
      </c>
      <c r="R94">
        <v>0.99332594034815203</v>
      </c>
      <c r="S94" t="s">
        <v>5955</v>
      </c>
      <c r="T94" t="s">
        <v>11720</v>
      </c>
      <c r="U94" t="s">
        <v>11720</v>
      </c>
      <c r="V94" t="s">
        <v>11720</v>
      </c>
      <c r="W94" t="s">
        <v>11814</v>
      </c>
      <c r="X94">
        <v>7</v>
      </c>
      <c r="Y94" t="s">
        <v>17608</v>
      </c>
      <c r="Z94" t="s">
        <v>23301</v>
      </c>
      <c r="AA94">
        <v>0.42099424212170811</v>
      </c>
      <c r="AB94" t="str">
        <f>HYPERLINK("Melting_Curves/meltCurve_B1AKC7_RASAL2.pdf", "Melting_Curves/meltCurve_B1AKC7_RASAL2.pdf")</f>
        <v>Melting_Curves/meltCurve_B1AKC7_RASAL2.pdf</v>
      </c>
    </row>
    <row r="95" spans="1:28" x14ac:dyDescent="0.25">
      <c r="A95" t="s">
        <v>99</v>
      </c>
      <c r="B95">
        <v>0.99334974765950101</v>
      </c>
      <c r="C95">
        <v>0.96872420864723796</v>
      </c>
      <c r="D95">
        <v>1.02529904300938</v>
      </c>
      <c r="E95">
        <v>0.58072729204643103</v>
      </c>
      <c r="F95">
        <v>0.17977314618644299</v>
      </c>
      <c r="G95">
        <v>0.103404232311576</v>
      </c>
      <c r="H95">
        <v>7.1204217739818595E-2</v>
      </c>
      <c r="I95">
        <v>5.6011106069718299E-2</v>
      </c>
      <c r="J95">
        <v>5.1926879181982098E-2</v>
      </c>
      <c r="K95">
        <v>3.9204608411076598E-2</v>
      </c>
      <c r="L95">
        <v>2021.7476688701399</v>
      </c>
      <c r="M95">
        <v>40.186738170114403</v>
      </c>
      <c r="N95">
        <v>50.479131455711602</v>
      </c>
      <c r="O95">
        <v>50.184733755064499</v>
      </c>
      <c r="P95">
        <v>-0.187503641785178</v>
      </c>
      <c r="Q95">
        <v>6.3392397202684497E-2</v>
      </c>
      <c r="R95">
        <v>0.99701528567072195</v>
      </c>
      <c r="S95" t="s">
        <v>5956</v>
      </c>
      <c r="T95" t="s">
        <v>11720</v>
      </c>
      <c r="U95" t="s">
        <v>11720</v>
      </c>
      <c r="V95" t="s">
        <v>11720</v>
      </c>
      <c r="W95" t="s">
        <v>11815</v>
      </c>
      <c r="X95">
        <v>21</v>
      </c>
      <c r="Y95" t="s">
        <v>17609</v>
      </c>
      <c r="Z95" t="s">
        <v>23302</v>
      </c>
      <c r="AA95">
        <v>0.38846385682240397</v>
      </c>
      <c r="AB95" t="str">
        <f>HYPERLINK("Melting_Curves/meltCurve_B1AKJ5_NRD1.pdf", "Melting_Curves/meltCurve_B1AKJ5_NRD1.pdf")</f>
        <v>Melting_Curves/meltCurve_B1AKJ5_NRD1.pdf</v>
      </c>
    </row>
    <row r="96" spans="1:28" x14ac:dyDescent="0.25">
      <c r="A96" t="s">
        <v>100</v>
      </c>
      <c r="B96">
        <v>0.99334974765950101</v>
      </c>
      <c r="C96">
        <v>0.93952019127515396</v>
      </c>
      <c r="D96">
        <v>0.99228454935763299</v>
      </c>
      <c r="E96">
        <v>0.552939643820616</v>
      </c>
      <c r="F96">
        <v>0.130163610386547</v>
      </c>
      <c r="G96">
        <v>9.0155563307146497E-2</v>
      </c>
      <c r="H96">
        <v>6.8371418286832505E-2</v>
      </c>
      <c r="I96">
        <v>5.4140726532222003E-2</v>
      </c>
      <c r="J96">
        <v>4.3269477621901101E-2</v>
      </c>
      <c r="K96">
        <v>3.7233855934529297E-2</v>
      </c>
      <c r="L96">
        <v>2259.1903846978198</v>
      </c>
      <c r="M96">
        <v>45.078960227884501</v>
      </c>
      <c r="N96">
        <v>50.2521301443794</v>
      </c>
      <c r="O96">
        <v>50.017967073460703</v>
      </c>
      <c r="P96">
        <v>-0.212390263662734</v>
      </c>
      <c r="Q96">
        <v>5.7359312063252198E-2</v>
      </c>
      <c r="R96">
        <v>0.99684601889554902</v>
      </c>
      <c r="S96" t="s">
        <v>5957</v>
      </c>
      <c r="T96" t="s">
        <v>11720</v>
      </c>
      <c r="U96" t="s">
        <v>11720</v>
      </c>
      <c r="V96" t="s">
        <v>11720</v>
      </c>
      <c r="W96" t="s">
        <v>11816</v>
      </c>
      <c r="X96">
        <v>6</v>
      </c>
      <c r="Y96" t="s">
        <v>17610</v>
      </c>
      <c r="Z96" t="s">
        <v>23303</v>
      </c>
      <c r="AA96">
        <v>0.37779399173567751</v>
      </c>
      <c r="AB96" t="str">
        <f>HYPERLINK("Melting_Curves/meltCurve_B1AKJ6_OSBPL9.pdf", "Melting_Curves/meltCurve_B1AKJ6_OSBPL9.pdf")</f>
        <v>Melting_Curves/meltCurve_B1AKJ6_OSBPL9.pdf</v>
      </c>
    </row>
    <row r="97" spans="1:28" x14ac:dyDescent="0.25">
      <c r="A97" t="s">
        <v>101</v>
      </c>
      <c r="B97">
        <v>0.99334974765950101</v>
      </c>
      <c r="C97">
        <v>0.84001863186383197</v>
      </c>
      <c r="D97">
        <v>0.588112501809119</v>
      </c>
      <c r="E97">
        <v>0.36121792911057099</v>
      </c>
      <c r="F97">
        <v>0.31207031560797799</v>
      </c>
      <c r="G97">
        <v>0.22330299333140399</v>
      </c>
      <c r="H97">
        <v>0.21184091753565201</v>
      </c>
      <c r="I97">
        <v>0.163090489148073</v>
      </c>
      <c r="J97">
        <v>0.21342128619283701</v>
      </c>
      <c r="K97">
        <v>0.22596714634502099</v>
      </c>
      <c r="L97">
        <v>844.90904714189901</v>
      </c>
      <c r="M97">
        <v>18.330807473152301</v>
      </c>
      <c r="N97">
        <v>47.463107294279197</v>
      </c>
      <c r="O97">
        <v>45.554254238438801</v>
      </c>
      <c r="P97">
        <v>-7.9926628284952797E-2</v>
      </c>
      <c r="Q97">
        <v>0.20552747477017899</v>
      </c>
      <c r="R97">
        <v>0.99194083483906803</v>
      </c>
      <c r="S97" t="s">
        <v>5958</v>
      </c>
      <c r="T97" t="s">
        <v>11720</v>
      </c>
      <c r="U97" t="s">
        <v>11720</v>
      </c>
      <c r="V97" t="s">
        <v>11720</v>
      </c>
      <c r="W97" t="s">
        <v>11817</v>
      </c>
      <c r="X97">
        <v>2</v>
      </c>
      <c r="Y97" t="s">
        <v>17611</v>
      </c>
      <c r="Z97" t="s">
        <v>23304</v>
      </c>
      <c r="AA97">
        <v>0.38173583982343601</v>
      </c>
      <c r="AB97" t="str">
        <f>HYPERLINK("Melting_Curves/meltCurve_B1AKL4_EIF4ENIF1.pdf", "Melting_Curves/meltCurve_B1AKL4_EIF4ENIF1.pdf")</f>
        <v>Melting_Curves/meltCurve_B1AKL4_EIF4ENIF1.pdf</v>
      </c>
    </row>
    <row r="98" spans="1:28" x14ac:dyDescent="0.25">
      <c r="A98" t="s">
        <v>102</v>
      </c>
      <c r="B98">
        <v>0.99334974765950101</v>
      </c>
      <c r="C98">
        <v>1.04214928981084</v>
      </c>
      <c r="D98">
        <v>0.94814384987020905</v>
      </c>
      <c r="E98">
        <v>0.805900705035141</v>
      </c>
      <c r="F98">
        <v>0.75563092894260797</v>
      </c>
      <c r="G98">
        <v>0.53686508250471598</v>
      </c>
      <c r="H98">
        <v>0.47518065302767598</v>
      </c>
      <c r="I98">
        <v>0.69938763988689601</v>
      </c>
      <c r="J98">
        <v>0.64428319580269</v>
      </c>
      <c r="K98">
        <v>0.84019751703157697</v>
      </c>
      <c r="L98">
        <v>1439.2444722514899</v>
      </c>
      <c r="M98">
        <v>28.877837929493101</v>
      </c>
      <c r="O98">
        <v>49.601913705971597</v>
      </c>
      <c r="P98">
        <v>-5.1542653157596797E-2</v>
      </c>
      <c r="Q98">
        <v>0.64587455377039604</v>
      </c>
      <c r="R98">
        <v>0.72195074155315997</v>
      </c>
      <c r="S98" t="s">
        <v>5959</v>
      </c>
      <c r="T98" t="s">
        <v>11720</v>
      </c>
      <c r="U98" t="s">
        <v>11720</v>
      </c>
      <c r="V98" t="s">
        <v>11720</v>
      </c>
      <c r="W98" t="s">
        <v>11818</v>
      </c>
      <c r="X98">
        <v>3</v>
      </c>
      <c r="Y98" t="s">
        <v>17612</v>
      </c>
      <c r="Z98" t="s">
        <v>23305</v>
      </c>
      <c r="AA98">
        <v>0.76437685911432274</v>
      </c>
      <c r="AB98" t="str">
        <f>HYPERLINK("Melting_Curves/meltCurve_B1AKN3_RERE.pdf", "Melting_Curves/meltCurve_B1AKN3_RERE.pdf")</f>
        <v>Melting_Curves/meltCurve_B1AKN3_RERE.pdf</v>
      </c>
    </row>
    <row r="99" spans="1:28" x14ac:dyDescent="0.25">
      <c r="A99" t="s">
        <v>103</v>
      </c>
      <c r="B99">
        <v>0.99334974765950101</v>
      </c>
      <c r="C99">
        <v>0.99486657333457296</v>
      </c>
      <c r="D99">
        <v>0.92515027548163398</v>
      </c>
      <c r="E99">
        <v>0.82683821652267797</v>
      </c>
      <c r="F99">
        <v>0.98010183651921901</v>
      </c>
      <c r="G99">
        <v>0.85025171763413898</v>
      </c>
      <c r="H99">
        <v>0.59308290823045196</v>
      </c>
      <c r="I99">
        <v>0.68667534331007396</v>
      </c>
      <c r="J99">
        <v>0.56236609790185899</v>
      </c>
      <c r="K99">
        <v>0.44522527750663599</v>
      </c>
      <c r="L99">
        <v>463.39608725887302</v>
      </c>
      <c r="M99">
        <v>6.7361238273958204</v>
      </c>
      <c r="N99">
        <v>68.792691335747094</v>
      </c>
      <c r="O99">
        <v>63.491535385015901</v>
      </c>
      <c r="P99">
        <v>-2.6580295642030301E-2</v>
      </c>
      <c r="Q99">
        <v>0</v>
      </c>
      <c r="R99">
        <v>0.88751598112857</v>
      </c>
      <c r="S99" t="s">
        <v>5960</v>
      </c>
      <c r="T99" t="s">
        <v>11720</v>
      </c>
      <c r="U99" t="s">
        <v>11720</v>
      </c>
      <c r="V99" t="s">
        <v>11720</v>
      </c>
      <c r="W99" t="s">
        <v>11819</v>
      </c>
      <c r="X99">
        <v>2</v>
      </c>
      <c r="Y99" t="s">
        <v>17613</v>
      </c>
      <c r="Z99" t="s">
        <v>23306</v>
      </c>
      <c r="AA99">
        <v>0.801486020415484</v>
      </c>
      <c r="AB99" t="str">
        <f>HYPERLINK("Melting_Curves/meltCurve_B1AKP2_TSPAN2.pdf", "Melting_Curves/meltCurve_B1AKP2_TSPAN2.pdf")</f>
        <v>Melting_Curves/meltCurve_B1AKP2_TSPAN2.pdf</v>
      </c>
    </row>
    <row r="100" spans="1:28" x14ac:dyDescent="0.25">
      <c r="A100" t="s">
        <v>104</v>
      </c>
      <c r="B100">
        <v>0.99334974765950101</v>
      </c>
      <c r="C100">
        <v>0.90436097579744901</v>
      </c>
      <c r="D100">
        <v>1.0115029816468</v>
      </c>
      <c r="E100">
        <v>0.96223884771066204</v>
      </c>
      <c r="F100">
        <v>1.7323720563727401</v>
      </c>
      <c r="G100">
        <v>1.82839699042882</v>
      </c>
      <c r="H100">
        <v>1.5838795847721601</v>
      </c>
      <c r="I100">
        <v>2.0333686431256801</v>
      </c>
      <c r="J100">
        <v>1.5549990400979401</v>
      </c>
      <c r="K100">
        <v>1.3064450998625099</v>
      </c>
      <c r="L100">
        <v>12819.302187236401</v>
      </c>
      <c r="M100">
        <v>250</v>
      </c>
      <c r="O100">
        <v>51.273914898355997</v>
      </c>
      <c r="P100">
        <v>0.60947155063589098</v>
      </c>
      <c r="Q100">
        <v>1.5</v>
      </c>
      <c r="R100">
        <v>0.66674237856104301</v>
      </c>
      <c r="S100" t="s">
        <v>5961</v>
      </c>
      <c r="T100" t="s">
        <v>11720</v>
      </c>
      <c r="U100" t="s">
        <v>11720</v>
      </c>
      <c r="V100" t="s">
        <v>11720</v>
      </c>
      <c r="W100" t="s">
        <v>11820</v>
      </c>
      <c r="X100">
        <v>4</v>
      </c>
      <c r="Y100" t="s">
        <v>17614</v>
      </c>
      <c r="Z100" t="s">
        <v>23307</v>
      </c>
      <c r="AA100">
        <v>1.3120015254992541</v>
      </c>
      <c r="AB100" t="str">
        <f>HYPERLINK("Melting_Curves/meltCurve_B1AKR6_DYNLRB1.pdf", "Melting_Curves/meltCurve_B1AKR6_DYNLRB1.pdf")</f>
        <v>Melting_Curves/meltCurve_B1AKR6_DYNLRB1.pdf</v>
      </c>
    </row>
    <row r="101" spans="1:28" x14ac:dyDescent="0.25">
      <c r="A101" t="s">
        <v>105</v>
      </c>
      <c r="B101">
        <v>0.99334974765950101</v>
      </c>
      <c r="C101">
        <v>0.89598032858538201</v>
      </c>
      <c r="D101">
        <v>0.95049630628696302</v>
      </c>
      <c r="E101">
        <v>0.945875322058362</v>
      </c>
      <c r="F101">
        <v>0.56995628488938899</v>
      </c>
      <c r="G101">
        <v>0.24298139240362701</v>
      </c>
      <c r="H101">
        <v>7.1703042851678306E-2</v>
      </c>
      <c r="I101">
        <v>6.9050677565081597E-2</v>
      </c>
      <c r="J101">
        <v>4.5287873787071199E-2</v>
      </c>
      <c r="K101">
        <v>5.0505528111341298E-2</v>
      </c>
      <c r="L101">
        <v>1475.0553729350299</v>
      </c>
      <c r="M101">
        <v>27.475550547889899</v>
      </c>
      <c r="N101">
        <v>53.896266994931203</v>
      </c>
      <c r="O101">
        <v>53.404146509141199</v>
      </c>
      <c r="P101">
        <v>-0.122088302247535</v>
      </c>
      <c r="Q101">
        <v>5.0798380268279202E-2</v>
      </c>
      <c r="R101">
        <v>0.98887314302139695</v>
      </c>
      <c r="S101" t="s">
        <v>5962</v>
      </c>
      <c r="T101" t="s">
        <v>11720</v>
      </c>
      <c r="U101" t="s">
        <v>11720</v>
      </c>
      <c r="V101" t="s">
        <v>11720</v>
      </c>
      <c r="W101" t="s">
        <v>11821</v>
      </c>
      <c r="X101">
        <v>3</v>
      </c>
      <c r="Y101" t="s">
        <v>17615</v>
      </c>
      <c r="Z101" t="s">
        <v>23308</v>
      </c>
      <c r="AA101">
        <v>0.49118107982601861</v>
      </c>
      <c r="AB101" t="str">
        <f>HYPERLINK("Melting_Curves/meltCurve_B1AKT3_TMED5.pdf", "Melting_Curves/meltCurve_B1AKT3_TMED5.pdf")</f>
        <v>Melting_Curves/meltCurve_B1AKT3_TMED5.pdf</v>
      </c>
    </row>
    <row r="102" spans="1:28" x14ac:dyDescent="0.25">
      <c r="A102" t="s">
        <v>106</v>
      </c>
      <c r="B102">
        <v>0.99334974765950101</v>
      </c>
      <c r="C102">
        <v>1.10077262785925</v>
      </c>
      <c r="D102">
        <v>1.1144858915927001</v>
      </c>
      <c r="E102">
        <v>1.1965814897797</v>
      </c>
      <c r="F102">
        <v>0.89302515532010396</v>
      </c>
      <c r="G102">
        <v>0.36178468783650197</v>
      </c>
      <c r="H102">
        <v>0.26831539916937502</v>
      </c>
      <c r="I102">
        <v>0.21124419307089501</v>
      </c>
      <c r="J102">
        <v>0.21597530925553499</v>
      </c>
      <c r="K102">
        <v>0.14483965354644801</v>
      </c>
      <c r="L102">
        <v>2637.2234069208898</v>
      </c>
      <c r="M102">
        <v>47.682857578785999</v>
      </c>
      <c r="N102">
        <v>55.934735847479303</v>
      </c>
      <c r="O102">
        <v>55.210551746720597</v>
      </c>
      <c r="P102">
        <v>-0.171206609518533</v>
      </c>
      <c r="Q102">
        <v>0.207060664530656</v>
      </c>
      <c r="R102">
        <v>0.95966317097811304</v>
      </c>
      <c r="S102" t="s">
        <v>5963</v>
      </c>
      <c r="T102" t="s">
        <v>11720</v>
      </c>
      <c r="U102" t="s">
        <v>11720</v>
      </c>
      <c r="V102" t="s">
        <v>11720</v>
      </c>
      <c r="W102" t="s">
        <v>11822</v>
      </c>
      <c r="X102">
        <v>5</v>
      </c>
      <c r="Y102" t="s">
        <v>17616</v>
      </c>
      <c r="Z102" t="s">
        <v>23309</v>
      </c>
      <c r="AA102">
        <v>0.6137859707915051</v>
      </c>
      <c r="AB102" t="str">
        <f>HYPERLINK("Melting_Curves/meltCurve_B1AL69_CDC37L1.pdf", "Melting_Curves/meltCurve_B1AL69_CDC37L1.pdf")</f>
        <v>Melting_Curves/meltCurve_B1AL69_CDC37L1.pdf</v>
      </c>
    </row>
    <row r="103" spans="1:28" x14ac:dyDescent="0.25">
      <c r="A103" t="s">
        <v>107</v>
      </c>
      <c r="B103">
        <v>0.99334974765950101</v>
      </c>
      <c r="C103">
        <v>0.94975802783496399</v>
      </c>
      <c r="D103">
        <v>0.89934280040292702</v>
      </c>
      <c r="E103">
        <v>0.98828482954055896</v>
      </c>
      <c r="F103">
        <v>1.28649899285097</v>
      </c>
      <c r="G103">
        <v>1.04508926519398</v>
      </c>
      <c r="H103">
        <v>0.94293122359691905</v>
      </c>
      <c r="I103">
        <v>0.89699982618531804</v>
      </c>
      <c r="J103">
        <v>0.90069715738057898</v>
      </c>
      <c r="K103">
        <v>0.626279815009539</v>
      </c>
      <c r="L103">
        <v>1809.5712425030499</v>
      </c>
      <c r="M103">
        <v>25.270158536208399</v>
      </c>
      <c r="Q103">
        <v>0</v>
      </c>
      <c r="R103">
        <v>0.55897885625939003</v>
      </c>
      <c r="S103" t="s">
        <v>5964</v>
      </c>
      <c r="T103" t="s">
        <v>11720</v>
      </c>
      <c r="U103" t="s">
        <v>11720</v>
      </c>
      <c r="V103" t="s">
        <v>11720</v>
      </c>
      <c r="W103" t="s">
        <v>11823</v>
      </c>
      <c r="X103">
        <v>2</v>
      </c>
      <c r="Y103" t="s">
        <v>17617</v>
      </c>
      <c r="Z103" t="s">
        <v>23310</v>
      </c>
      <c r="AA103">
        <v>0.96299145942263176</v>
      </c>
      <c r="AB103" t="str">
        <f>HYPERLINK("Melting_Curves/meltCurve_B1AL88_FAM155A.pdf", "Melting_Curves/meltCurve_B1AL88_FAM155A.pdf")</f>
        <v>Melting_Curves/meltCurve_B1AL88_FAM155A.pdf</v>
      </c>
    </row>
    <row r="104" spans="1:28" x14ac:dyDescent="0.25">
      <c r="A104" t="s">
        <v>108</v>
      </c>
      <c r="B104">
        <v>0.99334974765950101</v>
      </c>
      <c r="C104">
        <v>1.01479094881859</v>
      </c>
      <c r="D104">
        <v>0.79759348215570502</v>
      </c>
      <c r="E104">
        <v>0.43759943377660598</v>
      </c>
      <c r="F104">
        <v>0.227905953793027</v>
      </c>
      <c r="G104">
        <v>0.15611498806715399</v>
      </c>
      <c r="H104">
        <v>0.11639473708688999</v>
      </c>
      <c r="I104">
        <v>8.4480562732782594E-2</v>
      </c>
      <c r="J104">
        <v>9.1396964239241499E-2</v>
      </c>
      <c r="K104">
        <v>7.39559887331417E-2</v>
      </c>
      <c r="L104">
        <v>1075.23510623262</v>
      </c>
      <c r="M104">
        <v>21.994673211647001</v>
      </c>
      <c r="N104">
        <v>49.341542107875703</v>
      </c>
      <c r="O104">
        <v>48.487444552679797</v>
      </c>
      <c r="P104">
        <v>-0.102989249621542</v>
      </c>
      <c r="Q104">
        <v>9.18578601729238E-2</v>
      </c>
      <c r="R104">
        <v>0.99644707289037604</v>
      </c>
      <c r="S104" t="s">
        <v>5965</v>
      </c>
      <c r="T104" t="s">
        <v>11720</v>
      </c>
      <c r="U104" t="s">
        <v>11720</v>
      </c>
      <c r="V104" t="s">
        <v>11720</v>
      </c>
      <c r="W104" t="s">
        <v>11824</v>
      </c>
      <c r="X104">
        <v>7</v>
      </c>
      <c r="Y104" t="s">
        <v>17618</v>
      </c>
      <c r="Z104" t="s">
        <v>23311</v>
      </c>
      <c r="AA104">
        <v>0.37133161337228859</v>
      </c>
      <c r="AB104" t="str">
        <f>HYPERLINK("Melting_Curves/meltCurve_B1ALH6_PHYH.pdf", "Melting_Curves/meltCurve_B1ALH6_PHYH.pdf")</f>
        <v>Melting_Curves/meltCurve_B1ALH6_PHYH.pdf</v>
      </c>
    </row>
    <row r="105" spans="1:28" x14ac:dyDescent="0.25">
      <c r="A105" t="s">
        <v>109</v>
      </c>
      <c r="B105">
        <v>0.99334974765950101</v>
      </c>
      <c r="C105">
        <v>1.01258103896984</v>
      </c>
      <c r="D105">
        <v>0.90230565259732998</v>
      </c>
      <c r="E105">
        <v>0.72773339868276798</v>
      </c>
      <c r="F105">
        <v>0.29922957805544198</v>
      </c>
      <c r="G105">
        <v>0.181825093440101</v>
      </c>
      <c r="H105">
        <v>0.13646837912693199</v>
      </c>
      <c r="I105">
        <v>8.8434574401966698E-2</v>
      </c>
      <c r="J105">
        <v>0.11418070368795601</v>
      </c>
      <c r="K105">
        <v>9.0892877932959804E-2</v>
      </c>
      <c r="L105">
        <v>1533.1002733263499</v>
      </c>
      <c r="M105">
        <v>30.008445333511698</v>
      </c>
      <c r="N105">
        <v>51.5110154931875</v>
      </c>
      <c r="O105">
        <v>50.863692329706303</v>
      </c>
      <c r="P105">
        <v>-0.13141987302896899</v>
      </c>
      <c r="Q105">
        <v>0.108989971206014</v>
      </c>
      <c r="R105">
        <v>0.99345839214430998</v>
      </c>
      <c r="S105" t="s">
        <v>5966</v>
      </c>
      <c r="T105" t="s">
        <v>11720</v>
      </c>
      <c r="U105" t="s">
        <v>11720</v>
      </c>
      <c r="V105" t="s">
        <v>11720</v>
      </c>
      <c r="W105" t="s">
        <v>11825</v>
      </c>
      <c r="X105">
        <v>6</v>
      </c>
      <c r="Y105" t="s">
        <v>17619</v>
      </c>
      <c r="Z105" t="s">
        <v>23312</v>
      </c>
      <c r="AA105">
        <v>0.44394298774119412</v>
      </c>
      <c r="AB105" t="str">
        <f>HYPERLINK("Melting_Curves/meltCurve_B1ALK7_ARHGEF7.pdf", "Melting_Curves/meltCurve_B1ALK7_ARHGEF7.pdf")</f>
        <v>Melting_Curves/meltCurve_B1ALK7_ARHGEF7.pdf</v>
      </c>
    </row>
    <row r="106" spans="1:28" x14ac:dyDescent="0.25">
      <c r="A106" t="s">
        <v>110</v>
      </c>
      <c r="B106">
        <v>0.99334974765950101</v>
      </c>
      <c r="C106">
        <v>1.01407685102056</v>
      </c>
      <c r="D106">
        <v>0.82597451635512398</v>
      </c>
      <c r="E106">
        <v>0.83392442080893203</v>
      </c>
      <c r="F106">
        <v>0.61906584543846899</v>
      </c>
      <c r="G106">
        <v>0.53532480415135397</v>
      </c>
      <c r="H106">
        <v>0.61429747683818503</v>
      </c>
      <c r="I106">
        <v>0.71656231488378697</v>
      </c>
      <c r="J106">
        <v>1.0166815689365001</v>
      </c>
      <c r="K106">
        <v>0.94797474916044799</v>
      </c>
      <c r="L106">
        <v>11458.8515758085</v>
      </c>
      <c r="M106">
        <v>250</v>
      </c>
      <c r="O106">
        <v>45.832472981393401</v>
      </c>
      <c r="P106">
        <v>-0.33432487655689702</v>
      </c>
      <c r="Q106">
        <v>0.75483302548338505</v>
      </c>
      <c r="R106">
        <v>0.32536367388576498</v>
      </c>
      <c r="S106" t="s">
        <v>5967</v>
      </c>
      <c r="T106" t="s">
        <v>11720</v>
      </c>
      <c r="U106" t="s">
        <v>11720</v>
      </c>
      <c r="V106" t="s">
        <v>11720</v>
      </c>
      <c r="W106" t="s">
        <v>11826</v>
      </c>
      <c r="X106">
        <v>19</v>
      </c>
      <c r="Y106" t="s">
        <v>17620</v>
      </c>
      <c r="Z106" t="s">
        <v>23313</v>
      </c>
      <c r="AA106">
        <v>0.80254104376690782</v>
      </c>
      <c r="AB106" t="str">
        <f>HYPERLINK("Melting_Curves/meltCurve_B1ALY0_PALM2_AKAP2.pdf", "Melting_Curves/meltCurve_B1ALY0_PALM2_AKAP2.pdf")</f>
        <v>Melting_Curves/meltCurve_B1ALY0_PALM2_AKAP2.pdf</v>
      </c>
    </row>
    <row r="107" spans="1:28" x14ac:dyDescent="0.25">
      <c r="A107" t="s">
        <v>111</v>
      </c>
      <c r="B107">
        <v>0.99334974765950101</v>
      </c>
      <c r="C107">
        <v>1.14626476899119</v>
      </c>
      <c r="D107">
        <v>1.02028035273491</v>
      </c>
      <c r="E107">
        <v>1.36107318831917</v>
      </c>
      <c r="F107">
        <v>1.13684433192402</v>
      </c>
      <c r="G107">
        <v>0.99812604692398499</v>
      </c>
      <c r="H107">
        <v>0.23676507754554799</v>
      </c>
      <c r="I107">
        <v>0.111987854056665</v>
      </c>
      <c r="J107">
        <v>0.12157634309094099</v>
      </c>
      <c r="K107">
        <v>0</v>
      </c>
      <c r="L107">
        <v>5310.0711978495801</v>
      </c>
      <c r="M107">
        <v>88.599686340363505</v>
      </c>
      <c r="N107">
        <v>60.045575731918603</v>
      </c>
      <c r="O107">
        <v>59.902782364475698</v>
      </c>
      <c r="P107">
        <v>-0.34153891273925902</v>
      </c>
      <c r="Q107">
        <v>7.6334010001288602E-2</v>
      </c>
      <c r="R107">
        <v>0.92767782985755898</v>
      </c>
      <c r="S107" t="s">
        <v>5968</v>
      </c>
      <c r="T107" t="s">
        <v>11720</v>
      </c>
      <c r="U107" t="s">
        <v>11720</v>
      </c>
      <c r="V107" t="s">
        <v>11720</v>
      </c>
      <c r="W107" t="s">
        <v>11827</v>
      </c>
      <c r="X107">
        <v>10</v>
      </c>
      <c r="Y107" t="s">
        <v>17621</v>
      </c>
      <c r="Z107" t="s">
        <v>23314</v>
      </c>
      <c r="AA107">
        <v>0.6908322170847333</v>
      </c>
      <c r="AB107" t="str">
        <f>HYPERLINK("Melting_Curves/meltCurve_B1AM21_GNAQ.pdf", "Melting_Curves/meltCurve_B1AM21_GNAQ.pdf")</f>
        <v>Melting_Curves/meltCurve_B1AM21_GNAQ.pdf</v>
      </c>
    </row>
    <row r="108" spans="1:28" x14ac:dyDescent="0.25">
      <c r="A108" t="s">
        <v>112</v>
      </c>
      <c r="B108">
        <v>0.99334974765950101</v>
      </c>
      <c r="C108">
        <v>0.96576943495724799</v>
      </c>
      <c r="D108">
        <v>0.82229523381612801</v>
      </c>
      <c r="E108">
        <v>0.74548634242676204</v>
      </c>
      <c r="F108">
        <v>0.39234764411425199</v>
      </c>
      <c r="G108">
        <v>0.215109576359159</v>
      </c>
      <c r="H108">
        <v>0.15576397192152699</v>
      </c>
      <c r="I108">
        <v>0.170483968095647</v>
      </c>
      <c r="J108">
        <v>8.3285359555032398E-2</v>
      </c>
      <c r="K108">
        <v>0</v>
      </c>
      <c r="L108">
        <v>784.71940312703896</v>
      </c>
      <c r="M108">
        <v>15.114301633782199</v>
      </c>
      <c r="N108">
        <v>52.248542942899398</v>
      </c>
      <c r="O108">
        <v>51.035570575019896</v>
      </c>
      <c r="P108">
        <v>-7.0678985066568598E-2</v>
      </c>
      <c r="Q108">
        <v>4.5463366838694903E-2</v>
      </c>
      <c r="R108">
        <v>0.98136166106600498</v>
      </c>
      <c r="S108" t="s">
        <v>5969</v>
      </c>
      <c r="T108" t="s">
        <v>11720</v>
      </c>
      <c r="U108" t="s">
        <v>11720</v>
      </c>
      <c r="V108" t="s">
        <v>11720</v>
      </c>
      <c r="W108" t="s">
        <v>11828</v>
      </c>
      <c r="X108">
        <v>2</v>
      </c>
      <c r="Y108" t="s">
        <v>17622</v>
      </c>
      <c r="Z108" t="s">
        <v>23315</v>
      </c>
      <c r="AA108">
        <v>0.44585181750377351</v>
      </c>
      <c r="AB108" t="str">
        <f>HYPERLINK("Melting_Curves/meltCurve_B1AMF0_UBE2J2.pdf", "Melting_Curves/meltCurve_B1AMF0_UBE2J2.pdf")</f>
        <v>Melting_Curves/meltCurve_B1AMF0_UBE2J2.pdf</v>
      </c>
    </row>
    <row r="109" spans="1:28" x14ac:dyDescent="0.25">
      <c r="A109" t="s">
        <v>113</v>
      </c>
      <c r="B109">
        <v>0.99334974765950101</v>
      </c>
      <c r="C109">
        <v>0.94075483622054101</v>
      </c>
      <c r="D109">
        <v>1.0647839944978801</v>
      </c>
      <c r="E109">
        <v>0.93010341512339201</v>
      </c>
      <c r="F109">
        <v>1.16220126142151</v>
      </c>
      <c r="G109">
        <v>0.91319288125809495</v>
      </c>
      <c r="H109">
        <v>0.57691942403542895</v>
      </c>
      <c r="I109">
        <v>0.560055291909069</v>
      </c>
      <c r="J109">
        <v>0.25125556443434499</v>
      </c>
      <c r="K109">
        <v>0.220754683999907</v>
      </c>
      <c r="L109">
        <v>1376.1998817046201</v>
      </c>
      <c r="M109">
        <v>22.100911930553998</v>
      </c>
      <c r="N109">
        <v>63.299828494323002</v>
      </c>
      <c r="O109">
        <v>61.765840393223698</v>
      </c>
      <c r="P109">
        <v>-7.5935910548317304E-2</v>
      </c>
      <c r="Q109">
        <v>0.151140457922287</v>
      </c>
      <c r="R109">
        <v>0.93382844094468398</v>
      </c>
      <c r="S109" t="s">
        <v>5970</v>
      </c>
      <c r="T109" t="s">
        <v>11720</v>
      </c>
      <c r="U109" t="s">
        <v>11720</v>
      </c>
      <c r="V109" t="s">
        <v>11720</v>
      </c>
      <c r="W109" t="s">
        <v>11829</v>
      </c>
      <c r="X109">
        <v>11</v>
      </c>
      <c r="Y109" t="s">
        <v>17623</v>
      </c>
      <c r="Z109" t="s">
        <v>23316</v>
      </c>
      <c r="AA109">
        <v>0.78401552052656742</v>
      </c>
      <c r="AB109" t="str">
        <f>HYPERLINK("Melting_Curves/meltCurve_B1AMS2_SEPT6.pdf", "Melting_Curves/meltCurve_B1AMS2_SEPT6.pdf")</f>
        <v>Melting_Curves/meltCurve_B1AMS2_SEPT6.pdf</v>
      </c>
    </row>
    <row r="110" spans="1:28" x14ac:dyDescent="0.25">
      <c r="A110" t="s">
        <v>114</v>
      </c>
      <c r="B110">
        <v>0.99334974765950101</v>
      </c>
      <c r="C110">
        <v>1.0055029631465999</v>
      </c>
      <c r="D110">
        <v>0.622317167029939</v>
      </c>
      <c r="E110">
        <v>0.36837593452915102</v>
      </c>
      <c r="F110">
        <v>0.30843744313848298</v>
      </c>
      <c r="G110">
        <v>0.15043506402470899</v>
      </c>
      <c r="H110">
        <v>0.113071314821466</v>
      </c>
      <c r="I110">
        <v>0.10243163929375</v>
      </c>
      <c r="J110">
        <v>4.5040752618797697E-2</v>
      </c>
      <c r="K110">
        <v>3.6920083892705499E-2</v>
      </c>
      <c r="L110">
        <v>786.79714281222005</v>
      </c>
      <c r="M110">
        <v>16.340130534806999</v>
      </c>
      <c r="N110">
        <v>48.592282756565702</v>
      </c>
      <c r="O110">
        <v>47.447357376553803</v>
      </c>
      <c r="P110">
        <v>-8.0168303787008899E-2</v>
      </c>
      <c r="Q110">
        <v>6.8918207643924201E-2</v>
      </c>
      <c r="R110">
        <v>0.97640435915782098</v>
      </c>
      <c r="S110" t="s">
        <v>5971</v>
      </c>
      <c r="T110" t="s">
        <v>11720</v>
      </c>
      <c r="U110" t="s">
        <v>11720</v>
      </c>
      <c r="V110" t="s">
        <v>11720</v>
      </c>
      <c r="W110" t="s">
        <v>11830</v>
      </c>
      <c r="X110">
        <v>1</v>
      </c>
      <c r="Y110" t="s">
        <v>17624</v>
      </c>
      <c r="Z110" t="s">
        <v>23317</v>
      </c>
      <c r="AA110">
        <v>0.3419567326100586</v>
      </c>
      <c r="AB110" t="str">
        <f>HYPERLINK("Melting_Curves/meltCurve_B1AMU7_EXOSC1.pdf", "Melting_Curves/meltCurve_B1AMU7_EXOSC1.pdf")</f>
        <v>Melting_Curves/meltCurve_B1AMU7_EXOSC1.pdf</v>
      </c>
    </row>
    <row r="111" spans="1:28" x14ac:dyDescent="0.25">
      <c r="A111" t="s">
        <v>115</v>
      </c>
      <c r="B111">
        <v>0.99334974765950101</v>
      </c>
      <c r="C111">
        <v>0.96485529547168303</v>
      </c>
      <c r="D111">
        <v>0.940280600935823</v>
      </c>
      <c r="E111">
        <v>0.95275737899997304</v>
      </c>
      <c r="F111">
        <v>1.05526477614036</v>
      </c>
      <c r="G111">
        <v>0.89453130623398802</v>
      </c>
      <c r="H111">
        <v>0.82183527576610205</v>
      </c>
      <c r="I111">
        <v>0.974624671706667</v>
      </c>
      <c r="J111">
        <v>0.79439714427881503</v>
      </c>
      <c r="K111">
        <v>0.66819760561492503</v>
      </c>
      <c r="L111">
        <v>679.47457995721504</v>
      </c>
      <c r="M111">
        <v>8.8429613690157005</v>
      </c>
      <c r="Q111">
        <v>0</v>
      </c>
      <c r="R111">
        <v>0.67428569618666201</v>
      </c>
      <c r="S111" t="s">
        <v>5972</v>
      </c>
      <c r="T111" t="s">
        <v>11720</v>
      </c>
      <c r="U111" t="s">
        <v>11720</v>
      </c>
      <c r="V111" t="s">
        <v>11720</v>
      </c>
      <c r="W111" t="s">
        <v>11831</v>
      </c>
      <c r="X111">
        <v>3</v>
      </c>
      <c r="Y111" t="s">
        <v>17625</v>
      </c>
      <c r="Z111" t="s">
        <v>23318</v>
      </c>
      <c r="AA111">
        <v>0.93007250826318311</v>
      </c>
      <c r="AB111" t="str">
        <f>HYPERLINK("Melting_Curves/meltCurve_B1AMW1_CD58.pdf", "Melting_Curves/meltCurve_B1AMW1_CD58.pdf")</f>
        <v>Melting_Curves/meltCurve_B1AMW1_CD58.pdf</v>
      </c>
    </row>
    <row r="112" spans="1:28" x14ac:dyDescent="0.25">
      <c r="A112" t="s">
        <v>116</v>
      </c>
      <c r="B112">
        <v>0.99334974765950101</v>
      </c>
      <c r="C112">
        <v>0.969439128560037</v>
      </c>
      <c r="D112">
        <v>0.70338127796350702</v>
      </c>
      <c r="E112">
        <v>0.62915434203114395</v>
      </c>
      <c r="F112">
        <v>0.60183535768937002</v>
      </c>
      <c r="G112">
        <v>0.50501821242140899</v>
      </c>
      <c r="H112">
        <v>0.41529750676923299</v>
      </c>
      <c r="I112">
        <v>0.37464497769547001</v>
      </c>
      <c r="J112">
        <v>0.37888421622045698</v>
      </c>
      <c r="K112">
        <v>0.35372392954031501</v>
      </c>
      <c r="L112">
        <v>522.720065729667</v>
      </c>
      <c r="M112">
        <v>10.5418253853117</v>
      </c>
      <c r="N112">
        <v>55.474359168716497</v>
      </c>
      <c r="O112">
        <v>47.9007559307273</v>
      </c>
      <c r="P112">
        <v>-3.6508008544960398E-2</v>
      </c>
      <c r="Q112">
        <v>0.33671199833632998</v>
      </c>
      <c r="R112">
        <v>0.959252813243476</v>
      </c>
      <c r="S112" t="s">
        <v>5973</v>
      </c>
      <c r="T112" t="s">
        <v>11720</v>
      </c>
      <c r="U112" t="s">
        <v>11720</v>
      </c>
      <c r="V112" t="s">
        <v>11720</v>
      </c>
      <c r="W112" t="s">
        <v>11832</v>
      </c>
      <c r="X112">
        <v>6</v>
      </c>
      <c r="Y112" t="s">
        <v>17626</v>
      </c>
      <c r="Z112" t="s">
        <v>23319</v>
      </c>
      <c r="AA112">
        <v>0.57736848875178792</v>
      </c>
      <c r="AB112" t="str">
        <f>HYPERLINK("Melting_Curves/meltCurve_B1AN89_EIF4G3.pdf", "Melting_Curves/meltCurve_B1AN89_EIF4G3.pdf")</f>
        <v>Melting_Curves/meltCurve_B1AN89_EIF4G3.pdf</v>
      </c>
    </row>
    <row r="113" spans="1:28" x14ac:dyDescent="0.25">
      <c r="A113" t="s">
        <v>117</v>
      </c>
      <c r="B113">
        <v>0.99334974765950101</v>
      </c>
      <c r="C113">
        <v>0.98712107253588899</v>
      </c>
      <c r="D113">
        <v>0.86000922034316096</v>
      </c>
      <c r="E113">
        <v>1.0053204364153201</v>
      </c>
      <c r="F113">
        <v>1.2519011321764599</v>
      </c>
      <c r="G113">
        <v>3.7166585446050302</v>
      </c>
      <c r="H113">
        <v>3.8619758963701099</v>
      </c>
      <c r="I113">
        <v>4.4113641742190897</v>
      </c>
      <c r="J113">
        <v>3.1278542309369799</v>
      </c>
      <c r="K113">
        <v>2.1208217775790401</v>
      </c>
      <c r="L113">
        <v>13249.1938185202</v>
      </c>
      <c r="M113">
        <v>250</v>
      </c>
      <c r="O113">
        <v>52.993383852644499</v>
      </c>
      <c r="P113">
        <v>0.58969625596485997</v>
      </c>
      <c r="Q113">
        <v>1.5</v>
      </c>
      <c r="R113">
        <v>-0.233322349958587</v>
      </c>
      <c r="S113" t="s">
        <v>5974</v>
      </c>
      <c r="T113" t="s">
        <v>11720</v>
      </c>
      <c r="U113" t="s">
        <v>11720</v>
      </c>
      <c r="V113" t="s">
        <v>11720</v>
      </c>
      <c r="W113" t="s">
        <v>11833</v>
      </c>
      <c r="X113">
        <v>1</v>
      </c>
      <c r="Y113" t="s">
        <v>17627</v>
      </c>
      <c r="Z113" t="s">
        <v>23320</v>
      </c>
      <c r="AA113">
        <v>1.2833405745074229</v>
      </c>
      <c r="AB113" t="str">
        <f>HYPERLINK("Melting_Curves/meltCurve_B1AN99_PRSS3.pdf", "Melting_Curves/meltCurve_B1AN99_PRSS3.pdf")</f>
        <v>Melting_Curves/meltCurve_B1AN99_PRSS3.pdf</v>
      </c>
    </row>
    <row r="114" spans="1:28" x14ac:dyDescent="0.25">
      <c r="A114" t="s">
        <v>118</v>
      </c>
      <c r="B114">
        <v>0.99334974765950101</v>
      </c>
      <c r="C114">
        <v>0.93968090758067702</v>
      </c>
      <c r="D114">
        <v>0.59701913875656598</v>
      </c>
      <c r="E114">
        <v>0.217553052764768</v>
      </c>
      <c r="F114">
        <v>0.10915044330699</v>
      </c>
      <c r="G114">
        <v>8.59329915830363E-2</v>
      </c>
      <c r="H114">
        <v>7.1492597328639301E-2</v>
      </c>
      <c r="I114">
        <v>5.8293608068790102E-2</v>
      </c>
      <c r="J114">
        <v>6.31365917608286E-2</v>
      </c>
      <c r="K114">
        <v>4.9010226784921097E-2</v>
      </c>
      <c r="L114">
        <v>1212.67765431415</v>
      </c>
      <c r="M114">
        <v>26.004603521022698</v>
      </c>
      <c r="N114">
        <v>46.886173836348199</v>
      </c>
      <c r="O114">
        <v>46.3600533722568</v>
      </c>
      <c r="P114">
        <v>-0.13105428961882201</v>
      </c>
      <c r="Q114">
        <v>6.5455854575297095E-2</v>
      </c>
      <c r="R114">
        <v>0.99855605192031904</v>
      </c>
      <c r="S114" t="s">
        <v>5975</v>
      </c>
      <c r="T114" t="s">
        <v>11720</v>
      </c>
      <c r="U114" t="s">
        <v>11720</v>
      </c>
      <c r="V114" t="s">
        <v>11720</v>
      </c>
      <c r="W114" t="s">
        <v>11834</v>
      </c>
      <c r="X114">
        <v>13</v>
      </c>
      <c r="Y114" t="s">
        <v>17628</v>
      </c>
      <c r="Z114" t="s">
        <v>23321</v>
      </c>
      <c r="AA114">
        <v>0.27979825524406221</v>
      </c>
      <c r="AB114" t="str">
        <f>HYPERLINK("Melting_Curves/meltCurve_B1ANH0_GUK1.pdf", "Melting_Curves/meltCurve_B1ANH0_GUK1.pdf")</f>
        <v>Melting_Curves/meltCurve_B1ANH0_GUK1.pdf</v>
      </c>
    </row>
    <row r="115" spans="1:28" x14ac:dyDescent="0.25">
      <c r="A115" t="s">
        <v>119</v>
      </c>
      <c r="B115">
        <v>0.99334974765950101</v>
      </c>
      <c r="C115">
        <v>1.11845270440817</v>
      </c>
      <c r="D115">
        <v>1.0656530489676099</v>
      </c>
      <c r="E115">
        <v>1.0319423784683399</v>
      </c>
      <c r="F115">
        <v>0.65322528227935095</v>
      </c>
      <c r="G115">
        <v>0.46492499462591502</v>
      </c>
      <c r="H115">
        <v>0.36267498057070002</v>
      </c>
      <c r="I115">
        <v>0.37674841973407103</v>
      </c>
      <c r="J115">
        <v>0.29089838741361301</v>
      </c>
      <c r="K115">
        <v>0.23408145093938301</v>
      </c>
      <c r="L115">
        <v>1680.91967504749</v>
      </c>
      <c r="M115">
        <v>31.3597841248978</v>
      </c>
      <c r="N115">
        <v>55.389353766118298</v>
      </c>
      <c r="O115">
        <v>53.384574974622602</v>
      </c>
      <c r="P115">
        <v>-0.10010849868379</v>
      </c>
      <c r="Q115">
        <v>0.31833453711264398</v>
      </c>
      <c r="R115">
        <v>0.95863698158526101</v>
      </c>
      <c r="S115" t="s">
        <v>5976</v>
      </c>
      <c r="T115" t="s">
        <v>11720</v>
      </c>
      <c r="U115" t="s">
        <v>11720</v>
      </c>
      <c r="V115" t="s">
        <v>11720</v>
      </c>
      <c r="W115" t="s">
        <v>11835</v>
      </c>
      <c r="X115">
        <v>2</v>
      </c>
      <c r="Y115" t="s">
        <v>17629</v>
      </c>
      <c r="Z115" t="s">
        <v>23322</v>
      </c>
      <c r="AA115">
        <v>0.63146895581223472</v>
      </c>
      <c r="AB115" t="str">
        <f>HYPERLINK("Melting_Curves/meltCurve_B1APM4_SOAT1.pdf", "Melting_Curves/meltCurve_B1APM4_SOAT1.pdf")</f>
        <v>Melting_Curves/meltCurve_B1APM4_SOAT1.pdf</v>
      </c>
    </row>
    <row r="116" spans="1:28" x14ac:dyDescent="0.25">
      <c r="A116" t="s">
        <v>120</v>
      </c>
      <c r="B116">
        <v>0.99334974765950101</v>
      </c>
      <c r="C116">
        <v>0.96021392496019797</v>
      </c>
      <c r="D116">
        <v>0.840424890207214</v>
      </c>
      <c r="E116">
        <v>0.77181454259401805</v>
      </c>
      <c r="F116">
        <v>0.65658586370036298</v>
      </c>
      <c r="G116">
        <v>0.61239734076660302</v>
      </c>
      <c r="H116">
        <v>0.67570189725070395</v>
      </c>
      <c r="I116">
        <v>0.87150943821194804</v>
      </c>
      <c r="J116">
        <v>0.85384301909165505</v>
      </c>
      <c r="K116">
        <v>0.81337004289153503</v>
      </c>
      <c r="L116">
        <v>1577.5818441756701</v>
      </c>
      <c r="M116">
        <v>34.927913635644799</v>
      </c>
      <c r="O116">
        <v>45.019513000520902</v>
      </c>
      <c r="P116">
        <v>-4.8566294198188198E-2</v>
      </c>
      <c r="Q116">
        <v>0.74960740642738499</v>
      </c>
      <c r="R116">
        <v>0.56232193329750801</v>
      </c>
      <c r="S116" t="s">
        <v>5977</v>
      </c>
      <c r="T116" t="s">
        <v>11720</v>
      </c>
      <c r="U116" t="s">
        <v>11720</v>
      </c>
      <c r="V116" t="s">
        <v>11720</v>
      </c>
      <c r="W116" t="s">
        <v>11836</v>
      </c>
      <c r="X116">
        <v>27</v>
      </c>
      <c r="Y116" t="s">
        <v>17630</v>
      </c>
      <c r="Z116" t="s">
        <v>23323</v>
      </c>
      <c r="AA116">
        <v>0.79384800922109311</v>
      </c>
      <c r="AB116" t="str">
        <f>HYPERLINK("Melting_Curves/meltCurve_B1AVU8_PSAP.pdf", "Melting_Curves/meltCurve_B1AVU8_PSAP.pdf")</f>
        <v>Melting_Curves/meltCurve_B1AVU8_PSAP.pdf</v>
      </c>
    </row>
    <row r="117" spans="1:28" x14ac:dyDescent="0.25">
      <c r="A117" t="s">
        <v>121</v>
      </c>
      <c r="B117">
        <v>0.99334974765950101</v>
      </c>
      <c r="C117">
        <v>0.84615362396193905</v>
      </c>
      <c r="D117">
        <v>0.81527813473746302</v>
      </c>
      <c r="E117">
        <v>0.33371484374089</v>
      </c>
      <c r="F117">
        <v>0.27340338581235901</v>
      </c>
      <c r="G117">
        <v>0.222257952982024</v>
      </c>
      <c r="H117">
        <v>0.176011108246932</v>
      </c>
      <c r="I117">
        <v>0.139816727873666</v>
      </c>
      <c r="J117">
        <v>9.5906580313158504E-2</v>
      </c>
      <c r="K117">
        <v>6.5140552984963296E-2</v>
      </c>
      <c r="L117">
        <v>889.15808189524296</v>
      </c>
      <c r="M117">
        <v>18.488105146418501</v>
      </c>
      <c r="N117">
        <v>48.815629103161797</v>
      </c>
      <c r="O117">
        <v>47.541447770623201</v>
      </c>
      <c r="P117">
        <v>-8.5593189067797601E-2</v>
      </c>
      <c r="Q117">
        <v>0.11964077950614301</v>
      </c>
      <c r="R117">
        <v>0.97574152339745202</v>
      </c>
      <c r="S117" t="s">
        <v>5978</v>
      </c>
      <c r="T117" t="s">
        <v>11720</v>
      </c>
      <c r="U117" t="s">
        <v>11720</v>
      </c>
      <c r="V117" t="s">
        <v>11720</v>
      </c>
      <c r="W117" t="s">
        <v>11837</v>
      </c>
      <c r="X117">
        <v>8</v>
      </c>
      <c r="Y117" t="s">
        <v>17631</v>
      </c>
      <c r="Z117" t="s">
        <v>23324</v>
      </c>
      <c r="AA117">
        <v>0.37187904197679289</v>
      </c>
      <c r="AB117" t="str">
        <f>HYPERLINK("Melting_Curves/meltCurve_B1AZV3_TAP1.pdf", "Melting_Curves/meltCurve_B1AZV3_TAP1.pdf")</f>
        <v>Melting_Curves/meltCurve_B1AZV3_TAP1.pdf</v>
      </c>
    </row>
    <row r="118" spans="1:28" x14ac:dyDescent="0.25">
      <c r="A118" t="s">
        <v>122</v>
      </c>
      <c r="B118">
        <v>0.99334974765950101</v>
      </c>
      <c r="C118">
        <v>1.0290542606172299</v>
      </c>
      <c r="D118">
        <v>1.04172380080592</v>
      </c>
      <c r="E118">
        <v>0.688203920572387</v>
      </c>
      <c r="F118">
        <v>0.35843823362086202</v>
      </c>
      <c r="G118">
        <v>0.24671739052635699</v>
      </c>
      <c r="H118">
        <v>0.19151382290555599</v>
      </c>
      <c r="I118">
        <v>0.13715003024542899</v>
      </c>
      <c r="J118">
        <v>0.15889838504904699</v>
      </c>
      <c r="K118">
        <v>8.9970424167909999E-2</v>
      </c>
      <c r="L118">
        <v>1521.6662651804099</v>
      </c>
      <c r="M118">
        <v>29.806909189102399</v>
      </c>
      <c r="N118">
        <v>51.686789605356502</v>
      </c>
      <c r="O118">
        <v>50.822665667962198</v>
      </c>
      <c r="P118">
        <v>-0.124114035564605</v>
      </c>
      <c r="Q118">
        <v>0.15351665156779401</v>
      </c>
      <c r="R118">
        <v>0.98938593981457801</v>
      </c>
      <c r="S118" t="s">
        <v>5979</v>
      </c>
      <c r="T118" t="s">
        <v>11720</v>
      </c>
      <c r="U118" t="s">
        <v>11720</v>
      </c>
      <c r="V118" t="s">
        <v>11720</v>
      </c>
      <c r="W118" t="s">
        <v>11838</v>
      </c>
      <c r="X118">
        <v>7</v>
      </c>
      <c r="Y118" t="s">
        <v>17632</v>
      </c>
      <c r="Z118" t="s">
        <v>23325</v>
      </c>
      <c r="AA118">
        <v>0.47072291796078852</v>
      </c>
      <c r="AB118" t="str">
        <f>HYPERLINK("Melting_Curves/meltCurve_B2WTI3_JMJD6.pdf", "Melting_Curves/meltCurve_B2WTI3_JMJD6.pdf")</f>
        <v>Melting_Curves/meltCurve_B2WTI3_JMJD6.pdf</v>
      </c>
    </row>
    <row r="119" spans="1:28" x14ac:dyDescent="0.25">
      <c r="A119" t="s">
        <v>123</v>
      </c>
      <c r="B119">
        <v>0.99334974765950101</v>
      </c>
      <c r="C119">
        <v>0.99111802459804199</v>
      </c>
      <c r="D119">
        <v>0.84617059867278899</v>
      </c>
      <c r="E119">
        <v>0.92421821198833398</v>
      </c>
      <c r="F119">
        <v>0.87778846115500697</v>
      </c>
      <c r="G119">
        <v>0.62487955530116801</v>
      </c>
      <c r="H119">
        <v>0.56551342871899002</v>
      </c>
      <c r="I119">
        <v>0.81913859918174703</v>
      </c>
      <c r="J119">
        <v>0.41502291145405701</v>
      </c>
      <c r="K119">
        <v>0.329483935983029</v>
      </c>
      <c r="L119">
        <v>420.098328121012</v>
      </c>
      <c r="M119">
        <v>6.3542175882126397</v>
      </c>
      <c r="N119">
        <v>66.113305405629703</v>
      </c>
      <c r="O119">
        <v>60.473853165621698</v>
      </c>
      <c r="P119">
        <v>-2.63376918555264E-2</v>
      </c>
      <c r="Q119">
        <v>0</v>
      </c>
      <c r="R119">
        <v>0.78280274020871199</v>
      </c>
      <c r="S119" t="s">
        <v>5980</v>
      </c>
      <c r="T119" t="s">
        <v>11720</v>
      </c>
      <c r="U119" t="s">
        <v>11720</v>
      </c>
      <c r="V119" t="s">
        <v>11720</v>
      </c>
      <c r="W119" t="s">
        <v>11839</v>
      </c>
      <c r="X119">
        <v>2</v>
      </c>
      <c r="Y119" t="s">
        <v>17633</v>
      </c>
      <c r="Z119" t="s">
        <v>23326</v>
      </c>
      <c r="AA119">
        <v>0.75162586489163996</v>
      </c>
      <c r="AB119" t="str">
        <f>HYPERLINK("Melting_Curves/meltCurve_B3KNQ0_CCDC92.pdf", "Melting_Curves/meltCurve_B3KNQ0_CCDC92.pdf")</f>
        <v>Melting_Curves/meltCurve_B3KNQ0_CCDC92.pdf</v>
      </c>
    </row>
    <row r="120" spans="1:28" x14ac:dyDescent="0.25">
      <c r="A120" t="s">
        <v>124</v>
      </c>
      <c r="B120">
        <v>0.99334974765950101</v>
      </c>
      <c r="C120">
        <v>1.0426368603178899</v>
      </c>
      <c r="D120">
        <v>1.3194208704795001</v>
      </c>
      <c r="E120">
        <v>2.8047223612394898</v>
      </c>
      <c r="F120">
        <v>1.3143159810368401</v>
      </c>
      <c r="G120">
        <v>0.72945716643473801</v>
      </c>
      <c r="H120">
        <v>0.389193941545044</v>
      </c>
      <c r="I120">
        <v>0.263605785844989</v>
      </c>
      <c r="J120">
        <v>0.15830340864100301</v>
      </c>
      <c r="K120">
        <v>0.129216520789036</v>
      </c>
      <c r="L120">
        <v>2239.66101026039</v>
      </c>
      <c r="M120">
        <v>38.0205710105149</v>
      </c>
      <c r="N120">
        <v>59.5717660273192</v>
      </c>
      <c r="O120">
        <v>58.744310940316097</v>
      </c>
      <c r="P120">
        <v>-0.13381828178396499</v>
      </c>
      <c r="Q120">
        <v>0.172969566863897</v>
      </c>
      <c r="R120">
        <v>0.40332463813205399</v>
      </c>
      <c r="S120" t="s">
        <v>5981</v>
      </c>
      <c r="T120" t="s">
        <v>11720</v>
      </c>
      <c r="U120" t="s">
        <v>11720</v>
      </c>
      <c r="V120" t="s">
        <v>11720</v>
      </c>
      <c r="W120" t="s">
        <v>11840</v>
      </c>
      <c r="X120">
        <v>12</v>
      </c>
      <c r="Y120" t="s">
        <v>17634</v>
      </c>
      <c r="Z120" t="s">
        <v>23327</v>
      </c>
      <c r="AA120">
        <v>0.69775578800750415</v>
      </c>
      <c r="AB120" t="str">
        <f>HYPERLINK("Melting_Curves/meltCurve_B3KS98_EIF3S3.pdf", "Melting_Curves/meltCurve_B3KS98_EIF3S3.pdf")</f>
        <v>Melting_Curves/meltCurve_B3KS98_EIF3S3.pdf</v>
      </c>
    </row>
    <row r="121" spans="1:28" x14ac:dyDescent="0.25">
      <c r="A121" t="s">
        <v>125</v>
      </c>
      <c r="B121">
        <v>0.99334974765950101</v>
      </c>
      <c r="C121">
        <v>0.95448072027617703</v>
      </c>
      <c r="D121">
        <v>0.92309359622403697</v>
      </c>
      <c r="E121">
        <v>0.72146775259384999</v>
      </c>
      <c r="F121">
        <v>0.228238956914327</v>
      </c>
      <c r="G121">
        <v>0.170164615003704</v>
      </c>
      <c r="H121">
        <v>0.11504984566142699</v>
      </c>
      <c r="I121">
        <v>0.102363985336948</v>
      </c>
      <c r="J121">
        <v>9.3765451710067005E-2</v>
      </c>
      <c r="K121">
        <v>8.1526214316443996E-2</v>
      </c>
      <c r="L121">
        <v>2132.6721437202</v>
      </c>
      <c r="M121">
        <v>41.9267485852723</v>
      </c>
      <c r="N121">
        <v>51.162872548713104</v>
      </c>
      <c r="O121">
        <v>50.751338502008998</v>
      </c>
      <c r="P121">
        <v>-0.184271541543435</v>
      </c>
      <c r="Q121">
        <v>0.10777658190758201</v>
      </c>
      <c r="R121">
        <v>0.99268972939769295</v>
      </c>
      <c r="S121" t="s">
        <v>5982</v>
      </c>
      <c r="T121" t="s">
        <v>11720</v>
      </c>
      <c r="U121" t="s">
        <v>11720</v>
      </c>
      <c r="V121" t="s">
        <v>11720</v>
      </c>
      <c r="W121" t="s">
        <v>11841</v>
      </c>
      <c r="X121">
        <v>11</v>
      </c>
      <c r="Y121" t="s">
        <v>17635</v>
      </c>
      <c r="Z121" t="s">
        <v>23328</v>
      </c>
      <c r="AA121">
        <v>0.43381185815517143</v>
      </c>
      <c r="AB121" t="str">
        <f>HYPERLINK("Melting_Curves/meltCurve_B3KSH1_EIF3F.pdf", "Melting_Curves/meltCurve_B3KSH1_EIF3F.pdf")</f>
        <v>Melting_Curves/meltCurve_B3KSH1_EIF3F.pdf</v>
      </c>
    </row>
    <row r="122" spans="1:28" x14ac:dyDescent="0.25">
      <c r="A122" t="s">
        <v>126</v>
      </c>
      <c r="B122">
        <v>0.99334974765950101</v>
      </c>
      <c r="C122">
        <v>1.04266512010016</v>
      </c>
      <c r="D122">
        <v>0.96937867684185997</v>
      </c>
      <c r="E122">
        <v>0.78642667898553498</v>
      </c>
      <c r="F122">
        <v>0.51676359093034197</v>
      </c>
      <c r="G122">
        <v>0.16875253963658399</v>
      </c>
      <c r="H122">
        <v>0.114460660274892</v>
      </c>
      <c r="I122">
        <v>9.0003343625787602E-2</v>
      </c>
      <c r="J122">
        <v>0.10341902711852401</v>
      </c>
      <c r="K122">
        <v>8.5592813641667098E-2</v>
      </c>
      <c r="L122">
        <v>1339.94181824113</v>
      </c>
      <c r="M122">
        <v>25.495321275345201</v>
      </c>
      <c r="N122">
        <v>52.941217711183803</v>
      </c>
      <c r="O122">
        <v>52.236237581049203</v>
      </c>
      <c r="P122">
        <v>-0.111699783227621</v>
      </c>
      <c r="Q122">
        <v>8.4584317321705793E-2</v>
      </c>
      <c r="R122">
        <v>0.99750750889066697</v>
      </c>
      <c r="S122" t="s">
        <v>5983</v>
      </c>
      <c r="T122" t="s">
        <v>11720</v>
      </c>
      <c r="U122" t="s">
        <v>11720</v>
      </c>
      <c r="V122" t="s">
        <v>11720</v>
      </c>
      <c r="W122" t="s">
        <v>11842</v>
      </c>
      <c r="X122">
        <v>20</v>
      </c>
      <c r="Y122" t="s">
        <v>17636</v>
      </c>
      <c r="Z122" t="s">
        <v>23329</v>
      </c>
      <c r="AA122">
        <v>0.47581931978406089</v>
      </c>
      <c r="AB122" t="str">
        <f>HYPERLINK("Melting_Curves/meltCurve_B3KSI9_LZTFL1.pdf", "Melting_Curves/meltCurve_B3KSI9_LZTFL1.pdf")</f>
        <v>Melting_Curves/meltCurve_B3KSI9_LZTFL1.pdf</v>
      </c>
    </row>
    <row r="123" spans="1:28" x14ac:dyDescent="0.25">
      <c r="A123" t="s">
        <v>127</v>
      </c>
      <c r="B123">
        <v>0.99334974765950101</v>
      </c>
      <c r="C123">
        <v>0.93010150115285095</v>
      </c>
      <c r="D123">
        <v>0.88927585655169605</v>
      </c>
      <c r="E123">
        <v>0.75814622890417405</v>
      </c>
      <c r="F123">
        <v>0.60545988260797101</v>
      </c>
      <c r="G123">
        <v>0.51111316771021797</v>
      </c>
      <c r="H123">
        <v>0.48249925342100403</v>
      </c>
      <c r="I123">
        <v>0.55962109073626098</v>
      </c>
      <c r="J123">
        <v>0.64631449412781306</v>
      </c>
      <c r="K123">
        <v>0.55570770379010004</v>
      </c>
      <c r="L123">
        <v>1002.12506916605</v>
      </c>
      <c r="M123">
        <v>20.537660103581501</v>
      </c>
      <c r="O123">
        <v>48.338964842750102</v>
      </c>
      <c r="P123">
        <v>-4.8208843764603201E-2</v>
      </c>
      <c r="Q123">
        <v>0.54614164344765603</v>
      </c>
      <c r="R123">
        <v>0.929362929929472</v>
      </c>
      <c r="S123" t="s">
        <v>5984</v>
      </c>
      <c r="T123" t="s">
        <v>11720</v>
      </c>
      <c r="U123" t="s">
        <v>11720</v>
      </c>
      <c r="V123" t="s">
        <v>11720</v>
      </c>
      <c r="W123" t="s">
        <v>11843</v>
      </c>
      <c r="X123">
        <v>17</v>
      </c>
      <c r="Y123" t="s">
        <v>17637</v>
      </c>
      <c r="Z123" t="s">
        <v>23330</v>
      </c>
      <c r="AA123">
        <v>0.68522345238740201</v>
      </c>
      <c r="AB123" t="str">
        <f>HYPERLINK("Melting_Curves/meltCurve_B3KTR6_MXRA8.pdf", "Melting_Curves/meltCurve_B3KTR6_MXRA8.pdf")</f>
        <v>Melting_Curves/meltCurve_B3KTR6_MXRA8.pdf</v>
      </c>
    </row>
    <row r="124" spans="1:28" x14ac:dyDescent="0.25">
      <c r="A124" t="s">
        <v>128</v>
      </c>
      <c r="B124">
        <v>0.99334974765950101</v>
      </c>
      <c r="C124">
        <v>1.16831720605699</v>
      </c>
      <c r="D124">
        <v>0.87645163168359497</v>
      </c>
      <c r="E124">
        <v>0.86101202080903405</v>
      </c>
      <c r="F124">
        <v>0.90938460338496596</v>
      </c>
      <c r="G124">
        <v>0.58194523135487197</v>
      </c>
      <c r="H124">
        <v>0.474081555541914</v>
      </c>
      <c r="I124">
        <v>0.27072308822819802</v>
      </c>
      <c r="J124">
        <v>0.16480473531204601</v>
      </c>
      <c r="K124">
        <v>0</v>
      </c>
      <c r="L124">
        <v>854.250938271736</v>
      </c>
      <c r="M124">
        <v>14.4020458536689</v>
      </c>
      <c r="N124">
        <v>59.314555055430603</v>
      </c>
      <c r="O124">
        <v>58.2061501841549</v>
      </c>
      <c r="P124">
        <v>-6.1865249636032002E-2</v>
      </c>
      <c r="Q124">
        <v>0</v>
      </c>
      <c r="R124">
        <v>0.94945272257101099</v>
      </c>
      <c r="S124" t="s">
        <v>5985</v>
      </c>
      <c r="T124" t="s">
        <v>11720</v>
      </c>
      <c r="U124" t="s">
        <v>11720</v>
      </c>
      <c r="V124" t="s">
        <v>11720</v>
      </c>
      <c r="W124" t="s">
        <v>11844</v>
      </c>
      <c r="X124">
        <v>2</v>
      </c>
      <c r="Y124" t="s">
        <v>17638</v>
      </c>
      <c r="Z124" t="s">
        <v>23331</v>
      </c>
      <c r="AA124">
        <v>0.65289777764252455</v>
      </c>
      <c r="AB124" t="str">
        <f>HYPERLINK("Melting_Curves/meltCurve_B3KUB4_CA12.pdf", "Melting_Curves/meltCurve_B3KUB4_CA12.pdf")</f>
        <v>Melting_Curves/meltCurve_B3KUB4_CA12.pdf</v>
      </c>
    </row>
    <row r="125" spans="1:28" x14ac:dyDescent="0.25">
      <c r="A125" t="s">
        <v>129</v>
      </c>
      <c r="B125">
        <v>0.99334974765950101</v>
      </c>
      <c r="C125">
        <v>0.93238226784688305</v>
      </c>
      <c r="D125">
        <v>0.88825654603907001</v>
      </c>
      <c r="E125">
        <v>0.91094007925853404</v>
      </c>
      <c r="F125">
        <v>0.78749020885899801</v>
      </c>
      <c r="G125">
        <v>0.641070144556938</v>
      </c>
      <c r="H125">
        <v>0.51201966077367</v>
      </c>
      <c r="I125">
        <v>0.31528491669179098</v>
      </c>
      <c r="J125">
        <v>0.21238019817805101</v>
      </c>
      <c r="K125">
        <v>0.11764728964109999</v>
      </c>
      <c r="L125">
        <v>667.39509762744399</v>
      </c>
      <c r="M125">
        <v>11.1561760905805</v>
      </c>
      <c r="N125">
        <v>59.8229261010542</v>
      </c>
      <c r="O125">
        <v>57.997310387796297</v>
      </c>
      <c r="P125">
        <v>-4.8104559951061297E-2</v>
      </c>
      <c r="Q125">
        <v>0</v>
      </c>
      <c r="R125">
        <v>0.98220592906895898</v>
      </c>
      <c r="S125" t="s">
        <v>5986</v>
      </c>
      <c r="T125" t="s">
        <v>11720</v>
      </c>
      <c r="U125" t="s">
        <v>11720</v>
      </c>
      <c r="V125" t="s">
        <v>11720</v>
      </c>
      <c r="W125" t="s">
        <v>11845</v>
      </c>
      <c r="X125">
        <v>6</v>
      </c>
      <c r="Y125" t="s">
        <v>17639</v>
      </c>
      <c r="Z125" t="s">
        <v>23332</v>
      </c>
      <c r="AA125">
        <v>0.66205541276368907</v>
      </c>
      <c r="AB125" t="str">
        <f>HYPERLINK("Melting_Curves/meltCurve_B3KUE5_PLTP.pdf", "Melting_Curves/meltCurve_B3KUE5_PLTP.pdf")</f>
        <v>Melting_Curves/meltCurve_B3KUE5_PLTP.pdf</v>
      </c>
    </row>
    <row r="126" spans="1:28" x14ac:dyDescent="0.25">
      <c r="A126" t="s">
        <v>130</v>
      </c>
      <c r="B126">
        <v>0.99334974765950101</v>
      </c>
      <c r="C126">
        <v>0.94447122381718196</v>
      </c>
      <c r="D126">
        <v>0.96404979480189501</v>
      </c>
      <c r="E126">
        <v>0.89969551552948501</v>
      </c>
      <c r="F126">
        <v>0.66763055111638203</v>
      </c>
      <c r="G126">
        <v>0.63034117756764996</v>
      </c>
      <c r="H126">
        <v>0.60134825334704201</v>
      </c>
      <c r="I126">
        <v>0.96662152970878701</v>
      </c>
      <c r="J126">
        <v>0.80607141302325003</v>
      </c>
      <c r="K126">
        <v>0.74934258706362</v>
      </c>
      <c r="L126">
        <v>12524.216255510601</v>
      </c>
      <c r="M126">
        <v>250</v>
      </c>
      <c r="O126">
        <v>50.093658482886802</v>
      </c>
      <c r="P126">
        <v>-0.32826938081044699</v>
      </c>
      <c r="Q126">
        <v>0.73689256873435105</v>
      </c>
      <c r="R126">
        <v>0.53140120776866195</v>
      </c>
      <c r="S126" t="s">
        <v>5987</v>
      </c>
      <c r="T126" t="s">
        <v>11720</v>
      </c>
      <c r="U126" t="s">
        <v>11720</v>
      </c>
      <c r="V126" t="s">
        <v>11720</v>
      </c>
      <c r="W126" t="s">
        <v>11846</v>
      </c>
      <c r="X126">
        <v>6</v>
      </c>
      <c r="Y126" t="s">
        <v>17640</v>
      </c>
      <c r="Z126" t="s">
        <v>23333</v>
      </c>
      <c r="AA126">
        <v>0.82546770826025739</v>
      </c>
      <c r="AB126" t="str">
        <f>HYPERLINK("Melting_Curves/meltCurve_B3KUK2_SOD2.pdf", "Melting_Curves/meltCurve_B3KUK2_SOD2.pdf")</f>
        <v>Melting_Curves/meltCurve_B3KUK2_SOD2.pdf</v>
      </c>
    </row>
    <row r="127" spans="1:28" x14ac:dyDescent="0.25">
      <c r="A127" t="s">
        <v>131</v>
      </c>
      <c r="B127">
        <v>0.99334974765950101</v>
      </c>
      <c r="C127">
        <v>0.957661884653906</v>
      </c>
      <c r="D127">
        <v>1.0782050909137499</v>
      </c>
      <c r="E127">
        <v>1.0455555607401601</v>
      </c>
      <c r="F127">
        <v>0.72255769175584195</v>
      </c>
      <c r="G127">
        <v>0.68267192255401998</v>
      </c>
      <c r="H127">
        <v>0.60316854003440701</v>
      </c>
      <c r="I127">
        <v>0.65043895794140905</v>
      </c>
      <c r="J127">
        <v>0.51877569736013496</v>
      </c>
      <c r="K127">
        <v>0.51234248456445097</v>
      </c>
      <c r="L127">
        <v>13209.4447766762</v>
      </c>
      <c r="M127">
        <v>250</v>
      </c>
      <c r="O127">
        <v>52.834399141677203</v>
      </c>
      <c r="P127">
        <v>-0.48088995186757899</v>
      </c>
      <c r="Q127">
        <v>0.59347950393034499</v>
      </c>
      <c r="R127">
        <v>0.92339334773165904</v>
      </c>
      <c r="S127" t="s">
        <v>5988</v>
      </c>
      <c r="T127" t="s">
        <v>11720</v>
      </c>
      <c r="U127" t="s">
        <v>11720</v>
      </c>
      <c r="V127" t="s">
        <v>11720</v>
      </c>
      <c r="W127" t="s">
        <v>11847</v>
      </c>
      <c r="X127">
        <v>1</v>
      </c>
      <c r="Y127" t="s">
        <v>17641</v>
      </c>
      <c r="Z127" t="s">
        <v>23334</v>
      </c>
      <c r="AA127">
        <v>0.76747787806089318</v>
      </c>
      <c r="AB127" t="str">
        <f>HYPERLINK("Melting_Curves/meltCurve_B3KV95_FBXO18.pdf", "Melting_Curves/meltCurve_B3KV95_FBXO18.pdf")</f>
        <v>Melting_Curves/meltCurve_B3KV95_FBXO18.pdf</v>
      </c>
    </row>
    <row r="128" spans="1:28" x14ac:dyDescent="0.25">
      <c r="A128" t="s">
        <v>132</v>
      </c>
      <c r="B128">
        <v>0.99334974765950101</v>
      </c>
      <c r="C128">
        <v>0.93556516878245799</v>
      </c>
      <c r="D128">
        <v>0.86907418965647498</v>
      </c>
      <c r="E128">
        <v>0.65638613902890997</v>
      </c>
      <c r="F128">
        <v>0.52631490849429696</v>
      </c>
      <c r="G128">
        <v>0.32504823043300302</v>
      </c>
      <c r="H128">
        <v>0.25039176327823598</v>
      </c>
      <c r="I128">
        <v>0.24976060035903999</v>
      </c>
      <c r="J128">
        <v>0.28300350183902601</v>
      </c>
      <c r="K128">
        <v>0.204315004479693</v>
      </c>
      <c r="L128">
        <v>754.30207708592502</v>
      </c>
      <c r="M128">
        <v>14.7938124259292</v>
      </c>
      <c r="N128">
        <v>52.957185951021103</v>
      </c>
      <c r="O128">
        <v>50.083215422779602</v>
      </c>
      <c r="P128">
        <v>-5.82279794956704E-2</v>
      </c>
      <c r="Q128">
        <v>0.21158035765196201</v>
      </c>
      <c r="R128">
        <v>0.99396493477922898</v>
      </c>
      <c r="S128" t="s">
        <v>5989</v>
      </c>
      <c r="T128" t="s">
        <v>11720</v>
      </c>
      <c r="U128" t="s">
        <v>11720</v>
      </c>
      <c r="V128" t="s">
        <v>11720</v>
      </c>
      <c r="W128" t="s">
        <v>11848</v>
      </c>
      <c r="X128">
        <v>1</v>
      </c>
      <c r="Y128" t="s">
        <v>17642</v>
      </c>
      <c r="Z128" t="s">
        <v>23335</v>
      </c>
      <c r="AA128">
        <v>0.51898765912279488</v>
      </c>
      <c r="AB128" t="str">
        <f>HYPERLINK("Melting_Curves/meltCurve_B3KVH8_PHF23.pdf", "Melting_Curves/meltCurve_B3KVH8_PHF23.pdf")</f>
        <v>Melting_Curves/meltCurve_B3KVH8_PHF23.pdf</v>
      </c>
    </row>
    <row r="129" spans="1:28" x14ac:dyDescent="0.25">
      <c r="A129" t="s">
        <v>133</v>
      </c>
      <c r="B129">
        <v>0.99334974765950101</v>
      </c>
      <c r="C129">
        <v>1.02335219128376</v>
      </c>
      <c r="D129">
        <v>1.2812601357167801</v>
      </c>
      <c r="E129">
        <v>0.89369804919101703</v>
      </c>
      <c r="F129">
        <v>0.36979743993108199</v>
      </c>
      <c r="G129">
        <v>0.23165495770383299</v>
      </c>
      <c r="H129">
        <v>0.13664460265542999</v>
      </c>
      <c r="I129">
        <v>9.6797242135122599E-2</v>
      </c>
      <c r="J129">
        <v>8.5319803482981793E-2</v>
      </c>
      <c r="K129">
        <v>7.5092206687085106E-2</v>
      </c>
      <c r="L129">
        <v>2481.0312946704298</v>
      </c>
      <c r="M129">
        <v>47.674495662571303</v>
      </c>
      <c r="N129">
        <v>52.343591948903502</v>
      </c>
      <c r="O129">
        <v>51.949741456294603</v>
      </c>
      <c r="P129">
        <v>-0.20179737919245</v>
      </c>
      <c r="Q129">
        <v>0.120426078850378</v>
      </c>
      <c r="R129">
        <v>0.95315656081493105</v>
      </c>
      <c r="S129" t="s">
        <v>5990</v>
      </c>
      <c r="T129" t="s">
        <v>11720</v>
      </c>
      <c r="U129" t="s">
        <v>11720</v>
      </c>
      <c r="V129" t="s">
        <v>11720</v>
      </c>
      <c r="W129" t="s">
        <v>11849</v>
      </c>
      <c r="X129">
        <v>15</v>
      </c>
      <c r="Y129" t="s">
        <v>17643</v>
      </c>
      <c r="Z129" t="s">
        <v>23336</v>
      </c>
      <c r="AA129">
        <v>0.47568135167777931</v>
      </c>
      <c r="AB129" t="str">
        <f>HYPERLINK("Melting_Curves/meltCurve_B3KXW5_AP1G1.pdf", "Melting_Curves/meltCurve_B3KXW5_AP1G1.pdf")</f>
        <v>Melting_Curves/meltCurve_B3KXW5_AP1G1.pdf</v>
      </c>
    </row>
    <row r="130" spans="1:28" x14ac:dyDescent="0.25">
      <c r="A130" t="s">
        <v>134</v>
      </c>
      <c r="B130">
        <v>0.99334974765950101</v>
      </c>
      <c r="C130">
        <v>1.03367292999448</v>
      </c>
      <c r="D130">
        <v>1.1363496251602501</v>
      </c>
      <c r="E130">
        <v>1.1918989921347301</v>
      </c>
      <c r="F130">
        <v>1.0715999515579999</v>
      </c>
      <c r="G130">
        <v>0.95552504397601201</v>
      </c>
      <c r="H130">
        <v>0.60254005850009296</v>
      </c>
      <c r="I130">
        <v>0.39337428814585501</v>
      </c>
      <c r="J130">
        <v>0.31334404401323002</v>
      </c>
      <c r="K130">
        <v>0.21344056032731501</v>
      </c>
      <c r="L130">
        <v>2054.1600395762598</v>
      </c>
      <c r="M130">
        <v>33.651973886931202</v>
      </c>
      <c r="N130">
        <v>62.271311815332197</v>
      </c>
      <c r="O130">
        <v>60.826951109255901</v>
      </c>
      <c r="P130">
        <v>-0.104730471487522</v>
      </c>
      <c r="Q130">
        <v>0.24278929959241299</v>
      </c>
      <c r="R130">
        <v>0.94636069523951105</v>
      </c>
      <c r="S130" t="s">
        <v>5991</v>
      </c>
      <c r="T130" t="s">
        <v>11720</v>
      </c>
      <c r="U130" t="s">
        <v>11720</v>
      </c>
      <c r="V130" t="s">
        <v>11720</v>
      </c>
      <c r="W130" t="s">
        <v>11850</v>
      </c>
      <c r="X130">
        <v>2</v>
      </c>
      <c r="Y130" t="s">
        <v>17644</v>
      </c>
      <c r="Z130" t="s">
        <v>23337</v>
      </c>
      <c r="AA130">
        <v>0.7775434750728375</v>
      </c>
      <c r="AB130" t="str">
        <f>HYPERLINK("Melting_Curves/meltCurve_B3KY94_CDIPT.pdf", "Melting_Curves/meltCurve_B3KY94_CDIPT.pdf")</f>
        <v>Melting_Curves/meltCurve_B3KY94_CDIPT.pdf</v>
      </c>
    </row>
    <row r="131" spans="1:28" x14ac:dyDescent="0.25">
      <c r="A131" t="s">
        <v>135</v>
      </c>
      <c r="B131">
        <v>0.99334974765950101</v>
      </c>
      <c r="C131">
        <v>0.78560182408684498</v>
      </c>
      <c r="D131">
        <v>0.56239413207160904</v>
      </c>
      <c r="E131">
        <v>0.37388698485609401</v>
      </c>
      <c r="F131">
        <v>0.38332114653184801</v>
      </c>
      <c r="G131">
        <v>0.23406042150287501</v>
      </c>
      <c r="H131">
        <v>0.17497390788224801</v>
      </c>
      <c r="I131">
        <v>0.17033640825527699</v>
      </c>
      <c r="J131">
        <v>0.14816807253424</v>
      </c>
      <c r="K131">
        <v>0.108937642498407</v>
      </c>
      <c r="L131">
        <v>580.902577822995</v>
      </c>
      <c r="M131">
        <v>12.3936447697037</v>
      </c>
      <c r="N131">
        <v>48.073492659379298</v>
      </c>
      <c r="O131">
        <v>45.700870153309801</v>
      </c>
      <c r="P131">
        <v>-5.8774178728668802E-2</v>
      </c>
      <c r="Q131">
        <v>0.13327810917587299</v>
      </c>
      <c r="R131">
        <v>0.97506134072881201</v>
      </c>
      <c r="S131" t="s">
        <v>5992</v>
      </c>
      <c r="T131" t="s">
        <v>11720</v>
      </c>
      <c r="U131" t="s">
        <v>11720</v>
      </c>
      <c r="V131" t="s">
        <v>11720</v>
      </c>
      <c r="W131" t="s">
        <v>11851</v>
      </c>
      <c r="X131">
        <v>1</v>
      </c>
      <c r="Y131" t="s">
        <v>17645</v>
      </c>
      <c r="Z131" t="s">
        <v>23338</v>
      </c>
      <c r="AA131">
        <v>0.36639424201334142</v>
      </c>
      <c r="AB131" t="str">
        <f>HYPERLINK("Melting_Curves/meltCurve_B4DDD2_DHFR.pdf", "Melting_Curves/meltCurve_B4DDD2_DHFR.pdf")</f>
        <v>Melting_Curves/meltCurve_B4DDD2_DHFR.pdf</v>
      </c>
    </row>
    <row r="132" spans="1:28" x14ac:dyDescent="0.25">
      <c r="A132" t="s">
        <v>136</v>
      </c>
      <c r="B132">
        <v>0.99334974765950101</v>
      </c>
      <c r="C132">
        <v>1.07289649860084</v>
      </c>
      <c r="D132">
        <v>0.93332643233502599</v>
      </c>
      <c r="E132">
        <v>0.65814030098991105</v>
      </c>
      <c r="F132">
        <v>0.25342471592675397</v>
      </c>
      <c r="G132">
        <v>0.156995045620202</v>
      </c>
      <c r="H132">
        <v>0.11066298482699601</v>
      </c>
      <c r="I132">
        <v>0.10936194942256899</v>
      </c>
      <c r="J132">
        <v>0.111972538464945</v>
      </c>
      <c r="K132">
        <v>0.108616694817394</v>
      </c>
      <c r="L132">
        <v>1717.8364541584799</v>
      </c>
      <c r="M132">
        <v>33.947672184187098</v>
      </c>
      <c r="N132">
        <v>50.986700823261501</v>
      </c>
      <c r="O132">
        <v>50.427846498590803</v>
      </c>
      <c r="P132">
        <v>-0.149304871321153</v>
      </c>
      <c r="Q132">
        <v>0.11285881962527899</v>
      </c>
      <c r="R132">
        <v>0.99469937914713502</v>
      </c>
      <c r="S132" t="s">
        <v>5993</v>
      </c>
      <c r="T132" t="s">
        <v>11720</v>
      </c>
      <c r="U132" t="s">
        <v>11720</v>
      </c>
      <c r="V132" t="s">
        <v>11720</v>
      </c>
      <c r="W132" t="s">
        <v>11852</v>
      </c>
      <c r="X132">
        <v>23</v>
      </c>
      <c r="Y132" t="s">
        <v>17646</v>
      </c>
      <c r="Z132" t="s">
        <v>23339</v>
      </c>
      <c r="AA132">
        <v>0.43070882092638019</v>
      </c>
      <c r="AB132" t="str">
        <f>HYPERLINK("Melting_Curves/meltCurve_B4DDF4_CNN2.pdf", "Melting_Curves/meltCurve_B4DDF4_CNN2.pdf")</f>
        <v>Melting_Curves/meltCurve_B4DDF4_CNN2.pdf</v>
      </c>
    </row>
    <row r="133" spans="1:28" x14ac:dyDescent="0.25">
      <c r="A133" t="s">
        <v>137</v>
      </c>
      <c r="B133">
        <v>0.99334974765950101</v>
      </c>
      <c r="C133">
        <v>0.91623980194462196</v>
      </c>
      <c r="D133">
        <v>0.91547414721140896</v>
      </c>
      <c r="E133">
        <v>0.48025487717959098</v>
      </c>
      <c r="F133">
        <v>0.135336176927256</v>
      </c>
      <c r="G133">
        <v>0.13653650214302901</v>
      </c>
      <c r="H133">
        <v>0.112318598622151</v>
      </c>
      <c r="I133">
        <v>0.11779656908908</v>
      </c>
      <c r="J133">
        <v>0.11257156152801399</v>
      </c>
      <c r="K133">
        <v>0.11424091210302</v>
      </c>
      <c r="L133">
        <v>1732.01490954973</v>
      </c>
      <c r="M133">
        <v>35.0842480337475</v>
      </c>
      <c r="N133">
        <v>49.720069037875199</v>
      </c>
      <c r="O133">
        <v>49.207746187445302</v>
      </c>
      <c r="P133">
        <v>-0.15860610738949901</v>
      </c>
      <c r="Q133">
        <v>0.110185081545855</v>
      </c>
      <c r="R133">
        <v>0.99259820266295395</v>
      </c>
      <c r="S133" t="s">
        <v>5994</v>
      </c>
      <c r="T133" t="s">
        <v>11720</v>
      </c>
      <c r="U133" t="s">
        <v>11720</v>
      </c>
      <c r="V133" t="s">
        <v>11720</v>
      </c>
      <c r="W133" t="s">
        <v>11770</v>
      </c>
      <c r="X133">
        <v>42</v>
      </c>
      <c r="Y133" t="s">
        <v>17647</v>
      </c>
      <c r="Z133" t="s">
        <v>23340</v>
      </c>
      <c r="AA133">
        <v>0.39198690716643969</v>
      </c>
      <c r="AB133" t="str">
        <f>HYPERLINK("Melting_Curves/meltCurve_B4DDF9_ANXA4.pdf", "Melting_Curves/meltCurve_B4DDF9_ANXA4.pdf")</f>
        <v>Melting_Curves/meltCurve_B4DDF9_ANXA4.pdf</v>
      </c>
    </row>
    <row r="134" spans="1:28" x14ac:dyDescent="0.25">
      <c r="A134" t="s">
        <v>138</v>
      </c>
      <c r="B134">
        <v>0.99334974765950101</v>
      </c>
      <c r="C134">
        <v>1.13771664632986</v>
      </c>
      <c r="D134">
        <v>1.18394863950373</v>
      </c>
      <c r="E134">
        <v>1.17768842097255</v>
      </c>
      <c r="F134">
        <v>0.99668927597659096</v>
      </c>
      <c r="G134">
        <v>1.0001282830376701</v>
      </c>
      <c r="H134">
        <v>0.520034793110287</v>
      </c>
      <c r="I134">
        <v>0.36636576022643602</v>
      </c>
      <c r="J134">
        <v>0.174365587756558</v>
      </c>
      <c r="K134">
        <v>0.110875087835606</v>
      </c>
      <c r="L134">
        <v>1977.3710738811601</v>
      </c>
      <c r="M134">
        <v>32.314766834579402</v>
      </c>
      <c r="N134">
        <v>61.747749171194698</v>
      </c>
      <c r="O134">
        <v>60.958035618918203</v>
      </c>
      <c r="P134">
        <v>-0.115779609720605</v>
      </c>
      <c r="Q134">
        <v>0.12638535456363301</v>
      </c>
      <c r="R134">
        <v>0.93894211469618405</v>
      </c>
      <c r="S134" t="s">
        <v>5995</v>
      </c>
      <c r="T134" t="s">
        <v>11720</v>
      </c>
      <c r="U134" t="s">
        <v>11720</v>
      </c>
      <c r="V134" t="s">
        <v>11720</v>
      </c>
      <c r="W134" t="s">
        <v>11853</v>
      </c>
      <c r="X134">
        <v>1</v>
      </c>
      <c r="Y134" t="s">
        <v>17648</v>
      </c>
      <c r="Z134" t="s">
        <v>23341</v>
      </c>
      <c r="AA134">
        <v>0.74784236965370898</v>
      </c>
      <c r="AB134" t="str">
        <f>HYPERLINK("Melting_Curves/meltCurve_B4DE11_SLC35A2.pdf", "Melting_Curves/meltCurve_B4DE11_SLC35A2.pdf")</f>
        <v>Melting_Curves/meltCurve_B4DE11_SLC35A2.pdf</v>
      </c>
    </row>
    <row r="135" spans="1:28" x14ac:dyDescent="0.25">
      <c r="A135" t="s">
        <v>139</v>
      </c>
      <c r="B135">
        <v>0.99334974765950101</v>
      </c>
      <c r="C135">
        <v>1.03611917338939</v>
      </c>
      <c r="D135">
        <v>0.92939859592075902</v>
      </c>
      <c r="E135">
        <v>0.66372153985482296</v>
      </c>
      <c r="F135">
        <v>0.44047551621868802</v>
      </c>
      <c r="G135">
        <v>0.21024560857535601</v>
      </c>
      <c r="H135">
        <v>0.15144558548939599</v>
      </c>
      <c r="I135">
        <v>0.106725066970989</v>
      </c>
      <c r="J135">
        <v>9.4671842360573105E-2</v>
      </c>
      <c r="K135">
        <v>8.8950461769153097E-2</v>
      </c>
      <c r="L135">
        <v>1010.07803338036</v>
      </c>
      <c r="M135">
        <v>19.578779606138902</v>
      </c>
      <c r="N135">
        <v>52.123232103297198</v>
      </c>
      <c r="O135">
        <v>51.061285778776202</v>
      </c>
      <c r="P135">
        <v>-8.7169386056647105E-2</v>
      </c>
      <c r="Q135">
        <v>9.0684205063505594E-2</v>
      </c>
      <c r="R135">
        <v>0.99735229435731099</v>
      </c>
      <c r="S135" t="s">
        <v>5996</v>
      </c>
      <c r="T135" t="s">
        <v>11720</v>
      </c>
      <c r="U135" t="s">
        <v>11720</v>
      </c>
      <c r="V135" t="s">
        <v>11720</v>
      </c>
      <c r="W135" t="s">
        <v>11854</v>
      </c>
      <c r="X135">
        <v>3</v>
      </c>
      <c r="Y135" t="s">
        <v>17649</v>
      </c>
      <c r="Z135" t="s">
        <v>23342</v>
      </c>
      <c r="AA135">
        <v>0.45509649842498479</v>
      </c>
      <c r="AB135" t="str">
        <f>HYPERLINK("Melting_Curves/meltCurve_B4DEX5_PRNPIP.pdf", "Melting_Curves/meltCurve_B4DEX5_PRNPIP.pdf")</f>
        <v>Melting_Curves/meltCurve_B4DEX5_PRNPIP.pdf</v>
      </c>
    </row>
    <row r="136" spans="1:28" x14ac:dyDescent="0.25">
      <c r="A136" t="s">
        <v>140</v>
      </c>
      <c r="B136">
        <v>0.99334974765950101</v>
      </c>
      <c r="C136">
        <v>0.82764926316743903</v>
      </c>
      <c r="D136">
        <v>0.837428137672101</v>
      </c>
      <c r="E136">
        <v>0.85369583076407696</v>
      </c>
      <c r="F136">
        <v>1.0083688849063701</v>
      </c>
      <c r="G136">
        <v>0.65933043898293098</v>
      </c>
      <c r="H136">
        <v>0.25006184070688597</v>
      </c>
      <c r="I136">
        <v>0.17093341372626</v>
      </c>
      <c r="J136">
        <v>8.9634536060820197E-2</v>
      </c>
      <c r="K136">
        <v>6.9167609916534895E-2</v>
      </c>
      <c r="L136">
        <v>1701.5143593314899</v>
      </c>
      <c r="M136">
        <v>29.280776314129898</v>
      </c>
      <c r="N136">
        <v>58.448955097028403</v>
      </c>
      <c r="O136">
        <v>57.841266960928003</v>
      </c>
      <c r="P136">
        <v>-0.116682941973739</v>
      </c>
      <c r="Q136">
        <v>7.8024347380334605E-2</v>
      </c>
      <c r="R136">
        <v>0.93996885210226</v>
      </c>
      <c r="S136" t="s">
        <v>5997</v>
      </c>
      <c r="T136" t="s">
        <v>11720</v>
      </c>
      <c r="U136" t="s">
        <v>11720</v>
      </c>
      <c r="V136" t="s">
        <v>11720</v>
      </c>
      <c r="W136" t="s">
        <v>11855</v>
      </c>
      <c r="X136">
        <v>1</v>
      </c>
      <c r="Y136" t="s">
        <v>17650</v>
      </c>
      <c r="Z136" t="s">
        <v>23343</v>
      </c>
      <c r="AA136">
        <v>0.64089863632249378</v>
      </c>
      <c r="AB136" t="str">
        <f>HYPERLINK("Melting_Curves/meltCurve_B4DEZ3_NDUFA13.pdf", "Melting_Curves/meltCurve_B4DEZ3_NDUFA13.pdf")</f>
        <v>Melting_Curves/meltCurve_B4DEZ3_NDUFA13.pdf</v>
      </c>
    </row>
    <row r="137" spans="1:28" x14ac:dyDescent="0.25">
      <c r="A137" t="s">
        <v>141</v>
      </c>
      <c r="B137">
        <v>0.99334974765950101</v>
      </c>
      <c r="C137">
        <v>1.01589378897018</v>
      </c>
      <c r="D137">
        <v>0.79056205353627895</v>
      </c>
      <c r="E137">
        <v>0.493680595974266</v>
      </c>
      <c r="F137">
        <v>0.45549823409402401</v>
      </c>
      <c r="G137">
        <v>0.30577982781193902</v>
      </c>
      <c r="H137">
        <v>0.227748148996643</v>
      </c>
      <c r="I137">
        <v>0.22787263831813401</v>
      </c>
      <c r="J137">
        <v>0.23382567639415999</v>
      </c>
      <c r="K137">
        <v>0.20333421903834001</v>
      </c>
      <c r="L137">
        <v>833.62987813134396</v>
      </c>
      <c r="M137">
        <v>16.978239023242001</v>
      </c>
      <c r="N137">
        <v>50.818955258274102</v>
      </c>
      <c r="O137">
        <v>48.433940404549503</v>
      </c>
      <c r="P137">
        <v>-6.8495697650677798E-2</v>
      </c>
      <c r="Q137">
        <v>0.218456185422996</v>
      </c>
      <c r="R137">
        <v>0.98418067838333301</v>
      </c>
      <c r="S137" t="s">
        <v>5998</v>
      </c>
      <c r="T137" t="s">
        <v>11720</v>
      </c>
      <c r="U137" t="s">
        <v>11720</v>
      </c>
      <c r="V137" t="s">
        <v>11720</v>
      </c>
      <c r="W137" t="s">
        <v>11856</v>
      </c>
      <c r="X137">
        <v>3</v>
      </c>
      <c r="Y137" t="s">
        <v>17651</v>
      </c>
      <c r="Z137" t="s">
        <v>23344</v>
      </c>
      <c r="AA137">
        <v>0.47068238135220802</v>
      </c>
      <c r="AB137" t="str">
        <f>HYPERLINK("Melting_Curves/meltCurve_B4DFG0_DEK.pdf", "Melting_Curves/meltCurve_B4DFG0_DEK.pdf")</f>
        <v>Melting_Curves/meltCurve_B4DFG0_DEK.pdf</v>
      </c>
    </row>
    <row r="138" spans="1:28" x14ac:dyDescent="0.25">
      <c r="A138" t="s">
        <v>142</v>
      </c>
      <c r="B138">
        <v>0.99334974765950101</v>
      </c>
      <c r="C138">
        <v>0.85713392552044598</v>
      </c>
      <c r="D138">
        <v>1.0645146068120499</v>
      </c>
      <c r="E138">
        <v>0.83521910115306397</v>
      </c>
      <c r="F138">
        <v>0.96087931291246698</v>
      </c>
      <c r="G138">
        <v>0.67525429529343095</v>
      </c>
      <c r="H138">
        <v>0.29828897205315802</v>
      </c>
      <c r="I138">
        <v>0.236062398914585</v>
      </c>
      <c r="J138">
        <v>0.214524153274604</v>
      </c>
      <c r="K138">
        <v>0</v>
      </c>
      <c r="L138">
        <v>1060.7906185280699</v>
      </c>
      <c r="M138">
        <v>17.983208693836598</v>
      </c>
      <c r="N138">
        <v>59.111298578732701</v>
      </c>
      <c r="O138">
        <v>58.2729327462025</v>
      </c>
      <c r="P138">
        <v>-7.5732552515082194E-2</v>
      </c>
      <c r="Q138">
        <v>1.8431263618803598E-2</v>
      </c>
      <c r="R138">
        <v>0.95080280946080797</v>
      </c>
      <c r="S138" t="s">
        <v>5999</v>
      </c>
      <c r="T138" t="s">
        <v>11720</v>
      </c>
      <c r="U138" t="s">
        <v>11720</v>
      </c>
      <c r="V138" t="s">
        <v>11720</v>
      </c>
      <c r="W138" t="s">
        <v>11857</v>
      </c>
      <c r="X138">
        <v>1</v>
      </c>
      <c r="Y138" t="s">
        <v>17652</v>
      </c>
      <c r="Z138" t="s">
        <v>23345</v>
      </c>
      <c r="AA138">
        <v>0.65011236366717351</v>
      </c>
      <c r="AB138" t="str">
        <f>HYPERLINK("Melting_Curves/meltCurve_B4DFZ9_PIGX.pdf", "Melting_Curves/meltCurve_B4DFZ9_PIGX.pdf")</f>
        <v>Melting_Curves/meltCurve_B4DFZ9_PIGX.pdf</v>
      </c>
    </row>
    <row r="139" spans="1:28" x14ac:dyDescent="0.25">
      <c r="A139" t="s">
        <v>143</v>
      </c>
      <c r="B139">
        <v>0.99334974765950101</v>
      </c>
      <c r="C139">
        <v>0.97323276888239796</v>
      </c>
      <c r="D139">
        <v>1.09710440401947</v>
      </c>
      <c r="E139">
        <v>1.34243959285706</v>
      </c>
      <c r="F139">
        <v>1.58311708461948</v>
      </c>
      <c r="G139">
        <v>1.4359988761409701</v>
      </c>
      <c r="H139">
        <v>0.83833316908822797</v>
      </c>
      <c r="I139">
        <v>0.37842808162633601</v>
      </c>
      <c r="J139">
        <v>0.172032888684578</v>
      </c>
      <c r="K139">
        <v>0.14555543071568999</v>
      </c>
      <c r="L139">
        <v>3554.5290128588899</v>
      </c>
      <c r="M139">
        <v>56.602889657765303</v>
      </c>
      <c r="N139">
        <v>63.191045699378897</v>
      </c>
      <c r="O139">
        <v>62.719421236633799</v>
      </c>
      <c r="P139">
        <v>-0.192117474673977</v>
      </c>
      <c r="Q139">
        <v>0.14848937458803199</v>
      </c>
      <c r="R139">
        <v>0.72204608059740605</v>
      </c>
      <c r="S139" t="s">
        <v>6000</v>
      </c>
      <c r="T139" t="s">
        <v>11720</v>
      </c>
      <c r="U139" t="s">
        <v>11720</v>
      </c>
      <c r="V139" t="s">
        <v>11720</v>
      </c>
      <c r="W139" t="s">
        <v>11858</v>
      </c>
      <c r="X139">
        <v>29</v>
      </c>
      <c r="Y139" t="s">
        <v>17653</v>
      </c>
      <c r="Z139" t="s">
        <v>23346</v>
      </c>
      <c r="AA139">
        <v>0.79728892665989237</v>
      </c>
      <c r="AB139" t="str">
        <f>HYPERLINK("Melting_Curves/meltCurve_B4DGU4_CTNNB1.pdf", "Melting_Curves/meltCurve_B4DGU4_CTNNB1.pdf")</f>
        <v>Melting_Curves/meltCurve_B4DGU4_CTNNB1.pdf</v>
      </c>
    </row>
    <row r="140" spans="1:28" x14ac:dyDescent="0.25">
      <c r="A140" t="s">
        <v>144</v>
      </c>
      <c r="B140">
        <v>0.99334974765950101</v>
      </c>
      <c r="C140">
        <v>1.0560585263803799</v>
      </c>
      <c r="D140">
        <v>0.99117425062922304</v>
      </c>
      <c r="E140">
        <v>1.2808712130715201</v>
      </c>
      <c r="F140">
        <v>1.68417378687028</v>
      </c>
      <c r="G140">
        <v>1.7321808563491199</v>
      </c>
      <c r="H140">
        <v>1.95950342129192</v>
      </c>
      <c r="I140">
        <v>2.0883053857353202</v>
      </c>
      <c r="J140">
        <v>1.9828493000081899</v>
      </c>
      <c r="K140">
        <v>1.4600222175158799</v>
      </c>
      <c r="L140">
        <v>12487.5880067174</v>
      </c>
      <c r="M140">
        <v>250</v>
      </c>
      <c r="O140">
        <v>49.947140762068798</v>
      </c>
      <c r="P140">
        <v>0.62566125455417299</v>
      </c>
      <c r="Q140">
        <v>1.5</v>
      </c>
      <c r="R140">
        <v>0.45998675722111998</v>
      </c>
      <c r="S140" t="s">
        <v>6001</v>
      </c>
      <c r="T140" t="s">
        <v>11720</v>
      </c>
      <c r="U140" t="s">
        <v>11720</v>
      </c>
      <c r="V140" t="s">
        <v>11720</v>
      </c>
      <c r="W140" t="s">
        <v>11859</v>
      </c>
      <c r="X140">
        <v>1</v>
      </c>
      <c r="Y140" t="s">
        <v>17654</v>
      </c>
      <c r="Z140" t="s">
        <v>23347</v>
      </c>
      <c r="AA140">
        <v>1.3341169685069689</v>
      </c>
      <c r="AB140" t="str">
        <f>HYPERLINK("Melting_Curves/meltCurve_B4DGV4_RYR2.pdf", "Melting_Curves/meltCurve_B4DGV4_RYR2.pdf")</f>
        <v>Melting_Curves/meltCurve_B4DGV4_RYR2.pdf</v>
      </c>
    </row>
    <row r="141" spans="1:28" x14ac:dyDescent="0.25">
      <c r="A141" t="s">
        <v>145</v>
      </c>
      <c r="B141">
        <v>0.99334974765950101</v>
      </c>
      <c r="C141">
        <v>1.04862742082375</v>
      </c>
      <c r="D141">
        <v>1.0325265116200699</v>
      </c>
      <c r="E141">
        <v>0.958335645136283</v>
      </c>
      <c r="F141">
        <v>0.44830635888445702</v>
      </c>
      <c r="G141">
        <v>0.25728610696430498</v>
      </c>
      <c r="H141">
        <v>0.18683384764163999</v>
      </c>
      <c r="I141">
        <v>0.19255823702889299</v>
      </c>
      <c r="J141">
        <v>0.231155458324725</v>
      </c>
      <c r="K141">
        <v>0.17824746081102</v>
      </c>
      <c r="L141">
        <v>3152.8597400430899</v>
      </c>
      <c r="M141">
        <v>60.3005219976055</v>
      </c>
      <c r="N141">
        <v>52.755489612730003</v>
      </c>
      <c r="O141">
        <v>52.228366128460202</v>
      </c>
      <c r="P141">
        <v>-0.228683489232306</v>
      </c>
      <c r="Q141">
        <v>0.207717625249771</v>
      </c>
      <c r="R141">
        <v>0.99474768919030998</v>
      </c>
      <c r="S141" t="s">
        <v>6002</v>
      </c>
      <c r="T141" t="s">
        <v>11720</v>
      </c>
      <c r="U141" t="s">
        <v>11720</v>
      </c>
      <c r="V141" t="s">
        <v>11720</v>
      </c>
      <c r="W141" t="s">
        <v>11860</v>
      </c>
      <c r="X141">
        <v>5</v>
      </c>
      <c r="Y141" t="s">
        <v>17655</v>
      </c>
      <c r="Z141" t="s">
        <v>23348</v>
      </c>
      <c r="AA141">
        <v>0.53343193213196161</v>
      </c>
      <c r="AB141" t="str">
        <f>HYPERLINK("Melting_Curves/meltCurve_B4DGX2_PIP4K2A.pdf", "Melting_Curves/meltCurve_B4DGX2_PIP4K2A.pdf")</f>
        <v>Melting_Curves/meltCurve_B4DGX2_PIP4K2A.pdf</v>
      </c>
    </row>
    <row r="142" spans="1:28" x14ac:dyDescent="0.25">
      <c r="A142" t="s">
        <v>146</v>
      </c>
      <c r="B142">
        <v>0.99334974765950101</v>
      </c>
      <c r="C142">
        <v>1.06881023080618</v>
      </c>
      <c r="D142">
        <v>0.97258629292510301</v>
      </c>
      <c r="E142">
        <v>0.67045517644966102</v>
      </c>
      <c r="F142">
        <v>0.30024846936917299</v>
      </c>
      <c r="G142">
        <v>0.184081398974556</v>
      </c>
      <c r="H142">
        <v>0.13746260125818999</v>
      </c>
      <c r="I142">
        <v>0.12748353022165601</v>
      </c>
      <c r="J142">
        <v>0.116883999719908</v>
      </c>
      <c r="K142">
        <v>0.106004917803399</v>
      </c>
      <c r="L142">
        <v>1623.4625028425501</v>
      </c>
      <c r="M142">
        <v>31.969864843988098</v>
      </c>
      <c r="N142">
        <v>51.249422588544</v>
      </c>
      <c r="O142">
        <v>50.583592439455302</v>
      </c>
      <c r="P142">
        <v>-0.13798867370329901</v>
      </c>
      <c r="Q142">
        <v>0.12668695696168</v>
      </c>
      <c r="R142">
        <v>0.99555178150427803</v>
      </c>
      <c r="S142" t="s">
        <v>6003</v>
      </c>
      <c r="T142" t="s">
        <v>11720</v>
      </c>
      <c r="U142" t="s">
        <v>11720</v>
      </c>
      <c r="V142" t="s">
        <v>11720</v>
      </c>
      <c r="W142" t="s">
        <v>11861</v>
      </c>
      <c r="X142">
        <v>13</v>
      </c>
      <c r="Y142" t="s">
        <v>17656</v>
      </c>
      <c r="Z142" t="s">
        <v>23349</v>
      </c>
      <c r="AA142">
        <v>0.44534199768678079</v>
      </c>
      <c r="AB142" t="str">
        <f>HYPERLINK("Melting_Curves/meltCurve_B4DH53_MAP1S.pdf", "Melting_Curves/meltCurve_B4DH53_MAP1S.pdf")</f>
        <v>Melting_Curves/meltCurve_B4DH53_MAP1S.pdf</v>
      </c>
    </row>
    <row r="143" spans="1:28" x14ac:dyDescent="0.25">
      <c r="A143" t="s">
        <v>147</v>
      </c>
      <c r="B143">
        <v>0.99334974765950101</v>
      </c>
      <c r="C143">
        <v>0.96018023768107597</v>
      </c>
      <c r="D143">
        <v>1.04769138885188</v>
      </c>
      <c r="E143">
        <v>0.61288583597647295</v>
      </c>
      <c r="F143">
        <v>0.27920463028787601</v>
      </c>
      <c r="G143">
        <v>0.18282233815475199</v>
      </c>
      <c r="H143">
        <v>0.13952683139354199</v>
      </c>
      <c r="I143">
        <v>0.115935451079222</v>
      </c>
      <c r="J143">
        <v>8.8717810228977997E-2</v>
      </c>
      <c r="K143">
        <v>9.3618853673673105E-2</v>
      </c>
      <c r="L143">
        <v>1723.411267043</v>
      </c>
      <c r="M143">
        <v>34.129866072711003</v>
      </c>
      <c r="N143">
        <v>50.907363953910597</v>
      </c>
      <c r="O143">
        <v>50.3232897023641</v>
      </c>
      <c r="P143">
        <v>-0.14910688465819</v>
      </c>
      <c r="Q143">
        <v>0.120592102072345</v>
      </c>
      <c r="R143">
        <v>0.99189945902573395</v>
      </c>
      <c r="S143" t="s">
        <v>6004</v>
      </c>
      <c r="T143" t="s">
        <v>11720</v>
      </c>
      <c r="U143" t="s">
        <v>11720</v>
      </c>
      <c r="V143" t="s">
        <v>11720</v>
      </c>
      <c r="W143" t="s">
        <v>11862</v>
      </c>
      <c r="X143">
        <v>2</v>
      </c>
      <c r="Y143" t="s">
        <v>17657</v>
      </c>
      <c r="Z143" t="s">
        <v>23350</v>
      </c>
      <c r="AA143">
        <v>0.4324867744478359</v>
      </c>
      <c r="AB143" t="str">
        <f>HYPERLINK("Melting_Curves/meltCurve_B4DHE1_RPS6KC1.pdf", "Melting_Curves/meltCurve_B4DHE1_RPS6KC1.pdf")</f>
        <v>Melting_Curves/meltCurve_B4DHE1_RPS6KC1.pdf</v>
      </c>
    </row>
    <row r="144" spans="1:28" x14ac:dyDescent="0.25">
      <c r="A144" t="s">
        <v>148</v>
      </c>
      <c r="B144">
        <v>0.99334974765950101</v>
      </c>
      <c r="C144">
        <v>1.0991031059776799</v>
      </c>
      <c r="D144">
        <v>0.915190522424009</v>
      </c>
      <c r="E144">
        <v>0.98544183146527897</v>
      </c>
      <c r="F144">
        <v>0.81838116663904004</v>
      </c>
      <c r="G144">
        <v>0.70641815952697096</v>
      </c>
      <c r="H144">
        <v>0.67405467884668302</v>
      </c>
      <c r="I144">
        <v>1.7060538730261501</v>
      </c>
      <c r="J144">
        <v>2.7387018076187402</v>
      </c>
      <c r="K144">
        <v>1.967113861616</v>
      </c>
      <c r="L144">
        <v>7104.7648360827498</v>
      </c>
      <c r="M144">
        <v>113.555212173184</v>
      </c>
      <c r="O144">
        <v>62.547208858001397</v>
      </c>
      <c r="P144">
        <v>0.22693899966515099</v>
      </c>
      <c r="Q144">
        <v>1.5</v>
      </c>
      <c r="R144">
        <v>0.48474690241942697</v>
      </c>
      <c r="S144" t="s">
        <v>6005</v>
      </c>
      <c r="T144" t="s">
        <v>11720</v>
      </c>
      <c r="U144" t="s">
        <v>11720</v>
      </c>
      <c r="V144" t="s">
        <v>11720</v>
      </c>
      <c r="W144" t="s">
        <v>11863</v>
      </c>
      <c r="X144">
        <v>7</v>
      </c>
      <c r="Y144" t="s">
        <v>17658</v>
      </c>
      <c r="Z144" t="s">
        <v>23351</v>
      </c>
      <c r="AA144">
        <v>1.123623546272895</v>
      </c>
      <c r="AB144" t="str">
        <f>HYPERLINK("Melting_Curves/meltCurve_B4DHJ7_BNIP3.pdf", "Melting_Curves/meltCurve_B4DHJ7_BNIP3.pdf")</f>
        <v>Melting_Curves/meltCurve_B4DHJ7_BNIP3.pdf</v>
      </c>
    </row>
    <row r="145" spans="1:28" x14ac:dyDescent="0.25">
      <c r="A145" t="s">
        <v>149</v>
      </c>
      <c r="B145">
        <v>0.99334974765950101</v>
      </c>
      <c r="C145">
        <v>1.10389318451966</v>
      </c>
      <c r="D145">
        <v>0.91862952833009603</v>
      </c>
      <c r="E145">
        <v>0.57048507650025204</v>
      </c>
      <c r="F145">
        <v>0.351417525710501</v>
      </c>
      <c r="G145">
        <v>0.40366797496368101</v>
      </c>
      <c r="H145">
        <v>0.21569117336723401</v>
      </c>
      <c r="I145">
        <v>0.19222072922679401</v>
      </c>
      <c r="J145">
        <v>5.1528628580422099E-2</v>
      </c>
      <c r="K145">
        <v>0.118768061118084</v>
      </c>
      <c r="L145">
        <v>899.408923750192</v>
      </c>
      <c r="M145">
        <v>17.7441853956168</v>
      </c>
      <c r="N145">
        <v>51.680692256345097</v>
      </c>
      <c r="O145">
        <v>50.056896906361999</v>
      </c>
      <c r="P145">
        <v>-7.5821329265900503E-2</v>
      </c>
      <c r="Q145">
        <v>0.14446741801274901</v>
      </c>
      <c r="R145">
        <v>0.95201353524394305</v>
      </c>
      <c r="S145" t="s">
        <v>6006</v>
      </c>
      <c r="T145" t="s">
        <v>11720</v>
      </c>
      <c r="U145" t="s">
        <v>11720</v>
      </c>
      <c r="V145" t="s">
        <v>11720</v>
      </c>
      <c r="W145" t="s">
        <v>11864</v>
      </c>
      <c r="X145">
        <v>1</v>
      </c>
      <c r="Y145" t="s">
        <v>17659</v>
      </c>
      <c r="Z145" t="s">
        <v>23352</v>
      </c>
      <c r="AA145">
        <v>0.46410319374100928</v>
      </c>
      <c r="AB145" t="str">
        <f>HYPERLINK("Melting_Curves/meltCurve_B4DHL3_LRRC28.pdf", "Melting_Curves/meltCurve_B4DHL3_LRRC28.pdf")</f>
        <v>Melting_Curves/meltCurve_B4DHL3_LRRC28.pdf</v>
      </c>
    </row>
    <row r="146" spans="1:28" x14ac:dyDescent="0.25">
      <c r="A146" t="s">
        <v>150</v>
      </c>
      <c r="B146">
        <v>0.99334974765950101</v>
      </c>
      <c r="C146">
        <v>0.97524211105500602</v>
      </c>
      <c r="D146">
        <v>0.96169199680752104</v>
      </c>
      <c r="E146">
        <v>1.1299560553835499</v>
      </c>
      <c r="F146">
        <v>1.4228091279528301</v>
      </c>
      <c r="G146">
        <v>1.07054574527587</v>
      </c>
      <c r="H146">
        <v>1.00979189999861</v>
      </c>
      <c r="I146">
        <v>1.48101877887385</v>
      </c>
      <c r="J146">
        <v>0.68285169106773702</v>
      </c>
      <c r="K146">
        <v>0.36654184273117602</v>
      </c>
      <c r="L146">
        <v>15000</v>
      </c>
      <c r="M146">
        <v>223.882728828756</v>
      </c>
      <c r="N146">
        <v>67.396850728766793</v>
      </c>
      <c r="O146">
        <v>66.994012599729899</v>
      </c>
      <c r="P146">
        <v>-0.52927476548519103</v>
      </c>
      <c r="Q146">
        <v>0.366485441479805</v>
      </c>
      <c r="R146">
        <v>0.53566392904295501</v>
      </c>
      <c r="S146" t="s">
        <v>6007</v>
      </c>
      <c r="T146" t="s">
        <v>11720</v>
      </c>
      <c r="U146" t="s">
        <v>11720</v>
      </c>
      <c r="V146" t="s">
        <v>11720</v>
      </c>
      <c r="W146" t="s">
        <v>11865</v>
      </c>
      <c r="X146">
        <v>3</v>
      </c>
      <c r="Y146" t="s">
        <v>17660</v>
      </c>
      <c r="Z146" t="s">
        <v>23353</v>
      </c>
      <c r="AA146">
        <v>0.93672748765602232</v>
      </c>
      <c r="AB146" t="str">
        <f>HYPERLINK("Melting_Curves/meltCurve_B4DHW1_TMEM165.pdf", "Melting_Curves/meltCurve_B4DHW1_TMEM165.pdf")</f>
        <v>Melting_Curves/meltCurve_B4DHW1_TMEM165.pdf</v>
      </c>
    </row>
    <row r="147" spans="1:28" x14ac:dyDescent="0.25">
      <c r="A147" t="s">
        <v>151</v>
      </c>
      <c r="B147">
        <v>0.99334974765950101</v>
      </c>
      <c r="C147">
        <v>0.95549761862086602</v>
      </c>
      <c r="D147">
        <v>0.86487759457004598</v>
      </c>
      <c r="E147">
        <v>0.75887391517831204</v>
      </c>
      <c r="F147">
        <v>0.758323076365779</v>
      </c>
      <c r="G147">
        <v>0.421762392474892</v>
      </c>
      <c r="H147">
        <v>0.24938819240863599</v>
      </c>
      <c r="I147">
        <v>0.13121900030901401</v>
      </c>
      <c r="J147">
        <v>7.4090647215335703E-2</v>
      </c>
      <c r="K147">
        <v>3.6790347640016298E-2</v>
      </c>
      <c r="L147">
        <v>736.41320501658902</v>
      </c>
      <c r="M147">
        <v>13.2092573545404</v>
      </c>
      <c r="N147">
        <v>55.749782695119897</v>
      </c>
      <c r="O147">
        <v>54.518513960719098</v>
      </c>
      <c r="P147">
        <v>-6.0582403089369602E-2</v>
      </c>
      <c r="Q147">
        <v>0</v>
      </c>
      <c r="R147">
        <v>0.98390693409279195</v>
      </c>
      <c r="S147" t="s">
        <v>6008</v>
      </c>
      <c r="T147" t="s">
        <v>11720</v>
      </c>
      <c r="U147" t="s">
        <v>11720</v>
      </c>
      <c r="V147" t="s">
        <v>11720</v>
      </c>
      <c r="W147" t="s">
        <v>11866</v>
      </c>
      <c r="X147">
        <v>10</v>
      </c>
      <c r="Y147" t="s">
        <v>17661</v>
      </c>
      <c r="Z147" t="s">
        <v>23354</v>
      </c>
      <c r="AA147">
        <v>0.54506103813146334</v>
      </c>
      <c r="AB147" t="str">
        <f>HYPERLINK("Melting_Curves/meltCurve_B4DJA5_RAB5A.pdf", "Melting_Curves/meltCurve_B4DJA5_RAB5A.pdf")</f>
        <v>Melting_Curves/meltCurve_B4DJA5_RAB5A.pdf</v>
      </c>
    </row>
    <row r="148" spans="1:28" x14ac:dyDescent="0.25">
      <c r="A148" t="s">
        <v>152</v>
      </c>
      <c r="B148">
        <v>0.99334974765950101</v>
      </c>
      <c r="C148">
        <v>1.0528948536074101</v>
      </c>
      <c r="D148">
        <v>1.1402344865510301</v>
      </c>
      <c r="E148">
        <v>1.5120985198687</v>
      </c>
      <c r="F148">
        <v>1.7227206216247199</v>
      </c>
      <c r="G148">
        <v>2.0567203966365102</v>
      </c>
      <c r="H148">
        <v>1.8417158549314401</v>
      </c>
      <c r="I148">
        <v>2.5211228524243201</v>
      </c>
      <c r="J148">
        <v>1.66275950072552</v>
      </c>
      <c r="K148">
        <v>1.6907295806278899</v>
      </c>
      <c r="L148">
        <v>4402.7765805680901</v>
      </c>
      <c r="M148">
        <v>94.772239012741693</v>
      </c>
      <c r="O148">
        <v>46.435718828771698</v>
      </c>
      <c r="P148">
        <v>0.25511675784361498</v>
      </c>
      <c r="Q148">
        <v>1.5</v>
      </c>
      <c r="R148">
        <v>0.21750945345954301</v>
      </c>
      <c r="S148" t="s">
        <v>6009</v>
      </c>
      <c r="T148" t="s">
        <v>11720</v>
      </c>
      <c r="U148" t="s">
        <v>11720</v>
      </c>
      <c r="V148" t="s">
        <v>11720</v>
      </c>
      <c r="W148" t="s">
        <v>11867</v>
      </c>
      <c r="X148">
        <v>8</v>
      </c>
      <c r="Y148" t="s">
        <v>17662</v>
      </c>
      <c r="Z148" t="s">
        <v>23355</v>
      </c>
      <c r="AA148">
        <v>1.392109372978791</v>
      </c>
      <c r="AB148" t="str">
        <f>HYPERLINK("Melting_Curves/meltCurve_B4DJP7_SNRPD3.pdf", "Melting_Curves/meltCurve_B4DJP7_SNRPD3.pdf")</f>
        <v>Melting_Curves/meltCurve_B4DJP7_SNRPD3.pdf</v>
      </c>
    </row>
    <row r="149" spans="1:28" x14ac:dyDescent="0.25">
      <c r="A149" t="s">
        <v>153</v>
      </c>
      <c r="B149">
        <v>0.99334974765950101</v>
      </c>
      <c r="C149">
        <v>0.97148363139235205</v>
      </c>
      <c r="D149">
        <v>1.01612165101944</v>
      </c>
      <c r="E149">
        <v>0.783773654498364</v>
      </c>
      <c r="F149">
        <v>0.35616064671521203</v>
      </c>
      <c r="G149">
        <v>0.18129682350211301</v>
      </c>
      <c r="H149">
        <v>9.6241454706127702E-2</v>
      </c>
      <c r="I149">
        <v>7.3082579257345903E-2</v>
      </c>
      <c r="J149">
        <v>6.90109221820389E-2</v>
      </c>
      <c r="K149">
        <v>5.3092478535575499E-2</v>
      </c>
      <c r="L149">
        <v>1637.1073408786899</v>
      </c>
      <c r="M149">
        <v>31.618517854033101</v>
      </c>
      <c r="N149">
        <v>52.062741551848099</v>
      </c>
      <c r="O149">
        <v>51.571063603656</v>
      </c>
      <c r="P149">
        <v>-0.14106200809219699</v>
      </c>
      <c r="Q149">
        <v>7.9693877566567803E-2</v>
      </c>
      <c r="R149">
        <v>0.99614108881341501</v>
      </c>
      <c r="S149" t="s">
        <v>6010</v>
      </c>
      <c r="T149" t="s">
        <v>11720</v>
      </c>
      <c r="U149" t="s">
        <v>11720</v>
      </c>
      <c r="V149" t="s">
        <v>11720</v>
      </c>
      <c r="W149" t="s">
        <v>11868</v>
      </c>
      <c r="X149">
        <v>18</v>
      </c>
      <c r="Y149" t="s">
        <v>17663</v>
      </c>
      <c r="Z149" t="s">
        <v>23356</v>
      </c>
      <c r="AA149">
        <v>0.44624811541647341</v>
      </c>
      <c r="AB149" t="str">
        <f>HYPERLINK("Melting_Curves/meltCurve_B4DJV2_CS.pdf", "Melting_Curves/meltCurve_B4DJV2_CS.pdf")</f>
        <v>Melting_Curves/meltCurve_B4DJV2_CS.pdf</v>
      </c>
    </row>
    <row r="150" spans="1:28" x14ac:dyDescent="0.25">
      <c r="A150" t="s">
        <v>154</v>
      </c>
      <c r="B150">
        <v>0.99334974765950101</v>
      </c>
      <c r="C150">
        <v>1.02494545422206</v>
      </c>
      <c r="D150">
        <v>0.92940333121102603</v>
      </c>
      <c r="E150">
        <v>0.98418303857120903</v>
      </c>
      <c r="F150">
        <v>0.99051029010910496</v>
      </c>
      <c r="G150">
        <v>0.84427272761868399</v>
      </c>
      <c r="H150">
        <v>0.73959624233496202</v>
      </c>
      <c r="I150">
        <v>0.58434355613629596</v>
      </c>
      <c r="J150">
        <v>0.52133040331974101</v>
      </c>
      <c r="K150">
        <v>0.45554488795819198</v>
      </c>
      <c r="L150">
        <v>990.30349244016702</v>
      </c>
      <c r="M150">
        <v>16.039104563466299</v>
      </c>
      <c r="N150">
        <v>67.593813851255206</v>
      </c>
      <c r="O150">
        <v>60.8071904563324</v>
      </c>
      <c r="P150">
        <v>-4.1200734324356302E-2</v>
      </c>
      <c r="Q150">
        <v>0.37525035724519801</v>
      </c>
      <c r="R150">
        <v>0.98151453432855595</v>
      </c>
      <c r="S150" t="s">
        <v>6011</v>
      </c>
      <c r="T150" t="s">
        <v>11720</v>
      </c>
      <c r="U150" t="s">
        <v>11720</v>
      </c>
      <c r="V150" t="s">
        <v>11720</v>
      </c>
      <c r="W150" t="s">
        <v>11869</v>
      </c>
      <c r="X150">
        <v>3</v>
      </c>
      <c r="Y150" t="s">
        <v>17664</v>
      </c>
      <c r="Z150" t="s">
        <v>23357</v>
      </c>
      <c r="AA150">
        <v>0.82825753022497195</v>
      </c>
      <c r="AB150" t="str">
        <f>HYPERLINK("Melting_Curves/meltCurve_B4DJZ1_SLC23A2.pdf", "Melting_Curves/meltCurve_B4DJZ1_SLC23A2.pdf")</f>
        <v>Melting_Curves/meltCurve_B4DJZ1_SLC23A2.pdf</v>
      </c>
    </row>
    <row r="151" spans="1:28" x14ac:dyDescent="0.25">
      <c r="A151" t="s">
        <v>155</v>
      </c>
      <c r="B151">
        <v>0.99334974765950101</v>
      </c>
      <c r="C151">
        <v>1.0578958131349501</v>
      </c>
      <c r="D151">
        <v>0.93318851141498804</v>
      </c>
      <c r="E151">
        <v>0.93986947377918395</v>
      </c>
      <c r="F151">
        <v>0.58888971807846102</v>
      </c>
      <c r="G151">
        <v>0.33186875067239502</v>
      </c>
      <c r="H151">
        <v>0.237725341612432</v>
      </c>
      <c r="I151">
        <v>0.143581475483816</v>
      </c>
      <c r="J151">
        <v>0.22213200407515299</v>
      </c>
      <c r="K151">
        <v>0.21541372059695801</v>
      </c>
      <c r="L151">
        <v>1581.30223882102</v>
      </c>
      <c r="M151">
        <v>29.7376892212923</v>
      </c>
      <c r="N151">
        <v>54.125121448845903</v>
      </c>
      <c r="O151">
        <v>52.936297198802102</v>
      </c>
      <c r="P151">
        <v>-0.111884936206017</v>
      </c>
      <c r="Q151">
        <v>0.203336314737462</v>
      </c>
      <c r="R151">
        <v>0.98748650360729795</v>
      </c>
      <c r="S151" t="s">
        <v>6012</v>
      </c>
      <c r="T151" t="s">
        <v>11720</v>
      </c>
      <c r="U151" t="s">
        <v>11720</v>
      </c>
      <c r="V151" t="s">
        <v>11720</v>
      </c>
      <c r="W151" t="s">
        <v>11870</v>
      </c>
      <c r="X151">
        <v>2</v>
      </c>
      <c r="Y151" t="s">
        <v>17665</v>
      </c>
      <c r="Z151" t="s">
        <v>23358</v>
      </c>
      <c r="AA151">
        <v>0.55847345194670517</v>
      </c>
      <c r="AB151" t="str">
        <f>HYPERLINK("Melting_Curves/meltCurve_B4DK95_ZYG11B.pdf", "Melting_Curves/meltCurve_B4DK95_ZYG11B.pdf")</f>
        <v>Melting_Curves/meltCurve_B4DK95_ZYG11B.pdf</v>
      </c>
    </row>
    <row r="152" spans="1:28" x14ac:dyDescent="0.25">
      <c r="A152" t="s">
        <v>156</v>
      </c>
      <c r="B152">
        <v>0.99334974765950101</v>
      </c>
      <c r="C152">
        <v>1.04346699078623</v>
      </c>
      <c r="D152">
        <v>1.04181913851713</v>
      </c>
      <c r="E152">
        <v>1.5228772859514701</v>
      </c>
      <c r="F152">
        <v>1.5105989943978499</v>
      </c>
      <c r="G152">
        <v>2.22994810697951</v>
      </c>
      <c r="H152">
        <v>2.1185208166044598</v>
      </c>
      <c r="I152">
        <v>1.64788743895389</v>
      </c>
      <c r="J152">
        <v>0.31895314903421601</v>
      </c>
      <c r="K152">
        <v>0.23956166384993899</v>
      </c>
      <c r="L152">
        <v>15000</v>
      </c>
      <c r="M152">
        <v>225.993225946097</v>
      </c>
      <c r="N152">
        <v>66.564370418255393</v>
      </c>
      <c r="O152">
        <v>66.368481857495993</v>
      </c>
      <c r="P152">
        <v>-0.64839721994700805</v>
      </c>
      <c r="Q152">
        <v>0.238328790331782</v>
      </c>
      <c r="R152">
        <v>8.1580215428062902E-2</v>
      </c>
      <c r="S152" t="s">
        <v>6013</v>
      </c>
      <c r="T152" t="s">
        <v>11720</v>
      </c>
      <c r="U152" t="s">
        <v>11720</v>
      </c>
      <c r="V152" t="s">
        <v>11720</v>
      </c>
      <c r="W152" t="s">
        <v>11871</v>
      </c>
      <c r="X152">
        <v>8</v>
      </c>
      <c r="Y152" t="s">
        <v>17666</v>
      </c>
      <c r="Z152" t="s">
        <v>23359</v>
      </c>
      <c r="AA152">
        <v>0.90803949419720253</v>
      </c>
      <c r="AB152" t="str">
        <f>HYPERLINK("Melting_Curves/meltCurve_B4DL14_ATP5C1.pdf", "Melting_Curves/meltCurve_B4DL14_ATP5C1.pdf")</f>
        <v>Melting_Curves/meltCurve_B4DL14_ATP5C1.pdf</v>
      </c>
    </row>
    <row r="153" spans="1:28" x14ac:dyDescent="0.25">
      <c r="A153" t="s">
        <v>157</v>
      </c>
      <c r="B153">
        <v>0.99334974765950101</v>
      </c>
      <c r="C153">
        <v>0.96407401527611003</v>
      </c>
      <c r="D153">
        <v>0.81250258609433901</v>
      </c>
      <c r="E153">
        <v>0.78297898570289903</v>
      </c>
      <c r="F153">
        <v>0.69289884618059305</v>
      </c>
      <c r="G153">
        <v>0.58248918078129397</v>
      </c>
      <c r="H153">
        <v>0.51810572526313803</v>
      </c>
      <c r="I153">
        <v>0.53195077032083804</v>
      </c>
      <c r="J153">
        <v>0.568260869690282</v>
      </c>
      <c r="K153">
        <v>0.50250261851592204</v>
      </c>
      <c r="L153">
        <v>584.74143441523597</v>
      </c>
      <c r="M153">
        <v>11.6577716779013</v>
      </c>
      <c r="O153">
        <v>48.751196949826202</v>
      </c>
      <c r="P153">
        <v>-3.00303878710995E-2</v>
      </c>
      <c r="Q153">
        <v>0.49780370710851302</v>
      </c>
      <c r="R153">
        <v>0.96974068474539699</v>
      </c>
      <c r="S153" t="s">
        <v>6014</v>
      </c>
      <c r="T153" t="s">
        <v>11720</v>
      </c>
      <c r="U153" t="s">
        <v>11720</v>
      </c>
      <c r="V153" t="s">
        <v>11720</v>
      </c>
      <c r="W153" t="s">
        <v>11872</v>
      </c>
      <c r="X153">
        <v>10</v>
      </c>
      <c r="Y153" t="s">
        <v>17667</v>
      </c>
      <c r="Z153" t="s">
        <v>23360</v>
      </c>
      <c r="AA153">
        <v>0.68586295196266578</v>
      </c>
      <c r="AB153" t="str">
        <f>HYPERLINK("Melting_Curves/meltCurve_B4DLE8_CRYBG3.pdf", "Melting_Curves/meltCurve_B4DLE8_CRYBG3.pdf")</f>
        <v>Melting_Curves/meltCurve_B4DLE8_CRYBG3.pdf</v>
      </c>
    </row>
    <row r="154" spans="1:28" x14ac:dyDescent="0.25">
      <c r="A154" t="s">
        <v>158</v>
      </c>
      <c r="B154">
        <v>0.99334974765950101</v>
      </c>
      <c r="C154">
        <v>0.96331243476497896</v>
      </c>
      <c r="D154">
        <v>0.85484322249066802</v>
      </c>
      <c r="E154">
        <v>0.65042588426449</v>
      </c>
      <c r="F154">
        <v>0.260201435160971</v>
      </c>
      <c r="G154">
        <v>0.14420866361034901</v>
      </c>
      <c r="H154">
        <v>0.11176778758261401</v>
      </c>
      <c r="I154">
        <v>8.6519306223209594E-2</v>
      </c>
      <c r="J154">
        <v>8.3447537941473499E-2</v>
      </c>
      <c r="K154">
        <v>5.4468513882790698E-2</v>
      </c>
      <c r="L154">
        <v>1126.4275424802299</v>
      </c>
      <c r="M154">
        <v>22.291639918997099</v>
      </c>
      <c r="N154">
        <v>50.884115325591502</v>
      </c>
      <c r="O154">
        <v>50.1300050846679</v>
      </c>
      <c r="P154">
        <v>-0.10321288567367599</v>
      </c>
      <c r="Q154">
        <v>7.1588660769555501E-2</v>
      </c>
      <c r="R154">
        <v>0.99258343411535699</v>
      </c>
      <c r="S154" t="s">
        <v>6015</v>
      </c>
      <c r="T154" t="s">
        <v>11720</v>
      </c>
      <c r="U154" t="s">
        <v>11720</v>
      </c>
      <c r="V154" t="s">
        <v>11720</v>
      </c>
      <c r="W154" t="s">
        <v>11873</v>
      </c>
      <c r="X154">
        <v>14</v>
      </c>
      <c r="Y154" t="s">
        <v>17668</v>
      </c>
      <c r="Z154" t="s">
        <v>23361</v>
      </c>
      <c r="AA154">
        <v>0.4079661938178602</v>
      </c>
      <c r="AB154" t="str">
        <f>HYPERLINK("Melting_Curves/meltCurve_B4DLR8_NQO1.pdf", "Melting_Curves/meltCurve_B4DLR8_NQO1.pdf")</f>
        <v>Melting_Curves/meltCurve_B4DLR8_NQO1.pdf</v>
      </c>
    </row>
    <row r="155" spans="1:28" x14ac:dyDescent="0.25">
      <c r="A155" t="s">
        <v>159</v>
      </c>
      <c r="B155">
        <v>0.99334974765950101</v>
      </c>
      <c r="C155">
        <v>0.91002870190687102</v>
      </c>
      <c r="D155">
        <v>0.87202908892395004</v>
      </c>
      <c r="E155">
        <v>0.67552432616844305</v>
      </c>
      <c r="F155">
        <v>0.31775893026290802</v>
      </c>
      <c r="G155">
        <v>0.39126286844075098</v>
      </c>
      <c r="H155">
        <v>0.32101660420244998</v>
      </c>
      <c r="I155">
        <v>0.302854205886184</v>
      </c>
      <c r="J155">
        <v>0.19035563970480401</v>
      </c>
      <c r="K155">
        <v>0.16035667731539199</v>
      </c>
      <c r="L155">
        <v>807.12627047246895</v>
      </c>
      <c r="M155">
        <v>16.117600311337402</v>
      </c>
      <c r="N155">
        <v>51.9725547866922</v>
      </c>
      <c r="O155">
        <v>49.325462224314698</v>
      </c>
      <c r="P155">
        <v>-6.3542509155171401E-2</v>
      </c>
      <c r="Q155">
        <v>0.22221056899322</v>
      </c>
      <c r="R155">
        <v>0.953863439475931</v>
      </c>
      <c r="S155" t="s">
        <v>6016</v>
      </c>
      <c r="T155" t="s">
        <v>11720</v>
      </c>
      <c r="U155" t="s">
        <v>11720</v>
      </c>
      <c r="V155" t="s">
        <v>11720</v>
      </c>
      <c r="W155" t="s">
        <v>11874</v>
      </c>
      <c r="X155">
        <v>11</v>
      </c>
      <c r="Y155" t="s">
        <v>17669</v>
      </c>
      <c r="Z155" t="s">
        <v>23362</v>
      </c>
      <c r="AA155">
        <v>0.49974527000678809</v>
      </c>
      <c r="AB155" t="str">
        <f>HYPERLINK("Melting_Curves/meltCurve_B4DLT4_RPS6KB1.pdf", "Melting_Curves/meltCurve_B4DLT4_RPS6KB1.pdf")</f>
        <v>Melting_Curves/meltCurve_B4DLT4_RPS6KB1.pdf</v>
      </c>
    </row>
    <row r="156" spans="1:28" x14ac:dyDescent="0.25">
      <c r="A156" t="s">
        <v>160</v>
      </c>
      <c r="B156">
        <v>0.99334974765950101</v>
      </c>
      <c r="C156">
        <v>0.97174104413235496</v>
      </c>
      <c r="D156">
        <v>0.936490555344344</v>
      </c>
      <c r="E156">
        <v>0.76513901633929904</v>
      </c>
      <c r="F156">
        <v>0.33616461664055097</v>
      </c>
      <c r="G156">
        <v>0.15474764996548299</v>
      </c>
      <c r="H156">
        <v>0.101151606486825</v>
      </c>
      <c r="I156">
        <v>9.7293509387031393E-2</v>
      </c>
      <c r="J156">
        <v>7.9412416632117205E-2</v>
      </c>
      <c r="K156">
        <v>5.8531040690794303E-2</v>
      </c>
      <c r="L156">
        <v>1594.2563472895599</v>
      </c>
      <c r="M156">
        <v>30.938082499031601</v>
      </c>
      <c r="N156">
        <v>51.842259185472898</v>
      </c>
      <c r="O156">
        <v>51.316713940165997</v>
      </c>
      <c r="P156">
        <v>-0.13793013726457501</v>
      </c>
      <c r="Q156">
        <v>8.4871891987528703E-2</v>
      </c>
      <c r="R156">
        <v>0.99679092166855399</v>
      </c>
      <c r="S156" t="s">
        <v>6017</v>
      </c>
      <c r="T156" t="s">
        <v>11720</v>
      </c>
      <c r="U156" t="s">
        <v>11720</v>
      </c>
      <c r="V156" t="s">
        <v>11720</v>
      </c>
      <c r="W156" t="s">
        <v>11875</v>
      </c>
      <c r="X156">
        <v>4</v>
      </c>
      <c r="Y156" t="s">
        <v>17670</v>
      </c>
      <c r="Z156" t="s">
        <v>23363</v>
      </c>
      <c r="AA156">
        <v>0.4420607927720297</v>
      </c>
      <c r="AB156" t="str">
        <f>HYPERLINK("Melting_Curves/meltCurve_B4DLU3_PGS1.pdf", "Melting_Curves/meltCurve_B4DLU3_PGS1.pdf")</f>
        <v>Melting_Curves/meltCurve_B4DLU3_PGS1.pdf</v>
      </c>
    </row>
    <row r="157" spans="1:28" x14ac:dyDescent="0.25">
      <c r="A157" t="s">
        <v>161</v>
      </c>
      <c r="B157">
        <v>0.99334974765950101</v>
      </c>
      <c r="C157">
        <v>0.97827123716891196</v>
      </c>
      <c r="D157">
        <v>0.78752710755130595</v>
      </c>
      <c r="E157">
        <v>0.55020305205196296</v>
      </c>
      <c r="F157">
        <v>0.25145853487492797</v>
      </c>
      <c r="G157">
        <v>0.149419091136472</v>
      </c>
      <c r="H157">
        <v>0.114332555227746</v>
      </c>
      <c r="I157">
        <v>0.113272357746335</v>
      </c>
      <c r="J157">
        <v>0.12472856643567801</v>
      </c>
      <c r="K157">
        <v>0.116943386914487</v>
      </c>
      <c r="L157">
        <v>981.78777075787002</v>
      </c>
      <c r="M157">
        <v>19.8733011520048</v>
      </c>
      <c r="N157">
        <v>49.983634469023002</v>
      </c>
      <c r="O157">
        <v>48.910302040749201</v>
      </c>
      <c r="P157">
        <v>-9.1102729883830502E-2</v>
      </c>
      <c r="Q157">
        <v>0.103176199746807</v>
      </c>
      <c r="R157">
        <v>0.99438896288396095</v>
      </c>
      <c r="S157" t="s">
        <v>6018</v>
      </c>
      <c r="T157" t="s">
        <v>11720</v>
      </c>
      <c r="U157" t="s">
        <v>11720</v>
      </c>
      <c r="V157" t="s">
        <v>11720</v>
      </c>
      <c r="W157" t="s">
        <v>11876</v>
      </c>
      <c r="X157">
        <v>9</v>
      </c>
      <c r="Y157" t="s">
        <v>17671</v>
      </c>
      <c r="Z157" t="s">
        <v>23364</v>
      </c>
      <c r="AA157">
        <v>0.39693401295242331</v>
      </c>
      <c r="AB157" t="str">
        <f>HYPERLINK("Melting_Curves/meltCurve_B4DP21_PTGES3.pdf", "Melting_Curves/meltCurve_B4DP21_PTGES3.pdf")</f>
        <v>Melting_Curves/meltCurve_B4DP21_PTGES3.pdf</v>
      </c>
    </row>
    <row r="158" spans="1:28" x14ac:dyDescent="0.25">
      <c r="A158" t="s">
        <v>162</v>
      </c>
      <c r="B158">
        <v>0.99334974765950101</v>
      </c>
      <c r="C158">
        <v>0.93836117376862005</v>
      </c>
      <c r="D158">
        <v>0.774950066014093</v>
      </c>
      <c r="E158">
        <v>0.50156320595384696</v>
      </c>
      <c r="F158">
        <v>0.26932242054740402</v>
      </c>
      <c r="G158">
        <v>0.14621548932116199</v>
      </c>
      <c r="H158">
        <v>0.107046136884629</v>
      </c>
      <c r="I158">
        <v>9.5189620108581896E-2</v>
      </c>
      <c r="J158">
        <v>8.9538535072801004E-2</v>
      </c>
      <c r="K158">
        <v>6.7188487249235401E-2</v>
      </c>
      <c r="L158">
        <v>853.05729047392902</v>
      </c>
      <c r="M158">
        <v>17.3049626353232</v>
      </c>
      <c r="N158">
        <v>49.737913947977198</v>
      </c>
      <c r="O158">
        <v>48.651375311505397</v>
      </c>
      <c r="P158">
        <v>-8.2585360801619004E-2</v>
      </c>
      <c r="Q158">
        <v>7.1327859658506507E-2</v>
      </c>
      <c r="R158">
        <v>0.99889950597029098</v>
      </c>
      <c r="S158" t="s">
        <v>6019</v>
      </c>
      <c r="T158" t="s">
        <v>11720</v>
      </c>
      <c r="U158" t="s">
        <v>11720</v>
      </c>
      <c r="V158" t="s">
        <v>11720</v>
      </c>
      <c r="W158" t="s">
        <v>11877</v>
      </c>
      <c r="X158">
        <v>7</v>
      </c>
      <c r="Y158" t="s">
        <v>17672</v>
      </c>
      <c r="Z158" t="s">
        <v>23365</v>
      </c>
      <c r="AA158">
        <v>0.37636029697527562</v>
      </c>
      <c r="AB158" t="str">
        <f>HYPERLINK("Melting_Curves/meltCurve_B4DPY5_SNX11.pdf", "Melting_Curves/meltCurve_B4DPY5_SNX11.pdf")</f>
        <v>Melting_Curves/meltCurve_B4DPY5_SNX11.pdf</v>
      </c>
    </row>
    <row r="159" spans="1:28" x14ac:dyDescent="0.25">
      <c r="A159" t="s">
        <v>163</v>
      </c>
      <c r="B159">
        <v>0.99334974765950101</v>
      </c>
      <c r="C159">
        <v>0.981586925517553</v>
      </c>
      <c r="D159">
        <v>0.96499686404988505</v>
      </c>
      <c r="E159">
        <v>0.97919223271595301</v>
      </c>
      <c r="F159">
        <v>0.79949605227436005</v>
      </c>
      <c r="G159">
        <v>0.745403077226934</v>
      </c>
      <c r="H159">
        <v>0.62595705512125199</v>
      </c>
      <c r="I159">
        <v>0.58850375344022199</v>
      </c>
      <c r="J159">
        <v>0.321154466169282</v>
      </c>
      <c r="K159">
        <v>0.30956711906308398</v>
      </c>
      <c r="L159">
        <v>587.05390854419397</v>
      </c>
      <c r="M159">
        <v>9.1741844328378797</v>
      </c>
      <c r="N159">
        <v>63.989756411264203</v>
      </c>
      <c r="O159">
        <v>61.169482863926902</v>
      </c>
      <c r="P159">
        <v>-3.7520262491385903E-2</v>
      </c>
      <c r="Q159">
        <v>0</v>
      </c>
      <c r="R159">
        <v>0.96527280663835202</v>
      </c>
      <c r="S159" t="s">
        <v>6020</v>
      </c>
      <c r="T159" t="s">
        <v>11720</v>
      </c>
      <c r="U159" t="s">
        <v>11720</v>
      </c>
      <c r="V159" t="s">
        <v>11720</v>
      </c>
      <c r="W159" t="s">
        <v>11878</v>
      </c>
      <c r="X159">
        <v>4</v>
      </c>
      <c r="Y159" t="s">
        <v>17673</v>
      </c>
      <c r="Z159" t="s">
        <v>23366</v>
      </c>
      <c r="AA159">
        <v>0.75043196107978904</v>
      </c>
      <c r="AB159" t="str">
        <f>HYPERLINK("Melting_Curves/meltCurve_B4DPY8_TOX4.pdf", "Melting_Curves/meltCurve_B4DPY8_TOX4.pdf")</f>
        <v>Melting_Curves/meltCurve_B4DPY8_TOX4.pdf</v>
      </c>
    </row>
    <row r="160" spans="1:28" x14ac:dyDescent="0.25">
      <c r="A160" t="s">
        <v>164</v>
      </c>
      <c r="B160">
        <v>0.99334974765950101</v>
      </c>
      <c r="C160">
        <v>1.0323402006961899</v>
      </c>
      <c r="D160">
        <v>0.93417071674524199</v>
      </c>
      <c r="E160">
        <v>0.68766290787495099</v>
      </c>
      <c r="F160">
        <v>0.34923451298081698</v>
      </c>
      <c r="G160">
        <v>0.17046554089000099</v>
      </c>
      <c r="H160">
        <v>0.134048399061347</v>
      </c>
      <c r="I160">
        <v>0.11830840390633</v>
      </c>
      <c r="J160">
        <v>0.130642822315578</v>
      </c>
      <c r="K160">
        <v>9.8476439874450303E-2</v>
      </c>
      <c r="L160">
        <v>1362.0428427813199</v>
      </c>
      <c r="M160">
        <v>26.6799957881382</v>
      </c>
      <c r="N160">
        <v>51.560808491444</v>
      </c>
      <c r="O160">
        <v>50.766872268129902</v>
      </c>
      <c r="P160">
        <v>-0.116156265677976</v>
      </c>
      <c r="Q160">
        <v>0.115917552120387</v>
      </c>
      <c r="R160">
        <v>0.99819485511521899</v>
      </c>
      <c r="S160" t="s">
        <v>6021</v>
      </c>
      <c r="T160" t="s">
        <v>11720</v>
      </c>
      <c r="U160" t="s">
        <v>11720</v>
      </c>
      <c r="V160" t="s">
        <v>11720</v>
      </c>
      <c r="W160" t="s">
        <v>11879</v>
      </c>
      <c r="X160">
        <v>17</v>
      </c>
      <c r="Y160" t="s">
        <v>17674</v>
      </c>
      <c r="Z160" t="s">
        <v>23367</v>
      </c>
      <c r="AA160">
        <v>0.44861498243359083</v>
      </c>
      <c r="AB160" t="str">
        <f>HYPERLINK("Melting_Curves/meltCurve_B4DQ14_EIF2A.pdf", "Melting_Curves/meltCurve_B4DQ14_EIF2A.pdf")</f>
        <v>Melting_Curves/meltCurve_B4DQ14_EIF2A.pdf</v>
      </c>
    </row>
    <row r="161" spans="1:28" x14ac:dyDescent="0.25">
      <c r="A161" t="s">
        <v>165</v>
      </c>
      <c r="B161">
        <v>0.99334974765950101</v>
      </c>
      <c r="C161">
        <v>1.0427282898542101</v>
      </c>
      <c r="D161">
        <v>0.87992350291659605</v>
      </c>
      <c r="E161">
        <v>1.11104267897816</v>
      </c>
      <c r="F161">
        <v>1.05382339200407</v>
      </c>
      <c r="G161">
        <v>0.94965756882984098</v>
      </c>
      <c r="H161">
        <v>0.817194579104498</v>
      </c>
      <c r="I161">
        <v>1.3731524875748</v>
      </c>
      <c r="J161">
        <v>1.14763168959262</v>
      </c>
      <c r="K161">
        <v>0.67942956608668004</v>
      </c>
      <c r="L161">
        <v>15000</v>
      </c>
      <c r="M161">
        <v>213.53446275156</v>
      </c>
      <c r="Q161">
        <v>0</v>
      </c>
      <c r="R161">
        <v>0.30970791212638898</v>
      </c>
      <c r="S161" t="s">
        <v>6022</v>
      </c>
      <c r="T161" t="s">
        <v>11720</v>
      </c>
      <c r="U161" t="s">
        <v>11720</v>
      </c>
      <c r="V161" t="s">
        <v>11720</v>
      </c>
      <c r="W161" t="s">
        <v>11880</v>
      </c>
      <c r="X161">
        <v>5</v>
      </c>
      <c r="Y161" t="s">
        <v>17675</v>
      </c>
      <c r="Z161" t="s">
        <v>23368</v>
      </c>
      <c r="AA161">
        <v>0.99583438473849584</v>
      </c>
      <c r="AB161" t="str">
        <f>HYPERLINK("Melting_Curves/meltCurve_B4DQ18_LPAR1.pdf", "Melting_Curves/meltCurve_B4DQ18_LPAR1.pdf")</f>
        <v>Melting_Curves/meltCurve_B4DQ18_LPAR1.pdf</v>
      </c>
    </row>
    <row r="162" spans="1:28" x14ac:dyDescent="0.25">
      <c r="A162" t="s">
        <v>166</v>
      </c>
      <c r="B162">
        <v>0.99334974765950101</v>
      </c>
      <c r="C162">
        <v>1.13421373875051</v>
      </c>
      <c r="D162">
        <v>0.89572113584296498</v>
      </c>
      <c r="E162">
        <v>1.10755320246763</v>
      </c>
      <c r="F162">
        <v>1.18659640496658</v>
      </c>
      <c r="G162">
        <v>0.98136927341387303</v>
      </c>
      <c r="H162">
        <v>0.947641182524675</v>
      </c>
      <c r="I162">
        <v>1.27074923927685</v>
      </c>
      <c r="J162">
        <v>1.10134450848194</v>
      </c>
      <c r="K162">
        <v>0.82573551212750695</v>
      </c>
      <c r="L162">
        <v>15000</v>
      </c>
      <c r="M162">
        <v>212.72994362610299</v>
      </c>
      <c r="Q162">
        <v>0</v>
      </c>
      <c r="R162">
        <v>6.1567315301489102E-2</v>
      </c>
      <c r="S162" t="s">
        <v>6023</v>
      </c>
      <c r="T162" t="s">
        <v>11720</v>
      </c>
      <c r="U162" t="s">
        <v>11720</v>
      </c>
      <c r="V162" t="s">
        <v>11720</v>
      </c>
      <c r="W162" t="s">
        <v>11881</v>
      </c>
      <c r="X162">
        <v>2</v>
      </c>
      <c r="Y162" t="s">
        <v>17676</v>
      </c>
      <c r="Z162" t="s">
        <v>23369</v>
      </c>
      <c r="AA162">
        <v>0.99793524347479357</v>
      </c>
      <c r="AB162" t="str">
        <f>HYPERLINK("Melting_Curves/meltCurve_B4DQ84_ZDHHC18.pdf", "Melting_Curves/meltCurve_B4DQ84_ZDHHC18.pdf")</f>
        <v>Melting_Curves/meltCurve_B4DQ84_ZDHHC18.pdf</v>
      </c>
    </row>
    <row r="163" spans="1:28" x14ac:dyDescent="0.25">
      <c r="A163" t="s">
        <v>167</v>
      </c>
      <c r="B163">
        <v>0.99334974765950101</v>
      </c>
      <c r="C163">
        <v>0.98368601539761102</v>
      </c>
      <c r="D163">
        <v>1.07447259620133</v>
      </c>
      <c r="E163">
        <v>1.00253202335622</v>
      </c>
      <c r="F163">
        <v>0.73684150578657304</v>
      </c>
      <c r="G163">
        <v>0.12089849252969501</v>
      </c>
      <c r="H163">
        <v>8.3770204699615297E-2</v>
      </c>
      <c r="I163">
        <v>6.20896692159984E-2</v>
      </c>
      <c r="J163">
        <v>5.6409286548201397E-2</v>
      </c>
      <c r="K163">
        <v>4.4433666884040497E-2</v>
      </c>
      <c r="L163">
        <v>2797.08112161708</v>
      </c>
      <c r="M163">
        <v>51.819640521565603</v>
      </c>
      <c r="N163">
        <v>54.114424039897202</v>
      </c>
      <c r="O163">
        <v>53.897033305833702</v>
      </c>
      <c r="P163">
        <v>-0.225569276125755</v>
      </c>
      <c r="Q163">
        <v>6.1552284127399902E-2</v>
      </c>
      <c r="R163">
        <v>0.99659144296337199</v>
      </c>
      <c r="S163" t="s">
        <v>6024</v>
      </c>
      <c r="T163" t="s">
        <v>11720</v>
      </c>
      <c r="U163" t="s">
        <v>11720</v>
      </c>
      <c r="V163" t="s">
        <v>11720</v>
      </c>
      <c r="W163" t="s">
        <v>11882</v>
      </c>
      <c r="X163">
        <v>33</v>
      </c>
      <c r="Y163" t="s">
        <v>17677</v>
      </c>
      <c r="Z163" t="s">
        <v>23370</v>
      </c>
      <c r="AA163">
        <v>0.50086157529402708</v>
      </c>
      <c r="AB163" t="str">
        <f>HYPERLINK("Melting_Curves/meltCurve_B4DQJ8_PGD.pdf", "Melting_Curves/meltCurve_B4DQJ8_PGD.pdf")</f>
        <v>Melting_Curves/meltCurve_B4DQJ8_PGD.pdf</v>
      </c>
    </row>
    <row r="164" spans="1:28" x14ac:dyDescent="0.25">
      <c r="A164" t="s">
        <v>168</v>
      </c>
      <c r="B164">
        <v>0.99334974765950101</v>
      </c>
      <c r="C164">
        <v>0.67696650254201396</v>
      </c>
      <c r="D164">
        <v>0.22197827311222099</v>
      </c>
      <c r="E164">
        <v>0.12589834591113</v>
      </c>
      <c r="F164">
        <v>0.10245081790143699</v>
      </c>
      <c r="G164">
        <v>6.7435462113185393E-2</v>
      </c>
      <c r="H164">
        <v>1.9389954932312499E-2</v>
      </c>
      <c r="I164">
        <v>2.3119230241675299E-2</v>
      </c>
      <c r="J164">
        <v>1.8967161903189599E-2</v>
      </c>
      <c r="K164">
        <v>0</v>
      </c>
      <c r="L164">
        <v>1351.48565474049</v>
      </c>
      <c r="M164">
        <v>30.795707476927799</v>
      </c>
      <c r="N164">
        <v>44.022302946314802</v>
      </c>
      <c r="O164">
        <v>43.701713388288702</v>
      </c>
      <c r="P164">
        <v>-0.16813298729974399</v>
      </c>
      <c r="Q164">
        <v>4.56258825600485E-2</v>
      </c>
      <c r="R164">
        <v>0.98796425699937496</v>
      </c>
      <c r="S164" t="s">
        <v>6025</v>
      </c>
      <c r="T164" t="s">
        <v>11720</v>
      </c>
      <c r="U164" t="s">
        <v>11720</v>
      </c>
      <c r="V164" t="s">
        <v>11720</v>
      </c>
      <c r="W164" t="s">
        <v>11883</v>
      </c>
      <c r="X164">
        <v>2</v>
      </c>
      <c r="Y164" t="s">
        <v>17678</v>
      </c>
      <c r="Z164" t="s">
        <v>23371</v>
      </c>
      <c r="AA164">
        <v>0.17589217726695619</v>
      </c>
      <c r="AB164" t="str">
        <f>HYPERLINK("Melting_Curves/meltCurve_B4DR03_NAA40.pdf", "Melting_Curves/meltCurve_B4DR03_NAA40.pdf")</f>
        <v>Melting_Curves/meltCurve_B4DR03_NAA40.pdf</v>
      </c>
    </row>
    <row r="165" spans="1:28" x14ac:dyDescent="0.25">
      <c r="A165" t="s">
        <v>169</v>
      </c>
      <c r="B165">
        <v>0.99334974765950101</v>
      </c>
      <c r="C165">
        <v>1.0895002981662201</v>
      </c>
      <c r="D165">
        <v>0.99645213527786303</v>
      </c>
      <c r="E165">
        <v>0.88129761190959799</v>
      </c>
      <c r="F165">
        <v>0.68892295761140498</v>
      </c>
      <c r="G165">
        <v>0.55131997907438801</v>
      </c>
      <c r="H165">
        <v>0.61124351198105098</v>
      </c>
      <c r="I165">
        <v>0.54679284645724602</v>
      </c>
      <c r="J165">
        <v>0.50749841983339505</v>
      </c>
      <c r="K165">
        <v>0.551254596970013</v>
      </c>
      <c r="L165">
        <v>1699.3447351667801</v>
      </c>
      <c r="M165">
        <v>32.9131628072846</v>
      </c>
      <c r="O165">
        <v>51.441675788225602</v>
      </c>
      <c r="P165">
        <v>-7.2059240562444796E-2</v>
      </c>
      <c r="Q165">
        <v>0.54950165033709397</v>
      </c>
      <c r="R165">
        <v>0.96962495316595299</v>
      </c>
      <c r="S165" t="s">
        <v>6026</v>
      </c>
      <c r="T165" t="s">
        <v>11720</v>
      </c>
      <c r="U165" t="s">
        <v>11720</v>
      </c>
      <c r="V165" t="s">
        <v>11720</v>
      </c>
      <c r="W165" t="s">
        <v>11884</v>
      </c>
      <c r="X165">
        <v>6</v>
      </c>
      <c r="Y165" t="s">
        <v>17679</v>
      </c>
      <c r="Z165" t="s">
        <v>23372</v>
      </c>
      <c r="AA165">
        <v>0.72654035837308817</v>
      </c>
      <c r="AB165" t="str">
        <f>HYPERLINK("Melting_Curves/meltCurve_B4DR52_HIST2H2BF.pdf", "Melting_Curves/meltCurve_B4DR52_HIST2H2BF.pdf")</f>
        <v>Melting_Curves/meltCurve_B4DR52_HIST2H2BF.pdf</v>
      </c>
    </row>
    <row r="166" spans="1:28" x14ac:dyDescent="0.25">
      <c r="A166" t="s">
        <v>170</v>
      </c>
      <c r="B166">
        <v>0.99334974765950101</v>
      </c>
      <c r="C166">
        <v>1.06495520628482</v>
      </c>
      <c r="D166">
        <v>1.11632348354105</v>
      </c>
      <c r="E166">
        <v>1.24243481302081</v>
      </c>
      <c r="F166">
        <v>1.1131149349621901</v>
      </c>
      <c r="G166">
        <v>1.0800661627339401</v>
      </c>
      <c r="H166">
        <v>0.83922321789295995</v>
      </c>
      <c r="I166">
        <v>0.99966833859045501</v>
      </c>
      <c r="J166">
        <v>0.36543666208975301</v>
      </c>
      <c r="K166">
        <v>0.117883294197681</v>
      </c>
      <c r="L166">
        <v>12521.6991570069</v>
      </c>
      <c r="M166">
        <v>187.83188115994301</v>
      </c>
      <c r="N166">
        <v>66.759863576851799</v>
      </c>
      <c r="O166">
        <v>66.656839660820907</v>
      </c>
      <c r="P166">
        <v>-0.62150834168048197</v>
      </c>
      <c r="Q166">
        <v>0.11776888913804801</v>
      </c>
      <c r="R166">
        <v>0.89766252922915502</v>
      </c>
      <c r="S166" t="s">
        <v>6027</v>
      </c>
      <c r="T166" t="s">
        <v>11720</v>
      </c>
      <c r="U166" t="s">
        <v>11720</v>
      </c>
      <c r="V166" t="s">
        <v>11720</v>
      </c>
      <c r="W166" t="s">
        <v>11885</v>
      </c>
      <c r="X166">
        <v>8</v>
      </c>
      <c r="Y166" t="s">
        <v>17680</v>
      </c>
      <c r="Z166" t="s">
        <v>23373</v>
      </c>
      <c r="AA166">
        <v>0.90208895543140721</v>
      </c>
      <c r="AB166" t="str">
        <f>HYPERLINK("Melting_Curves/meltCurve_B4DR61_SEC61A1.pdf", "Melting_Curves/meltCurve_B4DR61_SEC61A1.pdf")</f>
        <v>Melting_Curves/meltCurve_B4DR61_SEC61A1.pdf</v>
      </c>
    </row>
    <row r="167" spans="1:28" x14ac:dyDescent="0.25">
      <c r="A167" t="s">
        <v>171</v>
      </c>
      <c r="B167">
        <v>0.99334974765950101</v>
      </c>
      <c r="C167">
        <v>0.91863426717194396</v>
      </c>
      <c r="D167">
        <v>0.75028269434799499</v>
      </c>
      <c r="E167">
        <v>0.53283504299707596</v>
      </c>
      <c r="F167">
        <v>0.402769169260215</v>
      </c>
      <c r="G167">
        <v>0.29958997488623301</v>
      </c>
      <c r="H167">
        <v>0.279692819438847</v>
      </c>
      <c r="I167">
        <v>0.25688895470949502</v>
      </c>
      <c r="J167">
        <v>0.26452112166110903</v>
      </c>
      <c r="K167">
        <v>0.31101508562409402</v>
      </c>
      <c r="L167">
        <v>807.86890337653199</v>
      </c>
      <c r="M167">
        <v>16.7978363645733</v>
      </c>
      <c r="N167">
        <v>50.378656052734698</v>
      </c>
      <c r="O167">
        <v>47.4275359390885</v>
      </c>
      <c r="P167">
        <v>-6.4941972018543806E-2</v>
      </c>
      <c r="Q167">
        <v>0.26661073708824101</v>
      </c>
      <c r="R167">
        <v>0.995476385513554</v>
      </c>
      <c r="S167" t="s">
        <v>6028</v>
      </c>
      <c r="T167" t="s">
        <v>11720</v>
      </c>
      <c r="U167" t="s">
        <v>11720</v>
      </c>
      <c r="V167" t="s">
        <v>11720</v>
      </c>
      <c r="W167" t="s">
        <v>11886</v>
      </c>
      <c r="X167">
        <v>2</v>
      </c>
      <c r="Y167" t="s">
        <v>17681</v>
      </c>
      <c r="Z167" t="s">
        <v>23374</v>
      </c>
      <c r="AA167">
        <v>0.47943581299696231</v>
      </c>
      <c r="AB167" t="str">
        <f>HYPERLINK("Melting_Curves/meltCurve_B4DRC4_ASB6.pdf", "Melting_Curves/meltCurve_B4DRC4_ASB6.pdf")</f>
        <v>Melting_Curves/meltCurve_B4DRC4_ASB6.pdf</v>
      </c>
    </row>
    <row r="168" spans="1:28" x14ac:dyDescent="0.25">
      <c r="A168" t="s">
        <v>172</v>
      </c>
      <c r="B168">
        <v>0.99334974765950101</v>
      </c>
      <c r="C168">
        <v>0.95618769530339098</v>
      </c>
      <c r="D168">
        <v>1.0079596633594099</v>
      </c>
      <c r="E168">
        <v>0.84073618758177404</v>
      </c>
      <c r="F168">
        <v>0.50218329387976302</v>
      </c>
      <c r="G168">
        <v>0.185317509450107</v>
      </c>
      <c r="H168">
        <v>0.12883014655487199</v>
      </c>
      <c r="I168">
        <v>0.116229479597607</v>
      </c>
      <c r="J168">
        <v>0.10848719178336</v>
      </c>
      <c r="K168">
        <v>9.4666563763812203E-2</v>
      </c>
      <c r="L168">
        <v>1570.3749420915501</v>
      </c>
      <c r="M168">
        <v>29.8613520447105</v>
      </c>
      <c r="N168">
        <v>53.014018784470601</v>
      </c>
      <c r="O168">
        <v>52.354719314385498</v>
      </c>
      <c r="P168">
        <v>-0.12741006701713201</v>
      </c>
      <c r="Q168">
        <v>0.10647391645704</v>
      </c>
      <c r="R168">
        <v>0.99833981429190699</v>
      </c>
      <c r="S168" t="s">
        <v>6029</v>
      </c>
      <c r="T168" t="s">
        <v>11720</v>
      </c>
      <c r="U168" t="s">
        <v>11720</v>
      </c>
      <c r="V168" t="s">
        <v>11720</v>
      </c>
      <c r="W168" t="s">
        <v>11887</v>
      </c>
      <c r="X168">
        <v>12</v>
      </c>
      <c r="Y168" t="s">
        <v>17682</v>
      </c>
      <c r="Z168" t="s">
        <v>23375</v>
      </c>
      <c r="AA168">
        <v>0.48723668506881462</v>
      </c>
      <c r="AB168" t="str">
        <f>HYPERLINK("Melting_Curves/meltCurve_B4DRL9_CHM.pdf", "Melting_Curves/meltCurve_B4DRL9_CHM.pdf")</f>
        <v>Melting_Curves/meltCurve_B4DRL9_CHM.pdf</v>
      </c>
    </row>
    <row r="169" spans="1:28" x14ac:dyDescent="0.25">
      <c r="A169" t="s">
        <v>173</v>
      </c>
      <c r="B169">
        <v>0.99334974765950101</v>
      </c>
      <c r="C169">
        <v>0.80727653365142504</v>
      </c>
      <c r="D169">
        <v>0.39869234939551101</v>
      </c>
      <c r="E169">
        <v>0.23402967877453101</v>
      </c>
      <c r="F169">
        <v>0.12839364413507601</v>
      </c>
      <c r="G169">
        <v>5.7051503482069603E-2</v>
      </c>
      <c r="H169">
        <v>0.150938693990398</v>
      </c>
      <c r="I169">
        <v>0.15832077280034099</v>
      </c>
      <c r="J169">
        <v>7.6063834153875007E-2</v>
      </c>
      <c r="K169">
        <v>0.105034284274553</v>
      </c>
      <c r="L169">
        <v>1180.04648702799</v>
      </c>
      <c r="M169">
        <v>26.280596456874999</v>
      </c>
      <c r="N169">
        <v>45.359563104249197</v>
      </c>
      <c r="O169">
        <v>44.644249916448203</v>
      </c>
      <c r="P169">
        <v>-0.13002646597774201</v>
      </c>
      <c r="Q169">
        <v>0.116478192690148</v>
      </c>
      <c r="R169">
        <v>0.98584560804999399</v>
      </c>
      <c r="S169" t="s">
        <v>6030</v>
      </c>
      <c r="T169" t="s">
        <v>11720</v>
      </c>
      <c r="U169" t="s">
        <v>11720</v>
      </c>
      <c r="V169" t="s">
        <v>11720</v>
      </c>
      <c r="W169" t="s">
        <v>11888</v>
      </c>
      <c r="X169">
        <v>1</v>
      </c>
      <c r="Y169" t="s">
        <v>17683</v>
      </c>
      <c r="Z169" t="s">
        <v>23376</v>
      </c>
      <c r="AA169">
        <v>0.2687262494137091</v>
      </c>
      <c r="AB169" t="str">
        <f>HYPERLINK("Melting_Curves/meltCurve_B4DRV7_VDR.pdf", "Melting_Curves/meltCurve_B4DRV7_VDR.pdf")</f>
        <v>Melting_Curves/meltCurve_B4DRV7_VDR.pdf</v>
      </c>
    </row>
    <row r="170" spans="1:28" x14ac:dyDescent="0.25">
      <c r="A170" t="s">
        <v>174</v>
      </c>
      <c r="B170">
        <v>0.99334974765950101</v>
      </c>
      <c r="C170">
        <v>0.97392428853383795</v>
      </c>
      <c r="D170">
        <v>0.977407960029405</v>
      </c>
      <c r="E170">
        <v>1.05877267842772</v>
      </c>
      <c r="F170">
        <v>0.42945267408684801</v>
      </c>
      <c r="G170">
        <v>0.130415558970356</v>
      </c>
      <c r="H170">
        <v>8.9277228472763995E-2</v>
      </c>
      <c r="I170">
        <v>8.7635009283456702E-2</v>
      </c>
      <c r="J170">
        <v>9.6099935078861207E-2</v>
      </c>
      <c r="K170">
        <v>7.4890537465652399E-2</v>
      </c>
      <c r="L170">
        <v>13221.587428024999</v>
      </c>
      <c r="M170">
        <v>250</v>
      </c>
      <c r="N170">
        <v>52.931311564995603</v>
      </c>
      <c r="O170">
        <v>52.882948549171303</v>
      </c>
      <c r="P170">
        <v>-1.06879450075384</v>
      </c>
      <c r="Q170">
        <v>9.5663639070764805E-2</v>
      </c>
      <c r="R170">
        <v>0.99648733346401697</v>
      </c>
      <c r="S170" t="s">
        <v>6031</v>
      </c>
      <c r="T170" t="s">
        <v>11720</v>
      </c>
      <c r="U170" t="s">
        <v>11720</v>
      </c>
      <c r="V170" t="s">
        <v>11720</v>
      </c>
      <c r="W170" t="s">
        <v>11889</v>
      </c>
      <c r="X170">
        <v>4</v>
      </c>
      <c r="Y170" t="s">
        <v>17684</v>
      </c>
      <c r="Z170" t="s">
        <v>23377</v>
      </c>
      <c r="AA170">
        <v>0.48420072827421312</v>
      </c>
      <c r="AB170" t="str">
        <f>HYPERLINK("Melting_Curves/meltCurve_B4DSD4_C9orf41.pdf", "Melting_Curves/meltCurve_B4DSD4_C9orf41.pdf")</f>
        <v>Melting_Curves/meltCurve_B4DSD4_C9orf41.pdf</v>
      </c>
    </row>
    <row r="171" spans="1:28" x14ac:dyDescent="0.25">
      <c r="A171" t="s">
        <v>175</v>
      </c>
      <c r="B171">
        <v>0.99334974765950101</v>
      </c>
      <c r="C171">
        <v>0.96321401354051805</v>
      </c>
      <c r="D171">
        <v>0.83569532305760597</v>
      </c>
      <c r="E171">
        <v>0.480394007037791</v>
      </c>
      <c r="F171">
        <v>0.19391065096139901</v>
      </c>
      <c r="G171">
        <v>0.10999643754206501</v>
      </c>
      <c r="H171">
        <v>8.6120044131829998E-2</v>
      </c>
      <c r="I171">
        <v>7.5945228556156999E-2</v>
      </c>
      <c r="J171">
        <v>8.1826969589232398E-2</v>
      </c>
      <c r="K171">
        <v>7.0111496677410595E-2</v>
      </c>
      <c r="L171">
        <v>1142.1515353171999</v>
      </c>
      <c r="M171">
        <v>23.1880578110515</v>
      </c>
      <c r="N171">
        <v>49.584224930680797</v>
      </c>
      <c r="O171">
        <v>48.894097118811302</v>
      </c>
      <c r="P171">
        <v>-0.110129920397777</v>
      </c>
      <c r="Q171">
        <v>7.1142064842477606E-2</v>
      </c>
      <c r="R171">
        <v>0.99876166728434401</v>
      </c>
      <c r="S171" t="s">
        <v>6032</v>
      </c>
      <c r="T171" t="s">
        <v>11720</v>
      </c>
      <c r="U171" t="s">
        <v>11720</v>
      </c>
      <c r="V171" t="s">
        <v>11720</v>
      </c>
      <c r="W171" t="s">
        <v>11890</v>
      </c>
      <c r="X171">
        <v>8</v>
      </c>
      <c r="Y171" t="s">
        <v>17685</v>
      </c>
      <c r="Z171" t="s">
        <v>23378</v>
      </c>
      <c r="AA171">
        <v>0.36734376124092738</v>
      </c>
      <c r="AB171" t="str">
        <f>HYPERLINK("Melting_Curves/meltCurve_B4DSS5_KIAA0513.pdf", "Melting_Curves/meltCurve_B4DSS5_KIAA0513.pdf")</f>
        <v>Melting_Curves/meltCurve_B4DSS5_KIAA0513.pdf</v>
      </c>
    </row>
    <row r="172" spans="1:28" x14ac:dyDescent="0.25">
      <c r="A172" t="s">
        <v>176</v>
      </c>
      <c r="B172">
        <v>0.99334974765950101</v>
      </c>
      <c r="C172">
        <v>0.98085178350264601</v>
      </c>
      <c r="D172">
        <v>0.92834986460714197</v>
      </c>
      <c r="E172">
        <v>0.728121226693075</v>
      </c>
      <c r="F172">
        <v>0.19398438639504301</v>
      </c>
      <c r="G172">
        <v>0.12691266807916601</v>
      </c>
      <c r="H172">
        <v>9.8854313310884206E-2</v>
      </c>
      <c r="I172">
        <v>8.0836821568616005E-2</v>
      </c>
      <c r="J172">
        <v>7.4824723714665406E-2</v>
      </c>
      <c r="K172">
        <v>5.6014732485211299E-2</v>
      </c>
      <c r="L172">
        <v>2405.0717742847501</v>
      </c>
      <c r="M172">
        <v>47.273911158770403</v>
      </c>
      <c r="N172">
        <v>51.075869095529598</v>
      </c>
      <c r="O172">
        <v>50.784455960975798</v>
      </c>
      <c r="P172">
        <v>-0.21299872353867</v>
      </c>
      <c r="Q172">
        <v>8.4737226814388805E-2</v>
      </c>
      <c r="R172">
        <v>0.99543470998967498</v>
      </c>
      <c r="S172" t="s">
        <v>6033</v>
      </c>
      <c r="T172" t="s">
        <v>11720</v>
      </c>
      <c r="U172" t="s">
        <v>11720</v>
      </c>
      <c r="V172" t="s">
        <v>11720</v>
      </c>
      <c r="W172" t="s">
        <v>11770</v>
      </c>
      <c r="X172">
        <v>32</v>
      </c>
      <c r="Y172" t="s">
        <v>17686</v>
      </c>
      <c r="Z172" t="s">
        <v>23379</v>
      </c>
      <c r="AA172">
        <v>0.41882654682267739</v>
      </c>
      <c r="AB172" t="str">
        <f>HYPERLINK("Melting_Curves/meltCurve_B4DT77_ANXA7.pdf", "Melting_Curves/meltCurve_B4DT77_ANXA7.pdf")</f>
        <v>Melting_Curves/meltCurve_B4DT77_ANXA7.pdf</v>
      </c>
    </row>
    <row r="173" spans="1:28" x14ac:dyDescent="0.25">
      <c r="A173" t="s">
        <v>177</v>
      </c>
      <c r="B173">
        <v>0.99334974765950101</v>
      </c>
      <c r="C173">
        <v>0.99350274934133098</v>
      </c>
      <c r="D173">
        <v>0.95804012646485004</v>
      </c>
      <c r="E173">
        <v>1.0919573192593399</v>
      </c>
      <c r="F173">
        <v>0.935130328372902</v>
      </c>
      <c r="G173">
        <v>0.54415706356694704</v>
      </c>
      <c r="H173">
        <v>0.40719515105229998</v>
      </c>
      <c r="I173">
        <v>0.381413996955352</v>
      </c>
      <c r="J173">
        <v>0.32572407237920498</v>
      </c>
      <c r="K173">
        <v>0.26984916092056899</v>
      </c>
      <c r="L173">
        <v>2171.4391961440401</v>
      </c>
      <c r="M173">
        <v>38.7799897686292</v>
      </c>
      <c r="N173">
        <v>57.643810019585501</v>
      </c>
      <c r="O173">
        <v>55.8455357220612</v>
      </c>
      <c r="P173">
        <v>-0.115407259592629</v>
      </c>
      <c r="Q173">
        <v>0.33522781556324099</v>
      </c>
      <c r="R173">
        <v>0.97979754933763696</v>
      </c>
      <c r="S173" t="s">
        <v>6034</v>
      </c>
      <c r="T173" t="s">
        <v>11720</v>
      </c>
      <c r="U173" t="s">
        <v>11720</v>
      </c>
      <c r="V173" t="s">
        <v>11720</v>
      </c>
      <c r="W173" t="s">
        <v>11891</v>
      </c>
      <c r="X173">
        <v>7</v>
      </c>
      <c r="Y173" t="s">
        <v>17687</v>
      </c>
      <c r="Z173" t="s">
        <v>23380</v>
      </c>
      <c r="AA173">
        <v>0.69235261035241302</v>
      </c>
      <c r="AB173" t="str">
        <f>HYPERLINK("Melting_Curves/meltCurve_B4DTZ6_SLC9A1.pdf", "Melting_Curves/meltCurve_B4DTZ6_SLC9A1.pdf")</f>
        <v>Melting_Curves/meltCurve_B4DTZ6_SLC9A1.pdf</v>
      </c>
    </row>
    <row r="174" spans="1:28" x14ac:dyDescent="0.25">
      <c r="A174" t="s">
        <v>178</v>
      </c>
      <c r="B174">
        <v>0.99334974765950101</v>
      </c>
      <c r="C174">
        <v>0.99695291663369501</v>
      </c>
      <c r="D174">
        <v>0.92212115823724805</v>
      </c>
      <c r="E174">
        <v>0.81527435931245895</v>
      </c>
      <c r="F174">
        <v>0.59050793460932005</v>
      </c>
      <c r="G174">
        <v>0.56757461465980596</v>
      </c>
      <c r="H174">
        <v>0.31830397734327298</v>
      </c>
      <c r="I174">
        <v>8.4743906855088993E-2</v>
      </c>
      <c r="J174">
        <v>5.8891205615774399E-2</v>
      </c>
      <c r="K174">
        <v>4.8767201331565903E-2</v>
      </c>
      <c r="L174">
        <v>712.99682670121899</v>
      </c>
      <c r="M174">
        <v>12.715760754387899</v>
      </c>
      <c r="N174">
        <v>56.071913242028998</v>
      </c>
      <c r="O174">
        <v>54.739363852268198</v>
      </c>
      <c r="P174">
        <v>-5.8085297395831098E-2</v>
      </c>
      <c r="Q174">
        <v>0</v>
      </c>
      <c r="R174">
        <v>0.97352627647920797</v>
      </c>
      <c r="S174" t="s">
        <v>6035</v>
      </c>
      <c r="T174" t="s">
        <v>11720</v>
      </c>
      <c r="U174" t="s">
        <v>11720</v>
      </c>
      <c r="V174" t="s">
        <v>11720</v>
      </c>
      <c r="W174" t="s">
        <v>11892</v>
      </c>
      <c r="X174">
        <v>22</v>
      </c>
      <c r="Y174" t="s">
        <v>17688</v>
      </c>
      <c r="Z174" t="s">
        <v>23381</v>
      </c>
      <c r="AA174">
        <v>0.55538418866396499</v>
      </c>
      <c r="AB174" t="str">
        <f>HYPERLINK("Melting_Curves/meltCurve_B4DUS9_BPNT1.pdf", "Melting_Curves/meltCurve_B4DUS9_BPNT1.pdf")</f>
        <v>Melting_Curves/meltCurve_B4DUS9_BPNT1.pdf</v>
      </c>
    </row>
    <row r="175" spans="1:28" x14ac:dyDescent="0.25">
      <c r="A175" t="s">
        <v>179</v>
      </c>
      <c r="B175">
        <v>0.99334974765950101</v>
      </c>
      <c r="C175">
        <v>1.05097889030323</v>
      </c>
      <c r="D175">
        <v>1.26390710271216</v>
      </c>
      <c r="E175">
        <v>1.2249912216566401</v>
      </c>
      <c r="F175">
        <v>1.15581487451568</v>
      </c>
      <c r="G175">
        <v>0.780626566555638</v>
      </c>
      <c r="H175">
        <v>0.26111770730846101</v>
      </c>
      <c r="I175">
        <v>0.166063175024834</v>
      </c>
      <c r="J175">
        <v>0.107305718367756</v>
      </c>
      <c r="K175">
        <v>9.3902529314305705E-2</v>
      </c>
      <c r="L175">
        <v>2541.8909000691201</v>
      </c>
      <c r="M175">
        <v>43.358147107600601</v>
      </c>
      <c r="N175">
        <v>58.9793561032672</v>
      </c>
      <c r="O175">
        <v>58.5011530409964</v>
      </c>
      <c r="P175">
        <v>-0.16406500676473601</v>
      </c>
      <c r="Q175">
        <v>0.11453989677540299</v>
      </c>
      <c r="R175">
        <v>0.93124209248672496</v>
      </c>
      <c r="S175" t="s">
        <v>6036</v>
      </c>
      <c r="T175" t="s">
        <v>11720</v>
      </c>
      <c r="U175" t="s">
        <v>11720</v>
      </c>
      <c r="V175" t="s">
        <v>11720</v>
      </c>
      <c r="W175" t="s">
        <v>11893</v>
      </c>
      <c r="X175">
        <v>8</v>
      </c>
      <c r="Y175" t="s">
        <v>17689</v>
      </c>
      <c r="Z175" t="s">
        <v>23382</v>
      </c>
      <c r="AA175">
        <v>0.66727453716165996</v>
      </c>
      <c r="AB175" t="str">
        <f>HYPERLINK("Melting_Curves/meltCurve_B4DUV4_POFUT1.pdf", "Melting_Curves/meltCurve_B4DUV4_POFUT1.pdf")</f>
        <v>Melting_Curves/meltCurve_B4DUV4_POFUT1.pdf</v>
      </c>
    </row>
    <row r="176" spans="1:28" x14ac:dyDescent="0.25">
      <c r="A176" t="s">
        <v>180</v>
      </c>
      <c r="B176">
        <v>0.99334974765950101</v>
      </c>
      <c r="C176">
        <v>1.22590482184298</v>
      </c>
      <c r="D176">
        <v>1.2191644936261501</v>
      </c>
      <c r="E176">
        <v>0.75261389938442103</v>
      </c>
      <c r="F176">
        <v>1.29069757619354</v>
      </c>
      <c r="G176">
        <v>1.1003909215926999</v>
      </c>
      <c r="H176">
        <v>0.97096535721267796</v>
      </c>
      <c r="I176">
        <v>1.06173018171331</v>
      </c>
      <c r="J176">
        <v>0.99440312701510702</v>
      </c>
      <c r="K176">
        <v>0.52416883367143396</v>
      </c>
      <c r="L176">
        <v>8222.4275512722998</v>
      </c>
      <c r="M176">
        <v>117.575519047989</v>
      </c>
      <c r="O176">
        <v>69.912934204331407</v>
      </c>
      <c r="P176">
        <v>-0.37869958100793</v>
      </c>
      <c r="Q176">
        <v>9.9268339015096602E-2</v>
      </c>
      <c r="R176">
        <v>0.46397841990640099</v>
      </c>
      <c r="S176" t="s">
        <v>6037</v>
      </c>
      <c r="T176" t="s">
        <v>11720</v>
      </c>
      <c r="U176" t="s">
        <v>11720</v>
      </c>
      <c r="V176" t="s">
        <v>11720</v>
      </c>
      <c r="W176" t="s">
        <v>11894</v>
      </c>
      <c r="X176">
        <v>2</v>
      </c>
      <c r="Y176" t="s">
        <v>17690</v>
      </c>
      <c r="Z176" t="s">
        <v>23383</v>
      </c>
      <c r="AA176">
        <v>0.98683308156867067</v>
      </c>
      <c r="AB176" t="str">
        <f>HYPERLINK("Melting_Curves/meltCurve_B4DV96_RBKS.pdf", "Melting_Curves/meltCurve_B4DV96_RBKS.pdf")</f>
        <v>Melting_Curves/meltCurve_B4DV96_RBKS.pdf</v>
      </c>
    </row>
    <row r="177" spans="1:28" x14ac:dyDescent="0.25">
      <c r="A177" t="s">
        <v>181</v>
      </c>
      <c r="B177">
        <v>0.99334974765950101</v>
      </c>
      <c r="C177">
        <v>0.96160069556641503</v>
      </c>
      <c r="D177">
        <v>0.82642087701763101</v>
      </c>
      <c r="E177">
        <v>0.39781510748151599</v>
      </c>
      <c r="F177">
        <v>0.13335705178342999</v>
      </c>
      <c r="G177">
        <v>9.5513392227771707E-2</v>
      </c>
      <c r="H177">
        <v>7.1265929621988799E-2</v>
      </c>
      <c r="I177">
        <v>6.5816049949707495E-2</v>
      </c>
      <c r="J177">
        <v>5.5345783401589001E-2</v>
      </c>
      <c r="K177">
        <v>4.4278861460213197E-2</v>
      </c>
      <c r="L177">
        <v>1246.4679716513799</v>
      </c>
      <c r="M177">
        <v>25.572229881309902</v>
      </c>
      <c r="N177">
        <v>48.972789470883498</v>
      </c>
      <c r="O177">
        <v>48.447900530873</v>
      </c>
      <c r="P177">
        <v>-0.12449964336748399</v>
      </c>
      <c r="Q177">
        <v>5.6528088389854798E-2</v>
      </c>
      <c r="R177">
        <v>0.99870850037032799</v>
      </c>
      <c r="S177" t="s">
        <v>6038</v>
      </c>
      <c r="T177" t="s">
        <v>11720</v>
      </c>
      <c r="U177" t="s">
        <v>11720</v>
      </c>
      <c r="V177" t="s">
        <v>11720</v>
      </c>
      <c r="W177" t="s">
        <v>11770</v>
      </c>
      <c r="X177">
        <v>38</v>
      </c>
      <c r="Y177" t="s">
        <v>17691</v>
      </c>
      <c r="Z177" t="s">
        <v>23384</v>
      </c>
      <c r="AA177">
        <v>0.33945373422788971</v>
      </c>
      <c r="AB177" t="str">
        <f>HYPERLINK("Melting_Curves/meltCurve_B4DVE7_ANXA11.pdf", "Melting_Curves/meltCurve_B4DVE7_ANXA11.pdf")</f>
        <v>Melting_Curves/meltCurve_B4DVE7_ANXA11.pdf</v>
      </c>
    </row>
    <row r="178" spans="1:28" x14ac:dyDescent="0.25">
      <c r="A178" t="s">
        <v>182</v>
      </c>
      <c r="B178">
        <v>0.99334974765950101</v>
      </c>
      <c r="C178">
        <v>0.95098928422967199</v>
      </c>
      <c r="D178">
        <v>0.73858971477068702</v>
      </c>
      <c r="E178">
        <v>0.43757739574193399</v>
      </c>
      <c r="F178">
        <v>0.30357756559458698</v>
      </c>
      <c r="G178">
        <v>0.20633311187033601</v>
      </c>
      <c r="H178">
        <v>0.16420301205014501</v>
      </c>
      <c r="I178">
        <v>0.172210811628418</v>
      </c>
      <c r="J178">
        <v>0.171263772416368</v>
      </c>
      <c r="K178">
        <v>0.14468248877498899</v>
      </c>
      <c r="L178">
        <v>903.49935874137395</v>
      </c>
      <c r="M178">
        <v>18.747077498928601</v>
      </c>
      <c r="N178">
        <v>49.192707662424901</v>
      </c>
      <c r="O178">
        <v>47.655825366160002</v>
      </c>
      <c r="P178">
        <v>-8.2785544008714407E-2</v>
      </c>
      <c r="Q178">
        <v>0.15825884871450099</v>
      </c>
      <c r="R178">
        <v>0.99819621020420202</v>
      </c>
      <c r="S178" t="s">
        <v>6039</v>
      </c>
      <c r="T178" t="s">
        <v>11720</v>
      </c>
      <c r="U178" t="s">
        <v>11720</v>
      </c>
      <c r="V178" t="s">
        <v>11720</v>
      </c>
      <c r="W178" t="s">
        <v>11895</v>
      </c>
      <c r="X178">
        <v>13</v>
      </c>
      <c r="Y178" t="s">
        <v>17692</v>
      </c>
      <c r="Z178" t="s">
        <v>23385</v>
      </c>
      <c r="AA178">
        <v>0.40181788692303061</v>
      </c>
      <c r="AB178" t="str">
        <f>HYPERLINK("Melting_Curves/meltCurve_B4DVY1_EIF3D.pdf", "Melting_Curves/meltCurve_B4DVY1_EIF3D.pdf")</f>
        <v>Melting_Curves/meltCurve_B4DVY1_EIF3D.pdf</v>
      </c>
    </row>
    <row r="179" spans="1:28" x14ac:dyDescent="0.25">
      <c r="A179" t="s">
        <v>183</v>
      </c>
      <c r="B179">
        <v>0.99334974765950101</v>
      </c>
      <c r="C179">
        <v>1.0308119260072801</v>
      </c>
      <c r="D179">
        <v>1.1398923983907501</v>
      </c>
      <c r="E179">
        <v>1.3843522653492</v>
      </c>
      <c r="F179">
        <v>1.6695250140951701</v>
      </c>
      <c r="G179">
        <v>2.2241143692472698</v>
      </c>
      <c r="H179">
        <v>1.6964853630775301</v>
      </c>
      <c r="I179">
        <v>1.14720774732885</v>
      </c>
      <c r="J179">
        <v>0.42972553757660897</v>
      </c>
      <c r="K179">
        <v>0.29841283439185701</v>
      </c>
      <c r="L179">
        <v>15000</v>
      </c>
      <c r="M179">
        <v>225.347379198803</v>
      </c>
      <c r="N179">
        <v>66.833177352344194</v>
      </c>
      <c r="O179">
        <v>66.558655697306094</v>
      </c>
      <c r="P179">
        <v>-0.59391443339338401</v>
      </c>
      <c r="Q179">
        <v>0.29832516648759599</v>
      </c>
      <c r="R179">
        <v>0.13575857829510901</v>
      </c>
      <c r="S179" t="s">
        <v>6040</v>
      </c>
      <c r="T179" t="s">
        <v>11720</v>
      </c>
      <c r="U179" t="s">
        <v>11720</v>
      </c>
      <c r="V179" t="s">
        <v>11720</v>
      </c>
      <c r="W179" t="s">
        <v>11896</v>
      </c>
      <c r="X179">
        <v>9</v>
      </c>
      <c r="Y179" t="s">
        <v>17693</v>
      </c>
      <c r="Z179" t="s">
        <v>23386</v>
      </c>
      <c r="AA179">
        <v>0.91973322867257379</v>
      </c>
      <c r="AB179" t="str">
        <f>HYPERLINK("Melting_Curves/meltCurve_B4DWI1_HACL1.pdf", "Melting_Curves/meltCurve_B4DWI1_HACL1.pdf")</f>
        <v>Melting_Curves/meltCurve_B4DWI1_HACL1.pdf</v>
      </c>
    </row>
    <row r="180" spans="1:28" x14ac:dyDescent="0.25">
      <c r="A180" t="s">
        <v>184</v>
      </c>
      <c r="B180">
        <v>0.99334974765950101</v>
      </c>
      <c r="C180">
        <v>1.0119335531046201</v>
      </c>
      <c r="D180">
        <v>0.94045471136969905</v>
      </c>
      <c r="E180">
        <v>0.58640383674845797</v>
      </c>
      <c r="F180">
        <v>0.29114298557882501</v>
      </c>
      <c r="G180">
        <v>0.192780732189439</v>
      </c>
      <c r="H180">
        <v>0.154745699736385</v>
      </c>
      <c r="I180">
        <v>0.14843104242272201</v>
      </c>
      <c r="J180">
        <v>0.15363996751577699</v>
      </c>
      <c r="K180">
        <v>0.118689993283219</v>
      </c>
      <c r="L180">
        <v>1424.85235525485</v>
      </c>
      <c r="M180">
        <v>28.428723177424502</v>
      </c>
      <c r="N180">
        <v>50.735090871650399</v>
      </c>
      <c r="O180">
        <v>49.8741291873337</v>
      </c>
      <c r="P180">
        <v>-0.121735681533681</v>
      </c>
      <c r="Q180">
        <v>0.14573544582633</v>
      </c>
      <c r="R180">
        <v>0.99876358360011996</v>
      </c>
      <c r="S180" t="s">
        <v>6041</v>
      </c>
      <c r="T180" t="s">
        <v>11720</v>
      </c>
      <c r="U180" t="s">
        <v>11720</v>
      </c>
      <c r="V180" t="s">
        <v>11720</v>
      </c>
      <c r="W180" t="s">
        <v>11897</v>
      </c>
      <c r="X180">
        <v>10</v>
      </c>
      <c r="Y180" t="s">
        <v>17694</v>
      </c>
      <c r="Z180" t="s">
        <v>23387</v>
      </c>
      <c r="AA180">
        <v>0.43981391972189771</v>
      </c>
      <c r="AB180" t="str">
        <f>HYPERLINK("Melting_Curves/meltCurve_B4DWJ2_QARS.pdf", "Melting_Curves/meltCurve_B4DWJ2_QARS.pdf")</f>
        <v>Melting_Curves/meltCurve_B4DWJ2_QARS.pdf</v>
      </c>
    </row>
    <row r="181" spans="1:28" x14ac:dyDescent="0.25">
      <c r="A181" t="s">
        <v>185</v>
      </c>
      <c r="B181">
        <v>0.99334974765950101</v>
      </c>
      <c r="C181">
        <v>1.0009640245720699</v>
      </c>
      <c r="D181">
        <v>0.72619970827838798</v>
      </c>
      <c r="E181">
        <v>0.31160602353626998</v>
      </c>
      <c r="F181">
        <v>0.24704256225003299</v>
      </c>
      <c r="G181">
        <v>0.112866905698219</v>
      </c>
      <c r="H181">
        <v>9.7886528592497302E-2</v>
      </c>
      <c r="I181">
        <v>8.9690351728641607E-2</v>
      </c>
      <c r="J181">
        <v>9.1173826171514594E-2</v>
      </c>
      <c r="K181">
        <v>7.8953409590741194E-2</v>
      </c>
      <c r="L181">
        <v>1105.8877878211699</v>
      </c>
      <c r="M181">
        <v>23.111107925330099</v>
      </c>
      <c r="N181">
        <v>48.292090679065602</v>
      </c>
      <c r="O181">
        <v>47.496978874529098</v>
      </c>
      <c r="P181">
        <v>-0.110070732564138</v>
      </c>
      <c r="Q181">
        <v>9.5165621335647793E-2</v>
      </c>
      <c r="R181">
        <v>0.99288689129482099</v>
      </c>
      <c r="S181" t="s">
        <v>6042</v>
      </c>
      <c r="T181" t="s">
        <v>11720</v>
      </c>
      <c r="U181" t="s">
        <v>11720</v>
      </c>
      <c r="V181" t="s">
        <v>11720</v>
      </c>
      <c r="W181" t="s">
        <v>11898</v>
      </c>
      <c r="X181">
        <v>4</v>
      </c>
      <c r="Y181" t="s">
        <v>17695</v>
      </c>
      <c r="Z181" t="s">
        <v>23388</v>
      </c>
      <c r="AA181">
        <v>0.34142419979519889</v>
      </c>
      <c r="AB181" t="str">
        <f>HYPERLINK("Melting_Curves/meltCurve_B4DXZ6_FXR1.pdf", "Melting_Curves/meltCurve_B4DXZ6_FXR1.pdf")</f>
        <v>Melting_Curves/meltCurve_B4DXZ6_FXR1.pdf</v>
      </c>
    </row>
    <row r="182" spans="1:28" x14ac:dyDescent="0.25">
      <c r="A182" t="s">
        <v>186</v>
      </c>
      <c r="B182">
        <v>0.99334974765950101</v>
      </c>
      <c r="C182">
        <v>0.99407710185943998</v>
      </c>
      <c r="D182">
        <v>0.85817541217155302</v>
      </c>
      <c r="E182">
        <v>0.83265610960266701</v>
      </c>
      <c r="F182">
        <v>0.70226398343723695</v>
      </c>
      <c r="G182">
        <v>0.218264942330226</v>
      </c>
      <c r="H182">
        <v>0.17683705211669901</v>
      </c>
      <c r="I182">
        <v>0.14197462274348099</v>
      </c>
      <c r="J182">
        <v>0.16330654184344101</v>
      </c>
      <c r="K182">
        <v>0.107494022660668</v>
      </c>
      <c r="L182">
        <v>1337.77180043058</v>
      </c>
      <c r="M182">
        <v>24.919882353091602</v>
      </c>
      <c r="N182">
        <v>54.290881879372201</v>
      </c>
      <c r="O182">
        <v>53.340789416004299</v>
      </c>
      <c r="P182">
        <v>-0.102576679690214</v>
      </c>
      <c r="Q182">
        <v>0.12175396542998899</v>
      </c>
      <c r="R182">
        <v>0.97730498442140701</v>
      </c>
      <c r="S182" t="s">
        <v>6043</v>
      </c>
      <c r="T182" t="s">
        <v>11720</v>
      </c>
      <c r="U182" t="s">
        <v>11720</v>
      </c>
      <c r="V182" t="s">
        <v>11720</v>
      </c>
      <c r="W182" t="s">
        <v>11899</v>
      </c>
      <c r="X182">
        <v>3</v>
      </c>
      <c r="Y182" t="s">
        <v>17696</v>
      </c>
      <c r="Z182" t="s">
        <v>23389</v>
      </c>
      <c r="AA182">
        <v>0.53048534813394321</v>
      </c>
      <c r="AB182" t="str">
        <f>HYPERLINK("Melting_Curves/meltCurve_B4DYB4_NUP35.pdf", "Melting_Curves/meltCurve_B4DYB4_NUP35.pdf")</f>
        <v>Melting_Curves/meltCurve_B4DYB4_NUP35.pdf</v>
      </c>
    </row>
    <row r="183" spans="1:28" x14ac:dyDescent="0.25">
      <c r="A183" t="s">
        <v>187</v>
      </c>
      <c r="B183">
        <v>0.99334974765950101</v>
      </c>
      <c r="C183">
        <v>1.05986939594395</v>
      </c>
      <c r="D183">
        <v>1.12266158400921</v>
      </c>
      <c r="E183">
        <v>1.1005567389950399</v>
      </c>
      <c r="F183">
        <v>1.1360148799977701</v>
      </c>
      <c r="G183">
        <v>1.10504091372799</v>
      </c>
      <c r="H183">
        <v>0.99628517668697802</v>
      </c>
      <c r="I183">
        <v>1.22130851224197</v>
      </c>
      <c r="J183">
        <v>0.79113707778797604</v>
      </c>
      <c r="K183">
        <v>0.61161682921262495</v>
      </c>
      <c r="L183">
        <v>15000</v>
      </c>
      <c r="M183">
        <v>224.03151739677401</v>
      </c>
      <c r="O183">
        <v>66.949527402918804</v>
      </c>
      <c r="P183">
        <v>-0.324935153218878</v>
      </c>
      <c r="Q183">
        <v>0.61158580070845103</v>
      </c>
      <c r="R183">
        <v>0.64213054543134396</v>
      </c>
      <c r="S183" t="s">
        <v>6044</v>
      </c>
      <c r="T183" t="s">
        <v>11720</v>
      </c>
      <c r="U183" t="s">
        <v>11720</v>
      </c>
      <c r="V183" t="s">
        <v>11720</v>
      </c>
      <c r="W183" t="s">
        <v>11900</v>
      </c>
      <c r="X183">
        <v>2</v>
      </c>
      <c r="Y183" t="s">
        <v>17697</v>
      </c>
      <c r="Z183" t="s">
        <v>23390</v>
      </c>
      <c r="AA183">
        <v>0.96063079842292609</v>
      </c>
      <c r="AB183" t="str">
        <f>HYPERLINK("Melting_Curves/meltCurve_B4DZ23_GPR176.pdf", "Melting_Curves/meltCurve_B4DZ23_GPR176.pdf")</f>
        <v>Melting_Curves/meltCurve_B4DZ23_GPR176.pdf</v>
      </c>
    </row>
    <row r="184" spans="1:28" x14ac:dyDescent="0.25">
      <c r="A184" t="s">
        <v>188</v>
      </c>
      <c r="B184">
        <v>0.99334974765950101</v>
      </c>
      <c r="C184">
        <v>0.867969021026614</v>
      </c>
      <c r="D184">
        <v>0.66471888913333899</v>
      </c>
      <c r="E184">
        <v>0.37096003468523298</v>
      </c>
      <c r="F184">
        <v>0.28957992216057299</v>
      </c>
      <c r="G184">
        <v>0.20943079509773499</v>
      </c>
      <c r="H184">
        <v>0.17689899612878501</v>
      </c>
      <c r="I184">
        <v>0.16637284437941099</v>
      </c>
      <c r="J184">
        <v>0.15744114512360899</v>
      </c>
      <c r="K184">
        <v>0.131221876332973</v>
      </c>
      <c r="L184">
        <v>803.68320109696697</v>
      </c>
      <c r="M184">
        <v>17.031313389823499</v>
      </c>
      <c r="N184">
        <v>48.228911728298698</v>
      </c>
      <c r="O184">
        <v>46.552394258773298</v>
      </c>
      <c r="P184">
        <v>-7.74074288492205E-2</v>
      </c>
      <c r="Q184">
        <v>0.15372801718700299</v>
      </c>
      <c r="R184">
        <v>0.99710242467478405</v>
      </c>
      <c r="S184" t="s">
        <v>6045</v>
      </c>
      <c r="T184" t="s">
        <v>11720</v>
      </c>
      <c r="U184" t="s">
        <v>11720</v>
      </c>
      <c r="V184" t="s">
        <v>11720</v>
      </c>
      <c r="W184" t="s">
        <v>11901</v>
      </c>
      <c r="X184">
        <v>10</v>
      </c>
      <c r="Y184" t="s">
        <v>17698</v>
      </c>
      <c r="Z184" t="s">
        <v>23391</v>
      </c>
      <c r="AA184">
        <v>0.37393821263301869</v>
      </c>
      <c r="AB184" t="str">
        <f>HYPERLINK("Melting_Curves/meltCurve_B4E0T2_PEX5.pdf", "Melting_Curves/meltCurve_B4E0T2_PEX5.pdf")</f>
        <v>Melting_Curves/meltCurve_B4E0T2_PEX5.pdf</v>
      </c>
    </row>
    <row r="185" spans="1:28" x14ac:dyDescent="0.25">
      <c r="A185" t="s">
        <v>189</v>
      </c>
      <c r="B185">
        <v>0.99334974765950101</v>
      </c>
      <c r="C185">
        <v>0.92206195709511796</v>
      </c>
      <c r="D185">
        <v>1.0259679784189699</v>
      </c>
      <c r="E185">
        <v>0.68380111828031398</v>
      </c>
      <c r="F185">
        <v>0.82580444575949896</v>
      </c>
      <c r="G185">
        <v>0.64885684479828498</v>
      </c>
      <c r="H185">
        <v>0.384668450684166</v>
      </c>
      <c r="I185">
        <v>0.26976006296614102</v>
      </c>
      <c r="J185">
        <v>0.32893910535752102</v>
      </c>
      <c r="K185">
        <v>0.22259192771096301</v>
      </c>
      <c r="L185">
        <v>560.91629698383701</v>
      </c>
      <c r="M185">
        <v>9.6225898828603498</v>
      </c>
      <c r="N185">
        <v>59.114401749656402</v>
      </c>
      <c r="O185">
        <v>55.940949576730802</v>
      </c>
      <c r="P185">
        <v>-4.0330785152231201E-2</v>
      </c>
      <c r="Q185">
        <v>6.2675554182243007E-2</v>
      </c>
      <c r="R185">
        <v>0.93210724272817602</v>
      </c>
      <c r="S185" t="s">
        <v>6046</v>
      </c>
      <c r="T185" t="s">
        <v>11720</v>
      </c>
      <c r="U185" t="s">
        <v>11720</v>
      </c>
      <c r="V185" t="s">
        <v>11720</v>
      </c>
      <c r="W185" t="s">
        <v>11902</v>
      </c>
      <c r="X185">
        <v>1</v>
      </c>
      <c r="Y185" t="s">
        <v>17699</v>
      </c>
      <c r="Z185" t="s">
        <v>23392</v>
      </c>
      <c r="AA185">
        <v>0.64082465482603312</v>
      </c>
      <c r="AB185" t="str">
        <f>HYPERLINK("Melting_Curves/meltCurve_B4E1M0_MSANTD2.pdf", "Melting_Curves/meltCurve_B4E1M0_MSANTD2.pdf")</f>
        <v>Melting_Curves/meltCurve_B4E1M0_MSANTD2.pdf</v>
      </c>
    </row>
    <row r="186" spans="1:28" x14ac:dyDescent="0.25">
      <c r="A186" t="s">
        <v>190</v>
      </c>
      <c r="B186">
        <v>0.99334974765950101</v>
      </c>
      <c r="C186">
        <v>0.573346543273344</v>
      </c>
      <c r="D186">
        <v>0.232569628482414</v>
      </c>
      <c r="E186">
        <v>0.14126689086041</v>
      </c>
      <c r="F186">
        <v>8.3718649571403306E-2</v>
      </c>
      <c r="G186">
        <v>5.7415363198829901E-2</v>
      </c>
      <c r="H186">
        <v>5.2183673524403902E-2</v>
      </c>
      <c r="I186">
        <v>3.7364989499871701E-2</v>
      </c>
      <c r="J186">
        <v>4.3189707927695997E-2</v>
      </c>
      <c r="K186">
        <v>3.2944724577863002E-2</v>
      </c>
      <c r="L186">
        <v>1250.3063408670801</v>
      </c>
      <c r="M186">
        <v>28.8056020069818</v>
      </c>
      <c r="N186">
        <v>43.600776114450703</v>
      </c>
      <c r="O186">
        <v>43.197404195061097</v>
      </c>
      <c r="P186">
        <v>-0.15659664826118699</v>
      </c>
      <c r="Q186">
        <v>6.0666631536349797E-2</v>
      </c>
      <c r="R186">
        <v>0.98687944030544905</v>
      </c>
      <c r="S186" t="s">
        <v>6047</v>
      </c>
      <c r="T186" t="s">
        <v>11720</v>
      </c>
      <c r="U186" t="s">
        <v>11720</v>
      </c>
      <c r="V186" t="s">
        <v>11720</v>
      </c>
      <c r="W186" t="s">
        <v>11903</v>
      </c>
      <c r="X186">
        <v>4</v>
      </c>
      <c r="Y186" t="s">
        <v>17700</v>
      </c>
      <c r="Z186" t="s">
        <v>23393</v>
      </c>
      <c r="AA186">
        <v>0.17587183667653911</v>
      </c>
      <c r="AB186" t="str">
        <f>HYPERLINK("Melting_Curves/meltCurve_B4E1N1_ARMC6.pdf", "Melting_Curves/meltCurve_B4E1N1_ARMC6.pdf")</f>
        <v>Melting_Curves/meltCurve_B4E1N1_ARMC6.pdf</v>
      </c>
    </row>
    <row r="187" spans="1:28" x14ac:dyDescent="0.25">
      <c r="A187" t="s">
        <v>191</v>
      </c>
      <c r="B187">
        <v>0.99334974765950101</v>
      </c>
      <c r="C187">
        <v>0.87855212195731802</v>
      </c>
      <c r="D187">
        <v>0.75958624916720996</v>
      </c>
      <c r="E187">
        <v>0.57345484500374</v>
      </c>
      <c r="F187">
        <v>0.48086215650702602</v>
      </c>
      <c r="G187">
        <v>0.27530892731581702</v>
      </c>
      <c r="H187">
        <v>0.16022404304733801</v>
      </c>
      <c r="I187">
        <v>0.13614614923939899</v>
      </c>
      <c r="J187">
        <v>0.12002334117534499</v>
      </c>
      <c r="K187">
        <v>7.8252765254612305E-2</v>
      </c>
      <c r="L187">
        <v>529.887544383354</v>
      </c>
      <c r="M187">
        <v>10.283703273709101</v>
      </c>
      <c r="N187">
        <v>51.727501962444798</v>
      </c>
      <c r="O187">
        <v>49.692572176903397</v>
      </c>
      <c r="P187">
        <v>-5.0747655367897701E-2</v>
      </c>
      <c r="Q187">
        <v>1.95438760369397E-2</v>
      </c>
      <c r="R187">
        <v>0.99519383861611399</v>
      </c>
      <c r="S187" t="s">
        <v>6048</v>
      </c>
      <c r="T187" t="s">
        <v>11720</v>
      </c>
      <c r="U187" t="s">
        <v>11720</v>
      </c>
      <c r="V187" t="s">
        <v>11720</v>
      </c>
      <c r="W187" t="s">
        <v>11904</v>
      </c>
      <c r="X187">
        <v>5</v>
      </c>
      <c r="Y187" t="s">
        <v>17701</v>
      </c>
      <c r="Z187" t="s">
        <v>23394</v>
      </c>
      <c r="AA187">
        <v>0.43392360208936698</v>
      </c>
      <c r="AB187" t="str">
        <f>HYPERLINK("Melting_Curves/meltCurve_B4E1Q4_RIOK3.pdf", "Melting_Curves/meltCurve_B4E1Q4_RIOK3.pdf")</f>
        <v>Melting_Curves/meltCurve_B4E1Q4_RIOK3.pdf</v>
      </c>
    </row>
    <row r="188" spans="1:28" x14ac:dyDescent="0.25">
      <c r="A188" t="s">
        <v>192</v>
      </c>
      <c r="B188">
        <v>0.99334974765950101</v>
      </c>
      <c r="C188">
        <v>0.85133129075091496</v>
      </c>
      <c r="D188">
        <v>0.75445111679737997</v>
      </c>
      <c r="E188">
        <v>0.75805749761670704</v>
      </c>
      <c r="F188">
        <v>0.88003926231225604</v>
      </c>
      <c r="G188">
        <v>0.61556362720504898</v>
      </c>
      <c r="H188">
        <v>0.53210301762872703</v>
      </c>
      <c r="I188">
        <v>0.43755260810052299</v>
      </c>
      <c r="J188">
        <v>0.33094407916770402</v>
      </c>
      <c r="K188">
        <v>0.27708771634010998</v>
      </c>
      <c r="L188">
        <v>368.229622788965</v>
      </c>
      <c r="M188">
        <v>6.0163855583017902</v>
      </c>
      <c r="N188">
        <v>61.204459287748598</v>
      </c>
      <c r="O188">
        <v>55.470900326198297</v>
      </c>
      <c r="P188">
        <v>-2.7202010432980098E-2</v>
      </c>
      <c r="Q188">
        <v>0</v>
      </c>
      <c r="R188">
        <v>0.89745742636787296</v>
      </c>
      <c r="S188" t="s">
        <v>6049</v>
      </c>
      <c r="T188" t="s">
        <v>11720</v>
      </c>
      <c r="U188" t="s">
        <v>11720</v>
      </c>
      <c r="V188" t="s">
        <v>11720</v>
      </c>
      <c r="W188" t="s">
        <v>11905</v>
      </c>
      <c r="X188">
        <v>2</v>
      </c>
      <c r="Y188" t="s">
        <v>17702</v>
      </c>
      <c r="Z188" t="s">
        <v>23395</v>
      </c>
      <c r="AA188">
        <v>0.65681028511853468</v>
      </c>
      <c r="AB188" t="str">
        <f>HYPERLINK("Melting_Curves/meltCurve_B4E1Q6_SLC35B3.pdf", "Melting_Curves/meltCurve_B4E1Q6_SLC35B3.pdf")</f>
        <v>Melting_Curves/meltCurve_B4E1Q6_SLC35B3.pdf</v>
      </c>
    </row>
    <row r="189" spans="1:28" x14ac:dyDescent="0.25">
      <c r="A189" t="s">
        <v>193</v>
      </c>
      <c r="B189">
        <v>0.99334974765950101</v>
      </c>
      <c r="C189">
        <v>0.98589987036794902</v>
      </c>
      <c r="D189">
        <v>0.85262781447522296</v>
      </c>
      <c r="E189">
        <v>0.89602873281043605</v>
      </c>
      <c r="F189">
        <v>0.93209869645903498</v>
      </c>
      <c r="G189">
        <v>0.86359085120624801</v>
      </c>
      <c r="H189">
        <v>0.83951818906863296</v>
      </c>
      <c r="I189">
        <v>0.96211816667799399</v>
      </c>
      <c r="J189">
        <v>0.84921936598152403</v>
      </c>
      <c r="K189">
        <v>0.74090467858148001</v>
      </c>
      <c r="L189">
        <v>164.51912191734499</v>
      </c>
      <c r="M189">
        <v>0.86202105944770302</v>
      </c>
      <c r="O189">
        <v>60.256699570788797</v>
      </c>
      <c r="P189">
        <v>-5.2494844209147497E-3</v>
      </c>
      <c r="Q189">
        <v>0</v>
      </c>
      <c r="R189">
        <v>0.44220880812942098</v>
      </c>
      <c r="S189" t="s">
        <v>6050</v>
      </c>
      <c r="T189" t="s">
        <v>11720</v>
      </c>
      <c r="U189" t="s">
        <v>11720</v>
      </c>
      <c r="V189" t="s">
        <v>11720</v>
      </c>
      <c r="W189" t="s">
        <v>11906</v>
      </c>
      <c r="X189">
        <v>5</v>
      </c>
      <c r="Y189" t="s">
        <v>17703</v>
      </c>
      <c r="Z189" t="s">
        <v>23396</v>
      </c>
      <c r="AA189">
        <v>0.89231753830004223</v>
      </c>
      <c r="AB189" t="str">
        <f>HYPERLINK("Melting_Curves/meltCurve_B4E1S6_SDC4.pdf", "Melting_Curves/meltCurve_B4E1S6_SDC4.pdf")</f>
        <v>Melting_Curves/meltCurve_B4E1S6_SDC4.pdf</v>
      </c>
    </row>
    <row r="190" spans="1:28" x14ac:dyDescent="0.25">
      <c r="A190" t="s">
        <v>194</v>
      </c>
      <c r="B190">
        <v>0.99334974765950101</v>
      </c>
      <c r="C190">
        <v>1.1109039167169099</v>
      </c>
      <c r="D190">
        <v>1.2494577092768699</v>
      </c>
      <c r="E190">
        <v>1.1783813065762601</v>
      </c>
      <c r="F190">
        <v>1.3983722878325999</v>
      </c>
      <c r="G190">
        <v>0.85755357353251704</v>
      </c>
      <c r="H190">
        <v>0.97183786161422403</v>
      </c>
      <c r="I190">
        <v>1.08666195810374</v>
      </c>
      <c r="J190">
        <v>1.52183773102135</v>
      </c>
      <c r="K190">
        <v>1.9450915888078399</v>
      </c>
      <c r="L190">
        <v>15000</v>
      </c>
      <c r="M190">
        <v>232.813025557347</v>
      </c>
      <c r="O190">
        <v>64.424630729749396</v>
      </c>
      <c r="P190">
        <v>0.45171587308977201</v>
      </c>
      <c r="Q190">
        <v>1.5</v>
      </c>
      <c r="R190">
        <v>0.47536179818128899</v>
      </c>
      <c r="S190" t="s">
        <v>6051</v>
      </c>
      <c r="T190" t="s">
        <v>11720</v>
      </c>
      <c r="U190" t="s">
        <v>11720</v>
      </c>
      <c r="V190" t="s">
        <v>11720</v>
      </c>
      <c r="W190" t="s">
        <v>11907</v>
      </c>
      <c r="X190">
        <v>8</v>
      </c>
      <c r="Y190" t="s">
        <v>17704</v>
      </c>
      <c r="Z190" t="s">
        <v>23397</v>
      </c>
      <c r="AA190">
        <v>1.092778393466789</v>
      </c>
      <c r="AB190" t="str">
        <f>HYPERLINK("Melting_Curves/meltCurve_B4E241_SFRS3.pdf", "Melting_Curves/meltCurve_B4E241_SFRS3.pdf")</f>
        <v>Melting_Curves/meltCurve_B4E241_SFRS3.pdf</v>
      </c>
    </row>
    <row r="191" spans="1:28" x14ac:dyDescent="0.25">
      <c r="A191" t="s">
        <v>195</v>
      </c>
      <c r="B191">
        <v>0.99334974765950101</v>
      </c>
      <c r="C191">
        <v>0.91365451161317301</v>
      </c>
      <c r="D191">
        <v>0.82062513173541396</v>
      </c>
      <c r="E191">
        <v>0.81579909987564203</v>
      </c>
      <c r="F191">
        <v>1.0276004702019499</v>
      </c>
      <c r="G191">
        <v>0.93057094100146098</v>
      </c>
      <c r="H191">
        <v>0.94839197536799602</v>
      </c>
      <c r="I191">
        <v>1.2695549637267001</v>
      </c>
      <c r="J191">
        <v>0.80974359323505496</v>
      </c>
      <c r="K191">
        <v>0.361015565852775</v>
      </c>
      <c r="L191">
        <v>15000</v>
      </c>
      <c r="M191">
        <v>223.02220776253199</v>
      </c>
      <c r="N191">
        <v>67.645966912536494</v>
      </c>
      <c r="O191">
        <v>67.252473477786197</v>
      </c>
      <c r="P191">
        <v>-0.52983523480831896</v>
      </c>
      <c r="Q191">
        <v>0.360911590094463</v>
      </c>
      <c r="R191">
        <v>0.67529886465383804</v>
      </c>
      <c r="S191" t="s">
        <v>6052</v>
      </c>
      <c r="T191" t="s">
        <v>11720</v>
      </c>
      <c r="U191" t="s">
        <v>11720</v>
      </c>
      <c r="V191" t="s">
        <v>11720</v>
      </c>
      <c r="W191" t="s">
        <v>11908</v>
      </c>
      <c r="X191">
        <v>9</v>
      </c>
      <c r="Y191" t="s">
        <v>17705</v>
      </c>
      <c r="Z191" t="s">
        <v>23398</v>
      </c>
      <c r="AA191">
        <v>0.94167834512325121</v>
      </c>
      <c r="AB191" t="str">
        <f>HYPERLINK("Melting_Curves/meltCurve_B4E2V5_STOM.pdf", "Melting_Curves/meltCurve_B4E2V5_STOM.pdf")</f>
        <v>Melting_Curves/meltCurve_B4E2V5_STOM.pdf</v>
      </c>
    </row>
    <row r="192" spans="1:28" x14ac:dyDescent="0.25">
      <c r="A192" t="s">
        <v>196</v>
      </c>
      <c r="B192">
        <v>0.99334974765950101</v>
      </c>
      <c r="C192">
        <v>1.1181247896398101</v>
      </c>
      <c r="D192">
        <v>1.3197684633654101</v>
      </c>
      <c r="E192">
        <v>2.2425624506342001</v>
      </c>
      <c r="F192">
        <v>0.520994158662336</v>
      </c>
      <c r="G192">
        <v>0.28570148823132502</v>
      </c>
      <c r="H192">
        <v>0.193561625457915</v>
      </c>
      <c r="I192">
        <v>0.156855293929168</v>
      </c>
      <c r="J192">
        <v>0.136495394010333</v>
      </c>
      <c r="K192">
        <v>0.10644204540430199</v>
      </c>
      <c r="L192">
        <v>13232.6358271463</v>
      </c>
      <c r="M192">
        <v>250</v>
      </c>
      <c r="N192">
        <v>53.022437841243601</v>
      </c>
      <c r="O192">
        <v>52.927163333957999</v>
      </c>
      <c r="P192">
        <v>-0.97325865274882095</v>
      </c>
      <c r="Q192">
        <v>0.17581099841485301</v>
      </c>
      <c r="R192">
        <v>0.62253732571044496</v>
      </c>
      <c r="S192" t="s">
        <v>6053</v>
      </c>
      <c r="T192" t="s">
        <v>11720</v>
      </c>
      <c r="U192" t="s">
        <v>11720</v>
      </c>
      <c r="V192" t="s">
        <v>11720</v>
      </c>
      <c r="W192" t="s">
        <v>11909</v>
      </c>
      <c r="X192">
        <v>22</v>
      </c>
      <c r="Y192" t="s">
        <v>17706</v>
      </c>
      <c r="Z192" t="s">
        <v>23399</v>
      </c>
      <c r="AA192">
        <v>0.53112794519201445</v>
      </c>
      <c r="AB192" t="str">
        <f>HYPERLINK("Melting_Curves/meltCurve_B4E2W0_HADHB.pdf", "Melting_Curves/meltCurve_B4E2W0_HADHB.pdf")</f>
        <v>Melting_Curves/meltCurve_B4E2W0_HADHB.pdf</v>
      </c>
    </row>
    <row r="193" spans="1:28" x14ac:dyDescent="0.25">
      <c r="A193" t="s">
        <v>197</v>
      </c>
      <c r="B193">
        <v>0.99334974765950101</v>
      </c>
      <c r="C193">
        <v>0.91492983383592397</v>
      </c>
      <c r="D193">
        <v>0.68744805743515003</v>
      </c>
      <c r="E193">
        <v>0.35271134325383402</v>
      </c>
      <c r="F193">
        <v>0.268741258996955</v>
      </c>
      <c r="G193">
        <v>0.14046444972643801</v>
      </c>
      <c r="H193">
        <v>0.11618617626137</v>
      </c>
      <c r="I193">
        <v>0.117188526804378</v>
      </c>
      <c r="J193">
        <v>0.12293102467219499</v>
      </c>
      <c r="K193">
        <v>0.103802967231702</v>
      </c>
      <c r="L193">
        <v>887.48487879423203</v>
      </c>
      <c r="M193">
        <v>18.630060340532701</v>
      </c>
      <c r="N193">
        <v>48.286184487862798</v>
      </c>
      <c r="O193">
        <v>47.098567459807398</v>
      </c>
      <c r="P193">
        <v>-8.7941186692622103E-2</v>
      </c>
      <c r="Q193">
        <v>0.110743619997159</v>
      </c>
      <c r="R193">
        <v>0.99726782071999598</v>
      </c>
      <c r="S193" t="s">
        <v>6054</v>
      </c>
      <c r="T193" t="s">
        <v>11720</v>
      </c>
      <c r="U193" t="s">
        <v>11720</v>
      </c>
      <c r="V193" t="s">
        <v>11720</v>
      </c>
      <c r="W193" t="s">
        <v>11910</v>
      </c>
      <c r="X193">
        <v>7</v>
      </c>
      <c r="Y193" t="s">
        <v>17707</v>
      </c>
      <c r="Z193" t="s">
        <v>23400</v>
      </c>
      <c r="AA193">
        <v>0.35196746691196029</v>
      </c>
      <c r="AB193" t="str">
        <f>HYPERLINK("Melting_Curves/meltCurve_B4E2X3_METTL13.pdf", "Melting_Curves/meltCurve_B4E2X3_METTL13.pdf")</f>
        <v>Melting_Curves/meltCurve_B4E2X3_METTL13.pdf</v>
      </c>
    </row>
    <row r="194" spans="1:28" x14ac:dyDescent="0.25">
      <c r="A194" t="s">
        <v>198</v>
      </c>
      <c r="B194">
        <v>0.99334974765950101</v>
      </c>
      <c r="C194">
        <v>1.15832815569723</v>
      </c>
      <c r="D194">
        <v>1.17586737852359</v>
      </c>
      <c r="E194">
        <v>0.617647879261776</v>
      </c>
      <c r="F194">
        <v>0.48185487226180401</v>
      </c>
      <c r="G194">
        <v>0.73424165269762898</v>
      </c>
      <c r="H194">
        <v>0.37432554105899701</v>
      </c>
      <c r="I194">
        <v>0.32514458138567898</v>
      </c>
      <c r="J194">
        <v>0.18087690368692999</v>
      </c>
      <c r="K194">
        <v>0.21078833880539</v>
      </c>
      <c r="L194">
        <v>613.52534412230898</v>
      </c>
      <c r="M194">
        <v>11.036667871078899</v>
      </c>
      <c r="N194">
        <v>57.228203619634897</v>
      </c>
      <c r="O194">
        <v>53.858245438580099</v>
      </c>
      <c r="P194">
        <v>-4.43050060480299E-2</v>
      </c>
      <c r="Q194">
        <v>0.13546534809804001</v>
      </c>
      <c r="R194">
        <v>0.81830065724548595</v>
      </c>
      <c r="S194" t="s">
        <v>6055</v>
      </c>
      <c r="T194" t="s">
        <v>11720</v>
      </c>
      <c r="U194" t="s">
        <v>11720</v>
      </c>
      <c r="V194" t="s">
        <v>11720</v>
      </c>
      <c r="W194" t="s">
        <v>11911</v>
      </c>
      <c r="X194">
        <v>1</v>
      </c>
      <c r="Y194" t="s">
        <v>17708</v>
      </c>
      <c r="Z194" t="s">
        <v>23401</v>
      </c>
      <c r="AA194">
        <v>0.60419279897169953</v>
      </c>
      <c r="AB194" t="str">
        <f>HYPERLINK("Melting_Curves/meltCurve_B4E2Z0_SPARCL1.pdf", "Melting_Curves/meltCurve_B4E2Z0_SPARCL1.pdf")</f>
        <v>Melting_Curves/meltCurve_B4E2Z0_SPARCL1.pdf</v>
      </c>
    </row>
    <row r="195" spans="1:28" x14ac:dyDescent="0.25">
      <c r="A195" t="s">
        <v>199</v>
      </c>
      <c r="B195">
        <v>0.99334974765950101</v>
      </c>
      <c r="C195">
        <v>1.12433223906825</v>
      </c>
      <c r="D195">
        <v>0.99104735793092402</v>
      </c>
      <c r="E195">
        <v>0.81504514396174799</v>
      </c>
      <c r="F195">
        <v>1.0257651793778</v>
      </c>
      <c r="G195">
        <v>0.838837465376992</v>
      </c>
      <c r="H195">
        <v>1.07761451512842</v>
      </c>
      <c r="I195">
        <v>1.49458855714769</v>
      </c>
      <c r="J195">
        <v>2.4035711030528502</v>
      </c>
      <c r="K195">
        <v>4.82197900730129</v>
      </c>
      <c r="L195">
        <v>9191.8234506191002</v>
      </c>
      <c r="M195">
        <v>148.99051490789</v>
      </c>
      <c r="O195">
        <v>61.682904889955701</v>
      </c>
      <c r="P195">
        <v>0.30192830361081302</v>
      </c>
      <c r="Q195">
        <v>1.5</v>
      </c>
      <c r="R195">
        <v>0.13462517333621901</v>
      </c>
      <c r="S195" t="s">
        <v>6056</v>
      </c>
      <c r="T195" t="s">
        <v>11720</v>
      </c>
      <c r="U195" t="s">
        <v>11720</v>
      </c>
      <c r="V195" t="s">
        <v>11720</v>
      </c>
      <c r="W195" t="s">
        <v>11912</v>
      </c>
      <c r="X195">
        <v>17</v>
      </c>
      <c r="Y195" t="s">
        <v>17709</v>
      </c>
      <c r="Z195" t="s">
        <v>23402</v>
      </c>
      <c r="AA195">
        <v>1.1382805562137071</v>
      </c>
      <c r="AB195" t="str">
        <f>HYPERLINK("Melting_Curves/meltCurve_B4E358_CTTN.pdf", "Melting_Curves/meltCurve_B4E358_CTTN.pdf")</f>
        <v>Melting_Curves/meltCurve_B4E358_CTTN.pdf</v>
      </c>
    </row>
    <row r="196" spans="1:28" x14ac:dyDescent="0.25">
      <c r="A196" t="s">
        <v>200</v>
      </c>
      <c r="B196">
        <v>0.99334974765950101</v>
      </c>
      <c r="C196">
        <v>0.97574883199964302</v>
      </c>
      <c r="D196">
        <v>0.92984185689764198</v>
      </c>
      <c r="E196">
        <v>0.59241362423210697</v>
      </c>
      <c r="F196">
        <v>0.44296754463562699</v>
      </c>
      <c r="G196">
        <v>0.249363057940999</v>
      </c>
      <c r="H196">
        <v>0.219630133465678</v>
      </c>
      <c r="I196">
        <v>0.14948767642709401</v>
      </c>
      <c r="J196">
        <v>0.23850541635335301</v>
      </c>
      <c r="K196">
        <v>0.145846331914783</v>
      </c>
      <c r="L196">
        <v>995.20822874554005</v>
      </c>
      <c r="M196">
        <v>19.694722703667502</v>
      </c>
      <c r="N196">
        <v>51.674915388066601</v>
      </c>
      <c r="O196">
        <v>50.019400359853698</v>
      </c>
      <c r="P196">
        <v>-8.1055021608317193E-2</v>
      </c>
      <c r="Q196">
        <v>0.176595002052615</v>
      </c>
      <c r="R196">
        <v>0.99133629634846698</v>
      </c>
      <c r="S196" t="s">
        <v>6057</v>
      </c>
      <c r="T196" t="s">
        <v>11720</v>
      </c>
      <c r="U196" t="s">
        <v>11720</v>
      </c>
      <c r="V196" t="s">
        <v>11720</v>
      </c>
      <c r="W196" t="s">
        <v>11913</v>
      </c>
      <c r="X196">
        <v>4</v>
      </c>
      <c r="Y196" t="s">
        <v>17710</v>
      </c>
      <c r="Z196" t="s">
        <v>23403</v>
      </c>
      <c r="AA196">
        <v>0.47744118666982349</v>
      </c>
      <c r="AB196" t="str">
        <f>HYPERLINK("Melting_Curves/meltCurve_B4E3E5_DVL3.pdf", "Melting_Curves/meltCurve_B4E3E5_DVL3.pdf")</f>
        <v>Melting_Curves/meltCurve_B4E3E5_DVL3.pdf</v>
      </c>
    </row>
    <row r="197" spans="1:28" x14ac:dyDescent="0.25">
      <c r="A197" t="s">
        <v>201</v>
      </c>
      <c r="B197">
        <v>0.99334974765950101</v>
      </c>
      <c r="C197">
        <v>0.84249172343269696</v>
      </c>
      <c r="D197">
        <v>0.82239580916289801</v>
      </c>
      <c r="E197">
        <v>0.78643444550386798</v>
      </c>
      <c r="F197">
        <v>0.596663401796375</v>
      </c>
      <c r="G197">
        <v>0.25976170734390602</v>
      </c>
      <c r="H197">
        <v>9.3109936015819197E-2</v>
      </c>
      <c r="I197">
        <v>7.4789256676137797E-2</v>
      </c>
      <c r="J197">
        <v>8.1244415652034302E-2</v>
      </c>
      <c r="K197">
        <v>5.5858042918340498E-2</v>
      </c>
      <c r="L197">
        <v>757.912373951414</v>
      </c>
      <c r="M197">
        <v>14.152117886406399</v>
      </c>
      <c r="N197">
        <v>53.554698063331003</v>
      </c>
      <c r="O197">
        <v>52.519396252310003</v>
      </c>
      <c r="P197">
        <v>-6.7374685462821701E-2</v>
      </c>
      <c r="Q197">
        <v>0</v>
      </c>
      <c r="R197">
        <v>0.97186145840154403</v>
      </c>
      <c r="S197" t="s">
        <v>6058</v>
      </c>
      <c r="T197" t="s">
        <v>11720</v>
      </c>
      <c r="U197" t="s">
        <v>11720</v>
      </c>
      <c r="V197" t="s">
        <v>11720</v>
      </c>
      <c r="W197" t="s">
        <v>11914</v>
      </c>
      <c r="X197">
        <v>2</v>
      </c>
      <c r="Y197" t="s">
        <v>17711</v>
      </c>
      <c r="Z197" t="s">
        <v>23404</v>
      </c>
      <c r="AA197">
        <v>0.47442284812545488</v>
      </c>
      <c r="AB197" t="str">
        <f>HYPERLINK("Melting_Curves/meltCurve_B5MC53_MPV17.pdf", "Melting_Curves/meltCurve_B5MC53_MPV17.pdf")</f>
        <v>Melting_Curves/meltCurve_B5MC53_MPV17.pdf</v>
      </c>
    </row>
    <row r="198" spans="1:28" x14ac:dyDescent="0.25">
      <c r="A198" t="s">
        <v>202</v>
      </c>
      <c r="B198">
        <v>0.99334974765950101</v>
      </c>
      <c r="C198">
        <v>1.3105291091834299</v>
      </c>
      <c r="D198">
        <v>0.76831220224650199</v>
      </c>
      <c r="E198">
        <v>0.98604732822782604</v>
      </c>
      <c r="F198">
        <v>1.21142181897318</v>
      </c>
      <c r="G198">
        <v>1.1676645209547001</v>
      </c>
      <c r="H198">
        <v>1.46345650004629</v>
      </c>
      <c r="I198">
        <v>2.8827771455620299</v>
      </c>
      <c r="J198">
        <v>2.2065690461233198</v>
      </c>
      <c r="K198">
        <v>1.55794977448739</v>
      </c>
      <c r="L198">
        <v>4792.2183135639498</v>
      </c>
      <c r="M198">
        <v>83.3983956499616</v>
      </c>
      <c r="O198">
        <v>57.428765312667899</v>
      </c>
      <c r="P198">
        <v>0.18152583974015499</v>
      </c>
      <c r="Q198">
        <v>1.5</v>
      </c>
      <c r="R198">
        <v>0.29079633778254299</v>
      </c>
      <c r="S198" t="s">
        <v>6059</v>
      </c>
      <c r="T198" t="s">
        <v>11720</v>
      </c>
      <c r="U198" t="s">
        <v>11720</v>
      </c>
      <c r="V198" t="s">
        <v>11720</v>
      </c>
      <c r="W198" t="s">
        <v>11915</v>
      </c>
      <c r="X198">
        <v>1</v>
      </c>
      <c r="Y198" t="s">
        <v>17712</v>
      </c>
      <c r="Z198" t="s">
        <v>23405</v>
      </c>
      <c r="AA198">
        <v>1.2085168324553219</v>
      </c>
      <c r="AB198" t="str">
        <f>HYPERLINK("Melting_Curves/meltCurve_B5MCD7_SYNGR1.pdf", "Melting_Curves/meltCurve_B5MCD7_SYNGR1.pdf")</f>
        <v>Melting_Curves/meltCurve_B5MCD7_SYNGR1.pdf</v>
      </c>
    </row>
    <row r="199" spans="1:28" x14ac:dyDescent="0.25">
      <c r="A199" t="s">
        <v>203</v>
      </c>
      <c r="B199">
        <v>0.99334974765950101</v>
      </c>
      <c r="C199">
        <v>0.94209999446806703</v>
      </c>
      <c r="D199">
        <v>0.871916679706224</v>
      </c>
      <c r="E199">
        <v>0.60425068859589304</v>
      </c>
      <c r="F199">
        <v>0.381370408677141</v>
      </c>
      <c r="G199">
        <v>0.279816607289329</v>
      </c>
      <c r="H199">
        <v>0.24844721371877199</v>
      </c>
      <c r="I199">
        <v>0.25679111149872103</v>
      </c>
      <c r="J199">
        <v>0.19203769796981199</v>
      </c>
      <c r="K199">
        <v>0.17856132404220701</v>
      </c>
      <c r="L199">
        <v>928.22532864771802</v>
      </c>
      <c r="M199">
        <v>18.608651968020901</v>
      </c>
      <c r="N199">
        <v>51.333474759797703</v>
      </c>
      <c r="O199">
        <v>49.316037119367401</v>
      </c>
      <c r="P199">
        <v>-7.5033108531770504E-2</v>
      </c>
      <c r="Q199">
        <v>0.20463321659827</v>
      </c>
      <c r="R199">
        <v>0.99556758659048705</v>
      </c>
      <c r="S199" t="s">
        <v>6060</v>
      </c>
      <c r="T199" t="s">
        <v>11720</v>
      </c>
      <c r="U199" t="s">
        <v>11720</v>
      </c>
      <c r="V199" t="s">
        <v>11720</v>
      </c>
      <c r="W199" t="s">
        <v>11916</v>
      </c>
      <c r="X199">
        <v>2</v>
      </c>
      <c r="Y199" t="s">
        <v>17713</v>
      </c>
      <c r="Z199" t="s">
        <v>23406</v>
      </c>
      <c r="AA199">
        <v>0.47935605250019858</v>
      </c>
      <c r="AB199" t="str">
        <f>HYPERLINK("Melting_Curves/meltCurve_B5MCN7_NCOA1.pdf", "Melting_Curves/meltCurve_B5MCN7_NCOA1.pdf")</f>
        <v>Melting_Curves/meltCurve_B5MCN7_NCOA1.pdf</v>
      </c>
    </row>
    <row r="200" spans="1:28" x14ac:dyDescent="0.25">
      <c r="A200" t="s">
        <v>204</v>
      </c>
      <c r="B200">
        <v>0.99334974765950101</v>
      </c>
      <c r="C200">
        <v>0.93612300017200001</v>
      </c>
      <c r="D200">
        <v>0.83086930697854899</v>
      </c>
      <c r="E200">
        <v>0.75256707215236096</v>
      </c>
      <c r="F200">
        <v>0.86946070951439003</v>
      </c>
      <c r="G200">
        <v>0.71681428040667405</v>
      </c>
      <c r="H200">
        <v>0.71363241660295995</v>
      </c>
      <c r="I200">
        <v>0.832255659221527</v>
      </c>
      <c r="J200">
        <v>0.85911249071784301</v>
      </c>
      <c r="K200">
        <v>0.717317954454746</v>
      </c>
      <c r="L200">
        <v>1406.0084553629199</v>
      </c>
      <c r="M200">
        <v>31.849414648062499</v>
      </c>
      <c r="O200">
        <v>43.972561414767902</v>
      </c>
      <c r="P200">
        <v>-3.9902685053756298E-2</v>
      </c>
      <c r="Q200">
        <v>0.77963623145012795</v>
      </c>
      <c r="R200">
        <v>0.64348862356971703</v>
      </c>
      <c r="S200" t="s">
        <v>6061</v>
      </c>
      <c r="T200" t="s">
        <v>11720</v>
      </c>
      <c r="U200" t="s">
        <v>11720</v>
      </c>
      <c r="V200" t="s">
        <v>11720</v>
      </c>
      <c r="W200" t="s">
        <v>11917</v>
      </c>
      <c r="X200">
        <v>3</v>
      </c>
      <c r="Y200" t="s">
        <v>17714</v>
      </c>
      <c r="Z200" t="s">
        <v>23407</v>
      </c>
      <c r="AA200">
        <v>0.81143959215704442</v>
      </c>
      <c r="AB200" t="str">
        <f>HYPERLINK("Melting_Curves/meltCurve_B5MD23_TSPAN9.pdf", "Melting_Curves/meltCurve_B5MD23_TSPAN9.pdf")</f>
        <v>Melting_Curves/meltCurve_B5MD23_TSPAN9.pdf</v>
      </c>
    </row>
    <row r="201" spans="1:28" x14ac:dyDescent="0.25">
      <c r="A201" t="s">
        <v>205</v>
      </c>
      <c r="B201">
        <v>0.99334974765950101</v>
      </c>
      <c r="C201">
        <v>1.0307351796653299</v>
      </c>
      <c r="D201">
        <v>1.0398491373866099</v>
      </c>
      <c r="E201">
        <v>0.96918966861807199</v>
      </c>
      <c r="F201">
        <v>0.92739705797137595</v>
      </c>
      <c r="G201">
        <v>0.88347711295909803</v>
      </c>
      <c r="H201">
        <v>0.66623849689508596</v>
      </c>
      <c r="I201">
        <v>0.83664166067188395</v>
      </c>
      <c r="J201">
        <v>0.14830515069343</v>
      </c>
      <c r="K201">
        <v>9.92369199924059E-2</v>
      </c>
      <c r="L201">
        <v>1936.49647567687</v>
      </c>
      <c r="M201">
        <v>29.807344561437301</v>
      </c>
      <c r="N201">
        <v>64.967083258355999</v>
      </c>
      <c r="O201">
        <v>64.676780613688194</v>
      </c>
      <c r="P201">
        <v>-0.11521733068576499</v>
      </c>
      <c r="Q201">
        <v>0</v>
      </c>
      <c r="R201">
        <v>0.88133339278506595</v>
      </c>
      <c r="S201" t="s">
        <v>6062</v>
      </c>
      <c r="T201" t="s">
        <v>11720</v>
      </c>
      <c r="U201" t="s">
        <v>11720</v>
      </c>
      <c r="V201" t="s">
        <v>11720</v>
      </c>
      <c r="W201" t="s">
        <v>11918</v>
      </c>
      <c r="X201">
        <v>2</v>
      </c>
      <c r="Y201" t="s">
        <v>17715</v>
      </c>
      <c r="Z201" t="s">
        <v>23408</v>
      </c>
      <c r="AA201">
        <v>0.83024469135116008</v>
      </c>
      <c r="AB201" t="str">
        <f>HYPERLINK("Melting_Curves/meltCurve_B5MDE0_RFT1.pdf", "Melting_Curves/meltCurve_B5MDE0_RFT1.pdf")</f>
        <v>Melting_Curves/meltCurve_B5MDE0_RFT1.pdf</v>
      </c>
    </row>
    <row r="202" spans="1:28" x14ac:dyDescent="0.25">
      <c r="A202" t="s">
        <v>206</v>
      </c>
      <c r="B202">
        <v>0.99334974765950101</v>
      </c>
      <c r="C202">
        <v>0.93128080773428701</v>
      </c>
      <c r="D202">
        <v>0.86042339503158105</v>
      </c>
      <c r="E202">
        <v>0.59587014162006802</v>
      </c>
      <c r="F202">
        <v>0.27785283291457902</v>
      </c>
      <c r="G202">
        <v>0.15539090333050301</v>
      </c>
      <c r="H202">
        <v>0.126356874069457</v>
      </c>
      <c r="I202">
        <v>9.3000683808735302E-2</v>
      </c>
      <c r="J202">
        <v>7.0107990936217807E-2</v>
      </c>
      <c r="K202">
        <v>6.3049312545309405E-2</v>
      </c>
      <c r="L202">
        <v>984.52009328010502</v>
      </c>
      <c r="M202">
        <v>19.5919506012713</v>
      </c>
      <c r="N202">
        <v>50.649378921519599</v>
      </c>
      <c r="O202">
        <v>49.736509357290899</v>
      </c>
      <c r="P202">
        <v>-9.1454093996840902E-2</v>
      </c>
      <c r="Q202">
        <v>7.1364192724307801E-2</v>
      </c>
      <c r="R202">
        <v>0.99593216932747197</v>
      </c>
      <c r="S202" t="s">
        <v>6063</v>
      </c>
      <c r="T202" t="s">
        <v>11720</v>
      </c>
      <c r="U202" t="s">
        <v>11720</v>
      </c>
      <c r="V202" t="s">
        <v>11720</v>
      </c>
      <c r="W202" t="s">
        <v>11919</v>
      </c>
      <c r="X202">
        <v>5</v>
      </c>
      <c r="Y202" t="s">
        <v>17716</v>
      </c>
      <c r="Z202" t="s">
        <v>23409</v>
      </c>
      <c r="AA202">
        <v>0.40212656167929989</v>
      </c>
      <c r="AB202" t="str">
        <f>HYPERLINK("Melting_Curves/meltCurve_B5MDU6_C2orf43.pdf", "Melting_Curves/meltCurve_B5MDU6_C2orf43.pdf")</f>
        <v>Melting_Curves/meltCurve_B5MDU6_C2orf43.pdf</v>
      </c>
    </row>
    <row r="203" spans="1:28" x14ac:dyDescent="0.25">
      <c r="A203" t="s">
        <v>207</v>
      </c>
      <c r="B203">
        <v>0.99334974765950101</v>
      </c>
      <c r="C203">
        <v>0.91990486116882997</v>
      </c>
      <c r="D203">
        <v>0.65957523636030801</v>
      </c>
      <c r="E203">
        <v>0.59322304444128005</v>
      </c>
      <c r="F203">
        <v>0.61968920432951002</v>
      </c>
      <c r="G203">
        <v>0.34327991633407101</v>
      </c>
      <c r="H203">
        <v>0.343623561760036</v>
      </c>
      <c r="I203">
        <v>0.38899775310175899</v>
      </c>
      <c r="J203">
        <v>0.46576445316396903</v>
      </c>
      <c r="K203">
        <v>0.47218056182085599</v>
      </c>
      <c r="L203">
        <v>705.87514230773604</v>
      </c>
      <c r="M203">
        <v>15.0807085204011</v>
      </c>
      <c r="N203">
        <v>52.752491620453902</v>
      </c>
      <c r="O203">
        <v>46.006611604659597</v>
      </c>
      <c r="P203">
        <v>-4.8465759948167E-2</v>
      </c>
      <c r="Q203">
        <v>0.40864191144821899</v>
      </c>
      <c r="R203">
        <v>0.89291218462313404</v>
      </c>
      <c r="S203" t="s">
        <v>6064</v>
      </c>
      <c r="T203" t="s">
        <v>11720</v>
      </c>
      <c r="U203" t="s">
        <v>11720</v>
      </c>
      <c r="V203" t="s">
        <v>11720</v>
      </c>
      <c r="W203" t="s">
        <v>11920</v>
      </c>
      <c r="X203">
        <v>1</v>
      </c>
      <c r="Y203" t="s">
        <v>17717</v>
      </c>
      <c r="Z203" t="s">
        <v>23410</v>
      </c>
      <c r="AA203">
        <v>0.55889891594319741</v>
      </c>
      <c r="AB203" t="str">
        <f>HYPERLINK("Melting_Curves/meltCurve_B5MEB3_CABIN1.pdf", "Melting_Curves/meltCurve_B5MEB3_CABIN1.pdf")</f>
        <v>Melting_Curves/meltCurve_B5MEB3_CABIN1.pdf</v>
      </c>
    </row>
    <row r="204" spans="1:28" x14ac:dyDescent="0.25">
      <c r="A204" t="s">
        <v>208</v>
      </c>
      <c r="B204">
        <v>0.99334974765950101</v>
      </c>
      <c r="C204">
        <v>0.95371007113175998</v>
      </c>
      <c r="D204">
        <v>0.90918891550830705</v>
      </c>
      <c r="E204">
        <v>0.70098315735625805</v>
      </c>
      <c r="F204">
        <v>0.43988814982393398</v>
      </c>
      <c r="G204">
        <v>0.26161858792416698</v>
      </c>
      <c r="H204">
        <v>0.20713136544475999</v>
      </c>
      <c r="I204">
        <v>0.20111622060604201</v>
      </c>
      <c r="J204">
        <v>0.20310755169181799</v>
      </c>
      <c r="K204">
        <v>0.17335469203798701</v>
      </c>
      <c r="L204">
        <v>1036.6901527669299</v>
      </c>
      <c r="M204">
        <v>20.279513798782101</v>
      </c>
      <c r="N204">
        <v>52.275933650240397</v>
      </c>
      <c r="O204">
        <v>50.630774812560098</v>
      </c>
      <c r="P204">
        <v>-8.2045141461395396E-2</v>
      </c>
      <c r="Q204">
        <v>0.180674407425511</v>
      </c>
      <c r="R204">
        <v>0.99813161747899404</v>
      </c>
      <c r="S204" t="s">
        <v>6065</v>
      </c>
      <c r="T204" t="s">
        <v>11720</v>
      </c>
      <c r="U204" t="s">
        <v>11720</v>
      </c>
      <c r="V204" t="s">
        <v>11720</v>
      </c>
      <c r="W204" t="s">
        <v>11921</v>
      </c>
      <c r="X204">
        <v>13</v>
      </c>
      <c r="Y204" t="s">
        <v>17718</v>
      </c>
      <c r="Z204" t="s">
        <v>23411</v>
      </c>
      <c r="AA204">
        <v>0.49545234771922791</v>
      </c>
      <c r="AB204" t="str">
        <f>HYPERLINK("Melting_Curves/meltCurve_B7WPE2_EML3.pdf", "Melting_Curves/meltCurve_B7WPE2_EML3.pdf")</f>
        <v>Melting_Curves/meltCurve_B7WPE2_EML3.pdf</v>
      </c>
    </row>
    <row r="205" spans="1:28" x14ac:dyDescent="0.25">
      <c r="A205" t="s">
        <v>209</v>
      </c>
      <c r="B205">
        <v>0.99334974765950101</v>
      </c>
      <c r="C205">
        <v>1.1312733816138101</v>
      </c>
      <c r="D205">
        <v>0.96521365148035698</v>
      </c>
      <c r="E205">
        <v>0.98021278050087801</v>
      </c>
      <c r="F205">
        <v>1.2565197204943499</v>
      </c>
      <c r="G205">
        <v>0.83740922840052101</v>
      </c>
      <c r="H205">
        <v>0.84345172366382104</v>
      </c>
      <c r="I205">
        <v>0.74671507274696403</v>
      </c>
      <c r="J205">
        <v>0.86732212521365004</v>
      </c>
      <c r="K205">
        <v>0.61521117397148195</v>
      </c>
      <c r="L205">
        <v>14201.336783929301</v>
      </c>
      <c r="M205">
        <v>250</v>
      </c>
      <c r="O205">
        <v>56.801702054664297</v>
      </c>
      <c r="P205">
        <v>-0.25508142273637602</v>
      </c>
      <c r="Q205">
        <v>0.768175016109229</v>
      </c>
      <c r="R205">
        <v>0.596206628104617</v>
      </c>
      <c r="S205" t="s">
        <v>6066</v>
      </c>
      <c r="T205" t="s">
        <v>11720</v>
      </c>
      <c r="U205" t="s">
        <v>11720</v>
      </c>
      <c r="V205" t="s">
        <v>11720</v>
      </c>
      <c r="W205" t="s">
        <v>11922</v>
      </c>
      <c r="X205">
        <v>8</v>
      </c>
      <c r="Y205" t="s">
        <v>17719</v>
      </c>
      <c r="Z205" t="s">
        <v>23412</v>
      </c>
      <c r="AA205">
        <v>0.89806143828868223</v>
      </c>
      <c r="AB205" t="str">
        <f>HYPERLINK("Melting_Curves/meltCurve_B7Z1I4_NTM.pdf", "Melting_Curves/meltCurve_B7Z1I4_NTM.pdf")</f>
        <v>Melting_Curves/meltCurve_B7Z1I4_NTM.pdf</v>
      </c>
    </row>
    <row r="206" spans="1:28" x14ac:dyDescent="0.25">
      <c r="A206" t="s">
        <v>210</v>
      </c>
      <c r="B206">
        <v>0.99334974765950101</v>
      </c>
      <c r="C206">
        <v>0.87388849342450003</v>
      </c>
      <c r="D206">
        <v>0.94176161220612498</v>
      </c>
      <c r="E206">
        <v>0.96793545791703395</v>
      </c>
      <c r="F206">
        <v>1.1343505805698499</v>
      </c>
      <c r="G206">
        <v>0.81438304289822505</v>
      </c>
      <c r="H206">
        <v>0.65319642836691105</v>
      </c>
      <c r="I206">
        <v>0.55303483390183505</v>
      </c>
      <c r="J206">
        <v>0.37366333510566202</v>
      </c>
      <c r="K206">
        <v>0.27996329581254897</v>
      </c>
      <c r="L206">
        <v>1116.47570828058</v>
      </c>
      <c r="M206">
        <v>17.8694246254334</v>
      </c>
      <c r="N206">
        <v>64.179334209427196</v>
      </c>
      <c r="O206">
        <v>61.712956954699202</v>
      </c>
      <c r="P206">
        <v>-5.8746290939327303E-2</v>
      </c>
      <c r="Q206">
        <v>0.188508122185265</v>
      </c>
      <c r="R206">
        <v>0.92511398659641797</v>
      </c>
      <c r="S206" t="s">
        <v>6067</v>
      </c>
      <c r="T206" t="s">
        <v>11720</v>
      </c>
      <c r="U206" t="s">
        <v>11720</v>
      </c>
      <c r="V206" t="s">
        <v>11720</v>
      </c>
      <c r="W206" t="s">
        <v>11923</v>
      </c>
      <c r="X206">
        <v>7</v>
      </c>
      <c r="Y206" t="s">
        <v>17720</v>
      </c>
      <c r="Z206" t="s">
        <v>23413</v>
      </c>
      <c r="AA206">
        <v>0.795923339142936</v>
      </c>
      <c r="AB206" t="str">
        <f>HYPERLINK("Melting_Curves/meltCurve_B7Z1J9_PDDC1.pdf", "Melting_Curves/meltCurve_B7Z1J9_PDDC1.pdf")</f>
        <v>Melting_Curves/meltCurve_B7Z1J9_PDDC1.pdf</v>
      </c>
    </row>
    <row r="207" spans="1:28" x14ac:dyDescent="0.25">
      <c r="A207" t="s">
        <v>211</v>
      </c>
      <c r="B207">
        <v>0.99334974765950101</v>
      </c>
      <c r="C207">
        <v>1.00587753678631</v>
      </c>
      <c r="D207">
        <v>1.05122742065617</v>
      </c>
      <c r="E207">
        <v>0.894605772479518</v>
      </c>
      <c r="F207">
        <v>0.78949285315696804</v>
      </c>
      <c r="G207">
        <v>0.21485616513147501</v>
      </c>
      <c r="H207">
        <v>0.117371993158101</v>
      </c>
      <c r="I207">
        <v>8.2657876045540701E-2</v>
      </c>
      <c r="J207">
        <v>7.7225685973207697E-2</v>
      </c>
      <c r="K207">
        <v>5.6652821408700198E-2</v>
      </c>
      <c r="L207">
        <v>1985.5410036893099</v>
      </c>
      <c r="M207">
        <v>36.389462183066897</v>
      </c>
      <c r="N207">
        <v>54.804251033405997</v>
      </c>
      <c r="O207">
        <v>54.399630846389599</v>
      </c>
      <c r="P207">
        <v>-0.15488553838616301</v>
      </c>
      <c r="Q207">
        <v>7.3831811276311304E-2</v>
      </c>
      <c r="R207">
        <v>0.99440811732103895</v>
      </c>
      <c r="S207" t="s">
        <v>6068</v>
      </c>
      <c r="T207" t="s">
        <v>11720</v>
      </c>
      <c r="U207" t="s">
        <v>11720</v>
      </c>
      <c r="V207" t="s">
        <v>11720</v>
      </c>
      <c r="W207" t="s">
        <v>11924</v>
      </c>
      <c r="X207">
        <v>24</v>
      </c>
      <c r="Y207" t="s">
        <v>17721</v>
      </c>
      <c r="Z207" t="s">
        <v>23414</v>
      </c>
      <c r="AA207">
        <v>0.52764696065372829</v>
      </c>
      <c r="AB207" t="str">
        <f>HYPERLINK("Melting_Curves/meltCurve_B7Z254_PDIA6.pdf", "Melting_Curves/meltCurve_B7Z254_PDIA6.pdf")</f>
        <v>Melting_Curves/meltCurve_B7Z254_PDIA6.pdf</v>
      </c>
    </row>
    <row r="208" spans="1:28" x14ac:dyDescent="0.25">
      <c r="A208" t="s">
        <v>212</v>
      </c>
      <c r="B208">
        <v>0.99334974765950101</v>
      </c>
      <c r="C208">
        <v>0.97013626598373404</v>
      </c>
      <c r="D208">
        <v>0.91440482385891297</v>
      </c>
      <c r="E208">
        <v>0.99790131885092404</v>
      </c>
      <c r="F208">
        <v>1.0152226722982101</v>
      </c>
      <c r="G208">
        <v>0.96882170423728398</v>
      </c>
      <c r="H208">
        <v>0.91225091860728802</v>
      </c>
      <c r="I208">
        <v>1.23022982858601</v>
      </c>
      <c r="J208">
        <v>1.19384008064449</v>
      </c>
      <c r="K208">
        <v>0.80991389901114197</v>
      </c>
      <c r="L208">
        <v>3040.9897765871501</v>
      </c>
      <c r="M208">
        <v>49.129656530058199</v>
      </c>
      <c r="O208">
        <v>61.794934050192701</v>
      </c>
      <c r="P208">
        <v>1.18495067358621E-2</v>
      </c>
      <c r="Q208">
        <v>1.0596168534797199</v>
      </c>
      <c r="R208">
        <v>6.6948267569211795E-2</v>
      </c>
      <c r="S208" t="s">
        <v>6069</v>
      </c>
      <c r="T208" t="s">
        <v>11720</v>
      </c>
      <c r="U208" t="s">
        <v>11720</v>
      </c>
      <c r="V208" t="s">
        <v>11720</v>
      </c>
      <c r="W208" t="s">
        <v>11925</v>
      </c>
      <c r="X208">
        <v>2</v>
      </c>
      <c r="Y208" t="s">
        <v>17722</v>
      </c>
      <c r="Z208" t="s">
        <v>23415</v>
      </c>
      <c r="AA208">
        <v>1.0159447987810559</v>
      </c>
      <c r="AB208" t="str">
        <f>HYPERLINK("Melting_Curves/meltCurve_B7Z2B2_MFSD8.pdf", "Melting_Curves/meltCurve_B7Z2B2_MFSD8.pdf")</f>
        <v>Melting_Curves/meltCurve_B7Z2B2_MFSD8.pdf</v>
      </c>
    </row>
    <row r="209" spans="1:28" x14ac:dyDescent="0.25">
      <c r="A209" t="s">
        <v>213</v>
      </c>
      <c r="B209">
        <v>0.99334974765950101</v>
      </c>
      <c r="C209">
        <v>1.0195351538419399</v>
      </c>
      <c r="D209">
        <v>0.89287062460586997</v>
      </c>
      <c r="E209">
        <v>0.69431492827304198</v>
      </c>
      <c r="F209">
        <v>0.33082634153548002</v>
      </c>
      <c r="G209">
        <v>0.21876025743840499</v>
      </c>
      <c r="H209">
        <v>0.163417715012662</v>
      </c>
      <c r="I209">
        <v>0.11716046026214</v>
      </c>
      <c r="J209">
        <v>0.134107941722583</v>
      </c>
      <c r="K209">
        <v>0.12051609287218699</v>
      </c>
      <c r="L209">
        <v>1225.4909343506199</v>
      </c>
      <c r="M209">
        <v>24.076720494905601</v>
      </c>
      <c r="N209">
        <v>51.540051879019799</v>
      </c>
      <c r="O209">
        <v>50.552164217252802</v>
      </c>
      <c r="P209">
        <v>-0.10367255797475</v>
      </c>
      <c r="Q209">
        <v>0.12931796498781101</v>
      </c>
      <c r="R209">
        <v>0.994438465026658</v>
      </c>
      <c r="S209" t="s">
        <v>6070</v>
      </c>
      <c r="T209" t="s">
        <v>11720</v>
      </c>
      <c r="U209" t="s">
        <v>11720</v>
      </c>
      <c r="V209" t="s">
        <v>11720</v>
      </c>
      <c r="W209" t="s">
        <v>11926</v>
      </c>
      <c r="X209">
        <v>13</v>
      </c>
      <c r="Y209" t="s">
        <v>17723</v>
      </c>
      <c r="Z209" t="s">
        <v>23416</v>
      </c>
      <c r="AA209">
        <v>0.45410923184476959</v>
      </c>
      <c r="AB209" t="str">
        <f>HYPERLINK("Melting_Curves/meltCurve_B7Z2C3_PPM1F.pdf", "Melting_Curves/meltCurve_B7Z2C3_PPM1F.pdf")</f>
        <v>Melting_Curves/meltCurve_B7Z2C3_PPM1F.pdf</v>
      </c>
    </row>
    <row r="210" spans="1:28" x14ac:dyDescent="0.25">
      <c r="A210" t="s">
        <v>214</v>
      </c>
      <c r="B210">
        <v>0.99334974765950101</v>
      </c>
      <c r="C210">
        <v>1.12728442724723</v>
      </c>
      <c r="D210">
        <v>0.99858377103761098</v>
      </c>
      <c r="E210">
        <v>1.12337993405793</v>
      </c>
      <c r="F210">
        <v>0.94291916734441605</v>
      </c>
      <c r="G210">
        <v>0.73849443363602096</v>
      </c>
      <c r="H210">
        <v>0.74543637944347496</v>
      </c>
      <c r="I210">
        <v>1.1981219439314199</v>
      </c>
      <c r="J210">
        <v>1.15580716128345</v>
      </c>
      <c r="K210">
        <v>0.557825459862335</v>
      </c>
      <c r="L210">
        <v>13255.883447263201</v>
      </c>
      <c r="M210">
        <v>250</v>
      </c>
      <c r="O210">
        <v>53.020140343522698</v>
      </c>
      <c r="P210">
        <v>-0.142472898589596</v>
      </c>
      <c r="Q210">
        <v>0.87913707022420295</v>
      </c>
      <c r="R210">
        <v>0.14351471696326601</v>
      </c>
      <c r="S210" t="s">
        <v>6071</v>
      </c>
      <c r="T210" t="s">
        <v>11720</v>
      </c>
      <c r="U210" t="s">
        <v>11720</v>
      </c>
      <c r="V210" t="s">
        <v>11720</v>
      </c>
      <c r="W210" t="s">
        <v>11927</v>
      </c>
      <c r="X210">
        <v>36</v>
      </c>
      <c r="Y210" t="s">
        <v>17724</v>
      </c>
      <c r="Z210" t="s">
        <v>23417</v>
      </c>
      <c r="AA210">
        <v>0.93161706550769996</v>
      </c>
      <c r="AB210" t="str">
        <f>HYPERLINK("Melting_Curves/meltCurve_B7Z2S5_TXNRD1.pdf", "Melting_Curves/meltCurve_B7Z2S5_TXNRD1.pdf")</f>
        <v>Melting_Curves/meltCurve_B7Z2S5_TXNRD1.pdf</v>
      </c>
    </row>
    <row r="211" spans="1:28" x14ac:dyDescent="0.25">
      <c r="A211" t="s">
        <v>215</v>
      </c>
      <c r="B211">
        <v>0.99334974765950101</v>
      </c>
      <c r="C211">
        <v>0.93772223241668096</v>
      </c>
      <c r="D211">
        <v>0.89169611102491397</v>
      </c>
      <c r="E211">
        <v>0.55275818798094001</v>
      </c>
      <c r="F211">
        <v>0.46036272318468502</v>
      </c>
      <c r="G211">
        <v>0.42463246930507698</v>
      </c>
      <c r="H211">
        <v>0.37485180833155102</v>
      </c>
      <c r="I211">
        <v>0.44057497676589102</v>
      </c>
      <c r="J211">
        <v>0.32796172586643801</v>
      </c>
      <c r="K211">
        <v>0.25454306366162799</v>
      </c>
      <c r="L211">
        <v>1017.12292482155</v>
      </c>
      <c r="M211">
        <v>20.887154947436599</v>
      </c>
      <c r="N211">
        <v>51.722164594022097</v>
      </c>
      <c r="O211">
        <v>48.256346115756699</v>
      </c>
      <c r="P211">
        <v>-7.0047601848797603E-2</v>
      </c>
      <c r="Q211">
        <v>0.35268399933299999</v>
      </c>
      <c r="R211">
        <v>0.96512922228585296</v>
      </c>
      <c r="S211" t="s">
        <v>6072</v>
      </c>
      <c r="T211" t="s">
        <v>11720</v>
      </c>
      <c r="U211" t="s">
        <v>11720</v>
      </c>
      <c r="V211" t="s">
        <v>11720</v>
      </c>
      <c r="W211" t="s">
        <v>11928</v>
      </c>
      <c r="X211">
        <v>3</v>
      </c>
      <c r="Y211" t="s">
        <v>17725</v>
      </c>
      <c r="Z211" t="s">
        <v>23418</v>
      </c>
      <c r="AA211">
        <v>0.54863885681680313</v>
      </c>
      <c r="AB211" t="str">
        <f>HYPERLINK("Melting_Curves/meltCurve_B7Z2Y2_COG2.pdf", "Melting_Curves/meltCurve_B7Z2Y2_COG2.pdf")</f>
        <v>Melting_Curves/meltCurve_B7Z2Y2_COG2.pdf</v>
      </c>
    </row>
    <row r="212" spans="1:28" x14ac:dyDescent="0.25">
      <c r="A212" t="s">
        <v>216</v>
      </c>
      <c r="B212">
        <v>0.99334974765950101</v>
      </c>
      <c r="C212">
        <v>0.88459745700925996</v>
      </c>
      <c r="D212">
        <v>0.852130759218788</v>
      </c>
      <c r="E212">
        <v>0.78343915458395597</v>
      </c>
      <c r="F212">
        <v>1.1429899318508501</v>
      </c>
      <c r="G212">
        <v>1.0161346956073301</v>
      </c>
      <c r="H212">
        <v>0.87018487894049001</v>
      </c>
      <c r="I212">
        <v>0.77937570589094995</v>
      </c>
      <c r="J212">
        <v>1.2497744542739599</v>
      </c>
      <c r="K212">
        <v>1.21105490234907</v>
      </c>
      <c r="L212">
        <v>15000</v>
      </c>
      <c r="M212">
        <v>227.95122990586901</v>
      </c>
      <c r="O212">
        <v>65.798488084436201</v>
      </c>
      <c r="P212">
        <v>0.200934756591123</v>
      </c>
      <c r="Q212">
        <v>1.2320005456234799</v>
      </c>
      <c r="R212">
        <v>0.373821252457678</v>
      </c>
      <c r="S212" t="s">
        <v>6073</v>
      </c>
      <c r="T212" t="s">
        <v>11720</v>
      </c>
      <c r="U212" t="s">
        <v>11720</v>
      </c>
      <c r="V212" t="s">
        <v>11720</v>
      </c>
      <c r="W212" t="s">
        <v>11929</v>
      </c>
      <c r="X212">
        <v>1</v>
      </c>
      <c r="Y212" t="s">
        <v>17726</v>
      </c>
      <c r="Z212" t="s">
        <v>23419</v>
      </c>
      <c r="AA212">
        <v>1.0324204036546749</v>
      </c>
      <c r="AB212" t="str">
        <f>HYPERLINK("Melting_Curves/meltCurve_B7Z317_TSPAN5.pdf", "Melting_Curves/meltCurve_B7Z317_TSPAN5.pdf")</f>
        <v>Melting_Curves/meltCurve_B7Z317_TSPAN5.pdf</v>
      </c>
    </row>
    <row r="213" spans="1:28" x14ac:dyDescent="0.25">
      <c r="A213" t="s">
        <v>217</v>
      </c>
      <c r="B213">
        <v>0.99334974765950101</v>
      </c>
      <c r="C213">
        <v>1.0187554832179999</v>
      </c>
      <c r="D213">
        <v>1.0805861631281</v>
      </c>
      <c r="E213">
        <v>1.14873301784741</v>
      </c>
      <c r="F213">
        <v>1.06017947081597</v>
      </c>
      <c r="G213">
        <v>1.2141899184028799</v>
      </c>
      <c r="H213">
        <v>1.1740775191599599</v>
      </c>
      <c r="I213">
        <v>2.2914428416900501</v>
      </c>
      <c r="J213">
        <v>1.43338155345625</v>
      </c>
      <c r="K213">
        <v>1.2134940901867199</v>
      </c>
      <c r="L213">
        <v>2213.4499076038601</v>
      </c>
      <c r="M213">
        <v>38.250687471043697</v>
      </c>
      <c r="O213">
        <v>57.709453528758601</v>
      </c>
      <c r="P213">
        <v>8.2852081589834203E-2</v>
      </c>
      <c r="Q213">
        <v>1.5</v>
      </c>
      <c r="R213">
        <v>0.36787441472681598</v>
      </c>
      <c r="S213" t="s">
        <v>6074</v>
      </c>
      <c r="T213" t="s">
        <v>11720</v>
      </c>
      <c r="U213" t="s">
        <v>11720</v>
      </c>
      <c r="V213" t="s">
        <v>11720</v>
      </c>
      <c r="W213" t="s">
        <v>11930</v>
      </c>
      <c r="X213">
        <v>8</v>
      </c>
      <c r="Y213" t="s">
        <v>17727</v>
      </c>
      <c r="Z213" t="s">
        <v>23420</v>
      </c>
      <c r="AA213">
        <v>1.200080369680917</v>
      </c>
      <c r="AB213" t="str">
        <f>HYPERLINK("Melting_Curves/meltCurve_B7Z3I9_ALAD.pdf", "Melting_Curves/meltCurve_B7Z3I9_ALAD.pdf")</f>
        <v>Melting_Curves/meltCurve_B7Z3I9_ALAD.pdf</v>
      </c>
    </row>
    <row r="214" spans="1:28" x14ac:dyDescent="0.25">
      <c r="A214" t="s">
        <v>218</v>
      </c>
      <c r="B214">
        <v>0.99334974765950101</v>
      </c>
      <c r="C214">
        <v>1.0513779578638101</v>
      </c>
      <c r="D214">
        <v>1.2234718190560401</v>
      </c>
      <c r="E214">
        <v>0.94138969361493996</v>
      </c>
      <c r="F214">
        <v>0.53230908208846595</v>
      </c>
      <c r="G214">
        <v>0.24686310973400999</v>
      </c>
      <c r="H214">
        <v>0.18715498452271001</v>
      </c>
      <c r="I214">
        <v>7.0395756026460504E-3</v>
      </c>
      <c r="J214">
        <v>3.4726596192011003E-2</v>
      </c>
      <c r="K214">
        <v>7.1016037757411004E-3</v>
      </c>
      <c r="L214">
        <v>1478.9328647268501</v>
      </c>
      <c r="M214">
        <v>27.5827262079642</v>
      </c>
      <c r="N214">
        <v>53.823741240453302</v>
      </c>
      <c r="O214">
        <v>53.338635103901602</v>
      </c>
      <c r="P214">
        <v>-0.122816347757138</v>
      </c>
      <c r="Q214">
        <v>5.00147696164122E-2</v>
      </c>
      <c r="R214">
        <v>0.96104758140583801</v>
      </c>
      <c r="S214" t="s">
        <v>6075</v>
      </c>
      <c r="T214" t="s">
        <v>11720</v>
      </c>
      <c r="U214" t="s">
        <v>11720</v>
      </c>
      <c r="V214" t="s">
        <v>11720</v>
      </c>
      <c r="W214" t="s">
        <v>11931</v>
      </c>
      <c r="X214">
        <v>47</v>
      </c>
      <c r="Y214" t="s">
        <v>17728</v>
      </c>
      <c r="Z214" t="s">
        <v>23421</v>
      </c>
      <c r="AA214">
        <v>0.4885480169014596</v>
      </c>
      <c r="AB214" t="str">
        <f>HYPERLINK("Melting_Curves/meltCurve_B7Z463_NPEPPS.pdf", "Melting_Curves/meltCurve_B7Z463_NPEPPS.pdf")</f>
        <v>Melting_Curves/meltCurve_B7Z463_NPEPPS.pdf</v>
      </c>
    </row>
    <row r="215" spans="1:28" x14ac:dyDescent="0.25">
      <c r="A215" t="s">
        <v>219</v>
      </c>
      <c r="B215">
        <v>0.99334974765950101</v>
      </c>
      <c r="C215">
        <v>0.95296432045353097</v>
      </c>
      <c r="D215">
        <v>0.83360093552921799</v>
      </c>
      <c r="E215">
        <v>0.54113354758767795</v>
      </c>
      <c r="F215">
        <v>0.45157817950338602</v>
      </c>
      <c r="G215">
        <v>0.29521864775746698</v>
      </c>
      <c r="H215">
        <v>0.20665507419222501</v>
      </c>
      <c r="I215">
        <v>0.19730222042996301</v>
      </c>
      <c r="J215">
        <v>0.23621191110895001</v>
      </c>
      <c r="K215">
        <v>0.19792146443641201</v>
      </c>
      <c r="L215">
        <v>791.67054378776902</v>
      </c>
      <c r="M215">
        <v>15.9208802124108</v>
      </c>
      <c r="N215">
        <v>51.3022038634994</v>
      </c>
      <c r="O215">
        <v>48.960610905023202</v>
      </c>
      <c r="P215">
        <v>-6.5569757134095005E-2</v>
      </c>
      <c r="Q215">
        <v>0.19349179821597701</v>
      </c>
      <c r="R215">
        <v>0.99439321720862295</v>
      </c>
      <c r="S215" t="s">
        <v>6076</v>
      </c>
      <c r="T215" t="s">
        <v>11720</v>
      </c>
      <c r="U215" t="s">
        <v>11720</v>
      </c>
      <c r="V215" t="s">
        <v>11720</v>
      </c>
      <c r="W215" t="s">
        <v>11932</v>
      </c>
      <c r="X215">
        <v>7</v>
      </c>
      <c r="Y215" t="s">
        <v>17729</v>
      </c>
      <c r="Z215" t="s">
        <v>23422</v>
      </c>
      <c r="AA215">
        <v>0.47234886859107322</v>
      </c>
      <c r="AB215" t="str">
        <f>HYPERLINK("Melting_Curves/meltCurve_B7Z493_FGD4.pdf", "Melting_Curves/meltCurve_B7Z493_FGD4.pdf")</f>
        <v>Melting_Curves/meltCurve_B7Z493_FGD4.pdf</v>
      </c>
    </row>
    <row r="216" spans="1:28" x14ac:dyDescent="0.25">
      <c r="A216" t="s">
        <v>220</v>
      </c>
      <c r="B216">
        <v>0.99334974765950101</v>
      </c>
      <c r="C216">
        <v>0.95595568922492102</v>
      </c>
      <c r="D216">
        <v>0.87339286889313505</v>
      </c>
      <c r="E216">
        <v>0.74435977843683698</v>
      </c>
      <c r="F216">
        <v>0.53322819739938099</v>
      </c>
      <c r="G216">
        <v>0.40988739892452097</v>
      </c>
      <c r="H216">
        <v>0.37585773617604101</v>
      </c>
      <c r="I216">
        <v>0.45847544216982</v>
      </c>
      <c r="J216">
        <v>0.45293061472513402</v>
      </c>
      <c r="K216">
        <v>0.396849829899456</v>
      </c>
      <c r="L216">
        <v>1002.19059446401</v>
      </c>
      <c r="M216">
        <v>20.071776142132101</v>
      </c>
      <c r="N216">
        <v>54.4669384855722</v>
      </c>
      <c r="O216">
        <v>49.442626290208203</v>
      </c>
      <c r="P216">
        <v>-6.02825053226234E-2</v>
      </c>
      <c r="Q216">
        <v>0.40604534886176202</v>
      </c>
      <c r="R216">
        <v>0.97817522734131501</v>
      </c>
      <c r="S216" t="s">
        <v>6077</v>
      </c>
      <c r="T216" t="s">
        <v>11720</v>
      </c>
      <c r="U216" t="s">
        <v>11720</v>
      </c>
      <c r="V216" t="s">
        <v>11720</v>
      </c>
      <c r="W216" t="s">
        <v>11933</v>
      </c>
      <c r="X216">
        <v>7</v>
      </c>
      <c r="Y216" t="s">
        <v>17730</v>
      </c>
      <c r="Z216" t="s">
        <v>23423</v>
      </c>
      <c r="AA216">
        <v>0.61086418490220507</v>
      </c>
      <c r="AB216" t="str">
        <f>HYPERLINK("Melting_Curves/meltCurve_B7Z4K6_DNASE2.pdf", "Melting_Curves/meltCurve_B7Z4K6_DNASE2.pdf")</f>
        <v>Melting_Curves/meltCurve_B7Z4K6_DNASE2.pdf</v>
      </c>
    </row>
    <row r="217" spans="1:28" x14ac:dyDescent="0.25">
      <c r="A217" t="s">
        <v>221</v>
      </c>
      <c r="B217">
        <v>0.99334974765950101</v>
      </c>
      <c r="C217">
        <v>0.98228448472640595</v>
      </c>
      <c r="D217">
        <v>0.94131699484942299</v>
      </c>
      <c r="E217">
        <v>0.80547735923872998</v>
      </c>
      <c r="F217">
        <v>0.75192102640799696</v>
      </c>
      <c r="G217">
        <v>0.57097004439917998</v>
      </c>
      <c r="H217">
        <v>0.47855830403958699</v>
      </c>
      <c r="I217">
        <v>0.72005896298796501</v>
      </c>
      <c r="J217">
        <v>0.54645999647143295</v>
      </c>
      <c r="K217">
        <v>0.54736444011943697</v>
      </c>
      <c r="L217">
        <v>970.05284389016197</v>
      </c>
      <c r="M217">
        <v>19.0355798265178</v>
      </c>
      <c r="O217">
        <v>50.407576591738803</v>
      </c>
      <c r="P217">
        <v>-4.1366843077096697E-2</v>
      </c>
      <c r="Q217">
        <v>0.56184792023216201</v>
      </c>
      <c r="R217">
        <v>0.88878072932250896</v>
      </c>
      <c r="S217" t="s">
        <v>6078</v>
      </c>
      <c r="T217" t="s">
        <v>11720</v>
      </c>
      <c r="U217" t="s">
        <v>11720</v>
      </c>
      <c r="V217" t="s">
        <v>11720</v>
      </c>
      <c r="W217" t="s">
        <v>11934</v>
      </c>
      <c r="X217">
        <v>2</v>
      </c>
      <c r="Y217" t="s">
        <v>17731</v>
      </c>
      <c r="Z217" t="s">
        <v>23424</v>
      </c>
      <c r="AA217">
        <v>0.72858785752269772</v>
      </c>
      <c r="AB217" t="str">
        <f>HYPERLINK("Melting_Curves/meltCurve_B7Z4M2_WBP4.pdf", "Melting_Curves/meltCurve_B7Z4M2_WBP4.pdf")</f>
        <v>Melting_Curves/meltCurve_B7Z4M2_WBP4.pdf</v>
      </c>
    </row>
    <row r="218" spans="1:28" x14ac:dyDescent="0.25">
      <c r="A218" t="s">
        <v>222</v>
      </c>
      <c r="B218">
        <v>0.99334974765950101</v>
      </c>
      <c r="C218">
        <v>1.04766198978409</v>
      </c>
      <c r="D218">
        <v>0.92153180646077004</v>
      </c>
      <c r="E218">
        <v>0.93388206359172099</v>
      </c>
      <c r="F218">
        <v>1.00155303621592</v>
      </c>
      <c r="G218">
        <v>0.75313125942901105</v>
      </c>
      <c r="H218">
        <v>0.63315586123283696</v>
      </c>
      <c r="I218">
        <v>0.680586891829979</v>
      </c>
      <c r="J218">
        <v>0.69290984948572898</v>
      </c>
      <c r="K218">
        <v>0.57879932277892299</v>
      </c>
      <c r="L218">
        <v>14202.2228325092</v>
      </c>
      <c r="M218">
        <v>250</v>
      </c>
      <c r="O218">
        <v>56.805249062441</v>
      </c>
      <c r="P218">
        <v>-0.38908923982865701</v>
      </c>
      <c r="Q218">
        <v>0.64636297871554405</v>
      </c>
      <c r="R218">
        <v>0.92282659432804603</v>
      </c>
      <c r="S218" t="s">
        <v>6079</v>
      </c>
      <c r="T218" t="s">
        <v>11720</v>
      </c>
      <c r="U218" t="s">
        <v>11720</v>
      </c>
      <c r="V218" t="s">
        <v>11720</v>
      </c>
      <c r="W218" t="s">
        <v>11935</v>
      </c>
      <c r="X218">
        <v>2</v>
      </c>
      <c r="Y218" t="s">
        <v>17732</v>
      </c>
      <c r="Z218" t="s">
        <v>23425</v>
      </c>
      <c r="AA218">
        <v>0.84453977790890533</v>
      </c>
      <c r="AB218" t="str">
        <f>HYPERLINK("Melting_Curves/meltCurve_B7Z4R5_P2RX4.pdf", "Melting_Curves/meltCurve_B7Z4R5_P2RX4.pdf")</f>
        <v>Melting_Curves/meltCurve_B7Z4R5_P2RX4.pdf</v>
      </c>
    </row>
    <row r="219" spans="1:28" x14ac:dyDescent="0.25">
      <c r="A219" t="s">
        <v>223</v>
      </c>
      <c r="B219">
        <v>0.99334974765950101</v>
      </c>
      <c r="C219">
        <v>0.99349258037532895</v>
      </c>
      <c r="D219">
        <v>1.01625843014969</v>
      </c>
      <c r="E219">
        <v>0.91497505369169396</v>
      </c>
      <c r="F219">
        <v>0.70559863151497104</v>
      </c>
      <c r="G219">
        <v>0.61407998140778097</v>
      </c>
      <c r="H219">
        <v>0.30708250736099801</v>
      </c>
      <c r="I219">
        <v>0.14570390443760001</v>
      </c>
      <c r="J219">
        <v>7.8034323409004999E-2</v>
      </c>
      <c r="K219">
        <v>5.7498898145414402E-2</v>
      </c>
      <c r="L219">
        <v>879.82953162802403</v>
      </c>
      <c r="M219">
        <v>15.2777514435216</v>
      </c>
      <c r="N219">
        <v>57.588941483000703</v>
      </c>
      <c r="O219">
        <v>56.629307819425399</v>
      </c>
      <c r="P219">
        <v>-6.7452639706321399E-2</v>
      </c>
      <c r="Q219">
        <v>0</v>
      </c>
      <c r="R219">
        <v>0.98901443847083004</v>
      </c>
      <c r="S219" t="s">
        <v>6080</v>
      </c>
      <c r="T219" t="s">
        <v>11720</v>
      </c>
      <c r="U219" t="s">
        <v>11720</v>
      </c>
      <c r="V219" t="s">
        <v>11720</v>
      </c>
      <c r="W219" t="s">
        <v>11936</v>
      </c>
      <c r="X219">
        <v>8</v>
      </c>
      <c r="Y219" t="s">
        <v>17733</v>
      </c>
      <c r="Z219" t="s">
        <v>23426</v>
      </c>
      <c r="AA219">
        <v>0.60067179364374135</v>
      </c>
      <c r="AB219" t="str">
        <f>HYPERLINK("Melting_Curves/meltCurve_B7Z4W5_CCBL1.pdf", "Melting_Curves/meltCurve_B7Z4W5_CCBL1.pdf")</f>
        <v>Melting_Curves/meltCurve_B7Z4W5_CCBL1.pdf</v>
      </c>
    </row>
    <row r="220" spans="1:28" x14ac:dyDescent="0.25">
      <c r="A220" t="s">
        <v>224</v>
      </c>
      <c r="B220">
        <v>0.99334974765950101</v>
      </c>
      <c r="C220">
        <v>1.08328649708643</v>
      </c>
      <c r="D220">
        <v>1.1882965171486</v>
      </c>
      <c r="E220">
        <v>0.79840766925060802</v>
      </c>
      <c r="F220">
        <v>0.77944738579424899</v>
      </c>
      <c r="G220">
        <v>0.65268083493204998</v>
      </c>
      <c r="H220">
        <v>0.42706465723245501</v>
      </c>
      <c r="I220">
        <v>0.45857646926736301</v>
      </c>
      <c r="J220">
        <v>0.323729792197683</v>
      </c>
      <c r="K220">
        <v>0</v>
      </c>
      <c r="L220">
        <v>679.03410852293598</v>
      </c>
      <c r="M220">
        <v>11.2775399329043</v>
      </c>
      <c r="N220">
        <v>60.211190814702903</v>
      </c>
      <c r="O220">
        <v>58.411129644648597</v>
      </c>
      <c r="P220">
        <v>-4.82827306845535E-2</v>
      </c>
      <c r="Q220">
        <v>0</v>
      </c>
      <c r="R220">
        <v>0.90192687947239902</v>
      </c>
      <c r="S220" t="s">
        <v>6081</v>
      </c>
      <c r="T220" t="s">
        <v>11720</v>
      </c>
      <c r="U220" t="s">
        <v>11720</v>
      </c>
      <c r="V220" t="s">
        <v>11720</v>
      </c>
      <c r="W220" t="s">
        <v>11937</v>
      </c>
      <c r="X220">
        <v>2</v>
      </c>
      <c r="Y220" t="s">
        <v>17734</v>
      </c>
      <c r="Z220" t="s">
        <v>23427</v>
      </c>
      <c r="AA220">
        <v>0.6727907404773662</v>
      </c>
      <c r="AB220" t="str">
        <f>HYPERLINK("Melting_Curves/meltCurve_B7Z589_SLC6A9.pdf", "Melting_Curves/meltCurve_B7Z589_SLC6A9.pdf")</f>
        <v>Melting_Curves/meltCurve_B7Z589_SLC6A9.pdf</v>
      </c>
    </row>
    <row r="221" spans="1:28" x14ac:dyDescent="0.25">
      <c r="A221" t="s">
        <v>225</v>
      </c>
      <c r="B221">
        <v>0.99334974765950101</v>
      </c>
      <c r="C221">
        <v>0.96203315442575899</v>
      </c>
      <c r="D221">
        <v>1.0951826414289101</v>
      </c>
      <c r="E221">
        <v>1.0680473309237799</v>
      </c>
      <c r="F221">
        <v>1.0639767374028199</v>
      </c>
      <c r="G221">
        <v>0.95046645412418795</v>
      </c>
      <c r="H221">
        <v>1.11272473076764</v>
      </c>
      <c r="I221">
        <v>1.62069782009992</v>
      </c>
      <c r="J221">
        <v>1.9658882201813701</v>
      </c>
      <c r="K221">
        <v>1.6874183682031501</v>
      </c>
      <c r="L221">
        <v>15000</v>
      </c>
      <c r="M221">
        <v>244.66772060552299</v>
      </c>
      <c r="O221">
        <v>61.303547939349997</v>
      </c>
      <c r="P221">
        <v>0.49888577839929099</v>
      </c>
      <c r="Q221">
        <v>1.5</v>
      </c>
      <c r="R221">
        <v>0.75763694258015202</v>
      </c>
      <c r="S221" t="s">
        <v>6082</v>
      </c>
      <c r="T221" t="s">
        <v>11720</v>
      </c>
      <c r="U221" t="s">
        <v>11720</v>
      </c>
      <c r="V221" t="s">
        <v>11720</v>
      </c>
      <c r="W221" t="s">
        <v>11938</v>
      </c>
      <c r="X221">
        <v>7</v>
      </c>
      <c r="Y221" t="s">
        <v>17735</v>
      </c>
      <c r="Z221" t="s">
        <v>23428</v>
      </c>
      <c r="AA221">
        <v>1.144816535103222</v>
      </c>
      <c r="AB221" t="str">
        <f>HYPERLINK("Melting_Curves/meltCurve_B7Z5G4_STMN3.pdf", "Melting_Curves/meltCurve_B7Z5G4_STMN3.pdf")</f>
        <v>Melting_Curves/meltCurve_B7Z5G4_STMN3.pdf</v>
      </c>
    </row>
    <row r="222" spans="1:28" x14ac:dyDescent="0.25">
      <c r="A222" t="s">
        <v>226</v>
      </c>
      <c r="B222">
        <v>0.99334974765950101</v>
      </c>
      <c r="C222">
        <v>0.902104991064829</v>
      </c>
      <c r="D222">
        <v>0.69602737699891404</v>
      </c>
      <c r="E222">
        <v>0.67326405313927695</v>
      </c>
      <c r="F222">
        <v>0.61722412914597302</v>
      </c>
      <c r="G222">
        <v>0.37969442450525198</v>
      </c>
      <c r="H222">
        <v>0.31575138806252601</v>
      </c>
      <c r="I222">
        <v>0.25845553899697499</v>
      </c>
      <c r="J222">
        <v>0.19015011399064299</v>
      </c>
      <c r="K222">
        <v>0.16268957729949601</v>
      </c>
      <c r="L222">
        <v>402.94585516948501</v>
      </c>
      <c r="M222">
        <v>7.3962946378251999</v>
      </c>
      <c r="N222">
        <v>54.479421722527803</v>
      </c>
      <c r="O222">
        <v>50.922078925570801</v>
      </c>
      <c r="P222">
        <v>-3.6366794461497501E-2</v>
      </c>
      <c r="Q222">
        <v>0</v>
      </c>
      <c r="R222">
        <v>0.97487758829141002</v>
      </c>
      <c r="S222" t="s">
        <v>6083</v>
      </c>
      <c r="T222" t="s">
        <v>11720</v>
      </c>
      <c r="U222" t="s">
        <v>11720</v>
      </c>
      <c r="V222" t="s">
        <v>11720</v>
      </c>
      <c r="W222" t="s">
        <v>11939</v>
      </c>
      <c r="X222">
        <v>1</v>
      </c>
      <c r="Y222" t="s">
        <v>17736</v>
      </c>
      <c r="Z222" t="s">
        <v>23429</v>
      </c>
      <c r="AA222">
        <v>0.51399994764394086</v>
      </c>
      <c r="AB222" t="str">
        <f>HYPERLINK("Melting_Curves/meltCurve_B7Z5W1_F11R.pdf", "Melting_Curves/meltCurve_B7Z5W1_F11R.pdf")</f>
        <v>Melting_Curves/meltCurve_B7Z5W1_F11R.pdf</v>
      </c>
    </row>
    <row r="223" spans="1:28" x14ac:dyDescent="0.25">
      <c r="A223" t="s">
        <v>227</v>
      </c>
      <c r="B223">
        <v>0.99334974765950101</v>
      </c>
      <c r="C223">
        <v>0.88529432989865797</v>
      </c>
      <c r="D223">
        <v>0.56705588405176999</v>
      </c>
      <c r="E223">
        <v>0.27777121909327201</v>
      </c>
      <c r="F223">
        <v>0.255147486453351</v>
      </c>
      <c r="G223">
        <v>0.17792421406335901</v>
      </c>
      <c r="H223">
        <v>0.154545202768366</v>
      </c>
      <c r="I223">
        <v>0.17149330342375499</v>
      </c>
      <c r="J223">
        <v>0.10537943238606599</v>
      </c>
      <c r="K223">
        <v>0.12799534778831601</v>
      </c>
      <c r="L223">
        <v>998.63485267614396</v>
      </c>
      <c r="M223">
        <v>21.6360107889411</v>
      </c>
      <c r="N223">
        <v>46.934619975853302</v>
      </c>
      <c r="O223">
        <v>45.7672688967019</v>
      </c>
      <c r="P223">
        <v>-0.100369197845204</v>
      </c>
      <c r="Q223">
        <v>0.15076490471826301</v>
      </c>
      <c r="R223">
        <v>0.99173280782764806</v>
      </c>
      <c r="S223" t="s">
        <v>6084</v>
      </c>
      <c r="T223" t="s">
        <v>11720</v>
      </c>
      <c r="U223" t="s">
        <v>11720</v>
      </c>
      <c r="V223" t="s">
        <v>11720</v>
      </c>
      <c r="W223" t="s">
        <v>11940</v>
      </c>
      <c r="X223">
        <v>4</v>
      </c>
      <c r="Y223" t="s">
        <v>17737</v>
      </c>
      <c r="Z223" t="s">
        <v>23430</v>
      </c>
      <c r="AA223">
        <v>0.33588270049510738</v>
      </c>
      <c r="AB223" t="str">
        <f>HYPERLINK("Melting_Curves/meltCurve_B7Z662_SLC27A1.pdf", "Melting_Curves/meltCurve_B7Z662_SLC27A1.pdf")</f>
        <v>Melting_Curves/meltCurve_B7Z662_SLC27A1.pdf</v>
      </c>
    </row>
    <row r="224" spans="1:28" x14ac:dyDescent="0.25">
      <c r="A224" t="s">
        <v>228</v>
      </c>
      <c r="B224">
        <v>0.99334974765950101</v>
      </c>
      <c r="C224">
        <v>1.0891250881787899</v>
      </c>
      <c r="D224">
        <v>1.3446904248982501</v>
      </c>
      <c r="E224">
        <v>1.37256206406535</v>
      </c>
      <c r="F224">
        <v>1.57968227997368</v>
      </c>
      <c r="G224">
        <v>1.7251418641734499</v>
      </c>
      <c r="H224">
        <v>0.75671933097129496</v>
      </c>
      <c r="I224">
        <v>0.29006175895306602</v>
      </c>
      <c r="J224">
        <v>0.13425412740926701</v>
      </c>
      <c r="K224">
        <v>0.10543844251819</v>
      </c>
      <c r="L224">
        <v>3804.38133783385</v>
      </c>
      <c r="M224">
        <v>61.176671160756698</v>
      </c>
      <c r="N224">
        <v>62.480990799212499</v>
      </c>
      <c r="O224">
        <v>62.120465055383399</v>
      </c>
      <c r="P224">
        <v>-0.21539405678064499</v>
      </c>
      <c r="Q224">
        <v>0.12513243865571999</v>
      </c>
      <c r="R224">
        <v>0.64554864028340897</v>
      </c>
      <c r="S224" t="s">
        <v>6085</v>
      </c>
      <c r="T224" t="s">
        <v>11720</v>
      </c>
      <c r="U224" t="s">
        <v>11720</v>
      </c>
      <c r="V224" t="s">
        <v>11720</v>
      </c>
      <c r="W224" t="s">
        <v>11941</v>
      </c>
      <c r="X224">
        <v>19</v>
      </c>
      <c r="Y224" t="s">
        <v>17738</v>
      </c>
      <c r="Z224" t="s">
        <v>23431</v>
      </c>
      <c r="AA224">
        <v>0.77370730241495245</v>
      </c>
      <c r="AB224" t="str">
        <f>HYPERLINK("Melting_Curves/meltCurve_B7Z6B8_DECR1.pdf", "Melting_Curves/meltCurve_B7Z6B8_DECR1.pdf")</f>
        <v>Melting_Curves/meltCurve_B7Z6B8_DECR1.pdf</v>
      </c>
    </row>
    <row r="225" spans="1:28" x14ac:dyDescent="0.25">
      <c r="A225" t="s">
        <v>229</v>
      </c>
      <c r="B225">
        <v>0.99334974765950101</v>
      </c>
      <c r="C225">
        <v>1.0356099669114001</v>
      </c>
      <c r="D225">
        <v>1.0110997960808701</v>
      </c>
      <c r="E225">
        <v>0.89386198486403801</v>
      </c>
      <c r="F225">
        <v>0.76848369561825403</v>
      </c>
      <c r="G225">
        <v>0.70452739953159604</v>
      </c>
      <c r="H225">
        <v>0.61962873762272297</v>
      </c>
      <c r="I225">
        <v>0.694761893631482</v>
      </c>
      <c r="J225">
        <v>0.44736361013895198</v>
      </c>
      <c r="K225">
        <v>0.28517987217940999</v>
      </c>
      <c r="L225">
        <v>481.99018694697997</v>
      </c>
      <c r="M225">
        <v>7.3867294281831199</v>
      </c>
      <c r="N225">
        <v>65.250824338959305</v>
      </c>
      <c r="O225">
        <v>60.980248422147298</v>
      </c>
      <c r="P225">
        <v>-3.0329341067619701E-2</v>
      </c>
      <c r="Q225">
        <v>0</v>
      </c>
      <c r="R225">
        <v>0.91472739077445098</v>
      </c>
      <c r="S225" t="s">
        <v>6086</v>
      </c>
      <c r="T225" t="s">
        <v>11720</v>
      </c>
      <c r="U225" t="s">
        <v>11720</v>
      </c>
      <c r="V225" t="s">
        <v>11720</v>
      </c>
      <c r="W225" t="s">
        <v>11942</v>
      </c>
      <c r="X225">
        <v>10</v>
      </c>
      <c r="Y225" t="s">
        <v>17739</v>
      </c>
      <c r="Z225" t="s">
        <v>23432</v>
      </c>
      <c r="AA225">
        <v>0.7540688307650335</v>
      </c>
      <c r="AB225" t="str">
        <f>HYPERLINK("Melting_Curves/meltCurve_B7Z729_SMPDL3A.pdf", "Melting_Curves/meltCurve_B7Z729_SMPDL3A.pdf")</f>
        <v>Melting_Curves/meltCurve_B7Z729_SMPDL3A.pdf</v>
      </c>
    </row>
    <row r="226" spans="1:28" x14ac:dyDescent="0.25">
      <c r="A226" t="s">
        <v>230</v>
      </c>
      <c r="B226">
        <v>0.99334974765950101</v>
      </c>
      <c r="C226">
        <v>0.93373768899218001</v>
      </c>
      <c r="D226">
        <v>0.905901638599383</v>
      </c>
      <c r="E226">
        <v>0.75757159186590595</v>
      </c>
      <c r="F226">
        <v>0.80542932880747198</v>
      </c>
      <c r="G226">
        <v>0.58450805104305203</v>
      </c>
      <c r="H226">
        <v>0.50156041783376304</v>
      </c>
      <c r="I226">
        <v>0.60626500757775403</v>
      </c>
      <c r="J226">
        <v>0.51253415339549402</v>
      </c>
      <c r="K226">
        <v>0.415090838702943</v>
      </c>
      <c r="L226">
        <v>466.80650508883599</v>
      </c>
      <c r="M226">
        <v>8.5639542794886907</v>
      </c>
      <c r="N226">
        <v>65.567996260327007</v>
      </c>
      <c r="O226">
        <v>51.780203064033699</v>
      </c>
      <c r="P226">
        <v>-2.5572259132647001E-2</v>
      </c>
      <c r="Q226">
        <v>0.38207147198327002</v>
      </c>
      <c r="R226">
        <v>0.93237009900010204</v>
      </c>
      <c r="S226" t="s">
        <v>6087</v>
      </c>
      <c r="T226" t="s">
        <v>11720</v>
      </c>
      <c r="U226" t="s">
        <v>11720</v>
      </c>
      <c r="V226" t="s">
        <v>11720</v>
      </c>
      <c r="W226" t="s">
        <v>11943</v>
      </c>
      <c r="X226">
        <v>2</v>
      </c>
      <c r="Y226" t="s">
        <v>17740</v>
      </c>
      <c r="Z226" t="s">
        <v>23433</v>
      </c>
      <c r="AA226">
        <v>0.69945525248490614</v>
      </c>
      <c r="AB226" t="str">
        <f>HYPERLINK("Melting_Curves/meltCurve_B7Z779_TMEM106A.pdf", "Melting_Curves/meltCurve_B7Z779_TMEM106A.pdf")</f>
        <v>Melting_Curves/meltCurve_B7Z779_TMEM106A.pdf</v>
      </c>
    </row>
    <row r="227" spans="1:28" x14ac:dyDescent="0.25">
      <c r="A227" t="s">
        <v>231</v>
      </c>
      <c r="B227">
        <v>0.99334974765950101</v>
      </c>
      <c r="C227">
        <v>0.99982292502277703</v>
      </c>
      <c r="D227">
        <v>0.966041021500468</v>
      </c>
      <c r="E227">
        <v>0.60718521629103706</v>
      </c>
      <c r="F227">
        <v>0.37487148377646301</v>
      </c>
      <c r="G227">
        <v>0.22993778348153701</v>
      </c>
      <c r="H227">
        <v>0.18024456820835699</v>
      </c>
      <c r="I227">
        <v>0.162922066408525</v>
      </c>
      <c r="J227">
        <v>0.14655163635485</v>
      </c>
      <c r="K227">
        <v>0.14746420296715201</v>
      </c>
      <c r="L227">
        <v>1226.9864615705801</v>
      </c>
      <c r="M227">
        <v>24.285740220735502</v>
      </c>
      <c r="N227">
        <v>51.332423339083199</v>
      </c>
      <c r="O227">
        <v>50.184089003593101</v>
      </c>
      <c r="P227">
        <v>-0.101737842016401</v>
      </c>
      <c r="Q227">
        <v>0.15908768111518101</v>
      </c>
      <c r="R227">
        <v>0.99752285994795997</v>
      </c>
      <c r="S227" t="s">
        <v>6088</v>
      </c>
      <c r="T227" t="s">
        <v>11720</v>
      </c>
      <c r="U227" t="s">
        <v>11720</v>
      </c>
      <c r="V227" t="s">
        <v>11720</v>
      </c>
      <c r="W227" t="s">
        <v>11944</v>
      </c>
      <c r="X227">
        <v>6</v>
      </c>
      <c r="Y227" t="s">
        <v>17741</v>
      </c>
      <c r="Z227" t="s">
        <v>23434</v>
      </c>
      <c r="AA227">
        <v>0.46205422068442542</v>
      </c>
      <c r="AB227" t="str">
        <f>HYPERLINK("Melting_Curves/meltCurve_B7Z815_USP7.pdf", "Melting_Curves/meltCurve_B7Z815_USP7.pdf")</f>
        <v>Melting_Curves/meltCurve_B7Z815_USP7.pdf</v>
      </c>
    </row>
    <row r="228" spans="1:28" x14ac:dyDescent="0.25">
      <c r="A228" t="s">
        <v>232</v>
      </c>
      <c r="B228">
        <v>0.99334974765950101</v>
      </c>
      <c r="C228">
        <v>0.96707027995160799</v>
      </c>
      <c r="D228">
        <v>0.92453114138464099</v>
      </c>
      <c r="E228">
        <v>0.87362060783266404</v>
      </c>
      <c r="F228">
        <v>0.69965610332446604</v>
      </c>
      <c r="G228">
        <v>0.64048384817665804</v>
      </c>
      <c r="H228">
        <v>0.57370629344644697</v>
      </c>
      <c r="I228">
        <v>0.69299639091842702</v>
      </c>
      <c r="J228">
        <v>0.60218896179437298</v>
      </c>
      <c r="K228">
        <v>0.36261688625571098</v>
      </c>
      <c r="L228">
        <v>396.04169360713797</v>
      </c>
      <c r="M228">
        <v>6.7700889361138703</v>
      </c>
      <c r="N228">
        <v>68.550248345817394</v>
      </c>
      <c r="O228">
        <v>54.030454868243901</v>
      </c>
      <c r="P228">
        <v>-2.1511856183906199E-2</v>
      </c>
      <c r="Q228">
        <v>0.31471193713015</v>
      </c>
      <c r="R228">
        <v>0.86203302207155297</v>
      </c>
      <c r="S228" t="s">
        <v>6089</v>
      </c>
      <c r="T228" t="s">
        <v>11720</v>
      </c>
      <c r="U228" t="s">
        <v>11720</v>
      </c>
      <c r="V228" t="s">
        <v>11720</v>
      </c>
      <c r="W228" t="s">
        <v>11945</v>
      </c>
      <c r="X228">
        <v>14</v>
      </c>
      <c r="Y228" t="s">
        <v>17742</v>
      </c>
      <c r="Z228" t="s">
        <v>23435</v>
      </c>
      <c r="AA228">
        <v>0.73151284122826954</v>
      </c>
      <c r="AB228" t="str">
        <f>HYPERLINK("Melting_Curves/meltCurve_B7Z817_DHCR24.pdf", "Melting_Curves/meltCurve_B7Z817_DHCR24.pdf")</f>
        <v>Melting_Curves/meltCurve_B7Z817_DHCR24.pdf</v>
      </c>
    </row>
    <row r="229" spans="1:28" x14ac:dyDescent="0.25">
      <c r="A229" t="s">
        <v>233</v>
      </c>
      <c r="B229">
        <v>0.99334974765950101</v>
      </c>
      <c r="C229">
        <v>1.0446824978273199</v>
      </c>
      <c r="D229">
        <v>0.97260836735094003</v>
      </c>
      <c r="E229">
        <v>0.911124239957122</v>
      </c>
      <c r="F229">
        <v>0.947983320516113</v>
      </c>
      <c r="G229">
        <v>0.71225437392516699</v>
      </c>
      <c r="H229">
        <v>0.57427298007261995</v>
      </c>
      <c r="I229">
        <v>0.54109417695104001</v>
      </c>
      <c r="J229">
        <v>0.65793918610740598</v>
      </c>
      <c r="K229">
        <v>0.54309409869731595</v>
      </c>
      <c r="L229">
        <v>1815.06747712739</v>
      </c>
      <c r="M229">
        <v>32.606584842794298</v>
      </c>
      <c r="O229">
        <v>55.457551814200301</v>
      </c>
      <c r="P229">
        <v>-6.2848198625197096E-2</v>
      </c>
      <c r="Q229">
        <v>0.57243106881181705</v>
      </c>
      <c r="R229">
        <v>0.94887456020136696</v>
      </c>
      <c r="S229" t="s">
        <v>6090</v>
      </c>
      <c r="T229" t="s">
        <v>11720</v>
      </c>
      <c r="U229" t="s">
        <v>11720</v>
      </c>
      <c r="V229" t="s">
        <v>11720</v>
      </c>
      <c r="W229" t="s">
        <v>11946</v>
      </c>
      <c r="X229">
        <v>3</v>
      </c>
      <c r="Y229" t="s">
        <v>17743</v>
      </c>
      <c r="Z229" t="s">
        <v>23436</v>
      </c>
      <c r="AA229">
        <v>0.79813808358035698</v>
      </c>
      <c r="AB229" t="str">
        <f>HYPERLINK("Melting_Curves/meltCurve_B7Z831_GPRC5B.pdf", "Melting_Curves/meltCurve_B7Z831_GPRC5B.pdf")</f>
        <v>Melting_Curves/meltCurve_B7Z831_GPRC5B.pdf</v>
      </c>
    </row>
    <row r="230" spans="1:28" x14ac:dyDescent="0.25">
      <c r="A230" t="s">
        <v>234</v>
      </c>
      <c r="B230">
        <v>0.99334974765950101</v>
      </c>
      <c r="C230">
        <v>0.972883326430797</v>
      </c>
      <c r="D230">
        <v>0.86948502745567602</v>
      </c>
      <c r="E230">
        <v>0.64950459575220099</v>
      </c>
      <c r="F230">
        <v>0.34793406735526999</v>
      </c>
      <c r="G230">
        <v>0.18847258367661601</v>
      </c>
      <c r="H230">
        <v>0.13244281791236501</v>
      </c>
      <c r="I230">
        <v>9.6901237422214598E-2</v>
      </c>
      <c r="J230">
        <v>8.0619604427752303E-2</v>
      </c>
      <c r="K230">
        <v>6.9237450032972103E-2</v>
      </c>
      <c r="L230">
        <v>953.06539689578506</v>
      </c>
      <c r="M230">
        <v>18.705104141562</v>
      </c>
      <c r="N230">
        <v>51.3909041952083</v>
      </c>
      <c r="O230">
        <v>50.380512888294298</v>
      </c>
      <c r="P230">
        <v>-8.59729560299618E-2</v>
      </c>
      <c r="Q230">
        <v>7.3797691844183305E-2</v>
      </c>
      <c r="R230">
        <v>0.99803261335700399</v>
      </c>
      <c r="S230" t="s">
        <v>6091</v>
      </c>
      <c r="T230" t="s">
        <v>11720</v>
      </c>
      <c r="U230" t="s">
        <v>11720</v>
      </c>
      <c r="V230" t="s">
        <v>11720</v>
      </c>
      <c r="W230" t="s">
        <v>11947</v>
      </c>
      <c r="X230">
        <v>7</v>
      </c>
      <c r="Y230" t="s">
        <v>17744</v>
      </c>
      <c r="Z230" t="s">
        <v>23437</v>
      </c>
      <c r="AA230">
        <v>0.42648723211218947</v>
      </c>
      <c r="AB230" t="str">
        <f>HYPERLINK("Melting_Curves/meltCurve_B7Z9I3_ATP6AP2.pdf", "Melting_Curves/meltCurve_B7Z9I3_ATP6AP2.pdf")</f>
        <v>Melting_Curves/meltCurve_B7Z9I3_ATP6AP2.pdf</v>
      </c>
    </row>
    <row r="231" spans="1:28" x14ac:dyDescent="0.25">
      <c r="A231" t="s">
        <v>235</v>
      </c>
      <c r="B231">
        <v>0.99334974765950101</v>
      </c>
      <c r="C231">
        <v>0.983432515386086</v>
      </c>
      <c r="D231">
        <v>0.96562062277164895</v>
      </c>
      <c r="E231">
        <v>1.0351488711035299</v>
      </c>
      <c r="F231">
        <v>1.0624121733398399</v>
      </c>
      <c r="G231">
        <v>0.86532641994782999</v>
      </c>
      <c r="H231">
        <v>0.586247061082805</v>
      </c>
      <c r="I231">
        <v>0.86114878011062801</v>
      </c>
      <c r="J231">
        <v>0.82099317824861395</v>
      </c>
      <c r="K231">
        <v>0.65045063323114904</v>
      </c>
      <c r="L231">
        <v>14250.3976647455</v>
      </c>
      <c r="M231">
        <v>250</v>
      </c>
      <c r="O231">
        <v>56.997942949260299</v>
      </c>
      <c r="P231">
        <v>-0.296381402964908</v>
      </c>
      <c r="Q231">
        <v>0.72970991562454401</v>
      </c>
      <c r="R231">
        <v>0.744361426992871</v>
      </c>
      <c r="S231" t="s">
        <v>6092</v>
      </c>
      <c r="T231" t="s">
        <v>11720</v>
      </c>
      <c r="U231" t="s">
        <v>11720</v>
      </c>
      <c r="V231" t="s">
        <v>11720</v>
      </c>
      <c r="W231" t="s">
        <v>11948</v>
      </c>
      <c r="X231">
        <v>5</v>
      </c>
      <c r="Y231" t="s">
        <v>17745</v>
      </c>
      <c r="Z231" t="s">
        <v>23438</v>
      </c>
      <c r="AA231">
        <v>0.88291566706566627</v>
      </c>
      <c r="AB231" t="str">
        <f>HYPERLINK("Melting_Curves/meltCurve_B7Z9S8_ATP1B1.pdf", "Melting_Curves/meltCurve_B7Z9S8_ATP1B1.pdf")</f>
        <v>Melting_Curves/meltCurve_B7Z9S8_ATP1B1.pdf</v>
      </c>
    </row>
    <row r="232" spans="1:28" x14ac:dyDescent="0.25">
      <c r="A232" t="s">
        <v>236</v>
      </c>
      <c r="B232">
        <v>0.99334974765950101</v>
      </c>
      <c r="C232">
        <v>0.94286725341637401</v>
      </c>
      <c r="D232">
        <v>0.92841203792884297</v>
      </c>
      <c r="E232">
        <v>0.53188726013871601</v>
      </c>
      <c r="F232">
        <v>0.140449905532497</v>
      </c>
      <c r="G232">
        <v>0.128053631110186</v>
      </c>
      <c r="H232">
        <v>8.9078945059887796E-2</v>
      </c>
      <c r="I232">
        <v>6.2119381032019402E-2</v>
      </c>
      <c r="J232">
        <v>5.3809838277733703E-2</v>
      </c>
      <c r="K232">
        <v>4.2004947963529202E-2</v>
      </c>
      <c r="L232">
        <v>1700.9305307904201</v>
      </c>
      <c r="M232">
        <v>34.101703966105902</v>
      </c>
      <c r="N232">
        <v>50.089010459820599</v>
      </c>
      <c r="O232">
        <v>49.707585023733998</v>
      </c>
      <c r="P232">
        <v>-0.16004539610952601</v>
      </c>
      <c r="Q232">
        <v>6.6857311398920594E-2</v>
      </c>
      <c r="R232">
        <v>0.99441856191976896</v>
      </c>
      <c r="S232" t="s">
        <v>6093</v>
      </c>
      <c r="T232" t="s">
        <v>11720</v>
      </c>
      <c r="U232" t="s">
        <v>11720</v>
      </c>
      <c r="V232" t="s">
        <v>11720</v>
      </c>
      <c r="W232" t="s">
        <v>11949</v>
      </c>
      <c r="X232">
        <v>16</v>
      </c>
      <c r="Y232" t="s">
        <v>17746</v>
      </c>
      <c r="Z232" t="s">
        <v>23439</v>
      </c>
      <c r="AA232">
        <v>0.378558663507926</v>
      </c>
      <c r="AB232" t="str">
        <f>HYPERLINK("Melting_Curves/meltCurve_B7ZC38_SH3GLB2.pdf", "Melting_Curves/meltCurve_B7ZC38_SH3GLB2.pdf")</f>
        <v>Melting_Curves/meltCurve_B7ZC38_SH3GLB2.pdf</v>
      </c>
    </row>
    <row r="233" spans="1:28" x14ac:dyDescent="0.25">
      <c r="A233" t="s">
        <v>237</v>
      </c>
      <c r="B233">
        <v>0.99334974765950101</v>
      </c>
      <c r="C233">
        <v>0.996241029678819</v>
      </c>
      <c r="D233">
        <v>1.07014058127087</v>
      </c>
      <c r="E233">
        <v>0.78577473776449003</v>
      </c>
      <c r="F233">
        <v>0.28614904107772698</v>
      </c>
      <c r="G233">
        <v>0.15666127061817001</v>
      </c>
      <c r="H233">
        <v>9.1047760584837406E-2</v>
      </c>
      <c r="I233">
        <v>8.3811437346487994E-2</v>
      </c>
      <c r="J233">
        <v>8.8399407054959897E-2</v>
      </c>
      <c r="K233">
        <v>7.4999306263050097E-2</v>
      </c>
      <c r="L233">
        <v>2188.8054174005301</v>
      </c>
      <c r="M233">
        <v>42.588841333717902</v>
      </c>
      <c r="N233">
        <v>51.649972283430401</v>
      </c>
      <c r="O233">
        <v>51.280947097409197</v>
      </c>
      <c r="P233">
        <v>-0.187864462303032</v>
      </c>
      <c r="Q233">
        <v>9.5175952290965399E-2</v>
      </c>
      <c r="R233">
        <v>0.99492666421396403</v>
      </c>
      <c r="S233" t="s">
        <v>6094</v>
      </c>
      <c r="T233" t="s">
        <v>11720</v>
      </c>
      <c r="U233" t="s">
        <v>11720</v>
      </c>
      <c r="V233" t="s">
        <v>11720</v>
      </c>
      <c r="W233" t="s">
        <v>11950</v>
      </c>
      <c r="X233">
        <v>8</v>
      </c>
      <c r="Y233" t="s">
        <v>17747</v>
      </c>
      <c r="Z233" t="s">
        <v>23440</v>
      </c>
      <c r="AA233">
        <v>0.44165679044069373</v>
      </c>
      <c r="AB233" t="str">
        <f>HYPERLINK("Melting_Curves/meltCurve_B7ZKK9_PPP2R5E.pdf", "Melting_Curves/meltCurve_B7ZKK9_PPP2R5E.pdf")</f>
        <v>Melting_Curves/meltCurve_B7ZKK9_PPP2R5E.pdf</v>
      </c>
    </row>
    <row r="234" spans="1:28" x14ac:dyDescent="0.25">
      <c r="A234" t="s">
        <v>238</v>
      </c>
      <c r="B234">
        <v>0.99334974765950101</v>
      </c>
      <c r="C234">
        <v>0.89556812674666297</v>
      </c>
      <c r="D234">
        <v>0.98553497283045</v>
      </c>
      <c r="E234">
        <v>0.95113414093048299</v>
      </c>
      <c r="F234">
        <v>0.416524024339406</v>
      </c>
      <c r="G234">
        <v>0.255305830224897</v>
      </c>
      <c r="H234">
        <v>0.133307686134371</v>
      </c>
      <c r="I234">
        <v>9.2164191206878202E-2</v>
      </c>
      <c r="J234">
        <v>8.9233648033202703E-2</v>
      </c>
      <c r="K234">
        <v>8.1430843101715902E-2</v>
      </c>
      <c r="L234">
        <v>2571.68202636872</v>
      </c>
      <c r="M234">
        <v>49.116621872165297</v>
      </c>
      <c r="N234">
        <v>52.665912385652803</v>
      </c>
      <c r="O234">
        <v>52.272115878470601</v>
      </c>
      <c r="P234">
        <v>-0.205648220868073</v>
      </c>
      <c r="Q234">
        <v>0.124560494878473</v>
      </c>
      <c r="R234">
        <v>0.98074482163476595</v>
      </c>
      <c r="S234" t="s">
        <v>6095</v>
      </c>
      <c r="T234" t="s">
        <v>11720</v>
      </c>
      <c r="U234" t="s">
        <v>11720</v>
      </c>
      <c r="V234" t="s">
        <v>11720</v>
      </c>
      <c r="W234" t="s">
        <v>11951</v>
      </c>
      <c r="X234">
        <v>2</v>
      </c>
      <c r="Y234" t="s">
        <v>17748</v>
      </c>
      <c r="Z234" t="s">
        <v>23441</v>
      </c>
      <c r="AA234">
        <v>0.48729882470836888</v>
      </c>
      <c r="AB234" t="str">
        <f>HYPERLINK("Melting_Curves/meltCurve_B7ZKM0_SART3.pdf", "Melting_Curves/meltCurve_B7ZKM0_SART3.pdf")</f>
        <v>Melting_Curves/meltCurve_B7ZKM0_SART3.pdf</v>
      </c>
    </row>
    <row r="235" spans="1:28" x14ac:dyDescent="0.25">
      <c r="A235" t="s">
        <v>239</v>
      </c>
      <c r="B235">
        <v>0.99334974765950101</v>
      </c>
      <c r="C235">
        <v>0.93968328554664105</v>
      </c>
      <c r="D235">
        <v>0.97525093687554798</v>
      </c>
      <c r="E235">
        <v>0.86803253294316696</v>
      </c>
      <c r="F235">
        <v>0.83164928879920197</v>
      </c>
      <c r="G235">
        <v>0.70198277907195406</v>
      </c>
      <c r="H235">
        <v>0.579474468115318</v>
      </c>
      <c r="I235">
        <v>0.73452865612199703</v>
      </c>
      <c r="J235">
        <v>0.57160879602395998</v>
      </c>
      <c r="K235">
        <v>0.36293657606184598</v>
      </c>
      <c r="L235">
        <v>379.697794692061</v>
      </c>
      <c r="M235">
        <v>5.5844935628352896</v>
      </c>
      <c r="N235">
        <v>67.991436518622606</v>
      </c>
      <c r="O235">
        <v>60.770948115440198</v>
      </c>
      <c r="P235">
        <v>-2.3069454331006801E-2</v>
      </c>
      <c r="Q235">
        <v>0</v>
      </c>
      <c r="R235">
        <v>0.883662106687777</v>
      </c>
      <c r="S235" t="s">
        <v>6096</v>
      </c>
      <c r="T235" t="s">
        <v>11720</v>
      </c>
      <c r="U235" t="s">
        <v>11720</v>
      </c>
      <c r="V235" t="s">
        <v>11720</v>
      </c>
      <c r="W235" t="s">
        <v>11952</v>
      </c>
      <c r="X235">
        <v>6</v>
      </c>
      <c r="Y235" t="s">
        <v>17749</v>
      </c>
      <c r="Z235" t="s">
        <v>23442</v>
      </c>
      <c r="AA235">
        <v>0.76405575099244094</v>
      </c>
      <c r="AB235" t="str">
        <f>HYPERLINK("Melting_Curves/meltCurve_B7ZKQ9_SCARB1.pdf", "Melting_Curves/meltCurve_B7ZKQ9_SCARB1.pdf")</f>
        <v>Melting_Curves/meltCurve_B7ZKQ9_SCARB1.pdf</v>
      </c>
    </row>
    <row r="236" spans="1:28" x14ac:dyDescent="0.25">
      <c r="A236" t="s">
        <v>240</v>
      </c>
      <c r="B236">
        <v>0.99334974765950101</v>
      </c>
      <c r="C236">
        <v>0.86123613649131703</v>
      </c>
      <c r="D236">
        <v>0.87120527773434198</v>
      </c>
      <c r="E236">
        <v>0.89930379214340095</v>
      </c>
      <c r="F236">
        <v>0.87663390365019001</v>
      </c>
      <c r="G236">
        <v>0.68136992471313895</v>
      </c>
      <c r="H236">
        <v>0.44413579683725002</v>
      </c>
      <c r="I236">
        <v>0.30232157460943898</v>
      </c>
      <c r="J236">
        <v>0.32034370758840203</v>
      </c>
      <c r="K236">
        <v>0.30626770930171698</v>
      </c>
      <c r="L236">
        <v>862.79097001167304</v>
      </c>
      <c r="M236">
        <v>14.9462550673009</v>
      </c>
      <c r="N236">
        <v>60.0382022660974</v>
      </c>
      <c r="O236">
        <v>56.722430908088597</v>
      </c>
      <c r="P236">
        <v>-5.1466221706241801E-2</v>
      </c>
      <c r="Q236">
        <v>0.21880380166288901</v>
      </c>
      <c r="R236">
        <v>0.94421666672665605</v>
      </c>
      <c r="S236" t="s">
        <v>6097</v>
      </c>
      <c r="T236" t="s">
        <v>11720</v>
      </c>
      <c r="U236" t="s">
        <v>11720</v>
      </c>
      <c r="V236" t="s">
        <v>11720</v>
      </c>
      <c r="W236" t="s">
        <v>11953</v>
      </c>
      <c r="X236">
        <v>3</v>
      </c>
      <c r="Y236" t="s">
        <v>17750</v>
      </c>
      <c r="Z236" t="s">
        <v>23443</v>
      </c>
      <c r="AA236">
        <v>0.69144788115144529</v>
      </c>
      <c r="AB236" t="str">
        <f>HYPERLINK("Melting_Curves/meltCurve_B7ZL88_COX18.pdf", "Melting_Curves/meltCurve_B7ZL88_COX18.pdf")</f>
        <v>Melting_Curves/meltCurve_B7ZL88_COX18.pdf</v>
      </c>
    </row>
    <row r="237" spans="1:28" x14ac:dyDescent="0.25">
      <c r="A237" t="s">
        <v>241</v>
      </c>
      <c r="B237">
        <v>0.99334974765950101</v>
      </c>
      <c r="C237">
        <v>0.99410775840171395</v>
      </c>
      <c r="D237">
        <v>0.94010718662940096</v>
      </c>
      <c r="E237">
        <v>0.74744454348937905</v>
      </c>
      <c r="F237">
        <v>0.56426921304897004</v>
      </c>
      <c r="G237">
        <v>0.46226140749771399</v>
      </c>
      <c r="H237">
        <v>0.376752760177121</v>
      </c>
      <c r="I237">
        <v>0.38960331269894999</v>
      </c>
      <c r="J237">
        <v>0.29216383009061703</v>
      </c>
      <c r="K237">
        <v>0.24981852931044099</v>
      </c>
      <c r="L237">
        <v>763.10182867653998</v>
      </c>
      <c r="M237">
        <v>14.6234961780365</v>
      </c>
      <c r="N237">
        <v>55.350295333449601</v>
      </c>
      <c r="O237">
        <v>51.236570753683601</v>
      </c>
      <c r="P237">
        <v>-5.1134529987522902E-2</v>
      </c>
      <c r="Q237">
        <v>0.28343676107812499</v>
      </c>
      <c r="R237">
        <v>0.98726064080009801</v>
      </c>
      <c r="S237" t="s">
        <v>6098</v>
      </c>
      <c r="T237" t="s">
        <v>11720</v>
      </c>
      <c r="U237" t="s">
        <v>11720</v>
      </c>
      <c r="V237" t="s">
        <v>11720</v>
      </c>
      <c r="W237" t="s">
        <v>11954</v>
      </c>
      <c r="X237">
        <v>10</v>
      </c>
      <c r="Y237" t="s">
        <v>17751</v>
      </c>
      <c r="Z237" t="s">
        <v>23444</v>
      </c>
      <c r="AA237">
        <v>0.59097035886638927</v>
      </c>
      <c r="AB237" t="str">
        <f>HYPERLINK("Melting_Curves/meltCurve_B7ZLZ2_EDEM3.pdf", "Melting_Curves/meltCurve_B7ZLZ2_EDEM3.pdf")</f>
        <v>Melting_Curves/meltCurve_B7ZLZ2_EDEM3.pdf</v>
      </c>
    </row>
    <row r="238" spans="1:28" x14ac:dyDescent="0.25">
      <c r="A238" t="s">
        <v>242</v>
      </c>
      <c r="B238">
        <v>0.99334974765950101</v>
      </c>
      <c r="C238">
        <v>0.82848830652452898</v>
      </c>
      <c r="D238">
        <v>0.58746015318575795</v>
      </c>
      <c r="E238">
        <v>0.40087563476639498</v>
      </c>
      <c r="F238">
        <v>0.31434644629359798</v>
      </c>
      <c r="G238">
        <v>0.26473260929489001</v>
      </c>
      <c r="H238">
        <v>0.21471078694083601</v>
      </c>
      <c r="I238">
        <v>0.19364683694818599</v>
      </c>
      <c r="J238">
        <v>0.16535223773499899</v>
      </c>
      <c r="K238">
        <v>0.112283524720385</v>
      </c>
      <c r="L238">
        <v>666.20175946911399</v>
      </c>
      <c r="M238">
        <v>14.241044620776</v>
      </c>
      <c r="N238">
        <v>48.128390419441601</v>
      </c>
      <c r="O238">
        <v>45.886982656831798</v>
      </c>
      <c r="P238">
        <v>-6.4835586570267098E-2</v>
      </c>
      <c r="Q238">
        <v>0.16446009592156899</v>
      </c>
      <c r="R238">
        <v>0.98509280854037595</v>
      </c>
      <c r="S238" t="s">
        <v>6099</v>
      </c>
      <c r="T238" t="s">
        <v>11720</v>
      </c>
      <c r="U238" t="s">
        <v>11720</v>
      </c>
      <c r="V238" t="s">
        <v>11720</v>
      </c>
      <c r="W238" t="s">
        <v>11955</v>
      </c>
      <c r="X238">
        <v>7</v>
      </c>
      <c r="Y238" t="s">
        <v>17752</v>
      </c>
      <c r="Z238" t="s">
        <v>23445</v>
      </c>
      <c r="AA238">
        <v>0.37891105145759929</v>
      </c>
      <c r="AB238" t="str">
        <f>HYPERLINK("Melting_Curves/meltCurve_B7ZMI4_MPDZ.pdf", "Melting_Curves/meltCurve_B7ZMI4_MPDZ.pdf")</f>
        <v>Melting_Curves/meltCurve_B7ZMI4_MPDZ.pdf</v>
      </c>
    </row>
    <row r="239" spans="1:28" x14ac:dyDescent="0.25">
      <c r="A239" t="s">
        <v>243</v>
      </c>
      <c r="B239">
        <v>0.99334974765950101</v>
      </c>
      <c r="C239">
        <v>1.04241276055167</v>
      </c>
      <c r="D239">
        <v>0.92561315529192301</v>
      </c>
      <c r="E239">
        <v>0.88887124824691899</v>
      </c>
      <c r="F239">
        <v>0.89386540477519805</v>
      </c>
      <c r="G239">
        <v>0.62617453804450396</v>
      </c>
      <c r="H239">
        <v>0.47131198168875099</v>
      </c>
      <c r="I239">
        <v>0.36895348614039702</v>
      </c>
      <c r="J239">
        <v>0.31330895675283599</v>
      </c>
      <c r="K239">
        <v>0.31336329574890398</v>
      </c>
      <c r="L239">
        <v>907.15330054644096</v>
      </c>
      <c r="M239">
        <v>15.8257662434974</v>
      </c>
      <c r="N239">
        <v>60.066191408975698</v>
      </c>
      <c r="O239">
        <v>56.4294575654026</v>
      </c>
      <c r="P239">
        <v>-5.2070050523524397E-2</v>
      </c>
      <c r="Q239">
        <v>0.25740236459577898</v>
      </c>
      <c r="R239">
        <v>0.98545137488786705</v>
      </c>
      <c r="S239" t="s">
        <v>6100</v>
      </c>
      <c r="T239" t="s">
        <v>11720</v>
      </c>
      <c r="U239" t="s">
        <v>11720</v>
      </c>
      <c r="V239" t="s">
        <v>11720</v>
      </c>
      <c r="W239" t="s">
        <v>11956</v>
      </c>
      <c r="X239">
        <v>4</v>
      </c>
      <c r="Y239" t="s">
        <v>17753</v>
      </c>
      <c r="Z239" t="s">
        <v>23446</v>
      </c>
      <c r="AA239">
        <v>0.69706541375950082</v>
      </c>
      <c r="AB239" t="str">
        <f>HYPERLINK("Melting_Curves/meltCurve_B8X2Z3_RLTPR.pdf", "Melting_Curves/meltCurve_B8X2Z3_RLTPR.pdf")</f>
        <v>Melting_Curves/meltCurve_B8X2Z3_RLTPR.pdf</v>
      </c>
    </row>
    <row r="240" spans="1:28" x14ac:dyDescent="0.25">
      <c r="A240" t="s">
        <v>244</v>
      </c>
      <c r="B240">
        <v>0.99334974765950101</v>
      </c>
      <c r="C240">
        <v>1.0411105286107301</v>
      </c>
      <c r="D240">
        <v>1.05070664493364</v>
      </c>
      <c r="E240">
        <v>0.78750704190383003</v>
      </c>
      <c r="F240">
        <v>0.38652284912766499</v>
      </c>
      <c r="G240">
        <v>0.35881873148882398</v>
      </c>
      <c r="H240">
        <v>0.257350502208952</v>
      </c>
      <c r="I240">
        <v>0.15374190949430599</v>
      </c>
      <c r="J240">
        <v>0.12882271259200201</v>
      </c>
      <c r="K240">
        <v>9.5912814425799298E-2</v>
      </c>
      <c r="L240">
        <v>1348.3402650187199</v>
      </c>
      <c r="M240">
        <v>26.037248220492199</v>
      </c>
      <c r="N240">
        <v>52.622082982372099</v>
      </c>
      <c r="O240">
        <v>51.482479599796797</v>
      </c>
      <c r="P240">
        <v>-0.105000534875902</v>
      </c>
      <c r="Q240">
        <v>0.16955494715679201</v>
      </c>
      <c r="R240">
        <v>0.97031769092815401</v>
      </c>
      <c r="S240" t="s">
        <v>6101</v>
      </c>
      <c r="T240" t="s">
        <v>11720</v>
      </c>
      <c r="U240" t="s">
        <v>11720</v>
      </c>
      <c r="V240" t="s">
        <v>11720</v>
      </c>
      <c r="W240" t="s">
        <v>11957</v>
      </c>
      <c r="X240">
        <v>13</v>
      </c>
      <c r="Y240" t="s">
        <v>17754</v>
      </c>
      <c r="Z240" t="s">
        <v>23447</v>
      </c>
      <c r="AA240">
        <v>0.50277357870522077</v>
      </c>
      <c r="AB240" t="str">
        <f>HYPERLINK("Melting_Curves/meltCurve_B8ZZD4_TAX1BP1.pdf", "Melting_Curves/meltCurve_B8ZZD4_TAX1BP1.pdf")</f>
        <v>Melting_Curves/meltCurve_B8ZZD4_TAX1BP1.pdf</v>
      </c>
    </row>
    <row r="241" spans="1:28" x14ac:dyDescent="0.25">
      <c r="A241" t="s">
        <v>245</v>
      </c>
      <c r="B241">
        <v>0.99334974765950101</v>
      </c>
      <c r="C241">
        <v>1.28459761578842</v>
      </c>
      <c r="D241">
        <v>1.0292698953058399</v>
      </c>
      <c r="E241">
        <v>1.26915331487371</v>
      </c>
      <c r="F241">
        <v>1.1126729757933</v>
      </c>
      <c r="G241">
        <v>0.86859423986142403</v>
      </c>
      <c r="H241">
        <v>1.0944138278525799</v>
      </c>
      <c r="I241">
        <v>0.92063376371047301</v>
      </c>
      <c r="J241">
        <v>1.02485362269948</v>
      </c>
      <c r="K241">
        <v>0.92698217089151203</v>
      </c>
      <c r="L241">
        <v>15000</v>
      </c>
      <c r="M241">
        <v>211.74445450683299</v>
      </c>
      <c r="Q241">
        <v>0</v>
      </c>
      <c r="R241">
        <v>-0.12464478648736101</v>
      </c>
      <c r="S241" t="s">
        <v>6102</v>
      </c>
      <c r="T241" t="s">
        <v>11720</v>
      </c>
      <c r="U241" t="s">
        <v>11720</v>
      </c>
      <c r="V241" t="s">
        <v>11720</v>
      </c>
      <c r="W241" t="s">
        <v>11958</v>
      </c>
      <c r="X241">
        <v>4</v>
      </c>
      <c r="Y241" t="s">
        <v>17755</v>
      </c>
      <c r="Z241" t="s">
        <v>23448</v>
      </c>
      <c r="AA241">
        <v>0.9991821610316145</v>
      </c>
      <c r="AB241" t="str">
        <f>HYPERLINK("Melting_Curves/meltCurve_B8ZZK4_RPL31.pdf", "Melting_Curves/meltCurve_B8ZZK4_RPL31.pdf")</f>
        <v>Melting_Curves/meltCurve_B8ZZK4_RPL31.pdf</v>
      </c>
    </row>
    <row r="242" spans="1:28" x14ac:dyDescent="0.25">
      <c r="A242" t="s">
        <v>246</v>
      </c>
      <c r="B242">
        <v>0.99334974765950101</v>
      </c>
      <c r="C242">
        <v>0.83138170213718399</v>
      </c>
      <c r="D242">
        <v>0.70791566926588601</v>
      </c>
      <c r="E242">
        <v>0.49737446403421198</v>
      </c>
      <c r="F242">
        <v>0.118805699600758</v>
      </c>
      <c r="G242">
        <v>3.1876842405896097E-2</v>
      </c>
      <c r="H242">
        <v>5.25468590912559E-2</v>
      </c>
      <c r="I242">
        <v>3.1900169301379698E-2</v>
      </c>
      <c r="J242">
        <v>2.1939958652164599E-2</v>
      </c>
      <c r="K242">
        <v>3.09126849282979E-2</v>
      </c>
      <c r="L242">
        <v>796.13762699112397</v>
      </c>
      <c r="M242">
        <v>16.365722063812701</v>
      </c>
      <c r="N242">
        <v>48.648886921996102</v>
      </c>
      <c r="O242">
        <v>47.937723136109902</v>
      </c>
      <c r="P242">
        <v>-8.5322953409155106E-2</v>
      </c>
      <c r="Q242">
        <v>3.7540088583791497E-4</v>
      </c>
      <c r="R242">
        <v>0.97911746492833096</v>
      </c>
      <c r="S242" t="s">
        <v>6103</v>
      </c>
      <c r="T242" t="s">
        <v>11720</v>
      </c>
      <c r="U242" t="s">
        <v>11720</v>
      </c>
      <c r="V242" t="s">
        <v>11720</v>
      </c>
      <c r="W242" t="s">
        <v>11959</v>
      </c>
      <c r="X242">
        <v>2</v>
      </c>
      <c r="Y242" t="s">
        <v>17756</v>
      </c>
      <c r="Z242" t="s">
        <v>23449</v>
      </c>
      <c r="AA242">
        <v>0.30959394509579302</v>
      </c>
      <c r="AB242" t="str">
        <f>HYPERLINK("Melting_Curves/meltCurve_B8ZZN3_STK16.pdf", "Melting_Curves/meltCurve_B8ZZN3_STK16.pdf")</f>
        <v>Melting_Curves/meltCurve_B8ZZN3_STK16.pdf</v>
      </c>
    </row>
    <row r="243" spans="1:28" x14ac:dyDescent="0.25">
      <c r="A243" t="s">
        <v>247</v>
      </c>
      <c r="B243">
        <v>0.99334974765950101</v>
      </c>
      <c r="C243">
        <v>0.88988439311982204</v>
      </c>
      <c r="D243">
        <v>0.77714678571451601</v>
      </c>
      <c r="E243">
        <v>0.51445750336473395</v>
      </c>
      <c r="F243">
        <v>0.38672116907807103</v>
      </c>
      <c r="G243">
        <v>0.31692479059927497</v>
      </c>
      <c r="H243">
        <v>0.269622477865818</v>
      </c>
      <c r="I243">
        <v>0.27077516265111801</v>
      </c>
      <c r="J243">
        <v>0.28601417048830702</v>
      </c>
      <c r="K243">
        <v>0.263400846394092</v>
      </c>
      <c r="L243">
        <v>807.894579371041</v>
      </c>
      <c r="M243">
        <v>16.806578545883301</v>
      </c>
      <c r="N243">
        <v>50.300958331640601</v>
      </c>
      <c r="O243">
        <v>47.405028250467801</v>
      </c>
      <c r="P243">
        <v>-6.5351560396293307E-2</v>
      </c>
      <c r="Q243">
        <v>0.26271878446215102</v>
      </c>
      <c r="R243">
        <v>0.99783469321621698</v>
      </c>
      <c r="S243" t="s">
        <v>6104</v>
      </c>
      <c r="T243" t="s">
        <v>11720</v>
      </c>
      <c r="U243" t="s">
        <v>11720</v>
      </c>
      <c r="V243" t="s">
        <v>11720</v>
      </c>
      <c r="W243" t="s">
        <v>11960</v>
      </c>
      <c r="X243">
        <v>3</v>
      </c>
      <c r="Y243" t="s">
        <v>17757</v>
      </c>
      <c r="Z243" t="s">
        <v>23450</v>
      </c>
      <c r="AA243">
        <v>0.47609256975680841</v>
      </c>
      <c r="AB243" t="str">
        <f>HYPERLINK("Melting_Curves/meltCurve_B8ZZN6_SUMO1.pdf", "Melting_Curves/meltCurve_B8ZZN6_SUMO1.pdf")</f>
        <v>Melting_Curves/meltCurve_B8ZZN6_SUMO1.pdf</v>
      </c>
    </row>
    <row r="244" spans="1:28" x14ac:dyDescent="0.25">
      <c r="A244" t="s">
        <v>248</v>
      </c>
      <c r="B244">
        <v>0.99334974765950101</v>
      </c>
      <c r="C244">
        <v>1.1441818076932699</v>
      </c>
      <c r="D244">
        <v>0.70396550490199505</v>
      </c>
      <c r="E244">
        <v>0.96589639577587405</v>
      </c>
      <c r="F244">
        <v>1.17699885462785</v>
      </c>
      <c r="G244">
        <v>0.751991233807624</v>
      </c>
      <c r="H244">
        <v>0.71311447980251097</v>
      </c>
      <c r="I244">
        <v>1.3524598909489001</v>
      </c>
      <c r="J244">
        <v>1.5002966382238401</v>
      </c>
      <c r="K244">
        <v>1.4387916411113999</v>
      </c>
      <c r="L244">
        <v>15000</v>
      </c>
      <c r="M244">
        <v>235.47642131236901</v>
      </c>
      <c r="O244">
        <v>63.696054423002799</v>
      </c>
      <c r="P244">
        <v>0.43397483079545401</v>
      </c>
      <c r="Q244">
        <v>1.46955839739906</v>
      </c>
      <c r="R244">
        <v>0.64027510299437496</v>
      </c>
      <c r="S244" t="s">
        <v>6105</v>
      </c>
      <c r="T244" t="s">
        <v>11720</v>
      </c>
      <c r="U244" t="s">
        <v>11720</v>
      </c>
      <c r="V244" t="s">
        <v>11720</v>
      </c>
      <c r="W244" t="s">
        <v>11961</v>
      </c>
      <c r="X244">
        <v>9</v>
      </c>
      <c r="Y244" t="s">
        <v>17758</v>
      </c>
      <c r="Z244" t="s">
        <v>23451</v>
      </c>
      <c r="AA244">
        <v>1.098537992282389</v>
      </c>
      <c r="AB244" t="str">
        <f>HYPERLINK("Melting_Curves/meltCurve_B8ZZQ6_PTMA.pdf", "Melting_Curves/meltCurve_B8ZZQ6_PTMA.pdf")</f>
        <v>Melting_Curves/meltCurve_B8ZZQ6_PTMA.pdf</v>
      </c>
    </row>
    <row r="245" spans="1:28" x14ac:dyDescent="0.25">
      <c r="A245" t="s">
        <v>249</v>
      </c>
      <c r="B245">
        <v>0.99334974765950101</v>
      </c>
      <c r="C245">
        <v>0.98247889288216295</v>
      </c>
      <c r="D245">
        <v>0.81268090144495897</v>
      </c>
      <c r="E245">
        <v>0.57813854798543396</v>
      </c>
      <c r="F245">
        <v>0.40856176846084402</v>
      </c>
      <c r="G245">
        <v>0.23382572618723199</v>
      </c>
      <c r="H245">
        <v>0.212590200019143</v>
      </c>
      <c r="I245">
        <v>0.27895008396639498</v>
      </c>
      <c r="J245">
        <v>0.202228038423415</v>
      </c>
      <c r="K245">
        <v>0.13728346829948601</v>
      </c>
      <c r="L245">
        <v>854.296085128595</v>
      </c>
      <c r="M245">
        <v>17.185881970279599</v>
      </c>
      <c r="N245">
        <v>51.095297249067301</v>
      </c>
      <c r="O245">
        <v>49.050777296259803</v>
      </c>
      <c r="P245">
        <v>-7.1276897093709907E-2</v>
      </c>
      <c r="Q245">
        <v>0.18631347176667301</v>
      </c>
      <c r="R245">
        <v>0.98829643908257503</v>
      </c>
      <c r="S245" t="s">
        <v>6106</v>
      </c>
      <c r="T245" t="s">
        <v>11720</v>
      </c>
      <c r="U245" t="s">
        <v>11720</v>
      </c>
      <c r="V245" t="s">
        <v>11720</v>
      </c>
      <c r="W245" t="s">
        <v>11962</v>
      </c>
      <c r="X245">
        <v>2</v>
      </c>
      <c r="Y245" t="s">
        <v>17759</v>
      </c>
      <c r="Z245" t="s">
        <v>23452</v>
      </c>
      <c r="AA245">
        <v>0.46487589767090698</v>
      </c>
      <c r="AB245" t="str">
        <f>HYPERLINK("Melting_Curves/meltCurve_B8ZZX2_COQ10B.pdf", "Melting_Curves/meltCurve_B8ZZX2_COQ10B.pdf")</f>
        <v>Melting_Curves/meltCurve_B8ZZX2_COQ10B.pdf</v>
      </c>
    </row>
    <row r="246" spans="1:28" x14ac:dyDescent="0.25">
      <c r="A246" t="s">
        <v>250</v>
      </c>
      <c r="B246">
        <v>0.99334974765950101</v>
      </c>
      <c r="C246">
        <v>0.994078720463071</v>
      </c>
      <c r="D246">
        <v>0.85300218947114703</v>
      </c>
      <c r="E246">
        <v>0.691631183376749</v>
      </c>
      <c r="F246">
        <v>0.33057312585709098</v>
      </c>
      <c r="G246">
        <v>0.13743142021154101</v>
      </c>
      <c r="H246">
        <v>9.41696580029589E-2</v>
      </c>
      <c r="I246">
        <v>9.5330829215574897E-2</v>
      </c>
      <c r="J246">
        <v>0.103705097821865</v>
      </c>
      <c r="K246">
        <v>7.2343716082758802E-2</v>
      </c>
      <c r="L246">
        <v>1144.3502819594401</v>
      </c>
      <c r="M246">
        <v>22.431317470927802</v>
      </c>
      <c r="N246">
        <v>51.3957948218506</v>
      </c>
      <c r="O246">
        <v>50.615464124256697</v>
      </c>
      <c r="P246">
        <v>-0.102327835837668</v>
      </c>
      <c r="Q246">
        <v>7.6422527584504504E-2</v>
      </c>
      <c r="R246">
        <v>0.99333025279856302</v>
      </c>
      <c r="S246" t="s">
        <v>6107</v>
      </c>
      <c r="T246" t="s">
        <v>11720</v>
      </c>
      <c r="U246" t="s">
        <v>11720</v>
      </c>
      <c r="V246" t="s">
        <v>11720</v>
      </c>
      <c r="W246" t="s">
        <v>11963</v>
      </c>
      <c r="X246">
        <v>11</v>
      </c>
      <c r="Y246" t="s">
        <v>17760</v>
      </c>
      <c r="Z246" t="s">
        <v>23453</v>
      </c>
      <c r="AA246">
        <v>0.42586042399223112</v>
      </c>
      <c r="AB246" t="str">
        <f>HYPERLINK("Melting_Curves/meltCurve_B8ZZY2_AGFG1.pdf", "Melting_Curves/meltCurve_B8ZZY2_AGFG1.pdf")</f>
        <v>Melting_Curves/meltCurve_B8ZZY2_AGFG1.pdf</v>
      </c>
    </row>
    <row r="247" spans="1:28" x14ac:dyDescent="0.25">
      <c r="A247" t="s">
        <v>251</v>
      </c>
      <c r="B247">
        <v>0.99334974765950101</v>
      </c>
      <c r="C247">
        <v>1.64050924152308</v>
      </c>
      <c r="D247">
        <v>1.9584061282016201</v>
      </c>
      <c r="E247">
        <v>1.94753050177779</v>
      </c>
      <c r="F247">
        <v>0.38736638966666498</v>
      </c>
      <c r="G247">
        <v>0.15534362478473601</v>
      </c>
      <c r="H247">
        <v>0.13479918222155299</v>
      </c>
      <c r="I247">
        <v>0.12073141084420901</v>
      </c>
      <c r="J247">
        <v>9.7961852135146396E-2</v>
      </c>
      <c r="K247">
        <v>7.88702856450091E-2</v>
      </c>
      <c r="L247">
        <v>13206.541413540401</v>
      </c>
      <c r="M247">
        <v>250</v>
      </c>
      <c r="N247">
        <v>52.882854179049097</v>
      </c>
      <c r="O247">
        <v>52.822802650213497</v>
      </c>
      <c r="P247">
        <v>-1.0441269137738101</v>
      </c>
      <c r="Q247">
        <v>0.117540933684327</v>
      </c>
      <c r="R247">
        <v>0.62080996605525796</v>
      </c>
      <c r="S247" t="s">
        <v>6108</v>
      </c>
      <c r="T247" t="s">
        <v>11720</v>
      </c>
      <c r="U247" t="s">
        <v>11720</v>
      </c>
      <c r="V247" t="s">
        <v>11720</v>
      </c>
      <c r="W247" t="s">
        <v>11964</v>
      </c>
      <c r="X247">
        <v>1</v>
      </c>
      <c r="Y247" t="s">
        <v>17761</v>
      </c>
      <c r="Z247" t="s">
        <v>23454</v>
      </c>
      <c r="AA247">
        <v>0.49490828458827352</v>
      </c>
      <c r="AB247" t="str">
        <f>HYPERLINK("Melting_Curves/meltCurve_B9A018_USP39.pdf", "Melting_Curves/meltCurve_B9A018_USP39.pdf")</f>
        <v>Melting_Curves/meltCurve_B9A018_USP39.pdf</v>
      </c>
    </row>
    <row r="248" spans="1:28" x14ac:dyDescent="0.25">
      <c r="A248" t="s">
        <v>252</v>
      </c>
      <c r="B248">
        <v>0.99334974765950101</v>
      </c>
      <c r="C248">
        <v>0.82779143416039902</v>
      </c>
      <c r="D248">
        <v>0.81851255181851201</v>
      </c>
      <c r="E248">
        <v>0.76325634249358698</v>
      </c>
      <c r="F248">
        <v>0.81845534012877197</v>
      </c>
      <c r="G248">
        <v>0.47888921920979999</v>
      </c>
      <c r="H248">
        <v>0.44191639795424398</v>
      </c>
      <c r="I248">
        <v>0.39139811274900599</v>
      </c>
      <c r="J248">
        <v>0.38085510000754802</v>
      </c>
      <c r="K248">
        <v>0.196991620764909</v>
      </c>
      <c r="L248">
        <v>380.19015591210501</v>
      </c>
      <c r="M248">
        <v>6.4302858929816802</v>
      </c>
      <c r="N248">
        <v>59.124930412314399</v>
      </c>
      <c r="O248">
        <v>54.184398343024199</v>
      </c>
      <c r="P248">
        <v>-2.9743462056236299E-2</v>
      </c>
      <c r="Q248">
        <v>0</v>
      </c>
      <c r="R248">
        <v>0.92400545153745495</v>
      </c>
      <c r="S248" t="s">
        <v>6109</v>
      </c>
      <c r="T248" t="s">
        <v>11720</v>
      </c>
      <c r="U248" t="s">
        <v>11720</v>
      </c>
      <c r="V248" t="s">
        <v>11720</v>
      </c>
      <c r="W248" t="s">
        <v>11965</v>
      </c>
      <c r="X248">
        <v>2</v>
      </c>
      <c r="Y248" t="s">
        <v>17762</v>
      </c>
      <c r="Z248" t="s">
        <v>23455</v>
      </c>
      <c r="AA248">
        <v>0.61911328559955736</v>
      </c>
      <c r="AB248" t="str">
        <f>HYPERLINK("Melting_Curves/meltCurve_B9A054_RHBDD1.pdf", "Melting_Curves/meltCurve_B9A054_RHBDD1.pdf")</f>
        <v>Melting_Curves/meltCurve_B9A054_RHBDD1.pdf</v>
      </c>
    </row>
    <row r="249" spans="1:28" x14ac:dyDescent="0.25">
      <c r="A249" t="s">
        <v>253</v>
      </c>
      <c r="B249">
        <v>0.99334974765950101</v>
      </c>
      <c r="C249">
        <v>0.96288838685092504</v>
      </c>
      <c r="D249">
        <v>0.77265753880947396</v>
      </c>
      <c r="E249">
        <v>0.64304410300570003</v>
      </c>
      <c r="F249">
        <v>0.52871034846717702</v>
      </c>
      <c r="G249">
        <v>0.41902733378739698</v>
      </c>
      <c r="H249">
        <v>0.30488004481247</v>
      </c>
      <c r="I249">
        <v>0.25637395975248001</v>
      </c>
      <c r="J249">
        <v>0.42053271582301499</v>
      </c>
      <c r="K249">
        <v>0.44440030209120601</v>
      </c>
      <c r="L249">
        <v>761.61151822500904</v>
      </c>
      <c r="M249">
        <v>15.571899971981001</v>
      </c>
      <c r="N249">
        <v>53.005471333564302</v>
      </c>
      <c r="O249">
        <v>48.124047717222098</v>
      </c>
      <c r="P249">
        <v>-5.2593574011962997E-2</v>
      </c>
      <c r="Q249">
        <v>0.349907236803222</v>
      </c>
      <c r="R249">
        <v>0.94451343079685901</v>
      </c>
      <c r="S249" t="s">
        <v>6110</v>
      </c>
      <c r="T249" t="s">
        <v>11720</v>
      </c>
      <c r="U249" t="s">
        <v>11720</v>
      </c>
      <c r="V249" t="s">
        <v>11720</v>
      </c>
      <c r="W249" t="s">
        <v>11966</v>
      </c>
      <c r="X249">
        <v>1</v>
      </c>
      <c r="Y249" t="s">
        <v>17763</v>
      </c>
      <c r="Z249" t="s">
        <v>23456</v>
      </c>
      <c r="AA249">
        <v>0.55796279582451236</v>
      </c>
      <c r="AB249" t="str">
        <f>HYPERLINK("Melting_Curves/meltCurve_B9A057_COA5.pdf", "Melting_Curves/meltCurve_B9A057_COA5.pdf")</f>
        <v>Melting_Curves/meltCurve_B9A057_COA5.pdf</v>
      </c>
    </row>
    <row r="250" spans="1:28" x14ac:dyDescent="0.25">
      <c r="A250" t="s">
        <v>254</v>
      </c>
      <c r="B250">
        <v>0.99334974765950101</v>
      </c>
      <c r="C250">
        <v>0.97008457680834204</v>
      </c>
      <c r="D250">
        <v>0.91488133908809699</v>
      </c>
      <c r="E250">
        <v>1.2105357880249099</v>
      </c>
      <c r="F250">
        <v>1.87028080355978</v>
      </c>
      <c r="G250">
        <v>2.8215243621747299</v>
      </c>
      <c r="H250">
        <v>3.6518845718412001</v>
      </c>
      <c r="I250">
        <v>3.4163168991175401</v>
      </c>
      <c r="J250">
        <v>3.0737950285676701</v>
      </c>
      <c r="K250">
        <v>1.7004209219150901</v>
      </c>
      <c r="S250" t="s">
        <v>6111</v>
      </c>
      <c r="T250" t="s">
        <v>11720</v>
      </c>
      <c r="U250" t="s">
        <v>11721</v>
      </c>
      <c r="V250" t="s">
        <v>11720</v>
      </c>
      <c r="W250" t="s">
        <v>11967</v>
      </c>
      <c r="X250">
        <v>22</v>
      </c>
      <c r="Y250" t="s">
        <v>17764</v>
      </c>
      <c r="Z250" t="s">
        <v>23457</v>
      </c>
      <c r="AB250" t="str">
        <f>HYPERLINK("Melting_Curves/meltCurve_B9A067_IMMT.pdf", "Melting_Curves/meltCurve_B9A067_IMMT.pdf")</f>
        <v>Melting_Curves/meltCurve_B9A067_IMMT.pdf</v>
      </c>
    </row>
    <row r="251" spans="1:28" x14ac:dyDescent="0.25">
      <c r="A251" t="s">
        <v>255</v>
      </c>
      <c r="B251">
        <v>0.99334974765950101</v>
      </c>
      <c r="C251">
        <v>0.92030735452813595</v>
      </c>
      <c r="D251">
        <v>0.86473755037381494</v>
      </c>
      <c r="E251">
        <v>0.70604620621554004</v>
      </c>
      <c r="F251">
        <v>0.54723930366234996</v>
      </c>
      <c r="G251">
        <v>0.403101834297935</v>
      </c>
      <c r="H251">
        <v>0.33562243460038099</v>
      </c>
      <c r="I251">
        <v>0.28367084423898098</v>
      </c>
      <c r="J251">
        <v>0.24950996846943099</v>
      </c>
      <c r="K251">
        <v>0.26688114207250502</v>
      </c>
      <c r="L251">
        <v>640.71719122861202</v>
      </c>
      <c r="M251">
        <v>12.387061708312499</v>
      </c>
      <c r="N251">
        <v>54.300314704886603</v>
      </c>
      <c r="O251">
        <v>50.432105140505897</v>
      </c>
      <c r="P251">
        <v>-4.7773382302410003E-2</v>
      </c>
      <c r="Q251">
        <v>0.22215651467647299</v>
      </c>
      <c r="R251">
        <v>0.99789145353250697</v>
      </c>
      <c r="S251" t="s">
        <v>6112</v>
      </c>
      <c r="T251" t="s">
        <v>11720</v>
      </c>
      <c r="U251" t="s">
        <v>11720</v>
      </c>
      <c r="V251" t="s">
        <v>11720</v>
      </c>
      <c r="W251" t="s">
        <v>11968</v>
      </c>
      <c r="X251">
        <v>2</v>
      </c>
      <c r="Y251" t="s">
        <v>17765</v>
      </c>
      <c r="Z251" t="s">
        <v>23458</v>
      </c>
      <c r="AA251">
        <v>0.54938541454087819</v>
      </c>
      <c r="AB251" t="str">
        <f>HYPERLINK("Melting_Curves/meltCurve_B9A071_TBC1D14.pdf", "Melting_Curves/meltCurve_B9A071_TBC1D14.pdf")</f>
        <v>Melting_Curves/meltCurve_B9A071_TBC1D14.pdf</v>
      </c>
    </row>
    <row r="252" spans="1:28" x14ac:dyDescent="0.25">
      <c r="A252" t="s">
        <v>256</v>
      </c>
      <c r="B252">
        <v>0.99334974765950101</v>
      </c>
      <c r="C252">
        <v>0.96906814856960999</v>
      </c>
      <c r="D252">
        <v>0.80492740040711896</v>
      </c>
      <c r="E252">
        <v>0.68387566331914296</v>
      </c>
      <c r="F252">
        <v>0.49693209660219601</v>
      </c>
      <c r="G252">
        <v>0.46585652154153001</v>
      </c>
      <c r="H252">
        <v>0.44273975696715601</v>
      </c>
      <c r="I252">
        <v>0.36777256503407901</v>
      </c>
      <c r="J252">
        <v>0.48452735912001399</v>
      </c>
      <c r="K252">
        <v>0.48151697262750498</v>
      </c>
      <c r="L252">
        <v>889.88268523793704</v>
      </c>
      <c r="M252">
        <v>18.404930253798</v>
      </c>
      <c r="N252">
        <v>54.454784414888202</v>
      </c>
      <c r="O252">
        <v>47.790282324171699</v>
      </c>
      <c r="P252">
        <v>-5.4258001925411102E-2</v>
      </c>
      <c r="Q252">
        <v>0.43647968363484602</v>
      </c>
      <c r="R252">
        <v>0.968778908704516</v>
      </c>
      <c r="S252" t="s">
        <v>6113</v>
      </c>
      <c r="T252" t="s">
        <v>11720</v>
      </c>
      <c r="U252" t="s">
        <v>11720</v>
      </c>
      <c r="V252" t="s">
        <v>11720</v>
      </c>
      <c r="W252" t="s">
        <v>11969</v>
      </c>
      <c r="X252">
        <v>1</v>
      </c>
      <c r="Y252" t="s">
        <v>17766</v>
      </c>
      <c r="Z252" t="s">
        <v>23459</v>
      </c>
      <c r="AA252">
        <v>0.60278814123455216</v>
      </c>
      <c r="AB252" t="str">
        <f>HYPERLINK("Melting_Curves/meltCurve_B9EGH5_PLCB2.pdf", "Melting_Curves/meltCurve_B9EGH5_PLCB2.pdf")</f>
        <v>Melting_Curves/meltCurve_B9EGH5_PLCB2.pdf</v>
      </c>
    </row>
    <row r="253" spans="1:28" x14ac:dyDescent="0.25">
      <c r="A253" t="s">
        <v>257</v>
      </c>
      <c r="B253">
        <v>0.99334974765950101</v>
      </c>
      <c r="C253">
        <v>0.97029827311689798</v>
      </c>
      <c r="D253">
        <v>0.91662731708697398</v>
      </c>
      <c r="E253">
        <v>0.79058799588595996</v>
      </c>
      <c r="F253">
        <v>0.71845342334759799</v>
      </c>
      <c r="G253">
        <v>0.57949343735574799</v>
      </c>
      <c r="H253">
        <v>0.38328159184696597</v>
      </c>
      <c r="I253">
        <v>0.24036077948510601</v>
      </c>
      <c r="J253">
        <v>0.15457665873207499</v>
      </c>
      <c r="K253">
        <v>0.124783094768084</v>
      </c>
      <c r="L253">
        <v>606.41431867602398</v>
      </c>
      <c r="M253">
        <v>10.5140601266034</v>
      </c>
      <c r="N253">
        <v>57.676511712489997</v>
      </c>
      <c r="O253">
        <v>55.707251884363501</v>
      </c>
      <c r="P253">
        <v>-4.72033716705711E-2</v>
      </c>
      <c r="Q253">
        <v>0</v>
      </c>
      <c r="R253">
        <v>0.993488667508999</v>
      </c>
      <c r="S253" t="s">
        <v>6114</v>
      </c>
      <c r="T253" t="s">
        <v>11720</v>
      </c>
      <c r="U253" t="s">
        <v>11720</v>
      </c>
      <c r="V253" t="s">
        <v>11720</v>
      </c>
      <c r="W253" t="s">
        <v>11970</v>
      </c>
      <c r="X253">
        <v>4</v>
      </c>
      <c r="Y253" t="s">
        <v>17767</v>
      </c>
      <c r="Z253" t="s">
        <v>23460</v>
      </c>
      <c r="AA253">
        <v>0.6019224907638997</v>
      </c>
      <c r="AB253" t="str">
        <f>HYPERLINK("Melting_Curves/meltCurve_C0H5X6_PEX7.pdf", "Melting_Curves/meltCurve_C0H5X6_PEX7.pdf")</f>
        <v>Melting_Curves/meltCurve_C0H5X6_PEX7.pdf</v>
      </c>
    </row>
    <row r="254" spans="1:28" x14ac:dyDescent="0.25">
      <c r="A254" t="s">
        <v>258</v>
      </c>
      <c r="B254">
        <v>0.99334974765950101</v>
      </c>
      <c r="C254">
        <v>1.0195066274255</v>
      </c>
      <c r="D254">
        <v>0.86948967711783098</v>
      </c>
      <c r="E254">
        <v>0.82575722436277599</v>
      </c>
      <c r="F254">
        <v>0.868123781654768</v>
      </c>
      <c r="G254">
        <v>0.70729298698307297</v>
      </c>
      <c r="H254">
        <v>0.68839285240061598</v>
      </c>
      <c r="I254">
        <v>0.91876569728541202</v>
      </c>
      <c r="J254">
        <v>0.92444088593818496</v>
      </c>
      <c r="K254">
        <v>0.89158092678905199</v>
      </c>
      <c r="L254">
        <v>11442.5580669181</v>
      </c>
      <c r="M254">
        <v>250</v>
      </c>
      <c r="O254">
        <v>45.767303243066699</v>
      </c>
      <c r="P254">
        <v>-0.22935229760624501</v>
      </c>
      <c r="Q254">
        <v>0.83205062160993104</v>
      </c>
      <c r="R254">
        <v>0.45062605095214298</v>
      </c>
      <c r="S254" t="s">
        <v>6115</v>
      </c>
      <c r="T254" t="s">
        <v>11720</v>
      </c>
      <c r="U254" t="s">
        <v>11720</v>
      </c>
      <c r="V254" t="s">
        <v>11720</v>
      </c>
      <c r="W254" t="s">
        <v>11971</v>
      </c>
      <c r="X254">
        <v>3</v>
      </c>
      <c r="Y254" t="s">
        <v>17768</v>
      </c>
      <c r="Z254" t="s">
        <v>23461</v>
      </c>
      <c r="AA254">
        <v>0.8643676764033702</v>
      </c>
      <c r="AB254" t="str">
        <f>HYPERLINK("Melting_Curves/meltCurve_C0H5Y7_BAK1.pdf", "Melting_Curves/meltCurve_C0H5Y7_BAK1.pdf")</f>
        <v>Melting_Curves/meltCurve_C0H5Y7_BAK1.pdf</v>
      </c>
    </row>
    <row r="255" spans="1:28" x14ac:dyDescent="0.25">
      <c r="A255" t="s">
        <v>259</v>
      </c>
      <c r="B255">
        <v>0.99334974765950101</v>
      </c>
      <c r="C255">
        <v>1.02900193883274</v>
      </c>
      <c r="D255">
        <v>1.0598681980240801</v>
      </c>
      <c r="E255">
        <v>1.50164419723347</v>
      </c>
      <c r="F255">
        <v>1.25986025001552</v>
      </c>
      <c r="G255">
        <v>1.0234462994431901</v>
      </c>
      <c r="H255">
        <v>0.77694649402385596</v>
      </c>
      <c r="I255">
        <v>0.64744328696199005</v>
      </c>
      <c r="J255">
        <v>0.62817744334236503</v>
      </c>
      <c r="K255">
        <v>0.65696844243222496</v>
      </c>
      <c r="L255">
        <v>9107.0056795503606</v>
      </c>
      <c r="M255">
        <v>149.81346882154199</v>
      </c>
      <c r="O255">
        <v>60.778124205159997</v>
      </c>
      <c r="P255">
        <v>-0.219298637641091</v>
      </c>
      <c r="Q255">
        <v>0.64412914322943404</v>
      </c>
      <c r="R255">
        <v>0.55908393647019705</v>
      </c>
      <c r="S255" t="s">
        <v>6116</v>
      </c>
      <c r="T255" t="s">
        <v>11720</v>
      </c>
      <c r="U255" t="s">
        <v>11720</v>
      </c>
      <c r="V255" t="s">
        <v>11720</v>
      </c>
      <c r="W255" t="s">
        <v>11972</v>
      </c>
      <c r="X255">
        <v>13</v>
      </c>
      <c r="Y255" t="s">
        <v>17769</v>
      </c>
      <c r="Z255" t="s">
        <v>23462</v>
      </c>
      <c r="AA255">
        <v>0.89084113138629273</v>
      </c>
      <c r="AB255" t="str">
        <f>HYPERLINK("Melting_Curves/meltCurve_C4AMC7_WASH3P.pdf", "Melting_Curves/meltCurve_C4AMC7_WASH3P.pdf")</f>
        <v>Melting_Curves/meltCurve_C4AMC7_WASH3P.pdf</v>
      </c>
    </row>
    <row r="256" spans="1:28" x14ac:dyDescent="0.25">
      <c r="A256" t="s">
        <v>260</v>
      </c>
      <c r="B256">
        <v>0.99334974765950101</v>
      </c>
      <c r="C256">
        <v>0.96199514960459998</v>
      </c>
      <c r="D256">
        <v>0.96962768067984495</v>
      </c>
      <c r="E256">
        <v>0.82458355449307297</v>
      </c>
      <c r="F256">
        <v>0.98567909135212495</v>
      </c>
      <c r="G256">
        <v>1.11324164185359</v>
      </c>
      <c r="H256">
        <v>1.01066391973443</v>
      </c>
      <c r="I256">
        <v>0.99486601757522297</v>
      </c>
      <c r="J256">
        <v>0.84461945103091396</v>
      </c>
      <c r="K256">
        <v>0.62159215216475205</v>
      </c>
      <c r="L256">
        <v>5662.4115534940101</v>
      </c>
      <c r="M256">
        <v>84.084983134045899</v>
      </c>
      <c r="O256">
        <v>67.303469256404995</v>
      </c>
      <c r="P256">
        <v>-0.123039308164848</v>
      </c>
      <c r="Q256">
        <v>0.60606657236302297</v>
      </c>
      <c r="R256">
        <v>0.723387822159685</v>
      </c>
      <c r="S256" t="s">
        <v>6117</v>
      </c>
      <c r="T256" t="s">
        <v>11720</v>
      </c>
      <c r="U256" t="s">
        <v>11720</v>
      </c>
      <c r="V256" t="s">
        <v>11720</v>
      </c>
      <c r="W256" t="s">
        <v>11973</v>
      </c>
      <c r="X256">
        <v>2</v>
      </c>
      <c r="Y256" t="s">
        <v>17770</v>
      </c>
      <c r="Z256" t="s">
        <v>23463</v>
      </c>
      <c r="AA256">
        <v>0.96503481069633379</v>
      </c>
      <c r="AB256" t="str">
        <f>HYPERLINK("Melting_Curves/meltCurve_C9IYC4_C3orf18.pdf", "Melting_Curves/meltCurve_C9IYC4_C3orf18.pdf")</f>
        <v>Melting_Curves/meltCurve_C9IYC4_C3orf18.pdf</v>
      </c>
    </row>
    <row r="257" spans="1:28" x14ac:dyDescent="0.25">
      <c r="A257" t="s">
        <v>261</v>
      </c>
      <c r="B257">
        <v>0.99334974765950101</v>
      </c>
      <c r="C257">
        <v>0.87457045800724698</v>
      </c>
      <c r="D257">
        <v>0.53086296966983804</v>
      </c>
      <c r="E257">
        <v>0.21729303623927901</v>
      </c>
      <c r="F257">
        <v>0.17601367078631</v>
      </c>
      <c r="G257">
        <v>0.12949641612532101</v>
      </c>
      <c r="H257">
        <v>0.119989858367833</v>
      </c>
      <c r="I257">
        <v>4.8390513629824203E-2</v>
      </c>
      <c r="J257">
        <v>3.2850841017322101E-2</v>
      </c>
      <c r="K257">
        <v>0</v>
      </c>
      <c r="L257">
        <v>954.88475502316805</v>
      </c>
      <c r="M257">
        <v>20.639700897596001</v>
      </c>
      <c r="N257">
        <v>46.579052417194298</v>
      </c>
      <c r="O257">
        <v>45.836730900341003</v>
      </c>
      <c r="P257">
        <v>-0.10525115306911401</v>
      </c>
      <c r="Q257">
        <v>6.5058071401981901E-2</v>
      </c>
      <c r="R257">
        <v>0.986936434500569</v>
      </c>
      <c r="S257" t="s">
        <v>6118</v>
      </c>
      <c r="T257" t="s">
        <v>11720</v>
      </c>
      <c r="U257" t="s">
        <v>11720</v>
      </c>
      <c r="V257" t="s">
        <v>11720</v>
      </c>
      <c r="W257" t="s">
        <v>11974</v>
      </c>
      <c r="X257">
        <v>3</v>
      </c>
      <c r="Y257" t="s">
        <v>17771</v>
      </c>
      <c r="Z257" t="s">
        <v>23464</v>
      </c>
      <c r="AA257">
        <v>0.27350977472994631</v>
      </c>
      <c r="AB257" t="str">
        <f>HYPERLINK("Melting_Curves/meltCurve_C9IYZ1_ASNSD1.pdf", "Melting_Curves/meltCurve_C9IYZ1_ASNSD1.pdf")</f>
        <v>Melting_Curves/meltCurve_C9IYZ1_ASNSD1.pdf</v>
      </c>
    </row>
    <row r="258" spans="1:28" x14ac:dyDescent="0.25">
      <c r="A258" t="s">
        <v>262</v>
      </c>
      <c r="B258">
        <v>0.99334974765950101</v>
      </c>
      <c r="C258">
        <v>0.93125553596750299</v>
      </c>
      <c r="D258">
        <v>0.74680801734014202</v>
      </c>
      <c r="E258">
        <v>0.26296619086079898</v>
      </c>
      <c r="F258">
        <v>0.215162773468944</v>
      </c>
      <c r="G258">
        <v>0.13572894024917501</v>
      </c>
      <c r="H258">
        <v>0.120185102233255</v>
      </c>
      <c r="I258">
        <v>9.54004506962913E-2</v>
      </c>
      <c r="J258">
        <v>9.3696384639567198E-2</v>
      </c>
      <c r="K258">
        <v>7.7630148897378001E-2</v>
      </c>
      <c r="L258">
        <v>1209.8857105847101</v>
      </c>
      <c r="M258">
        <v>25.471619823291299</v>
      </c>
      <c r="N258">
        <v>47.944681797469698</v>
      </c>
      <c r="O258">
        <v>47.209473577529501</v>
      </c>
      <c r="P258">
        <v>-0.12067864113794401</v>
      </c>
      <c r="Q258">
        <v>0.105340536380112</v>
      </c>
      <c r="R258">
        <v>0.99512272556333004</v>
      </c>
      <c r="S258" t="s">
        <v>6119</v>
      </c>
      <c r="T258" t="s">
        <v>11720</v>
      </c>
      <c r="U258" t="s">
        <v>11720</v>
      </c>
      <c r="V258" t="s">
        <v>11720</v>
      </c>
      <c r="W258" t="s">
        <v>11975</v>
      </c>
      <c r="X258">
        <v>6</v>
      </c>
      <c r="Y258" t="s">
        <v>17772</v>
      </c>
      <c r="Z258" t="s">
        <v>23465</v>
      </c>
      <c r="AA258">
        <v>0.33660303969226718</v>
      </c>
      <c r="AB258" t="str">
        <f>HYPERLINK("Melting_Curves/meltCurve_C9J0I9_ZC3HC1.pdf", "Melting_Curves/meltCurve_C9J0I9_ZC3HC1.pdf")</f>
        <v>Melting_Curves/meltCurve_C9J0I9_ZC3HC1.pdf</v>
      </c>
    </row>
    <row r="259" spans="1:28" x14ac:dyDescent="0.25">
      <c r="A259" t="s">
        <v>263</v>
      </c>
      <c r="B259">
        <v>0.99334974765950101</v>
      </c>
      <c r="C259">
        <v>0.95047179195094</v>
      </c>
      <c r="D259">
        <v>0.93049617274888097</v>
      </c>
      <c r="E259">
        <v>0.93727867812420795</v>
      </c>
      <c r="F259">
        <v>0.969653751715015</v>
      </c>
      <c r="G259">
        <v>0.77317557734610198</v>
      </c>
      <c r="H259">
        <v>0.816272659188508</v>
      </c>
      <c r="I259">
        <v>0.90051663068620302</v>
      </c>
      <c r="J259">
        <v>1.18409860585812</v>
      </c>
      <c r="K259">
        <v>1.0645726743142301</v>
      </c>
      <c r="L259">
        <v>4574.6374122287298</v>
      </c>
      <c r="M259">
        <v>69.573991379949007</v>
      </c>
      <c r="O259">
        <v>65.697876030850693</v>
      </c>
      <c r="P259">
        <v>3.20703743044096E-2</v>
      </c>
      <c r="Q259">
        <v>1.1211346043891901</v>
      </c>
      <c r="R259">
        <v>4.2529461952468496E-3</v>
      </c>
      <c r="S259" t="s">
        <v>6120</v>
      </c>
      <c r="T259" t="s">
        <v>11720</v>
      </c>
      <c r="U259" t="s">
        <v>11720</v>
      </c>
      <c r="V259" t="s">
        <v>11720</v>
      </c>
      <c r="W259" t="s">
        <v>11976</v>
      </c>
      <c r="X259">
        <v>4</v>
      </c>
      <c r="Y259" t="s">
        <v>17773</v>
      </c>
      <c r="Z259" t="s">
        <v>23466</v>
      </c>
      <c r="AA259">
        <v>1.0170362259011889</v>
      </c>
      <c r="AB259" t="str">
        <f>HYPERLINK("Melting_Curves/meltCurve_C9J0J0_CCDC126.pdf", "Melting_Curves/meltCurve_C9J0J0_CCDC126.pdf")</f>
        <v>Melting_Curves/meltCurve_C9J0J0_CCDC126.pdf</v>
      </c>
    </row>
    <row r="260" spans="1:28" x14ac:dyDescent="0.25">
      <c r="A260" t="s">
        <v>264</v>
      </c>
      <c r="B260">
        <v>0.99334974765950101</v>
      </c>
      <c r="C260">
        <v>0.93757435875671402</v>
      </c>
      <c r="D260">
        <v>0.87721995020144905</v>
      </c>
      <c r="E260">
        <v>0.52282623115905702</v>
      </c>
      <c r="F260">
        <v>0.203097295827282</v>
      </c>
      <c r="G260">
        <v>0.172434250370612</v>
      </c>
      <c r="H260">
        <v>0.13487637294654301</v>
      </c>
      <c r="I260">
        <v>8.5869836958219398E-2</v>
      </c>
      <c r="J260">
        <v>8.4110206380789004E-2</v>
      </c>
      <c r="K260">
        <v>7.3258253489294198E-2</v>
      </c>
      <c r="L260">
        <v>1183.45762851208</v>
      </c>
      <c r="M260">
        <v>23.880963712478302</v>
      </c>
      <c r="N260">
        <v>49.987891048818298</v>
      </c>
      <c r="O260">
        <v>49.212954551253503</v>
      </c>
      <c r="P260">
        <v>-0.110020128357583</v>
      </c>
      <c r="Q260">
        <v>9.3113941915927798E-2</v>
      </c>
      <c r="R260">
        <v>0.99410235878911102</v>
      </c>
      <c r="S260" t="s">
        <v>6121</v>
      </c>
      <c r="T260" t="s">
        <v>11720</v>
      </c>
      <c r="U260" t="s">
        <v>11720</v>
      </c>
      <c r="V260" t="s">
        <v>11720</v>
      </c>
      <c r="W260" t="s">
        <v>11977</v>
      </c>
      <c r="X260">
        <v>14</v>
      </c>
      <c r="Y260" t="s">
        <v>17774</v>
      </c>
      <c r="Z260" t="s">
        <v>23467</v>
      </c>
      <c r="AA260">
        <v>0.3908606037899871</v>
      </c>
      <c r="AB260" t="str">
        <f>HYPERLINK("Melting_Curves/meltCurve_C9J0J7_PFN2.pdf", "Melting_Curves/meltCurve_C9J0J7_PFN2.pdf")</f>
        <v>Melting_Curves/meltCurve_C9J0J7_PFN2.pdf</v>
      </c>
    </row>
    <row r="261" spans="1:28" x14ac:dyDescent="0.25">
      <c r="A261" t="s">
        <v>265</v>
      </c>
      <c r="B261">
        <v>0.99334974765950101</v>
      </c>
      <c r="C261">
        <v>0.94090289021486095</v>
      </c>
      <c r="D261">
        <v>0.92353746538238501</v>
      </c>
      <c r="E261">
        <v>0.77252371958758803</v>
      </c>
      <c r="F261">
        <v>0.59736754541547898</v>
      </c>
      <c r="G261">
        <v>0.33290548679733101</v>
      </c>
      <c r="H261">
        <v>0.15076615327707499</v>
      </c>
      <c r="I261">
        <v>0.115288077218276</v>
      </c>
      <c r="J261">
        <v>9.8809348405101402E-2</v>
      </c>
      <c r="K261">
        <v>8.28127002122898E-2</v>
      </c>
      <c r="L261">
        <v>823.41055788714198</v>
      </c>
      <c r="M261">
        <v>15.2922606376288</v>
      </c>
      <c r="N261">
        <v>54.164072364707899</v>
      </c>
      <c r="O261">
        <v>52.949339585943697</v>
      </c>
      <c r="P261">
        <v>-6.9098147281162106E-2</v>
      </c>
      <c r="Q261">
        <v>4.3082333215066403E-2</v>
      </c>
      <c r="R261">
        <v>0.99761497942119604</v>
      </c>
      <c r="S261" t="s">
        <v>6122</v>
      </c>
      <c r="T261" t="s">
        <v>11720</v>
      </c>
      <c r="U261" t="s">
        <v>11720</v>
      </c>
      <c r="V261" t="s">
        <v>11720</v>
      </c>
      <c r="W261" t="s">
        <v>11978</v>
      </c>
      <c r="X261">
        <v>16</v>
      </c>
      <c r="Y261" t="s">
        <v>17775</v>
      </c>
      <c r="Z261" t="s">
        <v>23468</v>
      </c>
      <c r="AA261">
        <v>0.5040103360951671</v>
      </c>
      <c r="AB261" t="str">
        <f>HYPERLINK("Melting_Curves/meltCurve_C9J0K6_SRI.pdf", "Melting_Curves/meltCurve_C9J0K6_SRI.pdf")</f>
        <v>Melting_Curves/meltCurve_C9J0K6_SRI.pdf</v>
      </c>
    </row>
    <row r="262" spans="1:28" x14ac:dyDescent="0.25">
      <c r="A262" t="s">
        <v>266</v>
      </c>
      <c r="B262">
        <v>0.99334974765950101</v>
      </c>
      <c r="C262">
        <v>1.0494392634126</v>
      </c>
      <c r="D262">
        <v>1.0504047507097001</v>
      </c>
      <c r="E262">
        <v>0.99379472834682803</v>
      </c>
      <c r="F262">
        <v>0.79442539994035899</v>
      </c>
      <c r="G262">
        <v>0.72387002383193799</v>
      </c>
      <c r="H262">
        <v>0.40739470180110299</v>
      </c>
      <c r="I262">
        <v>0.22298543155115799</v>
      </c>
      <c r="J262">
        <v>0.15359561655606699</v>
      </c>
      <c r="K262">
        <v>0.15773393799567101</v>
      </c>
      <c r="L262">
        <v>1033.4155312115599</v>
      </c>
      <c r="M262">
        <v>17.532044124170799</v>
      </c>
      <c r="N262">
        <v>59.462915775325101</v>
      </c>
      <c r="O262">
        <v>58.193541826258297</v>
      </c>
      <c r="P262">
        <v>-6.9982765294370003E-2</v>
      </c>
      <c r="Q262">
        <v>7.0884825550807495E-2</v>
      </c>
      <c r="R262">
        <v>0.98423191344114103</v>
      </c>
      <c r="S262" t="s">
        <v>6123</v>
      </c>
      <c r="T262" t="s">
        <v>11720</v>
      </c>
      <c r="U262" t="s">
        <v>11720</v>
      </c>
      <c r="V262" t="s">
        <v>11720</v>
      </c>
      <c r="W262" t="s">
        <v>11979</v>
      </c>
      <c r="X262">
        <v>1</v>
      </c>
      <c r="Y262" t="s">
        <v>17776</v>
      </c>
      <c r="Z262" t="s">
        <v>23469</v>
      </c>
      <c r="AA262">
        <v>0.6676179435164189</v>
      </c>
      <c r="AB262" t="str">
        <f>HYPERLINK("Melting_Curves/meltCurve_C9J1D9_IL1RAP.pdf", "Melting_Curves/meltCurve_C9J1D9_IL1RAP.pdf")</f>
        <v>Melting_Curves/meltCurve_C9J1D9_IL1RAP.pdf</v>
      </c>
    </row>
    <row r="263" spans="1:28" x14ac:dyDescent="0.25">
      <c r="A263" t="s">
        <v>267</v>
      </c>
      <c r="B263">
        <v>0.99334974765950101</v>
      </c>
      <c r="C263">
        <v>0.96221895738424401</v>
      </c>
      <c r="D263">
        <v>0.976053786030875</v>
      </c>
      <c r="E263">
        <v>0.87973202369070902</v>
      </c>
      <c r="F263">
        <v>1.0091561967061899</v>
      </c>
      <c r="G263">
        <v>0.80860780575130597</v>
      </c>
      <c r="H263">
        <v>0.83020450149471103</v>
      </c>
      <c r="I263">
        <v>1.1251199609184099</v>
      </c>
      <c r="J263">
        <v>1.16143056878576</v>
      </c>
      <c r="K263">
        <v>1.0489648071001401</v>
      </c>
      <c r="L263">
        <v>10033.6055069422</v>
      </c>
      <c r="M263">
        <v>250</v>
      </c>
      <c r="O263">
        <v>40.131850566442999</v>
      </c>
      <c r="P263">
        <v>-3.4350551967809298E-2</v>
      </c>
      <c r="Q263">
        <v>0.97794317881133797</v>
      </c>
      <c r="R263">
        <v>1.75163610335649E-3</v>
      </c>
      <c r="S263" t="s">
        <v>6124</v>
      </c>
      <c r="T263" t="s">
        <v>11720</v>
      </c>
      <c r="U263" t="s">
        <v>11720</v>
      </c>
      <c r="V263" t="s">
        <v>11720</v>
      </c>
      <c r="W263" t="s">
        <v>11980</v>
      </c>
      <c r="X263">
        <v>7</v>
      </c>
      <c r="Y263" t="s">
        <v>17777</v>
      </c>
      <c r="Z263" t="s">
        <v>23470</v>
      </c>
      <c r="AA263">
        <v>0.9780852708382215</v>
      </c>
      <c r="AB263" t="str">
        <f>HYPERLINK("Melting_Curves/meltCurve_C9J1K8_MEGF9.pdf", "Melting_Curves/meltCurve_C9J1K8_MEGF9.pdf")</f>
        <v>Melting_Curves/meltCurve_C9J1K8_MEGF9.pdf</v>
      </c>
    </row>
    <row r="264" spans="1:28" x14ac:dyDescent="0.25">
      <c r="A264" t="s">
        <v>268</v>
      </c>
      <c r="B264">
        <v>0.99334974765950101</v>
      </c>
      <c r="C264">
        <v>0.97683299436309801</v>
      </c>
      <c r="D264">
        <v>0.86871642685095296</v>
      </c>
      <c r="E264">
        <v>0.81790795867288202</v>
      </c>
      <c r="F264">
        <v>0.59424360753424199</v>
      </c>
      <c r="G264">
        <v>0.277058444191774</v>
      </c>
      <c r="H264">
        <v>0.16317543969350101</v>
      </c>
      <c r="I264">
        <v>0.14285088892804701</v>
      </c>
      <c r="J264">
        <v>0.15131755936664401</v>
      </c>
      <c r="K264">
        <v>0.16466091043915301</v>
      </c>
      <c r="L264">
        <v>1059.4862348034801</v>
      </c>
      <c r="M264">
        <v>19.970475245772398</v>
      </c>
      <c r="N264">
        <v>53.842651171744798</v>
      </c>
      <c r="O264">
        <v>52.529257646013399</v>
      </c>
      <c r="P264">
        <v>-8.2976903623677503E-2</v>
      </c>
      <c r="Q264">
        <v>0.12699670258110299</v>
      </c>
      <c r="R264">
        <v>0.99017169306609099</v>
      </c>
      <c r="S264" t="s">
        <v>6125</v>
      </c>
      <c r="T264" t="s">
        <v>11720</v>
      </c>
      <c r="U264" t="s">
        <v>11720</v>
      </c>
      <c r="V264" t="s">
        <v>11720</v>
      </c>
      <c r="W264" t="s">
        <v>11981</v>
      </c>
      <c r="X264">
        <v>8</v>
      </c>
      <c r="Y264" t="s">
        <v>17778</v>
      </c>
      <c r="Z264" t="s">
        <v>23471</v>
      </c>
      <c r="AA264">
        <v>0.51886150536198872</v>
      </c>
      <c r="AB264" t="str">
        <f>HYPERLINK("Melting_Curves/meltCurve_C9J212_UBE2F.pdf", "Melting_Curves/meltCurve_C9J212_UBE2F.pdf")</f>
        <v>Melting_Curves/meltCurve_C9J212_UBE2F.pdf</v>
      </c>
    </row>
    <row r="265" spans="1:28" x14ac:dyDescent="0.25">
      <c r="A265" t="s">
        <v>269</v>
      </c>
      <c r="B265">
        <v>0.99334974765950101</v>
      </c>
      <c r="C265">
        <v>1.0900280182258799</v>
      </c>
      <c r="D265">
        <v>0.881443890351432</v>
      </c>
      <c r="E265">
        <v>0.74357842177452704</v>
      </c>
      <c r="F265">
        <v>0.42726827421299401</v>
      </c>
      <c r="G265">
        <v>0.26490964813720203</v>
      </c>
      <c r="H265">
        <v>0.240856165987373</v>
      </c>
      <c r="I265">
        <v>0.26350548841934901</v>
      </c>
      <c r="J265">
        <v>0.77062425008665902</v>
      </c>
      <c r="K265">
        <v>0.44085484260552499</v>
      </c>
      <c r="L265">
        <v>2439.1131300659499</v>
      </c>
      <c r="M265">
        <v>48.541094224782299</v>
      </c>
      <c r="N265">
        <v>51.909623183355599</v>
      </c>
      <c r="O265">
        <v>50.1633538083939</v>
      </c>
      <c r="P265">
        <v>-0.14654338297678801</v>
      </c>
      <c r="Q265">
        <v>0.39423692424558299</v>
      </c>
      <c r="R265">
        <v>0.76113814307501804</v>
      </c>
      <c r="S265" t="s">
        <v>6126</v>
      </c>
      <c r="T265" t="s">
        <v>11720</v>
      </c>
      <c r="U265" t="s">
        <v>11720</v>
      </c>
      <c r="V265" t="s">
        <v>11720</v>
      </c>
      <c r="W265" t="s">
        <v>11982</v>
      </c>
      <c r="X265">
        <v>6</v>
      </c>
      <c r="Y265" t="s">
        <v>17723</v>
      </c>
      <c r="Z265" t="s">
        <v>23472</v>
      </c>
      <c r="AA265">
        <v>0.60259908023196418</v>
      </c>
      <c r="AB265" t="str">
        <f>HYPERLINK("Melting_Curves/meltCurve_C9J2F3_PPM1F.pdf", "Melting_Curves/meltCurve_C9J2F3_PPM1F.pdf")</f>
        <v>Melting_Curves/meltCurve_C9J2F3_PPM1F.pdf</v>
      </c>
    </row>
    <row r="266" spans="1:28" x14ac:dyDescent="0.25">
      <c r="A266" t="s">
        <v>270</v>
      </c>
      <c r="B266">
        <v>0.99334974765950101</v>
      </c>
      <c r="C266">
        <v>0.922544459098248</v>
      </c>
      <c r="D266">
        <v>0.76984605199147005</v>
      </c>
      <c r="E266">
        <v>0.39150093816741</v>
      </c>
      <c r="F266">
        <v>0.24741853775938299</v>
      </c>
      <c r="G266">
        <v>0.12496246888300799</v>
      </c>
      <c r="H266">
        <v>0.11376596789426</v>
      </c>
      <c r="I266">
        <v>0.14372235483967599</v>
      </c>
      <c r="J266">
        <v>0.227813603851514</v>
      </c>
      <c r="K266">
        <v>0.16999783642812299</v>
      </c>
      <c r="L266">
        <v>1098.9399878086799</v>
      </c>
      <c r="M266">
        <v>22.935298279105101</v>
      </c>
      <c r="N266">
        <v>48.686559499087998</v>
      </c>
      <c r="O266">
        <v>47.554989289983702</v>
      </c>
      <c r="P266">
        <v>-0.102198762433537</v>
      </c>
      <c r="Q266">
        <v>0.15240360543784301</v>
      </c>
      <c r="R266">
        <v>0.98990767970892202</v>
      </c>
      <c r="S266" t="s">
        <v>6127</v>
      </c>
      <c r="T266" t="s">
        <v>11720</v>
      </c>
      <c r="U266" t="s">
        <v>11720</v>
      </c>
      <c r="V266" t="s">
        <v>11720</v>
      </c>
      <c r="W266" t="s">
        <v>11983</v>
      </c>
      <c r="X266">
        <v>1</v>
      </c>
      <c r="Y266" t="s">
        <v>17779</v>
      </c>
      <c r="Z266" t="s">
        <v>23473</v>
      </c>
      <c r="AA266">
        <v>0.38502907173194317</v>
      </c>
      <c r="AB266" t="str">
        <f>HYPERLINK("Melting_Curves/meltCurve_C9J2P0_UBE2E1.pdf", "Melting_Curves/meltCurve_C9J2P0_UBE2E1.pdf")</f>
        <v>Melting_Curves/meltCurve_C9J2P0_UBE2E1.pdf</v>
      </c>
    </row>
    <row r="267" spans="1:28" x14ac:dyDescent="0.25">
      <c r="A267" t="s">
        <v>271</v>
      </c>
      <c r="B267">
        <v>0.99334974765950101</v>
      </c>
      <c r="C267">
        <v>0.92112108690667804</v>
      </c>
      <c r="D267">
        <v>0.88965792873412097</v>
      </c>
      <c r="E267">
        <v>0.73844975779341204</v>
      </c>
      <c r="F267">
        <v>0.27194805620665002</v>
      </c>
      <c r="G267">
        <v>9.9733915144633201E-2</v>
      </c>
      <c r="H267">
        <v>7.4153934671724694E-2</v>
      </c>
      <c r="I267">
        <v>7.4235393926472798E-2</v>
      </c>
      <c r="J267">
        <v>9.0772173592943498E-2</v>
      </c>
      <c r="K267">
        <v>0.100528552852043</v>
      </c>
      <c r="L267">
        <v>1820.2578062017501</v>
      </c>
      <c r="M267">
        <v>35.591673693613103</v>
      </c>
      <c r="N267">
        <v>51.398712059561603</v>
      </c>
      <c r="O267">
        <v>50.982158240901398</v>
      </c>
      <c r="P267">
        <v>-0.16035902965981699</v>
      </c>
      <c r="Q267">
        <v>8.1198411073407195E-2</v>
      </c>
      <c r="R267">
        <v>0.98907696474366102</v>
      </c>
      <c r="S267" t="s">
        <v>6128</v>
      </c>
      <c r="T267" t="s">
        <v>11720</v>
      </c>
      <c r="U267" t="s">
        <v>11720</v>
      </c>
      <c r="V267" t="s">
        <v>11720</v>
      </c>
      <c r="W267" t="s">
        <v>11984</v>
      </c>
      <c r="X267">
        <v>6</v>
      </c>
      <c r="Y267" t="s">
        <v>17780</v>
      </c>
      <c r="Z267" t="s">
        <v>23474</v>
      </c>
      <c r="AA267">
        <v>0.42657429894758853</v>
      </c>
      <c r="AB267" t="str">
        <f>HYPERLINK("Melting_Curves/meltCurve_C9J2U4_TAMM41.pdf", "Melting_Curves/meltCurve_C9J2U4_TAMM41.pdf")</f>
        <v>Melting_Curves/meltCurve_C9J2U4_TAMM41.pdf</v>
      </c>
    </row>
    <row r="268" spans="1:28" x14ac:dyDescent="0.25">
      <c r="A268" t="s">
        <v>272</v>
      </c>
      <c r="B268">
        <v>0.99334974765950101</v>
      </c>
      <c r="C268">
        <v>0.98255711048512695</v>
      </c>
      <c r="D268">
        <v>0.98642461996089703</v>
      </c>
      <c r="E268">
        <v>0.91416862835537005</v>
      </c>
      <c r="F268">
        <v>0.77421351426110696</v>
      </c>
      <c r="G268">
        <v>0.51148294531535299</v>
      </c>
      <c r="H268">
        <v>0.37144182312344998</v>
      </c>
      <c r="I268">
        <v>0.36670878057357498</v>
      </c>
      <c r="J268">
        <v>0.42667180281690797</v>
      </c>
      <c r="K268">
        <v>0.38609694339169198</v>
      </c>
      <c r="L268">
        <v>1421.56286646884</v>
      </c>
      <c r="M268">
        <v>26.328192886499899</v>
      </c>
      <c r="N268">
        <v>57.073701874905503</v>
      </c>
      <c r="O268">
        <v>53.685328132983599</v>
      </c>
      <c r="P268">
        <v>-7.6110172903674805E-2</v>
      </c>
      <c r="Q268">
        <v>0.37922744291798099</v>
      </c>
      <c r="R268">
        <v>0.99352714537072495</v>
      </c>
      <c r="S268" t="s">
        <v>6129</v>
      </c>
      <c r="T268" t="s">
        <v>11720</v>
      </c>
      <c r="U268" t="s">
        <v>11720</v>
      </c>
      <c r="V268" t="s">
        <v>11720</v>
      </c>
      <c r="W268" t="s">
        <v>11985</v>
      </c>
      <c r="X268">
        <v>5</v>
      </c>
      <c r="Y268" t="s">
        <v>17781</v>
      </c>
      <c r="Z268" t="s">
        <v>23475</v>
      </c>
      <c r="AA268">
        <v>0.67401836374909085</v>
      </c>
      <c r="AB268" t="str">
        <f>HYPERLINK("Melting_Curves/meltCurve_C9J366_IQCJ_SCHIP1.pdf", "Melting_Curves/meltCurve_C9J366_IQCJ_SCHIP1.pdf")</f>
        <v>Melting_Curves/meltCurve_C9J366_IQCJ_SCHIP1.pdf</v>
      </c>
    </row>
    <row r="269" spans="1:28" x14ac:dyDescent="0.25">
      <c r="A269" t="s">
        <v>273</v>
      </c>
      <c r="B269">
        <v>0.99334974765950101</v>
      </c>
      <c r="C269">
        <v>1.09629271769716</v>
      </c>
      <c r="D269">
        <v>0.913722918650543</v>
      </c>
      <c r="E269">
        <v>0.72884322920782196</v>
      </c>
      <c r="F269">
        <v>0.44283115724293598</v>
      </c>
      <c r="G269">
        <v>0.42448651687688599</v>
      </c>
      <c r="H269">
        <v>0.22609334820218299</v>
      </c>
      <c r="I269">
        <v>0.157636894923249</v>
      </c>
      <c r="J269">
        <v>0.193161737488869</v>
      </c>
      <c r="K269">
        <v>0</v>
      </c>
      <c r="L269">
        <v>705.55428940725801</v>
      </c>
      <c r="M269">
        <v>13.2287192992258</v>
      </c>
      <c r="N269">
        <v>53.871554927949802</v>
      </c>
      <c r="O269">
        <v>52.160442679587</v>
      </c>
      <c r="P269">
        <v>-5.95005114975398E-2</v>
      </c>
      <c r="Q269">
        <v>6.1719964485622003E-2</v>
      </c>
      <c r="R269">
        <v>0.96218941847565598</v>
      </c>
      <c r="S269" t="s">
        <v>6130</v>
      </c>
      <c r="T269" t="s">
        <v>11720</v>
      </c>
      <c r="U269" t="s">
        <v>11720</v>
      </c>
      <c r="V269" t="s">
        <v>11720</v>
      </c>
      <c r="W269" t="s">
        <v>11986</v>
      </c>
      <c r="X269">
        <v>1</v>
      </c>
      <c r="Y269" t="s">
        <v>17782</v>
      </c>
      <c r="Z269" t="s">
        <v>23476</v>
      </c>
      <c r="AA269">
        <v>0.5021029854439657</v>
      </c>
      <c r="AB269" t="str">
        <f>HYPERLINK("Melting_Curves/meltCurve_C9J3D2_PHC2.pdf", "Melting_Curves/meltCurve_C9J3D2_PHC2.pdf")</f>
        <v>Melting_Curves/meltCurve_C9J3D2_PHC2.pdf</v>
      </c>
    </row>
    <row r="270" spans="1:28" x14ac:dyDescent="0.25">
      <c r="A270" t="s">
        <v>274</v>
      </c>
      <c r="B270">
        <v>0.99334974765950101</v>
      </c>
      <c r="C270">
        <v>0.97389400204860599</v>
      </c>
      <c r="D270">
        <v>0.91179036928724</v>
      </c>
      <c r="E270">
        <v>0.75739817579412305</v>
      </c>
      <c r="F270">
        <v>0.41169442061456002</v>
      </c>
      <c r="G270">
        <v>0.25300460000015601</v>
      </c>
      <c r="H270">
        <v>0.14715336280636299</v>
      </c>
      <c r="I270">
        <v>8.0259515637696802E-2</v>
      </c>
      <c r="J270">
        <v>6.3742254294707396E-2</v>
      </c>
      <c r="K270">
        <v>5.8347197970475301E-2</v>
      </c>
      <c r="L270">
        <v>954.69233382411198</v>
      </c>
      <c r="M270">
        <v>18.277398939711802</v>
      </c>
      <c r="N270">
        <v>52.587497164271198</v>
      </c>
      <c r="O270">
        <v>51.620258943986698</v>
      </c>
      <c r="P270">
        <v>-8.3398467561188905E-2</v>
      </c>
      <c r="Q270">
        <v>5.78855266787811E-2</v>
      </c>
      <c r="R270">
        <v>0.99503115951135901</v>
      </c>
      <c r="S270" t="s">
        <v>6131</v>
      </c>
      <c r="T270" t="s">
        <v>11720</v>
      </c>
      <c r="U270" t="s">
        <v>11720</v>
      </c>
      <c r="V270" t="s">
        <v>11720</v>
      </c>
      <c r="W270" t="s">
        <v>11987</v>
      </c>
      <c r="X270">
        <v>10</v>
      </c>
      <c r="Y270" t="s">
        <v>17783</v>
      </c>
      <c r="Z270" t="s">
        <v>23477</v>
      </c>
      <c r="AA270">
        <v>0.45729085585768392</v>
      </c>
      <c r="AB270" t="str">
        <f>HYPERLINK("Melting_Curves/meltCurve_C9J5C3_PDCD10.pdf", "Melting_Curves/meltCurve_C9J5C3_PDCD10.pdf")</f>
        <v>Melting_Curves/meltCurve_C9J5C3_PDCD10.pdf</v>
      </c>
    </row>
    <row r="271" spans="1:28" x14ac:dyDescent="0.25">
      <c r="A271" t="s">
        <v>275</v>
      </c>
      <c r="B271">
        <v>0.99334974765950101</v>
      </c>
      <c r="C271">
        <v>0.980538776251764</v>
      </c>
      <c r="D271">
        <v>0.80261391605249999</v>
      </c>
      <c r="E271">
        <v>0.52376675609137502</v>
      </c>
      <c r="F271">
        <v>0.19463665460972401</v>
      </c>
      <c r="G271">
        <v>0.106995470462736</v>
      </c>
      <c r="H271">
        <v>7.9573782164683304E-2</v>
      </c>
      <c r="I271">
        <v>0.105828747001319</v>
      </c>
      <c r="J271">
        <v>8.4275280027514193E-2</v>
      </c>
      <c r="K271">
        <v>7.2372591326127306E-2</v>
      </c>
      <c r="L271">
        <v>1083.22222882752</v>
      </c>
      <c r="M271">
        <v>21.945580434368601</v>
      </c>
      <c r="N271">
        <v>49.716019013743299</v>
      </c>
      <c r="O271">
        <v>48.9550832842734</v>
      </c>
      <c r="P271">
        <v>-0.103912111192266</v>
      </c>
      <c r="Q271">
        <v>7.2813180165313698E-2</v>
      </c>
      <c r="R271">
        <v>0.99438602393228204</v>
      </c>
      <c r="S271" t="s">
        <v>6132</v>
      </c>
      <c r="T271" t="s">
        <v>11720</v>
      </c>
      <c r="U271" t="s">
        <v>11720</v>
      </c>
      <c r="V271" t="s">
        <v>11720</v>
      </c>
      <c r="W271" t="s">
        <v>11988</v>
      </c>
      <c r="X271">
        <v>1</v>
      </c>
      <c r="Y271" t="s">
        <v>17784</v>
      </c>
      <c r="Z271" t="s">
        <v>23478</v>
      </c>
      <c r="AA271">
        <v>0.37281942485626268</v>
      </c>
      <c r="AB271" t="str">
        <f>HYPERLINK("Melting_Curves/meltCurve_C9J6Q8_TMEM98.pdf", "Melting_Curves/meltCurve_C9J6Q8_TMEM98.pdf")</f>
        <v>Melting_Curves/meltCurve_C9J6Q8_TMEM98.pdf</v>
      </c>
    </row>
    <row r="272" spans="1:28" x14ac:dyDescent="0.25">
      <c r="A272" t="s">
        <v>276</v>
      </c>
      <c r="B272">
        <v>0.99334974765950101</v>
      </c>
      <c r="C272">
        <v>1.1432676994429201</v>
      </c>
      <c r="D272">
        <v>1.1074314635517299</v>
      </c>
      <c r="E272">
        <v>1.0231259525704599</v>
      </c>
      <c r="F272">
        <v>0.39636481389203498</v>
      </c>
      <c r="G272">
        <v>0.165143725251996</v>
      </c>
      <c r="H272">
        <v>3.2473179139005597E-2</v>
      </c>
      <c r="I272">
        <v>2.25513568331525E-2</v>
      </c>
      <c r="J272">
        <v>0</v>
      </c>
      <c r="K272">
        <v>0</v>
      </c>
      <c r="L272">
        <v>13221.4648968903</v>
      </c>
      <c r="M272">
        <v>250</v>
      </c>
      <c r="N272">
        <v>52.905393209862602</v>
      </c>
      <c r="O272">
        <v>52.882479449279899</v>
      </c>
      <c r="P272">
        <v>-1.12982414474599</v>
      </c>
      <c r="Q272">
        <v>4.4033643204911897E-2</v>
      </c>
      <c r="R272">
        <v>0.97812938108021996</v>
      </c>
      <c r="S272" t="s">
        <v>6133</v>
      </c>
      <c r="T272" t="s">
        <v>11720</v>
      </c>
      <c r="U272" t="s">
        <v>11720</v>
      </c>
      <c r="V272" t="s">
        <v>11720</v>
      </c>
      <c r="W272" t="s">
        <v>11977</v>
      </c>
      <c r="X272">
        <v>9</v>
      </c>
      <c r="Y272" t="s">
        <v>17774</v>
      </c>
      <c r="Z272" t="s">
        <v>23479</v>
      </c>
      <c r="AA272">
        <v>0.45473731160278302</v>
      </c>
      <c r="AB272" t="str">
        <f>HYPERLINK("Melting_Curves/meltCurve_C9J712_PFN2.pdf", "Melting_Curves/meltCurve_C9J712_PFN2.pdf")</f>
        <v>Melting_Curves/meltCurve_C9J712_PFN2.pdf</v>
      </c>
    </row>
    <row r="273" spans="1:28" x14ac:dyDescent="0.25">
      <c r="A273" t="s">
        <v>277</v>
      </c>
      <c r="B273">
        <v>0.99334974765950101</v>
      </c>
      <c r="C273">
        <v>0.952361328756404</v>
      </c>
      <c r="D273">
        <v>0.97851043851159902</v>
      </c>
      <c r="E273">
        <v>0.85586263372892402</v>
      </c>
      <c r="F273">
        <v>0.19386781826757499</v>
      </c>
      <c r="G273">
        <v>0.19744170730389901</v>
      </c>
      <c r="H273">
        <v>0.129133982256879</v>
      </c>
      <c r="I273">
        <v>0.17557741717278999</v>
      </c>
      <c r="J273">
        <v>9.3893650221751196E-2</v>
      </c>
      <c r="K273">
        <v>7.9964275340974306E-2</v>
      </c>
      <c r="L273">
        <v>3707.8871522835002</v>
      </c>
      <c r="M273">
        <v>72.551301121124894</v>
      </c>
      <c r="N273">
        <v>51.329527565371698</v>
      </c>
      <c r="O273">
        <v>51.068319295644699</v>
      </c>
      <c r="P273">
        <v>-0.30726730842703298</v>
      </c>
      <c r="Q273">
        <v>0.13486750797528199</v>
      </c>
      <c r="R273">
        <v>0.99166769792657194</v>
      </c>
      <c r="S273" t="s">
        <v>6134</v>
      </c>
      <c r="T273" t="s">
        <v>11720</v>
      </c>
      <c r="U273" t="s">
        <v>11720</v>
      </c>
      <c r="V273" t="s">
        <v>11720</v>
      </c>
      <c r="W273" t="s">
        <v>11989</v>
      </c>
      <c r="X273">
        <v>2</v>
      </c>
      <c r="Y273" t="s">
        <v>17785</v>
      </c>
      <c r="Z273" t="s">
        <v>23480</v>
      </c>
      <c r="AA273">
        <v>0.45609508026211609</v>
      </c>
      <c r="AB273" t="str">
        <f>HYPERLINK("Melting_Curves/meltCurve_C9J7I2_C16orf62.pdf", "Melting_Curves/meltCurve_C9J7I2_C16orf62.pdf")</f>
        <v>Melting_Curves/meltCurve_C9J7I2_C16orf62.pdf</v>
      </c>
    </row>
    <row r="274" spans="1:28" x14ac:dyDescent="0.25">
      <c r="A274" t="s">
        <v>278</v>
      </c>
      <c r="B274">
        <v>0.99334974765950101</v>
      </c>
      <c r="C274">
        <v>0.98196400304375397</v>
      </c>
      <c r="D274">
        <v>0.88075456033045696</v>
      </c>
      <c r="E274">
        <v>0.861585549283994</v>
      </c>
      <c r="F274">
        <v>1.0393295266323099</v>
      </c>
      <c r="G274">
        <v>0.75151537397553103</v>
      </c>
      <c r="H274">
        <v>0.64188556830688104</v>
      </c>
      <c r="I274">
        <v>0.86093141454282796</v>
      </c>
      <c r="J274">
        <v>0.39335440163859098</v>
      </c>
      <c r="K274">
        <v>0.27043598504264599</v>
      </c>
      <c r="L274">
        <v>740.90650069522803</v>
      </c>
      <c r="M274">
        <v>11.1935467610068</v>
      </c>
      <c r="N274">
        <v>66.190497404298398</v>
      </c>
      <c r="O274">
        <v>64.183366990381501</v>
      </c>
      <c r="P274">
        <v>-4.3613627063570602E-2</v>
      </c>
      <c r="Q274">
        <v>0</v>
      </c>
      <c r="R274">
        <v>0.77542934822005005</v>
      </c>
      <c r="S274" t="s">
        <v>6135</v>
      </c>
      <c r="T274" t="s">
        <v>11720</v>
      </c>
      <c r="U274" t="s">
        <v>11720</v>
      </c>
      <c r="V274" t="s">
        <v>11720</v>
      </c>
      <c r="W274" t="s">
        <v>11990</v>
      </c>
      <c r="X274">
        <v>3</v>
      </c>
      <c r="Y274" t="s">
        <v>17786</v>
      </c>
      <c r="Z274" t="s">
        <v>23481</v>
      </c>
      <c r="AA274">
        <v>0.8129108151019242</v>
      </c>
      <c r="AB274" t="str">
        <f>HYPERLINK("Melting_Curves/meltCurve_C9J7K9_PLSCR1.pdf", "Melting_Curves/meltCurve_C9J7K9_PLSCR1.pdf")</f>
        <v>Melting_Curves/meltCurve_C9J7K9_PLSCR1.pdf</v>
      </c>
    </row>
    <row r="275" spans="1:28" x14ac:dyDescent="0.25">
      <c r="A275" t="s">
        <v>279</v>
      </c>
      <c r="B275">
        <v>0.99334974765950101</v>
      </c>
      <c r="C275">
        <v>1.01257561020902</v>
      </c>
      <c r="D275">
        <v>0.90986629892682702</v>
      </c>
      <c r="E275">
        <v>0.78504436340223105</v>
      </c>
      <c r="F275">
        <v>0.76562595369092601</v>
      </c>
      <c r="G275">
        <v>0.44606743432696699</v>
      </c>
      <c r="H275">
        <v>0.37391183228378</v>
      </c>
      <c r="I275">
        <v>0.39665634548782103</v>
      </c>
      <c r="J275">
        <v>0.38694852820645897</v>
      </c>
      <c r="K275">
        <v>0.31956475957742297</v>
      </c>
      <c r="L275">
        <v>844.15337604531805</v>
      </c>
      <c r="M275">
        <v>15.8319408421346</v>
      </c>
      <c r="N275">
        <v>57.095961059510998</v>
      </c>
      <c r="O275">
        <v>52.490701693255097</v>
      </c>
      <c r="P275">
        <v>-5.0937226551171097E-2</v>
      </c>
      <c r="Q275">
        <v>0.32452702150636198</v>
      </c>
      <c r="R275">
        <v>0.97415455765988601</v>
      </c>
      <c r="S275" t="s">
        <v>6136</v>
      </c>
      <c r="T275" t="s">
        <v>11720</v>
      </c>
      <c r="U275" t="s">
        <v>11720</v>
      </c>
      <c r="V275" t="s">
        <v>11720</v>
      </c>
      <c r="W275" t="s">
        <v>11991</v>
      </c>
      <c r="X275">
        <v>3</v>
      </c>
      <c r="Y275" t="s">
        <v>17787</v>
      </c>
      <c r="Z275" t="s">
        <v>23482</v>
      </c>
      <c r="AA275">
        <v>0.63773398868665632</v>
      </c>
      <c r="AB275" t="str">
        <f>HYPERLINK("Melting_Curves/meltCurve_C9J8B8_HDAC10.pdf", "Melting_Curves/meltCurve_C9J8B8_HDAC10.pdf")</f>
        <v>Melting_Curves/meltCurve_C9J8B8_HDAC10.pdf</v>
      </c>
    </row>
    <row r="276" spans="1:28" x14ac:dyDescent="0.25">
      <c r="A276" t="s">
        <v>280</v>
      </c>
      <c r="B276">
        <v>0.99334974765950101</v>
      </c>
      <c r="C276">
        <v>0.949520544324575</v>
      </c>
      <c r="D276">
        <v>0.80659212592891805</v>
      </c>
      <c r="E276">
        <v>0.342543389584063</v>
      </c>
      <c r="F276">
        <v>0.18961848593750799</v>
      </c>
      <c r="G276">
        <v>0.13293453612693401</v>
      </c>
      <c r="H276">
        <v>2.71199348610884E-2</v>
      </c>
      <c r="I276">
        <v>0</v>
      </c>
      <c r="J276">
        <v>2.44541354854504E-2</v>
      </c>
      <c r="K276">
        <v>0</v>
      </c>
      <c r="L276">
        <v>1025.94898995375</v>
      </c>
      <c r="M276">
        <v>21.056566677518902</v>
      </c>
      <c r="N276">
        <v>48.825574727762501</v>
      </c>
      <c r="O276">
        <v>48.290407921230702</v>
      </c>
      <c r="P276">
        <v>-0.106664942161384</v>
      </c>
      <c r="Q276">
        <v>2.15392262711975E-2</v>
      </c>
      <c r="R276">
        <v>0.99440377723098305</v>
      </c>
      <c r="S276" t="s">
        <v>6137</v>
      </c>
      <c r="T276" t="s">
        <v>11720</v>
      </c>
      <c r="U276" t="s">
        <v>11720</v>
      </c>
      <c r="V276" t="s">
        <v>11720</v>
      </c>
      <c r="W276" t="s">
        <v>11992</v>
      </c>
      <c r="X276">
        <v>3</v>
      </c>
      <c r="Y276" t="s">
        <v>17788</v>
      </c>
      <c r="Z276" t="s">
        <v>23483</v>
      </c>
      <c r="AA276">
        <v>0.31841972581077821</v>
      </c>
      <c r="AB276" t="str">
        <f>HYPERLINK("Melting_Curves/meltCurve_C9J8R7_GTPBP10.pdf", "Melting_Curves/meltCurve_C9J8R7_GTPBP10.pdf")</f>
        <v>Melting_Curves/meltCurve_C9J8R7_GTPBP10.pdf</v>
      </c>
    </row>
    <row r="277" spans="1:28" x14ac:dyDescent="0.25">
      <c r="A277" t="s">
        <v>281</v>
      </c>
      <c r="B277">
        <v>0.99334974765950101</v>
      </c>
      <c r="C277">
        <v>0.91852517991867899</v>
      </c>
      <c r="D277">
        <v>0.95122613745886597</v>
      </c>
      <c r="E277">
        <v>0.87066478000710301</v>
      </c>
      <c r="F277">
        <v>0.65457665946556998</v>
      </c>
      <c r="G277">
        <v>0.50185621469298303</v>
      </c>
      <c r="H277">
        <v>0.370739325913226</v>
      </c>
      <c r="I277">
        <v>0.228019982541071</v>
      </c>
      <c r="J277">
        <v>0.15781087069305799</v>
      </c>
      <c r="K277">
        <v>5.8194535058501098E-2</v>
      </c>
      <c r="L277">
        <v>644.91536675891598</v>
      </c>
      <c r="M277">
        <v>11.304445259308499</v>
      </c>
      <c r="N277">
        <v>57.049713562292098</v>
      </c>
      <c r="O277">
        <v>55.351884546230899</v>
      </c>
      <c r="P277">
        <v>-5.1072687898344502E-2</v>
      </c>
      <c r="Q277">
        <v>0</v>
      </c>
      <c r="R277">
        <v>0.98918924291856403</v>
      </c>
      <c r="S277" t="s">
        <v>6138</v>
      </c>
      <c r="T277" t="s">
        <v>11720</v>
      </c>
      <c r="U277" t="s">
        <v>11720</v>
      </c>
      <c r="V277" t="s">
        <v>11720</v>
      </c>
      <c r="W277" t="s">
        <v>11993</v>
      </c>
      <c r="X277">
        <v>3</v>
      </c>
      <c r="Y277" t="s">
        <v>17789</v>
      </c>
      <c r="Z277" t="s">
        <v>23484</v>
      </c>
      <c r="AA277">
        <v>0.58480436152681448</v>
      </c>
      <c r="AB277" t="str">
        <f>HYPERLINK("Melting_Curves/meltCurve_C9J9B2_RBMS3.pdf", "Melting_Curves/meltCurve_C9J9B2_RBMS3.pdf")</f>
        <v>Melting_Curves/meltCurve_C9J9B2_RBMS3.pdf</v>
      </c>
    </row>
    <row r="278" spans="1:28" x14ac:dyDescent="0.25">
      <c r="A278" t="s">
        <v>282</v>
      </c>
      <c r="B278">
        <v>0.99334974765950101</v>
      </c>
      <c r="C278">
        <v>0.97903124807804798</v>
      </c>
      <c r="D278">
        <v>0.85682180927803298</v>
      </c>
      <c r="E278">
        <v>0.50115689621757897</v>
      </c>
      <c r="F278">
        <v>0.24413361180585899</v>
      </c>
      <c r="G278">
        <v>0.15159677239621899</v>
      </c>
      <c r="H278">
        <v>8.7103964751424498E-2</v>
      </c>
      <c r="I278">
        <v>7.5480639441878994E-2</v>
      </c>
      <c r="J278">
        <v>5.6518545185526098E-2</v>
      </c>
      <c r="K278">
        <v>4.8068679208092602E-2</v>
      </c>
      <c r="L278">
        <v>1052.6816102978601</v>
      </c>
      <c r="M278">
        <v>21.186634341457498</v>
      </c>
      <c r="N278">
        <v>50.004337743717699</v>
      </c>
      <c r="O278">
        <v>49.249841290558798</v>
      </c>
      <c r="P278">
        <v>-0.10076671992795901</v>
      </c>
      <c r="Q278">
        <v>6.3066992257783894E-2</v>
      </c>
      <c r="R278">
        <v>0.99878027342332498</v>
      </c>
      <c r="S278" t="s">
        <v>6139</v>
      </c>
      <c r="T278" t="s">
        <v>11720</v>
      </c>
      <c r="U278" t="s">
        <v>11720</v>
      </c>
      <c r="V278" t="s">
        <v>11720</v>
      </c>
      <c r="W278" t="s">
        <v>11994</v>
      </c>
      <c r="X278">
        <v>18</v>
      </c>
      <c r="Y278" t="s">
        <v>17790</v>
      </c>
      <c r="Z278" t="s">
        <v>23485</v>
      </c>
      <c r="AA278">
        <v>0.37722392164949092</v>
      </c>
      <c r="AB278" t="str">
        <f>HYPERLINK("Melting_Curves/meltCurve_C9J9K3_RPSA.pdf", "Melting_Curves/meltCurve_C9J9K3_RPSA.pdf")</f>
        <v>Melting_Curves/meltCurve_C9J9K3_RPSA.pdf</v>
      </c>
    </row>
    <row r="279" spans="1:28" x14ac:dyDescent="0.25">
      <c r="A279" t="s">
        <v>283</v>
      </c>
      <c r="B279">
        <v>0.99334974765950101</v>
      </c>
      <c r="C279">
        <v>0.96812571486423704</v>
      </c>
      <c r="D279">
        <v>0.78625337597856004</v>
      </c>
      <c r="E279">
        <v>0.35453423690441699</v>
      </c>
      <c r="F279">
        <v>0.16671059998318799</v>
      </c>
      <c r="G279">
        <v>9.0180783868592199E-2</v>
      </c>
      <c r="H279">
        <v>6.1553163499204103E-2</v>
      </c>
      <c r="I279">
        <v>6.1466332707286297E-2</v>
      </c>
      <c r="J279">
        <v>5.2823362519181703E-2</v>
      </c>
      <c r="K279">
        <v>4.4973833033779498E-2</v>
      </c>
      <c r="L279">
        <v>1145.01418552728</v>
      </c>
      <c r="M279">
        <v>23.649524683227401</v>
      </c>
      <c r="N279">
        <v>48.654325738009497</v>
      </c>
      <c r="O279">
        <v>48.073739569926801</v>
      </c>
      <c r="P279">
        <v>-0.116259799795293</v>
      </c>
      <c r="Q279">
        <v>5.4703709066274003E-2</v>
      </c>
      <c r="R279">
        <v>0.99973674137779001</v>
      </c>
      <c r="S279" t="s">
        <v>6140</v>
      </c>
      <c r="T279" t="s">
        <v>11720</v>
      </c>
      <c r="U279" t="s">
        <v>11720</v>
      </c>
      <c r="V279" t="s">
        <v>11720</v>
      </c>
      <c r="W279" t="s">
        <v>11995</v>
      </c>
      <c r="X279">
        <v>13</v>
      </c>
      <c r="Y279" t="s">
        <v>17791</v>
      </c>
      <c r="Z279" t="s">
        <v>23486</v>
      </c>
      <c r="AA279">
        <v>0.32927629366339672</v>
      </c>
      <c r="AB279" t="str">
        <f>HYPERLINK("Melting_Curves/meltCurve_C9JA08_NMD3.pdf", "Melting_Curves/meltCurve_C9JA08_NMD3.pdf")</f>
        <v>Melting_Curves/meltCurve_C9JA08_NMD3.pdf</v>
      </c>
    </row>
    <row r="280" spans="1:28" x14ac:dyDescent="0.25">
      <c r="A280" t="s">
        <v>284</v>
      </c>
      <c r="B280">
        <v>0.99334974765950101</v>
      </c>
      <c r="C280">
        <v>0.93930817597440497</v>
      </c>
      <c r="D280">
        <v>0.85146874028911901</v>
      </c>
      <c r="E280">
        <v>0.97904260299453605</v>
      </c>
      <c r="F280">
        <v>1.11712130645589</v>
      </c>
      <c r="G280">
        <v>0.96263489475497799</v>
      </c>
      <c r="H280">
        <v>0.69709042118810205</v>
      </c>
      <c r="I280">
        <v>0.40071871849539098</v>
      </c>
      <c r="J280">
        <v>0.331986653521126</v>
      </c>
      <c r="K280">
        <v>0.203769964847197</v>
      </c>
      <c r="L280">
        <v>2066.5343869880498</v>
      </c>
      <c r="M280">
        <v>33.417939824253402</v>
      </c>
      <c r="N280">
        <v>62.970177238589599</v>
      </c>
      <c r="O280">
        <v>61.618894485373602</v>
      </c>
      <c r="P280">
        <v>-0.104986620583429</v>
      </c>
      <c r="Q280">
        <v>0.225669604889329</v>
      </c>
      <c r="R280">
        <v>0.95199796865449704</v>
      </c>
      <c r="S280" t="s">
        <v>6141</v>
      </c>
      <c r="T280" t="s">
        <v>11720</v>
      </c>
      <c r="U280" t="s">
        <v>11720</v>
      </c>
      <c r="V280" t="s">
        <v>11720</v>
      </c>
      <c r="W280" t="s">
        <v>11996</v>
      </c>
      <c r="X280">
        <v>4</v>
      </c>
      <c r="Y280" t="s">
        <v>17792</v>
      </c>
      <c r="Z280" t="s">
        <v>23487</v>
      </c>
      <c r="AA280">
        <v>0.79279504221749042</v>
      </c>
      <c r="AB280" t="str">
        <f>HYPERLINK("Melting_Curves/meltCurve_C9JA28_SSR3.pdf", "Melting_Curves/meltCurve_C9JA28_SSR3.pdf")</f>
        <v>Melting_Curves/meltCurve_C9JA28_SSR3.pdf</v>
      </c>
    </row>
    <row r="281" spans="1:28" x14ac:dyDescent="0.25">
      <c r="A281" t="s">
        <v>285</v>
      </c>
      <c r="B281">
        <v>0.99334974765950101</v>
      </c>
      <c r="C281">
        <v>0.96497169326601195</v>
      </c>
      <c r="D281">
        <v>0.96225010361304497</v>
      </c>
      <c r="E281">
        <v>0.88744575253949998</v>
      </c>
      <c r="F281">
        <v>1.1241567103369301</v>
      </c>
      <c r="G281">
        <v>0.52150680786156201</v>
      </c>
      <c r="H281">
        <v>0.338110781847065</v>
      </c>
      <c r="I281">
        <v>0.36089540021716698</v>
      </c>
      <c r="J281">
        <v>0.67478757099257802</v>
      </c>
      <c r="K281">
        <v>1.0251769946673499</v>
      </c>
      <c r="L281">
        <v>5140.1063155944303</v>
      </c>
      <c r="M281">
        <v>93.271651054376804</v>
      </c>
      <c r="O281">
        <v>55.083678874588202</v>
      </c>
      <c r="P281">
        <v>-0.17703369143487699</v>
      </c>
      <c r="Q281">
        <v>0.58179513468055599</v>
      </c>
      <c r="R281">
        <v>0.53040167543489602</v>
      </c>
      <c r="S281" t="s">
        <v>6142</v>
      </c>
      <c r="T281" t="s">
        <v>11720</v>
      </c>
      <c r="U281" t="s">
        <v>11720</v>
      </c>
      <c r="V281" t="s">
        <v>11720</v>
      </c>
      <c r="W281" t="s">
        <v>11997</v>
      </c>
      <c r="X281">
        <v>16</v>
      </c>
      <c r="Y281" t="s">
        <v>17793</v>
      </c>
      <c r="Z281" t="s">
        <v>23488</v>
      </c>
      <c r="AA281">
        <v>0.79270785889473794</v>
      </c>
      <c r="AB281" t="str">
        <f>HYPERLINK("Melting_Curves/meltCurve_C9JAB2_SRSF7.pdf", "Melting_Curves/meltCurve_C9JAB2_SRSF7.pdf")</f>
        <v>Melting_Curves/meltCurve_C9JAB2_SRSF7.pdf</v>
      </c>
    </row>
    <row r="282" spans="1:28" x14ac:dyDescent="0.25">
      <c r="A282" t="s">
        <v>286</v>
      </c>
      <c r="B282">
        <v>0.99334974765950101</v>
      </c>
      <c r="C282">
        <v>1.12591735302408</v>
      </c>
      <c r="D282">
        <v>1.0024000389051</v>
      </c>
      <c r="E282">
        <v>1.1091691523609299</v>
      </c>
      <c r="F282">
        <v>1.38772952059944</v>
      </c>
      <c r="G282">
        <v>1.0245108526650899</v>
      </c>
      <c r="H282">
        <v>1.0802119514389901</v>
      </c>
      <c r="I282">
        <v>1.58217463271076</v>
      </c>
      <c r="J282">
        <v>2.0760405203782399</v>
      </c>
      <c r="K282">
        <v>1.7792058555063599</v>
      </c>
      <c r="L282">
        <v>15000</v>
      </c>
      <c r="M282">
        <v>244.24702935184499</v>
      </c>
      <c r="O282">
        <v>61.409116818684602</v>
      </c>
      <c r="P282">
        <v>0.49717176048173101</v>
      </c>
      <c r="Q282">
        <v>1.5</v>
      </c>
      <c r="R282">
        <v>0.538580690422655</v>
      </c>
      <c r="S282" t="s">
        <v>6143</v>
      </c>
      <c r="T282" t="s">
        <v>11720</v>
      </c>
      <c r="U282" t="s">
        <v>11720</v>
      </c>
      <c r="V282" t="s">
        <v>11720</v>
      </c>
      <c r="W282" t="s">
        <v>11998</v>
      </c>
      <c r="X282">
        <v>15</v>
      </c>
      <c r="Y282" t="s">
        <v>17794</v>
      </c>
      <c r="Z282" t="s">
        <v>23489</v>
      </c>
      <c r="AA282">
        <v>1.143056305691377</v>
      </c>
      <c r="AB282" t="str">
        <f>HYPERLINK("Melting_Curves/meltCurve_C9JAF7_SNAP29.pdf", "Melting_Curves/meltCurve_C9JAF7_SNAP29.pdf")</f>
        <v>Melting_Curves/meltCurve_C9JAF7_SNAP29.pdf</v>
      </c>
    </row>
    <row r="283" spans="1:28" x14ac:dyDescent="0.25">
      <c r="A283" t="s">
        <v>287</v>
      </c>
      <c r="B283">
        <v>0.99334974765950101</v>
      </c>
      <c r="C283">
        <v>0.95372596843302904</v>
      </c>
      <c r="D283">
        <v>0.88613509222447995</v>
      </c>
      <c r="E283">
        <v>0.760518559663517</v>
      </c>
      <c r="F283">
        <v>0.64603935013684599</v>
      </c>
      <c r="G283">
        <v>0.42916126044196401</v>
      </c>
      <c r="H283">
        <v>0.36515172952055502</v>
      </c>
      <c r="I283">
        <v>0.34009545224031301</v>
      </c>
      <c r="J283">
        <v>0.39464184267993402</v>
      </c>
      <c r="K283">
        <v>0.36280211606984197</v>
      </c>
      <c r="L283">
        <v>797.79507272375804</v>
      </c>
      <c r="M283">
        <v>15.424231814223401</v>
      </c>
      <c r="N283">
        <v>55.714150406848901</v>
      </c>
      <c r="O283">
        <v>50.8774550372639</v>
      </c>
      <c r="P283">
        <v>-5.0454130446574298E-2</v>
      </c>
      <c r="Q283">
        <v>0.33436029667195799</v>
      </c>
      <c r="R283">
        <v>0.98831481530126297</v>
      </c>
      <c r="S283" t="s">
        <v>6144</v>
      </c>
      <c r="T283" t="s">
        <v>11720</v>
      </c>
      <c r="U283" t="s">
        <v>11720</v>
      </c>
      <c r="V283" t="s">
        <v>11720</v>
      </c>
      <c r="W283" t="s">
        <v>11999</v>
      </c>
      <c r="X283">
        <v>16</v>
      </c>
      <c r="Y283" t="s">
        <v>17795</v>
      </c>
      <c r="Z283" t="s">
        <v>23490</v>
      </c>
      <c r="AA283">
        <v>0.60885715255032047</v>
      </c>
      <c r="AB283" t="str">
        <f>HYPERLINK("Melting_Curves/meltCurve_C9JB13_BSDC1.pdf", "Melting_Curves/meltCurve_C9JB13_BSDC1.pdf")</f>
        <v>Melting_Curves/meltCurve_C9JB13_BSDC1.pdf</v>
      </c>
    </row>
    <row r="284" spans="1:28" x14ac:dyDescent="0.25">
      <c r="A284" t="s">
        <v>288</v>
      </c>
      <c r="B284">
        <v>0.99334974765950101</v>
      </c>
      <c r="C284">
        <v>1.0249846574369099</v>
      </c>
      <c r="D284">
        <v>0.95225735339143602</v>
      </c>
      <c r="E284">
        <v>0.91834086689829397</v>
      </c>
      <c r="F284">
        <v>1.0716997608529699</v>
      </c>
      <c r="G284">
        <v>0.77049075109992704</v>
      </c>
      <c r="H284">
        <v>0.78223148662544895</v>
      </c>
      <c r="I284">
        <v>0.78879967239777204</v>
      </c>
      <c r="J284">
        <v>0.88602875545128501</v>
      </c>
      <c r="K284">
        <v>0.77936038906054295</v>
      </c>
      <c r="L284">
        <v>5541.6420193157401</v>
      </c>
      <c r="M284">
        <v>100.484220186748</v>
      </c>
      <c r="O284">
        <v>55.127544497714403</v>
      </c>
      <c r="P284">
        <v>-9.1014068443522403E-2</v>
      </c>
      <c r="Q284">
        <v>0.80027185727842198</v>
      </c>
      <c r="R284">
        <v>0.78282120073494899</v>
      </c>
      <c r="S284" t="s">
        <v>6145</v>
      </c>
      <c r="T284" t="s">
        <v>11720</v>
      </c>
      <c r="U284" t="s">
        <v>11720</v>
      </c>
      <c r="V284" t="s">
        <v>11720</v>
      </c>
      <c r="W284" t="s">
        <v>12000</v>
      </c>
      <c r="X284">
        <v>2</v>
      </c>
      <c r="Y284" t="s">
        <v>17796</v>
      </c>
      <c r="Z284" t="s">
        <v>23491</v>
      </c>
      <c r="AA284">
        <v>0.90125020812458911</v>
      </c>
      <c r="AB284" t="str">
        <f>HYPERLINK("Melting_Curves/meltCurve_C9JBB3_TFPI.pdf", "Melting_Curves/meltCurve_C9JBB3_TFPI.pdf")</f>
        <v>Melting_Curves/meltCurve_C9JBB3_TFPI.pdf</v>
      </c>
    </row>
    <row r="285" spans="1:28" x14ac:dyDescent="0.25">
      <c r="A285" t="s">
        <v>289</v>
      </c>
      <c r="B285">
        <v>0.99334974765950101</v>
      </c>
      <c r="C285">
        <v>1.0947364277860201</v>
      </c>
      <c r="D285">
        <v>1.1824004454714301</v>
      </c>
      <c r="E285">
        <v>1.3455867318466701</v>
      </c>
      <c r="F285">
        <v>1.08335942346215</v>
      </c>
      <c r="G285">
        <v>1.25445134884725</v>
      </c>
      <c r="H285">
        <v>1.0521054227801101</v>
      </c>
      <c r="I285">
        <v>1.2877548943024399</v>
      </c>
      <c r="J285">
        <v>1.01391953433892</v>
      </c>
      <c r="K285">
        <v>0.63321956294911796</v>
      </c>
      <c r="L285">
        <v>15000</v>
      </c>
      <c r="M285">
        <v>213.73965025874799</v>
      </c>
      <c r="Q285">
        <v>0</v>
      </c>
      <c r="R285">
        <v>0.12598524683007201</v>
      </c>
      <c r="S285" t="s">
        <v>6146</v>
      </c>
      <c r="T285" t="s">
        <v>11720</v>
      </c>
      <c r="U285" t="s">
        <v>11720</v>
      </c>
      <c r="V285" t="s">
        <v>11720</v>
      </c>
      <c r="W285" t="s">
        <v>12001</v>
      </c>
      <c r="X285">
        <v>2</v>
      </c>
      <c r="Y285" t="s">
        <v>17797</v>
      </c>
      <c r="Z285" t="s">
        <v>23492</v>
      </c>
      <c r="AA285">
        <v>0.99507574644827013</v>
      </c>
      <c r="AB285" t="str">
        <f>HYPERLINK("Melting_Curves/meltCurve_C9JBG5_SIDT2.pdf", "Melting_Curves/meltCurve_C9JBG5_SIDT2.pdf")</f>
        <v>Melting_Curves/meltCurve_C9JBG5_SIDT2.pdf</v>
      </c>
    </row>
    <row r="286" spans="1:28" x14ac:dyDescent="0.25">
      <c r="A286" t="s">
        <v>290</v>
      </c>
      <c r="B286">
        <v>0.99334974765950101</v>
      </c>
      <c r="C286">
        <v>0.98377560337082004</v>
      </c>
      <c r="D286">
        <v>0.86335685551966801</v>
      </c>
      <c r="E286">
        <v>0.77510355724042801</v>
      </c>
      <c r="F286">
        <v>0.92825584407099104</v>
      </c>
      <c r="G286">
        <v>0.56365785905295096</v>
      </c>
      <c r="H286">
        <v>0.55845107456340504</v>
      </c>
      <c r="I286">
        <v>0.65982945696928896</v>
      </c>
      <c r="J286">
        <v>0.56951180050749495</v>
      </c>
      <c r="K286">
        <v>0.45305540511297299</v>
      </c>
      <c r="L286">
        <v>447.55336054622899</v>
      </c>
      <c r="M286">
        <v>8.0058433128889792</v>
      </c>
      <c r="O286">
        <v>52.7388196399598</v>
      </c>
      <c r="P286">
        <v>-2.2491967495723401E-2</v>
      </c>
      <c r="Q286">
        <v>0.40800087026433601</v>
      </c>
      <c r="R286">
        <v>0.82592239108682297</v>
      </c>
      <c r="S286" t="s">
        <v>6147</v>
      </c>
      <c r="T286" t="s">
        <v>11720</v>
      </c>
      <c r="U286" t="s">
        <v>11720</v>
      </c>
      <c r="V286" t="s">
        <v>11720</v>
      </c>
      <c r="W286" t="s">
        <v>12002</v>
      </c>
      <c r="X286">
        <v>4</v>
      </c>
      <c r="Y286" t="s">
        <v>17798</v>
      </c>
      <c r="Z286" t="s">
        <v>23493</v>
      </c>
      <c r="AA286">
        <v>0.73399302358245744</v>
      </c>
      <c r="AB286" t="str">
        <f>HYPERLINK("Melting_Curves/meltCurve_C9JCC6_DRAP1.pdf", "Melting_Curves/meltCurve_C9JCC6_DRAP1.pdf")</f>
        <v>Melting_Curves/meltCurve_C9JCC6_DRAP1.pdf</v>
      </c>
    </row>
    <row r="287" spans="1:28" x14ac:dyDescent="0.25">
      <c r="A287" t="s">
        <v>291</v>
      </c>
      <c r="B287">
        <v>0.99334974765950101</v>
      </c>
      <c r="C287">
        <v>1.03925511699627</v>
      </c>
      <c r="D287">
        <v>0.93774619533847503</v>
      </c>
      <c r="E287">
        <v>0.85643264093899296</v>
      </c>
      <c r="F287">
        <v>1.12431077197559</v>
      </c>
      <c r="G287">
        <v>0.587689254922377</v>
      </c>
      <c r="H287">
        <v>0.80808460803834004</v>
      </c>
      <c r="I287">
        <v>1.11202826472437</v>
      </c>
      <c r="J287">
        <v>1.42585305265214</v>
      </c>
      <c r="K287">
        <v>1.3352845983544399</v>
      </c>
      <c r="L287">
        <v>15000</v>
      </c>
      <c r="M287">
        <v>233.500850082564</v>
      </c>
      <c r="O287">
        <v>64.2348747818411</v>
      </c>
      <c r="P287">
        <v>0.34586069074495601</v>
      </c>
      <c r="Q287">
        <v>1.38057798584446</v>
      </c>
      <c r="R287">
        <v>0.54083955797479999</v>
      </c>
      <c r="S287" t="s">
        <v>6148</v>
      </c>
      <c r="T287" t="s">
        <v>11720</v>
      </c>
      <c r="U287" t="s">
        <v>11720</v>
      </c>
      <c r="V287" t="s">
        <v>11720</v>
      </c>
      <c r="W287" t="s">
        <v>12003</v>
      </c>
      <c r="X287">
        <v>2</v>
      </c>
      <c r="Y287" t="s">
        <v>17799</v>
      </c>
      <c r="Z287" t="s">
        <v>23494</v>
      </c>
      <c r="AA287">
        <v>1.073026927881199</v>
      </c>
      <c r="AB287" t="str">
        <f>HYPERLINK("Melting_Curves/meltCurve_C9JCN8_FOSL2.pdf", "Melting_Curves/meltCurve_C9JCN8_FOSL2.pdf")</f>
        <v>Melting_Curves/meltCurve_C9JCN8_FOSL2.pdf</v>
      </c>
    </row>
    <row r="288" spans="1:28" x14ac:dyDescent="0.25">
      <c r="A288" t="s">
        <v>292</v>
      </c>
      <c r="B288">
        <v>0.99334974765950101</v>
      </c>
      <c r="C288">
        <v>1.2754893663142</v>
      </c>
      <c r="D288">
        <v>0.90381280584035695</v>
      </c>
      <c r="E288">
        <v>1.6638044231420399</v>
      </c>
      <c r="F288">
        <v>1.9800814428901401</v>
      </c>
      <c r="G288">
        <v>7.3526345059406202</v>
      </c>
      <c r="H288">
        <v>4.8051041868258997</v>
      </c>
      <c r="I288">
        <v>0.91996381237602798</v>
      </c>
      <c r="J288">
        <v>0.72184477710781203</v>
      </c>
      <c r="K288">
        <v>0.50737215179597805</v>
      </c>
      <c r="L288">
        <v>6187.3586792044698</v>
      </c>
      <c r="M288">
        <v>92.599650896159602</v>
      </c>
      <c r="O288">
        <v>66.787234609709103</v>
      </c>
      <c r="P288">
        <v>-0.17300692706961099</v>
      </c>
      <c r="Q288">
        <v>0.500877023300353</v>
      </c>
      <c r="R288">
        <v>-0.27221940935376199</v>
      </c>
      <c r="S288" t="s">
        <v>6149</v>
      </c>
      <c r="T288" t="s">
        <v>11720</v>
      </c>
      <c r="U288" t="s">
        <v>11720</v>
      </c>
      <c r="V288" t="s">
        <v>11720</v>
      </c>
      <c r="W288" t="s">
        <v>12004</v>
      </c>
      <c r="X288">
        <v>9</v>
      </c>
      <c r="Y288" t="s">
        <v>17580</v>
      </c>
      <c r="Z288" t="s">
        <v>23495</v>
      </c>
      <c r="AA288">
        <v>0.94729425114641563</v>
      </c>
      <c r="AB288" t="str">
        <f>HYPERLINK("Melting_Curves/meltCurve_C9JDS9_TUBA4A.pdf", "Melting_Curves/meltCurve_C9JDS9_TUBA4A.pdf")</f>
        <v>Melting_Curves/meltCurve_C9JDS9_TUBA4A.pdf</v>
      </c>
    </row>
    <row r="289" spans="1:28" x14ac:dyDescent="0.25">
      <c r="A289" t="s">
        <v>293</v>
      </c>
      <c r="B289">
        <v>0.99334974765950101</v>
      </c>
      <c r="C289">
        <v>1.1908698680513099</v>
      </c>
      <c r="D289">
        <v>1.0722708521473701</v>
      </c>
      <c r="E289">
        <v>1.06256959254261</v>
      </c>
      <c r="F289">
        <v>0.89541967118356403</v>
      </c>
      <c r="G289">
        <v>0.81517372007364897</v>
      </c>
      <c r="H289">
        <v>0.95920914431933801</v>
      </c>
      <c r="I289">
        <v>0.75356305557994996</v>
      </c>
      <c r="J289">
        <v>0.79971587228204699</v>
      </c>
      <c r="K289">
        <v>0.40670919008805001</v>
      </c>
      <c r="L289">
        <v>1148.8621318672001</v>
      </c>
      <c r="M289">
        <v>16.463908950145701</v>
      </c>
      <c r="N289">
        <v>69.780640873219596</v>
      </c>
      <c r="O289">
        <v>68.775527940516596</v>
      </c>
      <c r="P289">
        <v>-5.98507330275556E-2</v>
      </c>
      <c r="Q289">
        <v>0</v>
      </c>
      <c r="R289">
        <v>0.74226666279823506</v>
      </c>
      <c r="S289" t="s">
        <v>6150</v>
      </c>
      <c r="T289" t="s">
        <v>11720</v>
      </c>
      <c r="U289" t="s">
        <v>11720</v>
      </c>
      <c r="V289" t="s">
        <v>11720</v>
      </c>
      <c r="W289" t="s">
        <v>12005</v>
      </c>
      <c r="X289">
        <v>4</v>
      </c>
      <c r="Y289" t="s">
        <v>17800</v>
      </c>
      <c r="Z289" t="s">
        <v>23496</v>
      </c>
      <c r="AA289">
        <v>0.91021927026152183</v>
      </c>
      <c r="AB289" t="str">
        <f>HYPERLINK("Melting_Curves/meltCurve_C9JE12_TMUB1.pdf", "Melting_Curves/meltCurve_C9JE12_TMUB1.pdf")</f>
        <v>Melting_Curves/meltCurve_C9JE12_TMUB1.pdf</v>
      </c>
    </row>
    <row r="290" spans="1:28" x14ac:dyDescent="0.25">
      <c r="A290" t="s">
        <v>294</v>
      </c>
      <c r="B290">
        <v>0.99334974765950101</v>
      </c>
      <c r="C290">
        <v>0.93047601039897399</v>
      </c>
      <c r="D290">
        <v>0.77542720240205598</v>
      </c>
      <c r="E290">
        <v>0.65173557422315798</v>
      </c>
      <c r="F290">
        <v>0.55110237777514803</v>
      </c>
      <c r="G290">
        <v>0.342474666325366</v>
      </c>
      <c r="H290">
        <v>0.33675631585384802</v>
      </c>
      <c r="I290">
        <v>0.36958813410464197</v>
      </c>
      <c r="J290">
        <v>0.42714032781155398</v>
      </c>
      <c r="K290">
        <v>0.52291068248614203</v>
      </c>
      <c r="L290">
        <v>807.75680249079596</v>
      </c>
      <c r="M290">
        <v>16.752524333834</v>
      </c>
      <c r="N290">
        <v>53.214541684186898</v>
      </c>
      <c r="O290">
        <v>47.5456921875452</v>
      </c>
      <c r="P290">
        <v>-5.31796715190355E-2</v>
      </c>
      <c r="Q290">
        <v>0.39631823770549901</v>
      </c>
      <c r="R290">
        <v>0.92778785469262504</v>
      </c>
      <c r="S290" t="s">
        <v>6151</v>
      </c>
      <c r="T290" t="s">
        <v>11720</v>
      </c>
      <c r="U290" t="s">
        <v>11720</v>
      </c>
      <c r="V290" t="s">
        <v>11720</v>
      </c>
      <c r="W290" t="s">
        <v>12006</v>
      </c>
      <c r="X290">
        <v>8</v>
      </c>
      <c r="Y290" t="s">
        <v>17801</v>
      </c>
      <c r="Z290" t="s">
        <v>23497</v>
      </c>
      <c r="AA290">
        <v>0.5740010063877542</v>
      </c>
      <c r="AB290" t="str">
        <f>HYPERLINK("Melting_Curves/meltCurve_C9JE98_NCOR2.pdf", "Melting_Curves/meltCurve_C9JE98_NCOR2.pdf")</f>
        <v>Melting_Curves/meltCurve_C9JE98_NCOR2.pdf</v>
      </c>
    </row>
    <row r="291" spans="1:28" x14ac:dyDescent="0.25">
      <c r="A291" t="s">
        <v>295</v>
      </c>
      <c r="B291">
        <v>0.99334974765950101</v>
      </c>
      <c r="C291">
        <v>0.95343227045588697</v>
      </c>
      <c r="D291">
        <v>0.83412073265817899</v>
      </c>
      <c r="E291">
        <v>0.511360192702488</v>
      </c>
      <c r="F291">
        <v>0.325718303490317</v>
      </c>
      <c r="G291">
        <v>0.109754645215261</v>
      </c>
      <c r="H291">
        <v>0.100364566729353</v>
      </c>
      <c r="I291">
        <v>7.3651443025582394E-2</v>
      </c>
      <c r="J291">
        <v>6.5325951924869702E-2</v>
      </c>
      <c r="K291">
        <v>5.5712210636545599E-2</v>
      </c>
      <c r="L291">
        <v>901.35042308845198</v>
      </c>
      <c r="M291">
        <v>18.046369990254099</v>
      </c>
      <c r="N291">
        <v>50.2553184330853</v>
      </c>
      <c r="O291">
        <v>49.345162043888003</v>
      </c>
      <c r="P291">
        <v>-8.6632855030413902E-2</v>
      </c>
      <c r="Q291">
        <v>5.2506623300855503E-2</v>
      </c>
      <c r="R291">
        <v>0.99842027603168404</v>
      </c>
      <c r="S291" t="s">
        <v>6152</v>
      </c>
      <c r="T291" t="s">
        <v>11720</v>
      </c>
      <c r="U291" t="s">
        <v>11720</v>
      </c>
      <c r="V291" t="s">
        <v>11720</v>
      </c>
      <c r="W291" t="s">
        <v>12007</v>
      </c>
      <c r="X291">
        <v>3</v>
      </c>
      <c r="Y291" t="s">
        <v>17802</v>
      </c>
      <c r="Z291" t="s">
        <v>23498</v>
      </c>
      <c r="AA291">
        <v>0.38273400778068212</v>
      </c>
      <c r="AB291" t="str">
        <f>HYPERLINK("Melting_Curves/meltCurve_C9JEL3_EIF4E2.pdf", "Melting_Curves/meltCurve_C9JEL3_EIF4E2.pdf")</f>
        <v>Melting_Curves/meltCurve_C9JEL3_EIF4E2.pdf</v>
      </c>
    </row>
    <row r="292" spans="1:28" x14ac:dyDescent="0.25">
      <c r="A292" t="s">
        <v>296</v>
      </c>
      <c r="B292">
        <v>0.99334974765950101</v>
      </c>
      <c r="C292">
        <v>1.0142236373820801</v>
      </c>
      <c r="D292">
        <v>1.02257985437106</v>
      </c>
      <c r="E292">
        <v>0.92395811998989796</v>
      </c>
      <c r="F292">
        <v>0.71008956511680799</v>
      </c>
      <c r="G292">
        <v>0.37186590304217199</v>
      </c>
      <c r="H292">
        <v>0.203327026523732</v>
      </c>
      <c r="I292">
        <v>0.15824627423899101</v>
      </c>
      <c r="J292">
        <v>0.133483607043799</v>
      </c>
      <c r="K292">
        <v>0.11809129449620499</v>
      </c>
      <c r="L292">
        <v>1284.0161835880001</v>
      </c>
      <c r="M292">
        <v>23.465390463147699</v>
      </c>
      <c r="N292">
        <v>55.390275668788703</v>
      </c>
      <c r="O292">
        <v>54.326813044131697</v>
      </c>
      <c r="P292">
        <v>-9.4630568769926093E-2</v>
      </c>
      <c r="Q292">
        <v>0.123664572046739</v>
      </c>
      <c r="R292">
        <v>0.99876817067897095</v>
      </c>
      <c r="S292" t="s">
        <v>6153</v>
      </c>
      <c r="T292" t="s">
        <v>11720</v>
      </c>
      <c r="U292" t="s">
        <v>11720</v>
      </c>
      <c r="V292" t="s">
        <v>11720</v>
      </c>
      <c r="W292" t="s">
        <v>12008</v>
      </c>
      <c r="X292">
        <v>8</v>
      </c>
      <c r="Y292" t="s">
        <v>17803</v>
      </c>
      <c r="Z292" t="s">
        <v>23499</v>
      </c>
      <c r="AA292">
        <v>0.56270147495280043</v>
      </c>
      <c r="AB292" t="str">
        <f>HYPERLINK("Melting_Curves/meltCurve_C9JEX3_MTMR2.pdf", "Melting_Curves/meltCurve_C9JEX3_MTMR2.pdf")</f>
        <v>Melting_Curves/meltCurve_C9JEX3_MTMR2.pdf</v>
      </c>
    </row>
    <row r="293" spans="1:28" x14ac:dyDescent="0.25">
      <c r="A293" t="s">
        <v>297</v>
      </c>
      <c r="B293">
        <v>0.99334974765950101</v>
      </c>
      <c r="C293">
        <v>1.0464735083902399</v>
      </c>
      <c r="D293">
        <v>0.92314834350573305</v>
      </c>
      <c r="E293">
        <v>0.83800842344924997</v>
      </c>
      <c r="F293">
        <v>0.74732382593701197</v>
      </c>
      <c r="G293">
        <v>0.52826658061759002</v>
      </c>
      <c r="H293">
        <v>0.45048156422465702</v>
      </c>
      <c r="I293">
        <v>0.497062860896818</v>
      </c>
      <c r="J293">
        <v>0.67978774674937403</v>
      </c>
      <c r="K293">
        <v>0.71525379747421203</v>
      </c>
      <c r="L293">
        <v>1375.6328166947201</v>
      </c>
      <c r="M293">
        <v>26.9036891538186</v>
      </c>
      <c r="O293">
        <v>50.851758873468903</v>
      </c>
      <c r="P293">
        <v>-5.6204365352540198E-2</v>
      </c>
      <c r="Q293">
        <v>0.57506762783429199</v>
      </c>
      <c r="R293">
        <v>0.828320368097898</v>
      </c>
      <c r="S293" t="s">
        <v>6154</v>
      </c>
      <c r="T293" t="s">
        <v>11720</v>
      </c>
      <c r="U293" t="s">
        <v>11720</v>
      </c>
      <c r="V293" t="s">
        <v>11720</v>
      </c>
      <c r="W293" t="s">
        <v>12009</v>
      </c>
      <c r="X293">
        <v>7</v>
      </c>
      <c r="Y293" t="s">
        <v>17804</v>
      </c>
      <c r="Z293" t="s">
        <v>23500</v>
      </c>
      <c r="AA293">
        <v>0.73606868820197835</v>
      </c>
      <c r="AB293" t="str">
        <f>HYPERLINK("Melting_Curves/meltCurve_C9JEZ4_CDC42EP3.pdf", "Melting_Curves/meltCurve_C9JEZ4_CDC42EP3.pdf")</f>
        <v>Melting_Curves/meltCurve_C9JEZ4_CDC42EP3.pdf</v>
      </c>
    </row>
    <row r="294" spans="1:28" x14ac:dyDescent="0.25">
      <c r="A294" t="s">
        <v>298</v>
      </c>
      <c r="B294">
        <v>0.99334974765950101</v>
      </c>
      <c r="C294">
        <v>0.99599682923766497</v>
      </c>
      <c r="D294">
        <v>0.96018779515146302</v>
      </c>
      <c r="E294">
        <v>0.74352589720644202</v>
      </c>
      <c r="F294">
        <v>0.23053571939192299</v>
      </c>
      <c r="G294">
        <v>0.165068020862916</v>
      </c>
      <c r="H294">
        <v>0.105750266155595</v>
      </c>
      <c r="I294">
        <v>8.9598397334629903E-2</v>
      </c>
      <c r="J294">
        <v>9.5886860226044396E-2</v>
      </c>
      <c r="K294">
        <v>5.4921895315552603E-2</v>
      </c>
      <c r="L294">
        <v>2251.20758444803</v>
      </c>
      <c r="M294">
        <v>44.136421708631097</v>
      </c>
      <c r="N294">
        <v>51.260653418049401</v>
      </c>
      <c r="O294">
        <v>50.9013125800479</v>
      </c>
      <c r="P294">
        <v>-0.19540886304896399</v>
      </c>
      <c r="Q294">
        <v>9.8563146960404802E-2</v>
      </c>
      <c r="R294">
        <v>0.99581773331564705</v>
      </c>
      <c r="S294" t="s">
        <v>6155</v>
      </c>
      <c r="T294" t="s">
        <v>11720</v>
      </c>
      <c r="U294" t="s">
        <v>11720</v>
      </c>
      <c r="V294" t="s">
        <v>11720</v>
      </c>
      <c r="W294" t="s">
        <v>12010</v>
      </c>
      <c r="X294">
        <v>4</v>
      </c>
      <c r="Y294" t="s">
        <v>17805</v>
      </c>
      <c r="Z294" t="s">
        <v>23501</v>
      </c>
      <c r="AA294">
        <v>0.43186688954340791</v>
      </c>
      <c r="AB294" t="str">
        <f>HYPERLINK("Melting_Curves/meltCurve_C9JF58_OSCP1.pdf", "Melting_Curves/meltCurve_C9JF58_OSCP1.pdf")</f>
        <v>Melting_Curves/meltCurve_C9JF58_OSCP1.pdf</v>
      </c>
    </row>
    <row r="295" spans="1:28" x14ac:dyDescent="0.25">
      <c r="A295" t="s">
        <v>299</v>
      </c>
      <c r="B295">
        <v>0.99334974765950101</v>
      </c>
      <c r="C295">
        <v>0.95185473022843203</v>
      </c>
      <c r="D295">
        <v>0.99596451004865305</v>
      </c>
      <c r="E295">
        <v>0.73138564057880995</v>
      </c>
      <c r="F295">
        <v>0.53145463748772603</v>
      </c>
      <c r="G295">
        <v>0.46021204120708098</v>
      </c>
      <c r="H295">
        <v>0.41669805216092998</v>
      </c>
      <c r="I295">
        <v>0.55012809157753895</v>
      </c>
      <c r="J295">
        <v>0.365943295296496</v>
      </c>
      <c r="K295">
        <v>0.27598963428030598</v>
      </c>
      <c r="L295">
        <v>1297.70454134084</v>
      </c>
      <c r="M295">
        <v>25.6865249279982</v>
      </c>
      <c r="N295">
        <v>53.970584380015097</v>
      </c>
      <c r="O295">
        <v>50.217607895961798</v>
      </c>
      <c r="P295">
        <v>-7.6318610017987801E-2</v>
      </c>
      <c r="Q295">
        <v>0.40319031162767899</v>
      </c>
      <c r="R295">
        <v>0.93545704208973601</v>
      </c>
      <c r="S295" t="s">
        <v>6156</v>
      </c>
      <c r="T295" t="s">
        <v>11720</v>
      </c>
      <c r="U295" t="s">
        <v>11720</v>
      </c>
      <c r="V295" t="s">
        <v>11720</v>
      </c>
      <c r="W295" t="s">
        <v>12011</v>
      </c>
      <c r="X295">
        <v>1</v>
      </c>
      <c r="Y295" t="s">
        <v>17806</v>
      </c>
      <c r="Z295" t="s">
        <v>23502</v>
      </c>
      <c r="AA295">
        <v>0.61756995283982896</v>
      </c>
      <c r="AB295" t="str">
        <f>HYPERLINK("Melting_Curves/meltCurve_C9JFB2_YIPF1.pdf", "Melting_Curves/meltCurve_C9JFB2_YIPF1.pdf")</f>
        <v>Melting_Curves/meltCurve_C9JFB2_YIPF1.pdf</v>
      </c>
    </row>
    <row r="296" spans="1:28" x14ac:dyDescent="0.25">
      <c r="A296" t="s">
        <v>300</v>
      </c>
      <c r="B296">
        <v>0.99334974765950101</v>
      </c>
      <c r="C296">
        <v>1.0052939752982899</v>
      </c>
      <c r="D296">
        <v>1.17215013822291</v>
      </c>
      <c r="E296">
        <v>1.4867915653017401</v>
      </c>
      <c r="F296">
        <v>1.4554661723309901</v>
      </c>
      <c r="G296">
        <v>0.76586428063896295</v>
      </c>
      <c r="H296">
        <v>0.30520879281669799</v>
      </c>
      <c r="I296">
        <v>0.21148892500230401</v>
      </c>
      <c r="J296">
        <v>0.1934789634638</v>
      </c>
      <c r="K296">
        <v>0.146903328356808</v>
      </c>
      <c r="L296">
        <v>2981.3593499690201</v>
      </c>
      <c r="M296">
        <v>51.1880255407617</v>
      </c>
      <c r="N296">
        <v>58.797744352036801</v>
      </c>
      <c r="O296">
        <v>58.154596865331698</v>
      </c>
      <c r="P296">
        <v>-0.17792500454881899</v>
      </c>
      <c r="Q296">
        <v>0.191439730220621</v>
      </c>
      <c r="R296">
        <v>0.80634228031771205</v>
      </c>
      <c r="S296" t="s">
        <v>6157</v>
      </c>
      <c r="T296" t="s">
        <v>11720</v>
      </c>
      <c r="U296" t="s">
        <v>11720</v>
      </c>
      <c r="V296" t="s">
        <v>11720</v>
      </c>
      <c r="W296" t="s">
        <v>12012</v>
      </c>
      <c r="X296">
        <v>13</v>
      </c>
      <c r="Y296" t="s">
        <v>17807</v>
      </c>
      <c r="Z296" t="s">
        <v>23503</v>
      </c>
      <c r="AA296">
        <v>0.6851061154952951</v>
      </c>
      <c r="AB296" t="str">
        <f>HYPERLINK("Melting_Curves/meltCurve_C9JFE4_GPS1.pdf", "Melting_Curves/meltCurve_C9JFE4_GPS1.pdf")</f>
        <v>Melting_Curves/meltCurve_C9JFE4_GPS1.pdf</v>
      </c>
    </row>
    <row r="297" spans="1:28" x14ac:dyDescent="0.25">
      <c r="A297" t="s">
        <v>301</v>
      </c>
      <c r="B297">
        <v>0.99334974765950101</v>
      </c>
      <c r="C297">
        <v>0.85161113478095596</v>
      </c>
      <c r="D297">
        <v>0.79758685824263498</v>
      </c>
      <c r="E297">
        <v>0.76944011100302701</v>
      </c>
      <c r="F297">
        <v>0.66014699450021597</v>
      </c>
      <c r="G297">
        <v>0.429615899693301</v>
      </c>
      <c r="H297">
        <v>0.40287634812689899</v>
      </c>
      <c r="I297">
        <v>0.48500214861086</v>
      </c>
      <c r="J297">
        <v>0.64120458859351703</v>
      </c>
      <c r="K297">
        <v>0.59143355863906</v>
      </c>
      <c r="L297">
        <v>641.90421979787095</v>
      </c>
      <c r="M297">
        <v>13.4203674178216</v>
      </c>
      <c r="O297">
        <v>46.806041117450498</v>
      </c>
      <c r="P297">
        <v>-3.53551999558663E-2</v>
      </c>
      <c r="Q297">
        <v>0.50684548095038795</v>
      </c>
      <c r="R297">
        <v>0.78792798867168701</v>
      </c>
      <c r="S297" t="s">
        <v>6158</v>
      </c>
      <c r="T297" t="s">
        <v>11720</v>
      </c>
      <c r="U297" t="s">
        <v>11720</v>
      </c>
      <c r="V297" t="s">
        <v>11720</v>
      </c>
      <c r="W297" t="s">
        <v>12013</v>
      </c>
      <c r="X297">
        <v>11</v>
      </c>
      <c r="Y297" t="s">
        <v>17808</v>
      </c>
      <c r="Z297" t="s">
        <v>23504</v>
      </c>
      <c r="AA297">
        <v>0.65145810743488741</v>
      </c>
      <c r="AB297" t="str">
        <f>HYPERLINK("Melting_Curves/meltCurve_C9JFK9_BAG3.pdf", "Melting_Curves/meltCurve_C9JFK9_BAG3.pdf")</f>
        <v>Melting_Curves/meltCurve_C9JFK9_BAG3.pdf</v>
      </c>
    </row>
    <row r="298" spans="1:28" x14ac:dyDescent="0.25">
      <c r="A298" t="s">
        <v>302</v>
      </c>
      <c r="B298">
        <v>0.99334974765950101</v>
      </c>
      <c r="C298">
        <v>0.90299613938138401</v>
      </c>
      <c r="D298">
        <v>0.62371397108002802</v>
      </c>
      <c r="E298">
        <v>0.67463342108771096</v>
      </c>
      <c r="F298">
        <v>0.27598371536691302</v>
      </c>
      <c r="G298">
        <v>0.30992970888874999</v>
      </c>
      <c r="H298">
        <v>0.352172540526481</v>
      </c>
      <c r="I298">
        <v>0.37668759956241998</v>
      </c>
      <c r="J298">
        <v>7.9782403609515704E-2</v>
      </c>
      <c r="K298">
        <v>6.9460058140280501E-2</v>
      </c>
      <c r="L298">
        <v>492.53847405058002</v>
      </c>
      <c r="M298">
        <v>9.88370361424486</v>
      </c>
      <c r="N298">
        <v>51.224660544978697</v>
      </c>
      <c r="O298">
        <v>47.9220249206967</v>
      </c>
      <c r="P298">
        <v>-4.5514954180768001E-2</v>
      </c>
      <c r="Q298">
        <v>0.11771537786769</v>
      </c>
      <c r="R298">
        <v>0.871481582144781</v>
      </c>
      <c r="S298" t="s">
        <v>6159</v>
      </c>
      <c r="T298" t="s">
        <v>11720</v>
      </c>
      <c r="U298" t="s">
        <v>11720</v>
      </c>
      <c r="V298" t="s">
        <v>11720</v>
      </c>
      <c r="W298" t="s">
        <v>12014</v>
      </c>
      <c r="X298">
        <v>11</v>
      </c>
      <c r="Y298" t="s">
        <v>17809</v>
      </c>
      <c r="Z298" t="s">
        <v>23505</v>
      </c>
      <c r="AA298">
        <v>0.44799001709711261</v>
      </c>
      <c r="AB298" t="str">
        <f>HYPERLINK("Melting_Curves/meltCurve_C9JFR7_CYCS.pdf", "Melting_Curves/meltCurve_C9JFR7_CYCS.pdf")</f>
        <v>Melting_Curves/meltCurve_C9JFR7_CYCS.pdf</v>
      </c>
    </row>
    <row r="299" spans="1:28" x14ac:dyDescent="0.25">
      <c r="A299" t="s">
        <v>303</v>
      </c>
      <c r="B299">
        <v>0.99334974765950101</v>
      </c>
      <c r="C299">
        <v>0.91053018823014797</v>
      </c>
      <c r="D299">
        <v>0.80223752162811801</v>
      </c>
      <c r="E299">
        <v>0.73648797856605897</v>
      </c>
      <c r="F299">
        <v>0.56077051592023197</v>
      </c>
      <c r="G299">
        <v>0.37276679016094599</v>
      </c>
      <c r="H299">
        <v>0.20781333860738299</v>
      </c>
      <c r="I299">
        <v>0.18374190223115999</v>
      </c>
      <c r="J299">
        <v>0.144859778093543</v>
      </c>
      <c r="K299">
        <v>0.121222509167399</v>
      </c>
      <c r="L299">
        <v>546.71156367208005</v>
      </c>
      <c r="M299">
        <v>10.158470203937799</v>
      </c>
      <c r="N299">
        <v>54.042827531959198</v>
      </c>
      <c r="O299">
        <v>51.857680405912802</v>
      </c>
      <c r="P299">
        <v>-4.7982846395050599E-2</v>
      </c>
      <c r="Q299">
        <v>2.06635539638476E-2</v>
      </c>
      <c r="R299">
        <v>0.992751976201103</v>
      </c>
      <c r="S299" t="s">
        <v>6160</v>
      </c>
      <c r="T299" t="s">
        <v>11720</v>
      </c>
      <c r="U299" t="s">
        <v>11720</v>
      </c>
      <c r="V299" t="s">
        <v>11720</v>
      </c>
      <c r="W299" t="s">
        <v>12015</v>
      </c>
      <c r="X299">
        <v>3</v>
      </c>
      <c r="Y299" t="s">
        <v>17810</v>
      </c>
      <c r="Z299" t="s">
        <v>23506</v>
      </c>
      <c r="AA299">
        <v>0.50172912383519852</v>
      </c>
      <c r="AB299" t="str">
        <f>HYPERLINK("Melting_Curves/meltCurve_C9JG41_ITM2C.pdf", "Melting_Curves/meltCurve_C9JG41_ITM2C.pdf")</f>
        <v>Melting_Curves/meltCurve_C9JG41_ITM2C.pdf</v>
      </c>
    </row>
    <row r="300" spans="1:28" x14ac:dyDescent="0.25">
      <c r="A300" t="s">
        <v>304</v>
      </c>
      <c r="B300">
        <v>0.99334974765950101</v>
      </c>
      <c r="C300">
        <v>0.93617734875266601</v>
      </c>
      <c r="D300">
        <v>0.86429192979564895</v>
      </c>
      <c r="E300">
        <v>0.71820209658434597</v>
      </c>
      <c r="F300">
        <v>0.68677996798117003</v>
      </c>
      <c r="G300">
        <v>0.45512454331610502</v>
      </c>
      <c r="H300">
        <v>0.19746671870715801</v>
      </c>
      <c r="I300">
        <v>0.11897584073834901</v>
      </c>
      <c r="J300">
        <v>0.105072375247107</v>
      </c>
      <c r="K300">
        <v>8.2743378441760301E-2</v>
      </c>
      <c r="L300">
        <v>648.367877355936</v>
      </c>
      <c r="M300">
        <v>11.7596331280401</v>
      </c>
      <c r="N300">
        <v>55.135042925194902</v>
      </c>
      <c r="O300">
        <v>53.613116621091301</v>
      </c>
      <c r="P300">
        <v>-5.4849913399681399E-2</v>
      </c>
      <c r="Q300">
        <v>0</v>
      </c>
      <c r="R300">
        <v>0.985506120888898</v>
      </c>
      <c r="S300" t="s">
        <v>6161</v>
      </c>
      <c r="T300" t="s">
        <v>11720</v>
      </c>
      <c r="U300" t="s">
        <v>11720</v>
      </c>
      <c r="V300" t="s">
        <v>11720</v>
      </c>
      <c r="W300" t="s">
        <v>12016</v>
      </c>
      <c r="X300">
        <v>8</v>
      </c>
      <c r="Y300" t="s">
        <v>17811</v>
      </c>
      <c r="Z300" t="s">
        <v>23507</v>
      </c>
      <c r="AA300">
        <v>0.52786285656518162</v>
      </c>
      <c r="AB300" t="str">
        <f>HYPERLINK("Melting_Curves/meltCurve_C9JG97_AAMP.pdf", "Melting_Curves/meltCurve_C9JG97_AAMP.pdf")</f>
        <v>Melting_Curves/meltCurve_C9JG97_AAMP.pdf</v>
      </c>
    </row>
    <row r="301" spans="1:28" x14ac:dyDescent="0.25">
      <c r="A301" t="s">
        <v>305</v>
      </c>
      <c r="B301">
        <v>0.99334974765950101</v>
      </c>
      <c r="C301">
        <v>1.0077350626772601</v>
      </c>
      <c r="D301">
        <v>1.07087496909493</v>
      </c>
      <c r="E301">
        <v>1.3114857597602601</v>
      </c>
      <c r="F301">
        <v>1.5138146259787499</v>
      </c>
      <c r="G301">
        <v>2.0304394009258</v>
      </c>
      <c r="H301">
        <v>1.8482991456495399</v>
      </c>
      <c r="I301">
        <v>1.85337205002209</v>
      </c>
      <c r="J301">
        <v>0.613584545203677</v>
      </c>
      <c r="K301">
        <v>0.27889508480428599</v>
      </c>
      <c r="L301">
        <v>15000</v>
      </c>
      <c r="M301">
        <v>224.02347483926701</v>
      </c>
      <c r="N301">
        <v>67.201921185843702</v>
      </c>
      <c r="O301">
        <v>66.951929389016797</v>
      </c>
      <c r="P301">
        <v>-0.60327239272038002</v>
      </c>
      <c r="Q301">
        <v>0.278821068136477</v>
      </c>
      <c r="R301">
        <v>1.14455754167511E-2</v>
      </c>
      <c r="S301" t="s">
        <v>6162</v>
      </c>
      <c r="T301" t="s">
        <v>11720</v>
      </c>
      <c r="U301" t="s">
        <v>11720</v>
      </c>
      <c r="V301" t="s">
        <v>11720</v>
      </c>
      <c r="W301" t="s">
        <v>12017</v>
      </c>
      <c r="X301">
        <v>27</v>
      </c>
      <c r="Y301" t="s">
        <v>17812</v>
      </c>
      <c r="Z301" t="s">
        <v>23508</v>
      </c>
      <c r="AA301">
        <v>0.92695995186521829</v>
      </c>
      <c r="AB301" t="str">
        <f>HYPERLINK("Melting_Curves/meltCurve_C9JIF9_APEH.pdf", "Melting_Curves/meltCurve_C9JIF9_APEH.pdf")</f>
        <v>Melting_Curves/meltCurve_C9JIF9_APEH.pdf</v>
      </c>
    </row>
    <row r="302" spans="1:28" x14ac:dyDescent="0.25">
      <c r="A302" t="s">
        <v>306</v>
      </c>
      <c r="B302">
        <v>0.99334974765950101</v>
      </c>
      <c r="C302">
        <v>0.86312824696006996</v>
      </c>
      <c r="D302">
        <v>0.82934923783252701</v>
      </c>
      <c r="E302">
        <v>0.38857515725375003</v>
      </c>
      <c r="F302">
        <v>0.27151626994070499</v>
      </c>
      <c r="G302">
        <v>0.214845905798873</v>
      </c>
      <c r="H302">
        <v>0.119630916316136</v>
      </c>
      <c r="I302">
        <v>6.9900357629425106E-2</v>
      </c>
      <c r="J302">
        <v>0.13972428942029899</v>
      </c>
      <c r="K302">
        <v>0</v>
      </c>
      <c r="L302">
        <v>815.23064855948201</v>
      </c>
      <c r="M302">
        <v>16.6876607247655</v>
      </c>
      <c r="N302">
        <v>49.329856125133396</v>
      </c>
      <c r="O302">
        <v>48.166946221208498</v>
      </c>
      <c r="P302">
        <v>-8.0158631122115201E-2</v>
      </c>
      <c r="Q302">
        <v>7.4588121505548402E-2</v>
      </c>
      <c r="R302">
        <v>0.97852095063538902</v>
      </c>
      <c r="S302" t="s">
        <v>6163</v>
      </c>
      <c r="T302" t="s">
        <v>11720</v>
      </c>
      <c r="U302" t="s">
        <v>11720</v>
      </c>
      <c r="V302" t="s">
        <v>11720</v>
      </c>
      <c r="W302" t="s">
        <v>12018</v>
      </c>
      <c r="X302">
        <v>2</v>
      </c>
      <c r="Y302" t="s">
        <v>17813</v>
      </c>
      <c r="Z302" t="s">
        <v>23509</v>
      </c>
      <c r="AA302">
        <v>0.36634329286207601</v>
      </c>
      <c r="AB302" t="str">
        <f>HYPERLINK("Melting_Curves/meltCurve_C9JJN9_VPS8.pdf", "Melting_Curves/meltCurve_C9JJN9_VPS8.pdf")</f>
        <v>Melting_Curves/meltCurve_C9JJN9_VPS8.pdf</v>
      </c>
    </row>
    <row r="303" spans="1:28" x14ac:dyDescent="0.25">
      <c r="A303" t="s">
        <v>307</v>
      </c>
      <c r="B303">
        <v>0.99334974765950101</v>
      </c>
      <c r="C303">
        <v>1.1096617929149</v>
      </c>
      <c r="D303">
        <v>0.91062497899497996</v>
      </c>
      <c r="E303">
        <v>1.37019729448035</v>
      </c>
      <c r="F303">
        <v>1.89045024482396</v>
      </c>
      <c r="G303">
        <v>1.2483800011925901</v>
      </c>
      <c r="H303">
        <v>1.3950348440626099</v>
      </c>
      <c r="I303">
        <v>1.31581743836847</v>
      </c>
      <c r="J303">
        <v>2.11364571733625</v>
      </c>
      <c r="K303">
        <v>1.4918757678213299</v>
      </c>
      <c r="L303">
        <v>12447.598712782299</v>
      </c>
      <c r="M303">
        <v>250</v>
      </c>
      <c r="O303">
        <v>49.787208531907801</v>
      </c>
      <c r="P303">
        <v>0.62767126171177301</v>
      </c>
      <c r="Q303">
        <v>1.5</v>
      </c>
      <c r="R303">
        <v>0.48473093508295301</v>
      </c>
      <c r="S303" t="s">
        <v>6164</v>
      </c>
      <c r="T303" t="s">
        <v>11720</v>
      </c>
      <c r="U303" t="s">
        <v>11720</v>
      </c>
      <c r="V303" t="s">
        <v>11720</v>
      </c>
      <c r="W303" t="s">
        <v>12019</v>
      </c>
      <c r="X303">
        <v>8</v>
      </c>
      <c r="Y303" t="s">
        <v>17814</v>
      </c>
      <c r="Z303" t="s">
        <v>23510</v>
      </c>
      <c r="AA303">
        <v>1.336783061797153</v>
      </c>
      <c r="AB303" t="str">
        <f>HYPERLINK("Melting_Curves/meltCurve_C9JJP8_ITGB1.pdf", "Melting_Curves/meltCurve_C9JJP8_ITGB1.pdf")</f>
        <v>Melting_Curves/meltCurve_C9JJP8_ITGB1.pdf</v>
      </c>
    </row>
    <row r="304" spans="1:28" x14ac:dyDescent="0.25">
      <c r="A304" t="s">
        <v>308</v>
      </c>
      <c r="B304">
        <v>0.99334974765950101</v>
      </c>
      <c r="C304">
        <v>0.93209149577713002</v>
      </c>
      <c r="D304">
        <v>0.89100784260721899</v>
      </c>
      <c r="E304">
        <v>1.0220926631407601</v>
      </c>
      <c r="F304">
        <v>1.02826228189892</v>
      </c>
      <c r="G304">
        <v>1.09009235262016</v>
      </c>
      <c r="H304">
        <v>0.87397427923165705</v>
      </c>
      <c r="I304">
        <v>0.56182583041540901</v>
      </c>
      <c r="J304">
        <v>0.380759217923412</v>
      </c>
      <c r="K304">
        <v>0.254605783816371</v>
      </c>
      <c r="L304">
        <v>2485.6926632486102</v>
      </c>
      <c r="M304">
        <v>39.1274112711532</v>
      </c>
      <c r="N304">
        <v>64.736996073679407</v>
      </c>
      <c r="O304">
        <v>63.362901695556502</v>
      </c>
      <c r="P304">
        <v>-0.114364316660568</v>
      </c>
      <c r="Q304">
        <v>0.25919570724118601</v>
      </c>
      <c r="R304">
        <v>0.96227667253593896</v>
      </c>
      <c r="S304" t="s">
        <v>6165</v>
      </c>
      <c r="T304" t="s">
        <v>11720</v>
      </c>
      <c r="U304" t="s">
        <v>11720</v>
      </c>
      <c r="V304" t="s">
        <v>11720</v>
      </c>
      <c r="W304" t="s">
        <v>12020</v>
      </c>
      <c r="X304">
        <v>1</v>
      </c>
      <c r="Y304" t="s">
        <v>17815</v>
      </c>
      <c r="Z304" t="s">
        <v>23511</v>
      </c>
      <c r="AA304">
        <v>0.84222016066460326</v>
      </c>
      <c r="AB304" t="str">
        <f>HYPERLINK("Melting_Curves/meltCurve_C9JJU1_SLC38A5.pdf", "Melting_Curves/meltCurve_C9JJU1_SLC38A5.pdf")</f>
        <v>Melting_Curves/meltCurve_C9JJU1_SLC38A5.pdf</v>
      </c>
    </row>
    <row r="305" spans="1:28" x14ac:dyDescent="0.25">
      <c r="A305" t="s">
        <v>309</v>
      </c>
      <c r="B305">
        <v>0.99334974765950101</v>
      </c>
      <c r="C305">
        <v>0.92763396109570095</v>
      </c>
      <c r="D305">
        <v>0.71373006620283097</v>
      </c>
      <c r="E305">
        <v>0.86934598301367705</v>
      </c>
      <c r="F305">
        <v>0.82596199460733599</v>
      </c>
      <c r="G305">
        <v>0.47866266603259</v>
      </c>
      <c r="H305">
        <v>0.40951455008237297</v>
      </c>
      <c r="I305">
        <v>0.82477282857811296</v>
      </c>
      <c r="J305">
        <v>0.48258292677950598</v>
      </c>
      <c r="K305">
        <v>0.28896238110843703</v>
      </c>
      <c r="L305">
        <v>287.098897605552</v>
      </c>
      <c r="M305">
        <v>4.4469301506768</v>
      </c>
      <c r="N305">
        <v>64.561144164736405</v>
      </c>
      <c r="O305">
        <v>54.691965213109</v>
      </c>
      <c r="P305">
        <v>-2.0512101875665101E-2</v>
      </c>
      <c r="Q305">
        <v>0</v>
      </c>
      <c r="R305">
        <v>0.61762769764358905</v>
      </c>
      <c r="S305" t="s">
        <v>6166</v>
      </c>
      <c r="T305" t="s">
        <v>11720</v>
      </c>
      <c r="U305" t="s">
        <v>11720</v>
      </c>
      <c r="V305" t="s">
        <v>11720</v>
      </c>
      <c r="W305" t="s">
        <v>12021</v>
      </c>
      <c r="X305">
        <v>1</v>
      </c>
      <c r="Y305" t="s">
        <v>17816</v>
      </c>
      <c r="Z305" t="s">
        <v>23512</v>
      </c>
      <c r="AA305">
        <v>0.68287437148172847</v>
      </c>
      <c r="AB305" t="str">
        <f>HYPERLINK("Melting_Curves/meltCurve_C9JJV6_MYADM.pdf", "Melting_Curves/meltCurve_C9JJV6_MYADM.pdf")</f>
        <v>Melting_Curves/meltCurve_C9JJV6_MYADM.pdf</v>
      </c>
    </row>
    <row r="306" spans="1:28" x14ac:dyDescent="0.25">
      <c r="A306" t="s">
        <v>310</v>
      </c>
      <c r="B306">
        <v>0.99334974765950101</v>
      </c>
      <c r="C306">
        <v>0.99596291271567094</v>
      </c>
      <c r="D306">
        <v>0.91924051436531096</v>
      </c>
      <c r="E306">
        <v>1.1139396024269601</v>
      </c>
      <c r="F306">
        <v>0.75734348469105695</v>
      </c>
      <c r="G306">
        <v>0.40184484800371401</v>
      </c>
      <c r="H306">
        <v>0.28652895347457003</v>
      </c>
      <c r="I306">
        <v>0.29483637421984998</v>
      </c>
      <c r="J306">
        <v>0.25746945112181802</v>
      </c>
      <c r="K306">
        <v>0.23491806518501801</v>
      </c>
      <c r="L306">
        <v>2090.2663878597</v>
      </c>
      <c r="M306">
        <v>38.474088531353999</v>
      </c>
      <c r="N306">
        <v>55.445569636801103</v>
      </c>
      <c r="O306">
        <v>54.183045163249503</v>
      </c>
      <c r="P306">
        <v>-0.129665655898907</v>
      </c>
      <c r="Q306">
        <v>0.26956936962498601</v>
      </c>
      <c r="R306">
        <v>0.97425521389532099</v>
      </c>
      <c r="S306" t="s">
        <v>6167</v>
      </c>
      <c r="T306" t="s">
        <v>11720</v>
      </c>
      <c r="U306" t="s">
        <v>11720</v>
      </c>
      <c r="V306" t="s">
        <v>11720</v>
      </c>
      <c r="W306" t="s">
        <v>12022</v>
      </c>
      <c r="X306">
        <v>4</v>
      </c>
      <c r="Y306" t="s">
        <v>17817</v>
      </c>
      <c r="Z306" t="s">
        <v>23513</v>
      </c>
      <c r="AA306">
        <v>0.62140903595906705</v>
      </c>
      <c r="AB306" t="str">
        <f>HYPERLINK("Melting_Curves/meltCurve_C9JJX6_ARVCF.pdf", "Melting_Curves/meltCurve_C9JJX6_ARVCF.pdf")</f>
        <v>Melting_Curves/meltCurve_C9JJX6_ARVCF.pdf</v>
      </c>
    </row>
    <row r="307" spans="1:28" x14ac:dyDescent="0.25">
      <c r="A307" t="s">
        <v>311</v>
      </c>
      <c r="B307">
        <v>0.99334974765950101</v>
      </c>
      <c r="C307">
        <v>0.97440698024948902</v>
      </c>
      <c r="D307">
        <v>1.0018505871868999</v>
      </c>
      <c r="E307">
        <v>1.03365700959466</v>
      </c>
      <c r="F307">
        <v>1.10143039684958</v>
      </c>
      <c r="G307">
        <v>0.763074117559987</v>
      </c>
      <c r="H307">
        <v>0.63585474411347997</v>
      </c>
      <c r="I307">
        <v>0.75887373547309001</v>
      </c>
      <c r="J307">
        <v>0.70909963706542201</v>
      </c>
      <c r="K307">
        <v>0.58476733616064203</v>
      </c>
      <c r="L307">
        <v>14195.4105601137</v>
      </c>
      <c r="M307">
        <v>250</v>
      </c>
      <c r="O307">
        <v>56.778020607377599</v>
      </c>
      <c r="P307">
        <v>-0.360891421646444</v>
      </c>
      <c r="Q307">
        <v>0.67214886033107002</v>
      </c>
      <c r="R307">
        <v>0.90260197186059199</v>
      </c>
      <c r="S307" t="s">
        <v>6168</v>
      </c>
      <c r="T307" t="s">
        <v>11720</v>
      </c>
      <c r="U307" t="s">
        <v>11720</v>
      </c>
      <c r="V307" t="s">
        <v>11720</v>
      </c>
      <c r="W307" t="s">
        <v>12023</v>
      </c>
      <c r="X307">
        <v>24</v>
      </c>
      <c r="Y307" t="s">
        <v>17818</v>
      </c>
      <c r="Z307" t="s">
        <v>23514</v>
      </c>
      <c r="AA307">
        <v>0.85557754879332959</v>
      </c>
      <c r="AB307" t="str">
        <f>HYPERLINK("Melting_Curves/meltCurve_C9JK10_ITGA6.pdf", "Melting_Curves/meltCurve_C9JK10_ITGA6.pdf")</f>
        <v>Melting_Curves/meltCurve_C9JK10_ITGA6.pdf</v>
      </c>
    </row>
    <row r="308" spans="1:28" x14ac:dyDescent="0.25">
      <c r="A308" t="s">
        <v>312</v>
      </c>
      <c r="B308">
        <v>0.99334974765950101</v>
      </c>
      <c r="C308">
        <v>0.94412137318179101</v>
      </c>
      <c r="D308">
        <v>0.78945558057620802</v>
      </c>
      <c r="E308">
        <v>0.67395792929613396</v>
      </c>
      <c r="F308">
        <v>0.65106937998878001</v>
      </c>
      <c r="G308">
        <v>0.51494603555179697</v>
      </c>
      <c r="H308">
        <v>0.39316953209731798</v>
      </c>
      <c r="I308">
        <v>0.219979429304719</v>
      </c>
      <c r="J308">
        <v>0.106314982447567</v>
      </c>
      <c r="K308">
        <v>0.113017271418082</v>
      </c>
      <c r="L308">
        <v>481.90471319904799</v>
      </c>
      <c r="M308">
        <v>8.6421651178141392</v>
      </c>
      <c r="N308">
        <v>55.762034929874602</v>
      </c>
      <c r="O308">
        <v>53.017478344780301</v>
      </c>
      <c r="P308">
        <v>-4.07859977425271E-2</v>
      </c>
      <c r="Q308">
        <v>0</v>
      </c>
      <c r="R308">
        <v>0.97003101863434205</v>
      </c>
      <c r="S308" t="s">
        <v>6169</v>
      </c>
      <c r="T308" t="s">
        <v>11720</v>
      </c>
      <c r="U308" t="s">
        <v>11720</v>
      </c>
      <c r="V308" t="s">
        <v>11720</v>
      </c>
      <c r="W308" t="s">
        <v>12024</v>
      </c>
      <c r="X308">
        <v>3</v>
      </c>
      <c r="Y308" t="s">
        <v>17819</v>
      </c>
      <c r="Z308" t="s">
        <v>23515</v>
      </c>
      <c r="AA308">
        <v>0.54749861410691869</v>
      </c>
      <c r="AB308" t="str">
        <f>HYPERLINK("Melting_Curves/meltCurve_C9JLU1_POLR2H.pdf", "Melting_Curves/meltCurve_C9JLU1_POLR2H.pdf")</f>
        <v>Melting_Curves/meltCurve_C9JLU1_POLR2H.pdf</v>
      </c>
    </row>
    <row r="309" spans="1:28" x14ac:dyDescent="0.25">
      <c r="A309" t="s">
        <v>313</v>
      </c>
      <c r="B309">
        <v>0.99334974765950101</v>
      </c>
      <c r="C309">
        <v>0.93491494843409095</v>
      </c>
      <c r="D309">
        <v>0.75881610925584897</v>
      </c>
      <c r="E309">
        <v>0.50950739710859305</v>
      </c>
      <c r="F309">
        <v>0.365945962739049</v>
      </c>
      <c r="G309">
        <v>0.23654992144967599</v>
      </c>
      <c r="H309">
        <v>0.180714406493896</v>
      </c>
      <c r="I309">
        <v>0.194152335056058</v>
      </c>
      <c r="J309">
        <v>0.20722787355368999</v>
      </c>
      <c r="K309">
        <v>0.14448104974009501</v>
      </c>
      <c r="L309">
        <v>781.80992631726394</v>
      </c>
      <c r="M309">
        <v>15.9898366256239</v>
      </c>
      <c r="N309">
        <v>50.148264154526402</v>
      </c>
      <c r="O309">
        <v>48.148600662342801</v>
      </c>
      <c r="P309">
        <v>-6.9346971953003406E-2</v>
      </c>
      <c r="Q309">
        <v>0.16479518270142399</v>
      </c>
      <c r="R309">
        <v>0.99671574634988502</v>
      </c>
      <c r="S309" t="s">
        <v>6170</v>
      </c>
      <c r="T309" t="s">
        <v>11720</v>
      </c>
      <c r="U309" t="s">
        <v>11720</v>
      </c>
      <c r="V309" t="s">
        <v>11720</v>
      </c>
      <c r="W309" t="s">
        <v>12025</v>
      </c>
      <c r="X309">
        <v>4</v>
      </c>
      <c r="Y309" t="s">
        <v>17820</v>
      </c>
      <c r="Z309" t="s">
        <v>23516</v>
      </c>
      <c r="AA309">
        <v>0.43072178692119978</v>
      </c>
      <c r="AB309" t="str">
        <f>HYPERLINK("Melting_Curves/meltCurve_C9JLV4_APAF1.pdf", "Melting_Curves/meltCurve_C9JLV4_APAF1.pdf")</f>
        <v>Melting_Curves/meltCurve_C9JLV4_APAF1.pdf</v>
      </c>
    </row>
    <row r="310" spans="1:28" x14ac:dyDescent="0.25">
      <c r="A310" t="s">
        <v>314</v>
      </c>
      <c r="B310">
        <v>0.99334974765950101</v>
      </c>
      <c r="C310">
        <v>0.91657875335852201</v>
      </c>
      <c r="D310">
        <v>1.0950486567661699</v>
      </c>
      <c r="E310">
        <v>1.04650120399132</v>
      </c>
      <c r="F310">
        <v>0.97925055339072198</v>
      </c>
      <c r="G310">
        <v>0.29605866100252998</v>
      </c>
      <c r="H310">
        <v>0.13969183967411</v>
      </c>
      <c r="I310">
        <v>8.7851185538056806E-2</v>
      </c>
      <c r="J310">
        <v>8.21752039063951E-2</v>
      </c>
      <c r="K310">
        <v>5.2828867030350599E-2</v>
      </c>
      <c r="L310">
        <v>3575.93142927907</v>
      </c>
      <c r="M310">
        <v>63.9455114095908</v>
      </c>
      <c r="N310">
        <v>56.093513304333101</v>
      </c>
      <c r="O310">
        <v>55.866924419153797</v>
      </c>
      <c r="P310">
        <v>-0.26067989050518298</v>
      </c>
      <c r="Q310">
        <v>8.9013207494405402E-2</v>
      </c>
      <c r="R310">
        <v>0.98893322198060996</v>
      </c>
      <c r="S310" t="s">
        <v>6171</v>
      </c>
      <c r="T310" t="s">
        <v>11720</v>
      </c>
      <c r="U310" t="s">
        <v>11720</v>
      </c>
      <c r="V310" t="s">
        <v>11720</v>
      </c>
      <c r="W310" t="s">
        <v>12026</v>
      </c>
      <c r="X310">
        <v>3</v>
      </c>
      <c r="Y310" t="s">
        <v>17821</v>
      </c>
      <c r="Z310" t="s">
        <v>23517</v>
      </c>
      <c r="AA310">
        <v>0.57386105875305093</v>
      </c>
      <c r="AB310" t="str">
        <f>HYPERLINK("Melting_Curves/meltCurve_C9JM82_SEPT5.pdf", "Melting_Curves/meltCurve_C9JM82_SEPT5.pdf")</f>
        <v>Melting_Curves/meltCurve_C9JM82_SEPT5.pdf</v>
      </c>
    </row>
    <row r="311" spans="1:28" x14ac:dyDescent="0.25">
      <c r="A311" t="s">
        <v>315</v>
      </c>
      <c r="B311">
        <v>0.99334974765950101</v>
      </c>
      <c r="C311">
        <v>0.92838865611826604</v>
      </c>
      <c r="D311">
        <v>0.66379264797480497</v>
      </c>
      <c r="E311">
        <v>0.23707261983970301</v>
      </c>
      <c r="F311">
        <v>0.149652463626094</v>
      </c>
      <c r="G311">
        <v>0.105608335789455</v>
      </c>
      <c r="H311">
        <v>7.4590332128198697E-2</v>
      </c>
      <c r="I311">
        <v>8.3868156705245694E-2</v>
      </c>
      <c r="J311">
        <v>5.4341900975558501E-2</v>
      </c>
      <c r="K311">
        <v>4.6945574557330699E-2</v>
      </c>
      <c r="L311">
        <v>1149.8688248191199</v>
      </c>
      <c r="M311">
        <v>24.428406040160599</v>
      </c>
      <c r="N311">
        <v>47.369097255286</v>
      </c>
      <c r="O311">
        <v>46.758949165607604</v>
      </c>
      <c r="P311">
        <v>-0.121303622909796</v>
      </c>
      <c r="Q311">
        <v>7.1254235816838193E-2</v>
      </c>
      <c r="R311">
        <v>0.99826119966615701</v>
      </c>
      <c r="S311" t="s">
        <v>6172</v>
      </c>
      <c r="T311" t="s">
        <v>11720</v>
      </c>
      <c r="U311" t="s">
        <v>11720</v>
      </c>
      <c r="V311" t="s">
        <v>11720</v>
      </c>
      <c r="W311" t="s">
        <v>12027</v>
      </c>
      <c r="X311">
        <v>4</v>
      </c>
      <c r="Y311" t="s">
        <v>17822</v>
      </c>
      <c r="Z311" t="s">
        <v>23518</v>
      </c>
      <c r="AA311">
        <v>0.2988724127253255</v>
      </c>
      <c r="AB311" t="str">
        <f>HYPERLINK("Melting_Curves/meltCurve_C9JN15_PPIG.pdf", "Melting_Curves/meltCurve_C9JN15_PPIG.pdf")</f>
        <v>Melting_Curves/meltCurve_C9JN15_PPIG.pdf</v>
      </c>
    </row>
    <row r="312" spans="1:28" x14ac:dyDescent="0.25">
      <c r="A312" t="s">
        <v>316</v>
      </c>
      <c r="B312">
        <v>0.99334974765950101</v>
      </c>
      <c r="C312">
        <v>0.90551950608433596</v>
      </c>
      <c r="D312">
        <v>0.68623395632741302</v>
      </c>
      <c r="E312">
        <v>0.36118085364778402</v>
      </c>
      <c r="F312">
        <v>0.210746685487672</v>
      </c>
      <c r="G312">
        <v>0.138364661477372</v>
      </c>
      <c r="H312">
        <v>0.130403098098333</v>
      </c>
      <c r="I312">
        <v>0.16054746761619801</v>
      </c>
      <c r="J312">
        <v>0.10787946413190599</v>
      </c>
      <c r="K312">
        <v>8.1121473554566295E-2</v>
      </c>
      <c r="L312">
        <v>931.81427665060596</v>
      </c>
      <c r="M312">
        <v>19.620006711969701</v>
      </c>
      <c r="N312">
        <v>48.120053561807801</v>
      </c>
      <c r="O312">
        <v>47.007920243995898</v>
      </c>
      <c r="P312">
        <v>-9.2578505107124898E-2</v>
      </c>
      <c r="Q312">
        <v>0.112788875127921</v>
      </c>
      <c r="R312">
        <v>0.99694407391868101</v>
      </c>
      <c r="S312" t="s">
        <v>6173</v>
      </c>
      <c r="T312" t="s">
        <v>11720</v>
      </c>
      <c r="U312" t="s">
        <v>11720</v>
      </c>
      <c r="V312" t="s">
        <v>11720</v>
      </c>
      <c r="W312" t="s">
        <v>12028</v>
      </c>
      <c r="X312">
        <v>2</v>
      </c>
      <c r="Y312" t="s">
        <v>17823</v>
      </c>
      <c r="Z312" t="s">
        <v>23519</v>
      </c>
      <c r="AA312">
        <v>0.3476962308924535</v>
      </c>
      <c r="AB312" t="str">
        <f>HYPERLINK("Melting_Curves/meltCurve_C9JNA8_IP6K1.pdf", "Melting_Curves/meltCurve_C9JNA8_IP6K1.pdf")</f>
        <v>Melting_Curves/meltCurve_C9JNA8_IP6K1.pdf</v>
      </c>
    </row>
    <row r="313" spans="1:28" x14ac:dyDescent="0.25">
      <c r="A313" t="s">
        <v>317</v>
      </c>
      <c r="B313">
        <v>0.99334974765950101</v>
      </c>
      <c r="C313">
        <v>1.0032568322420701</v>
      </c>
      <c r="D313">
        <v>0.83988566423221001</v>
      </c>
      <c r="E313">
        <v>0.64181080832557802</v>
      </c>
      <c r="F313">
        <v>0.32492672131843597</v>
      </c>
      <c r="G313">
        <v>0.33779576292475899</v>
      </c>
      <c r="H313">
        <v>0.16737116033801699</v>
      </c>
      <c r="I313">
        <v>0.214716875954787</v>
      </c>
      <c r="J313">
        <v>0.103311809504975</v>
      </c>
      <c r="K313">
        <v>6.7387171391077194E-2</v>
      </c>
      <c r="L313">
        <v>789.22357744453996</v>
      </c>
      <c r="M313">
        <v>15.5410984722213</v>
      </c>
      <c r="N313">
        <v>51.633789468399698</v>
      </c>
      <c r="O313">
        <v>49.964462315381702</v>
      </c>
      <c r="P313">
        <v>-6.8983074575253697E-2</v>
      </c>
      <c r="Q313">
        <v>0.112958658602295</v>
      </c>
      <c r="R313">
        <v>0.97632073285301901</v>
      </c>
      <c r="S313" t="s">
        <v>6174</v>
      </c>
      <c r="T313" t="s">
        <v>11720</v>
      </c>
      <c r="U313" t="s">
        <v>11720</v>
      </c>
      <c r="V313" t="s">
        <v>11720</v>
      </c>
      <c r="W313" t="s">
        <v>12029</v>
      </c>
      <c r="X313">
        <v>1</v>
      </c>
      <c r="Y313" t="s">
        <v>17824</v>
      </c>
      <c r="Z313" t="s">
        <v>23520</v>
      </c>
      <c r="AA313">
        <v>0.45122293608988567</v>
      </c>
      <c r="AB313" t="str">
        <f>HYPERLINK("Melting_Curves/meltCurve_C9JP85_NRF1.pdf", "Melting_Curves/meltCurve_C9JP85_NRF1.pdf")</f>
        <v>Melting_Curves/meltCurve_C9JP85_NRF1.pdf</v>
      </c>
    </row>
    <row r="314" spans="1:28" x14ac:dyDescent="0.25">
      <c r="A314" t="s">
        <v>318</v>
      </c>
      <c r="B314">
        <v>0.99334974765950101</v>
      </c>
      <c r="C314">
        <v>1.13435797793325</v>
      </c>
      <c r="D314">
        <v>1.0143686358958399</v>
      </c>
      <c r="E314">
        <v>1.1318108794064199</v>
      </c>
      <c r="F314">
        <v>1.14123615194092</v>
      </c>
      <c r="G314">
        <v>1.1298852291309001</v>
      </c>
      <c r="H314">
        <v>1.1758292099651699</v>
      </c>
      <c r="I314">
        <v>0.86379198751471298</v>
      </c>
      <c r="J314">
        <v>1.1890043657668601</v>
      </c>
      <c r="K314">
        <v>0.957612557946944</v>
      </c>
      <c r="L314">
        <v>10309.5376797715</v>
      </c>
      <c r="M314">
        <v>250</v>
      </c>
      <c r="O314">
        <v>41.235511787357503</v>
      </c>
      <c r="P314">
        <v>0.12426855054567799</v>
      </c>
      <c r="Q314">
        <v>1.0819884363247301</v>
      </c>
      <c r="R314">
        <v>6.6275752569193505E-2</v>
      </c>
      <c r="S314" t="s">
        <v>6175</v>
      </c>
      <c r="T314" t="s">
        <v>11720</v>
      </c>
      <c r="U314" t="s">
        <v>11720</v>
      </c>
      <c r="V314" t="s">
        <v>11720</v>
      </c>
      <c r="W314" t="s">
        <v>12030</v>
      </c>
      <c r="X314">
        <v>4</v>
      </c>
      <c r="Y314" t="s">
        <v>17825</v>
      </c>
      <c r="Z314" t="s">
        <v>23521</v>
      </c>
      <c r="AA314">
        <v>1.0785985178898481</v>
      </c>
      <c r="AB314" t="str">
        <f>HYPERLINK("Melting_Curves/meltCurve_C9JPX5_STARD3NL.pdf", "Melting_Curves/meltCurve_C9JPX5_STARD3NL.pdf")</f>
        <v>Melting_Curves/meltCurve_C9JPX5_STARD3NL.pdf</v>
      </c>
    </row>
    <row r="315" spans="1:28" x14ac:dyDescent="0.25">
      <c r="A315" t="s">
        <v>319</v>
      </c>
      <c r="B315">
        <v>0.99334974765950101</v>
      </c>
      <c r="C315">
        <v>1.0219372155756301</v>
      </c>
      <c r="D315">
        <v>0.901731110544156</v>
      </c>
      <c r="E315">
        <v>0.83973974368766702</v>
      </c>
      <c r="F315">
        <v>0.739240491531862</v>
      </c>
      <c r="G315">
        <v>0.68955060476075902</v>
      </c>
      <c r="H315">
        <v>0.62693962472446896</v>
      </c>
      <c r="I315">
        <v>0.69282190906800001</v>
      </c>
      <c r="J315">
        <v>0.54580316354762604</v>
      </c>
      <c r="K315">
        <v>0.33209987797709001</v>
      </c>
      <c r="L315">
        <v>353.233264279624</v>
      </c>
      <c r="M315">
        <v>5.2672811036047502</v>
      </c>
      <c r="N315">
        <v>67.061759610854807</v>
      </c>
      <c r="O315">
        <v>59.219126460520002</v>
      </c>
      <c r="P315">
        <v>-2.2350279070068899E-2</v>
      </c>
      <c r="Q315">
        <v>0</v>
      </c>
      <c r="R315">
        <v>0.894423455849092</v>
      </c>
      <c r="S315" t="s">
        <v>6176</v>
      </c>
      <c r="T315" t="s">
        <v>11720</v>
      </c>
      <c r="U315" t="s">
        <v>11720</v>
      </c>
      <c r="V315" t="s">
        <v>11720</v>
      </c>
      <c r="W315" t="s">
        <v>12031</v>
      </c>
      <c r="X315">
        <v>8</v>
      </c>
      <c r="Y315" t="s">
        <v>17826</v>
      </c>
      <c r="Z315" t="s">
        <v>23522</v>
      </c>
      <c r="AA315">
        <v>0.74225649285971818</v>
      </c>
      <c r="AB315" t="str">
        <f>HYPERLINK("Melting_Curves/meltCurve_C9JQ41_CCDC58.pdf", "Melting_Curves/meltCurve_C9JQ41_CCDC58.pdf")</f>
        <v>Melting_Curves/meltCurve_C9JQ41_CCDC58.pdf</v>
      </c>
    </row>
    <row r="316" spans="1:28" x14ac:dyDescent="0.25">
      <c r="A316" t="s">
        <v>320</v>
      </c>
      <c r="B316">
        <v>0.99334974765950101</v>
      </c>
      <c r="C316">
        <v>0.98748039054356496</v>
      </c>
      <c r="D316">
        <v>0.99277361959087995</v>
      </c>
      <c r="E316">
        <v>0.86468908668637201</v>
      </c>
      <c r="F316">
        <v>0.85213733163032801</v>
      </c>
      <c r="G316">
        <v>0.71379109143137698</v>
      </c>
      <c r="H316">
        <v>0.58303845258376796</v>
      </c>
      <c r="I316">
        <v>0.525149436409443</v>
      </c>
      <c r="J316">
        <v>0.26592551242541501</v>
      </c>
      <c r="K316">
        <v>0.13708493714786399</v>
      </c>
      <c r="L316">
        <v>693.42948655294595</v>
      </c>
      <c r="M316">
        <v>11.1602196264658</v>
      </c>
      <c r="N316">
        <v>62.134035887519097</v>
      </c>
      <c r="O316">
        <v>60.239218575010497</v>
      </c>
      <c r="P316">
        <v>-4.6331046772807701E-2</v>
      </c>
      <c r="Q316">
        <v>0</v>
      </c>
      <c r="R316">
        <v>0.96790925989439103</v>
      </c>
      <c r="S316" t="s">
        <v>6177</v>
      </c>
      <c r="T316" t="s">
        <v>11720</v>
      </c>
      <c r="U316" t="s">
        <v>11720</v>
      </c>
      <c r="V316" t="s">
        <v>11720</v>
      </c>
      <c r="W316" t="s">
        <v>12032</v>
      </c>
      <c r="X316">
        <v>6</v>
      </c>
      <c r="Y316" t="s">
        <v>17827</v>
      </c>
      <c r="Z316" t="s">
        <v>23523</v>
      </c>
      <c r="AA316">
        <v>0.72169760478449407</v>
      </c>
      <c r="AB316" t="str">
        <f>HYPERLINK("Melting_Curves/meltCurve_C9JQB1_NME6.pdf", "Melting_Curves/meltCurve_C9JQB1_NME6.pdf")</f>
        <v>Melting_Curves/meltCurve_C9JQB1_NME6.pdf</v>
      </c>
    </row>
    <row r="317" spans="1:28" x14ac:dyDescent="0.25">
      <c r="A317" t="s">
        <v>321</v>
      </c>
      <c r="B317">
        <v>0.99334974765950101</v>
      </c>
      <c r="C317">
        <v>0.94878823410362101</v>
      </c>
      <c r="D317">
        <v>0.822039411936901</v>
      </c>
      <c r="E317">
        <v>0.61208212544759799</v>
      </c>
      <c r="F317">
        <v>0.22602313949904301</v>
      </c>
      <c r="G317">
        <v>0.123599451661578</v>
      </c>
      <c r="H317">
        <v>6.8625671384304102E-2</v>
      </c>
      <c r="I317">
        <v>5.9172290002771598E-2</v>
      </c>
      <c r="J317">
        <v>5.6191901794341199E-2</v>
      </c>
      <c r="K317">
        <v>4.2515615844913299E-2</v>
      </c>
      <c r="L317">
        <v>1013.78303304821</v>
      </c>
      <c r="M317">
        <v>20.187003079037101</v>
      </c>
      <c r="N317">
        <v>50.431052923773699</v>
      </c>
      <c r="O317">
        <v>49.7345708839715</v>
      </c>
      <c r="P317">
        <v>-9.7359055862346805E-2</v>
      </c>
      <c r="Q317">
        <v>4.0578941493572399E-2</v>
      </c>
      <c r="R317">
        <v>0.99197986443488195</v>
      </c>
      <c r="S317" t="s">
        <v>6178</v>
      </c>
      <c r="T317" t="s">
        <v>11720</v>
      </c>
      <c r="U317" t="s">
        <v>11720</v>
      </c>
      <c r="V317" t="s">
        <v>11720</v>
      </c>
      <c r="W317" t="s">
        <v>12027</v>
      </c>
      <c r="X317">
        <v>7</v>
      </c>
      <c r="Y317" t="s">
        <v>17828</v>
      </c>
      <c r="Z317" t="s">
        <v>23524</v>
      </c>
      <c r="AA317">
        <v>0.38051648316425918</v>
      </c>
      <c r="AB317" t="str">
        <f>HYPERLINK("Melting_Curves/meltCurve_C9JQD4_PPIH.pdf", "Melting_Curves/meltCurve_C9JQD4_PPIH.pdf")</f>
        <v>Melting_Curves/meltCurve_C9JQD4_PPIH.pdf</v>
      </c>
    </row>
    <row r="318" spans="1:28" x14ac:dyDescent="0.25">
      <c r="A318" t="s">
        <v>322</v>
      </c>
      <c r="B318">
        <v>0.99334974765950101</v>
      </c>
      <c r="C318">
        <v>0.97357412681093303</v>
      </c>
      <c r="D318">
        <v>0.87680984091676695</v>
      </c>
      <c r="E318">
        <v>0.68903768541344002</v>
      </c>
      <c r="F318">
        <v>0.89213004606499302</v>
      </c>
      <c r="G318">
        <v>0.51102033208152997</v>
      </c>
      <c r="H318">
        <v>0.54558969380810296</v>
      </c>
      <c r="I318">
        <v>0.59195611162338901</v>
      </c>
      <c r="J318">
        <v>0.71218295371875495</v>
      </c>
      <c r="K318">
        <v>0.62081916442537199</v>
      </c>
      <c r="L318">
        <v>728.71601681197899</v>
      </c>
      <c r="M318">
        <v>14.892397815513901</v>
      </c>
      <c r="O318">
        <v>48.075193697563201</v>
      </c>
      <c r="P318">
        <v>-3.0803296837382001E-2</v>
      </c>
      <c r="Q318">
        <v>0.60228811895523404</v>
      </c>
      <c r="R318">
        <v>0.725475034692874</v>
      </c>
      <c r="S318" t="s">
        <v>6179</v>
      </c>
      <c r="T318" t="s">
        <v>11720</v>
      </c>
      <c r="U318" t="s">
        <v>11720</v>
      </c>
      <c r="V318" t="s">
        <v>11720</v>
      </c>
      <c r="W318" t="s">
        <v>12033</v>
      </c>
      <c r="X318">
        <v>1</v>
      </c>
      <c r="Y318" t="s">
        <v>17829</v>
      </c>
      <c r="Z318" t="s">
        <v>23525</v>
      </c>
      <c r="AA318">
        <v>0.73067651675609446</v>
      </c>
      <c r="AB318" t="str">
        <f>HYPERLINK("Melting_Curves/meltCurve_C9JQP8_FOXP2.pdf", "Melting_Curves/meltCurve_C9JQP8_FOXP2.pdf")</f>
        <v>Melting_Curves/meltCurve_C9JQP8_FOXP2.pdf</v>
      </c>
    </row>
    <row r="319" spans="1:28" x14ac:dyDescent="0.25">
      <c r="A319" t="s">
        <v>323</v>
      </c>
      <c r="B319">
        <v>0.99334974765950101</v>
      </c>
      <c r="C319">
        <v>1.03244077665037</v>
      </c>
      <c r="D319">
        <v>0.88892782039510898</v>
      </c>
      <c r="E319">
        <v>0.38389495966029902</v>
      </c>
      <c r="F319">
        <v>0.23133193126545201</v>
      </c>
      <c r="G319">
        <v>0.18040724307652101</v>
      </c>
      <c r="H319">
        <v>0.144488953809946</v>
      </c>
      <c r="I319">
        <v>0.16681829502117199</v>
      </c>
      <c r="J319">
        <v>0.13744962674500999</v>
      </c>
      <c r="K319">
        <v>0.14758339152710101</v>
      </c>
      <c r="L319">
        <v>1618.9843662359899</v>
      </c>
      <c r="M319">
        <v>33.318454324980898</v>
      </c>
      <c r="N319">
        <v>49.147635610770301</v>
      </c>
      <c r="O319">
        <v>48.417190432540004</v>
      </c>
      <c r="P319">
        <v>-0.14500948464865801</v>
      </c>
      <c r="Q319">
        <v>0.15711333304959199</v>
      </c>
      <c r="R319">
        <v>0.99725564949201695</v>
      </c>
      <c r="S319" t="s">
        <v>6180</v>
      </c>
      <c r="T319" t="s">
        <v>11720</v>
      </c>
      <c r="U319" t="s">
        <v>11720</v>
      </c>
      <c r="V319" t="s">
        <v>11720</v>
      </c>
      <c r="W319" t="s">
        <v>12034</v>
      </c>
      <c r="X319">
        <v>4</v>
      </c>
      <c r="Y319" t="s">
        <v>17830</v>
      </c>
      <c r="Z319" t="s">
        <v>23526</v>
      </c>
      <c r="AA319">
        <v>0.40260906719935952</v>
      </c>
      <c r="AB319" t="str">
        <f>HYPERLINK("Melting_Curves/meltCurve_C9JQV3_STK11IP.pdf", "Melting_Curves/meltCurve_C9JQV3_STK11IP.pdf")</f>
        <v>Melting_Curves/meltCurve_C9JQV3_STK11IP.pdf</v>
      </c>
    </row>
    <row r="320" spans="1:28" x14ac:dyDescent="0.25">
      <c r="A320" t="s">
        <v>324</v>
      </c>
      <c r="B320">
        <v>0.99334974765950101</v>
      </c>
      <c r="C320">
        <v>0.87689824832790997</v>
      </c>
      <c r="D320">
        <v>0.82840153475049905</v>
      </c>
      <c r="E320">
        <v>0.68403484827364902</v>
      </c>
      <c r="F320">
        <v>0.41786954632738799</v>
      </c>
      <c r="G320">
        <v>0.22361925376151601</v>
      </c>
      <c r="H320">
        <v>0.14820241822743399</v>
      </c>
      <c r="I320">
        <v>5.2791308640468999E-2</v>
      </c>
      <c r="J320">
        <v>3.3307123779116099E-2</v>
      </c>
      <c r="K320">
        <v>1.85687524700161E-2</v>
      </c>
      <c r="L320">
        <v>688.31961271840703</v>
      </c>
      <c r="M320">
        <v>13.2428995849047</v>
      </c>
      <c r="N320">
        <v>51.976494723713898</v>
      </c>
      <c r="O320">
        <v>50.8341850467637</v>
      </c>
      <c r="P320">
        <v>-6.5138628828915898E-2</v>
      </c>
      <c r="Q320">
        <v>0</v>
      </c>
      <c r="R320">
        <v>0.99237515880503901</v>
      </c>
      <c r="S320" t="s">
        <v>6181</v>
      </c>
      <c r="T320" t="s">
        <v>11720</v>
      </c>
      <c r="U320" t="s">
        <v>11720</v>
      </c>
      <c r="V320" t="s">
        <v>11720</v>
      </c>
      <c r="W320" t="s">
        <v>12035</v>
      </c>
      <c r="X320">
        <v>2</v>
      </c>
      <c r="Y320" t="s">
        <v>17831</v>
      </c>
      <c r="Z320" t="s">
        <v>23527</v>
      </c>
      <c r="AA320">
        <v>0.42607065475413231</v>
      </c>
      <c r="AB320" t="str">
        <f>HYPERLINK("Melting_Curves/meltCurve_C9JRY4_SEC22A.pdf", "Melting_Curves/meltCurve_C9JRY4_SEC22A.pdf")</f>
        <v>Melting_Curves/meltCurve_C9JRY4_SEC22A.pdf</v>
      </c>
    </row>
    <row r="321" spans="1:28" x14ac:dyDescent="0.25">
      <c r="A321" t="s">
        <v>325</v>
      </c>
      <c r="B321">
        <v>0.99334974765950101</v>
      </c>
      <c r="C321">
        <v>0.95127003568824497</v>
      </c>
      <c r="D321">
        <v>0.967076186821482</v>
      </c>
      <c r="E321">
        <v>1.12416130089724</v>
      </c>
      <c r="F321">
        <v>1.7549329529958499</v>
      </c>
      <c r="G321">
        <v>1.2412441452931899</v>
      </c>
      <c r="H321">
        <v>1.2063882927020599</v>
      </c>
      <c r="I321">
        <v>1.1583714963313601</v>
      </c>
      <c r="J321">
        <v>1.7270824957186901</v>
      </c>
      <c r="K321">
        <v>1.3986562134818501</v>
      </c>
      <c r="L321">
        <v>12542.462600128199</v>
      </c>
      <c r="M321">
        <v>250</v>
      </c>
      <c r="O321">
        <v>50.166623670390997</v>
      </c>
      <c r="P321">
        <v>0.516336443528426</v>
      </c>
      <c r="Q321">
        <v>1.4144458307587</v>
      </c>
      <c r="R321">
        <v>0.53486028673572195</v>
      </c>
      <c r="S321" t="s">
        <v>6182</v>
      </c>
      <c r="T321" t="s">
        <v>11720</v>
      </c>
      <c r="U321" t="s">
        <v>11720</v>
      </c>
      <c r="V321" t="s">
        <v>11720</v>
      </c>
      <c r="W321" t="s">
        <v>12036</v>
      </c>
      <c r="X321">
        <v>12</v>
      </c>
      <c r="Y321" t="s">
        <v>17832</v>
      </c>
      <c r="Z321" t="s">
        <v>23528</v>
      </c>
      <c r="AA321">
        <v>1.27391426998848</v>
      </c>
      <c r="AB321" t="str">
        <f>HYPERLINK("Melting_Curves/meltCurve_C9JRZ6_CHCHD3.pdf", "Melting_Curves/meltCurve_C9JRZ6_CHCHD3.pdf")</f>
        <v>Melting_Curves/meltCurve_C9JRZ6_CHCHD3.pdf</v>
      </c>
    </row>
    <row r="322" spans="1:28" x14ac:dyDescent="0.25">
      <c r="A322" t="s">
        <v>326</v>
      </c>
      <c r="B322">
        <v>0.99334974765950101</v>
      </c>
      <c r="C322">
        <v>0.99497593469632295</v>
      </c>
      <c r="D322">
        <v>0.97361240427486195</v>
      </c>
      <c r="E322">
        <v>1.0434208288548401</v>
      </c>
      <c r="F322">
        <v>0.91500974904107801</v>
      </c>
      <c r="G322">
        <v>1.0214410564301499</v>
      </c>
      <c r="H322">
        <v>0.87109325189627895</v>
      </c>
      <c r="I322">
        <v>1.19046886550526</v>
      </c>
      <c r="J322">
        <v>0.77996776967729298</v>
      </c>
      <c r="K322">
        <v>0.354367765323572</v>
      </c>
      <c r="L322">
        <v>15000</v>
      </c>
      <c r="M322">
        <v>223.22058432959699</v>
      </c>
      <c r="N322">
        <v>67.571307622275796</v>
      </c>
      <c r="O322">
        <v>67.192694262482803</v>
      </c>
      <c r="P322">
        <v>-0.53628474880008503</v>
      </c>
      <c r="Q322">
        <v>0.35428131418894998</v>
      </c>
      <c r="R322">
        <v>0.86075995310204201</v>
      </c>
      <c r="S322" t="s">
        <v>6183</v>
      </c>
      <c r="T322" t="s">
        <v>11720</v>
      </c>
      <c r="U322" t="s">
        <v>11720</v>
      </c>
      <c r="V322" t="s">
        <v>11720</v>
      </c>
      <c r="W322" t="s">
        <v>12037</v>
      </c>
      <c r="X322">
        <v>1</v>
      </c>
      <c r="Y322" t="s">
        <v>17833</v>
      </c>
      <c r="Z322" t="s">
        <v>23529</v>
      </c>
      <c r="AA322">
        <v>0.93978669786154811</v>
      </c>
      <c r="AB322" t="str">
        <f>HYPERLINK("Melting_Curves/meltCurve_C9JSZ2_SLC46A1.pdf", "Melting_Curves/meltCurve_C9JSZ2_SLC46A1.pdf")</f>
        <v>Melting_Curves/meltCurve_C9JSZ2_SLC46A1.pdf</v>
      </c>
    </row>
    <row r="323" spans="1:28" x14ac:dyDescent="0.25">
      <c r="A323" t="s">
        <v>327</v>
      </c>
      <c r="B323">
        <v>0.99334974765950101</v>
      </c>
      <c r="C323">
        <v>0.92520486406536695</v>
      </c>
      <c r="D323">
        <v>0.82010671896526299</v>
      </c>
      <c r="E323">
        <v>0.83184300900937203</v>
      </c>
      <c r="F323">
        <v>1.0033188057503399</v>
      </c>
      <c r="G323">
        <v>0.55922909738836701</v>
      </c>
      <c r="H323">
        <v>0.62401248075499505</v>
      </c>
      <c r="I323">
        <v>0.69661982285263502</v>
      </c>
      <c r="J323">
        <v>0.97539626345207797</v>
      </c>
      <c r="K323">
        <v>0.82767043061863399</v>
      </c>
      <c r="L323">
        <v>641.37058761463697</v>
      </c>
      <c r="M323">
        <v>14.1740725384294</v>
      </c>
      <c r="O323">
        <v>44.377455402598798</v>
      </c>
      <c r="P323">
        <v>-1.8467463414401499E-2</v>
      </c>
      <c r="Q323">
        <v>0.76875087322239599</v>
      </c>
      <c r="R323">
        <v>0.231183025680606</v>
      </c>
      <c r="S323" t="s">
        <v>6184</v>
      </c>
      <c r="T323" t="s">
        <v>11720</v>
      </c>
      <c r="U323" t="s">
        <v>11720</v>
      </c>
      <c r="V323" t="s">
        <v>11720</v>
      </c>
      <c r="W323" t="s">
        <v>12038</v>
      </c>
      <c r="X323">
        <v>1</v>
      </c>
      <c r="Y323" t="s">
        <v>17834</v>
      </c>
      <c r="Z323" t="s">
        <v>23530</v>
      </c>
      <c r="AA323">
        <v>0.81735620737215131</v>
      </c>
      <c r="AB323" t="str">
        <f>HYPERLINK("Melting_Curves/meltCurve_C9JT52_ZNF513.pdf", "Melting_Curves/meltCurve_C9JT52_ZNF513.pdf")</f>
        <v>Melting_Curves/meltCurve_C9JT52_ZNF513.pdf</v>
      </c>
    </row>
    <row r="324" spans="1:28" x14ac:dyDescent="0.25">
      <c r="A324" t="s">
        <v>328</v>
      </c>
      <c r="B324">
        <v>0.99334974765950101</v>
      </c>
      <c r="C324">
        <v>0.89521873402257102</v>
      </c>
      <c r="D324">
        <v>0.82268134587977304</v>
      </c>
      <c r="E324">
        <v>0.75153578982990099</v>
      </c>
      <c r="F324">
        <v>0.584470424901261</v>
      </c>
      <c r="G324">
        <v>0.204785980873505</v>
      </c>
      <c r="H324">
        <v>0.117777650554202</v>
      </c>
      <c r="I324">
        <v>7.4397084491062304E-2</v>
      </c>
      <c r="J324">
        <v>4.3496932892147303E-2</v>
      </c>
      <c r="K324">
        <v>5.3190962053817098E-2</v>
      </c>
      <c r="L324">
        <v>773.46188997602701</v>
      </c>
      <c r="M324">
        <v>14.541388721474799</v>
      </c>
      <c r="N324">
        <v>53.190377699635597</v>
      </c>
      <c r="O324">
        <v>52.2147941741121</v>
      </c>
      <c r="P324">
        <v>-6.9630877434562005E-2</v>
      </c>
      <c r="Q324">
        <v>0</v>
      </c>
      <c r="R324">
        <v>0.98200824516507301</v>
      </c>
      <c r="S324" t="s">
        <v>6185</v>
      </c>
      <c r="T324" t="s">
        <v>11720</v>
      </c>
      <c r="U324" t="s">
        <v>11720</v>
      </c>
      <c r="V324" t="s">
        <v>11720</v>
      </c>
      <c r="W324" t="s">
        <v>12039</v>
      </c>
      <c r="X324">
        <v>3</v>
      </c>
      <c r="Y324" t="s">
        <v>17835</v>
      </c>
      <c r="Z324" t="s">
        <v>23531</v>
      </c>
      <c r="AA324">
        <v>0.46193216312713242</v>
      </c>
      <c r="AB324" t="str">
        <f>HYPERLINK("Melting_Curves/meltCurve_C9JTT8_BET1.pdf", "Melting_Curves/meltCurve_C9JTT8_BET1.pdf")</f>
        <v>Melting_Curves/meltCurve_C9JTT8_BET1.pdf</v>
      </c>
    </row>
    <row r="325" spans="1:28" x14ac:dyDescent="0.25">
      <c r="A325" t="s">
        <v>329</v>
      </c>
      <c r="B325">
        <v>0.99334974765950101</v>
      </c>
      <c r="C325">
        <v>0.74656979052293904</v>
      </c>
      <c r="D325">
        <v>0.64961304189439295</v>
      </c>
      <c r="E325">
        <v>0.56951422949145503</v>
      </c>
      <c r="F325">
        <v>1.03273701804211</v>
      </c>
      <c r="G325">
        <v>0.88580163484392205</v>
      </c>
      <c r="H325">
        <v>0.62060373651470802</v>
      </c>
      <c r="I325">
        <v>0.57079298017993496</v>
      </c>
      <c r="J325">
        <v>0.74109366158277501</v>
      </c>
      <c r="K325">
        <v>0.265499699013232</v>
      </c>
      <c r="L325">
        <v>186.68462453853601</v>
      </c>
      <c r="M325">
        <v>2.5078245953439602</v>
      </c>
      <c r="O325">
        <v>50.2851586962461</v>
      </c>
      <c r="P325">
        <v>-1.31007024365322E-2</v>
      </c>
      <c r="Q325">
        <v>0</v>
      </c>
      <c r="R325">
        <v>0.28848926016168402</v>
      </c>
      <c r="S325" t="s">
        <v>6186</v>
      </c>
      <c r="T325" t="s">
        <v>11720</v>
      </c>
      <c r="U325" t="s">
        <v>11720</v>
      </c>
      <c r="V325" t="s">
        <v>11720</v>
      </c>
      <c r="W325" t="s">
        <v>12040</v>
      </c>
      <c r="X325">
        <v>13</v>
      </c>
      <c r="Y325" t="s">
        <v>17836</v>
      </c>
      <c r="Z325" t="s">
        <v>23532</v>
      </c>
      <c r="AA325">
        <v>0.71216090639320684</v>
      </c>
      <c r="AB325" t="str">
        <f>HYPERLINK("Melting_Curves/meltCurve_C9JTX5_ACTB.pdf", "Melting_Curves/meltCurve_C9JTX5_ACTB.pdf")</f>
        <v>Melting_Curves/meltCurve_C9JTX5_ACTB.pdf</v>
      </c>
    </row>
    <row r="326" spans="1:28" x14ac:dyDescent="0.25">
      <c r="A326" t="s">
        <v>330</v>
      </c>
      <c r="B326">
        <v>0.99334974765950101</v>
      </c>
      <c r="C326">
        <v>1.0180513421330499</v>
      </c>
      <c r="D326">
        <v>0.97970793446358095</v>
      </c>
      <c r="E326">
        <v>0.63633737672181401</v>
      </c>
      <c r="F326">
        <v>0.282233667142061</v>
      </c>
      <c r="G326">
        <v>0.15996792656049999</v>
      </c>
      <c r="H326">
        <v>0.103646251995525</v>
      </c>
      <c r="I326">
        <v>9.8325180949700705E-2</v>
      </c>
      <c r="J326">
        <v>9.1468647437420295E-2</v>
      </c>
      <c r="K326">
        <v>8.1280646175951002E-2</v>
      </c>
      <c r="L326">
        <v>1542.2616403898101</v>
      </c>
      <c r="M326">
        <v>30.4315800771349</v>
      </c>
      <c r="N326">
        <v>51.047080797015603</v>
      </c>
      <c r="O326">
        <v>50.462313508512402</v>
      </c>
      <c r="P326">
        <v>-0.13593603729577799</v>
      </c>
      <c r="Q326">
        <v>9.8357186280788406E-2</v>
      </c>
      <c r="R326">
        <v>0.99854018911243903</v>
      </c>
      <c r="S326" t="s">
        <v>6187</v>
      </c>
      <c r="T326" t="s">
        <v>11720</v>
      </c>
      <c r="U326" t="s">
        <v>11720</v>
      </c>
      <c r="V326" t="s">
        <v>11720</v>
      </c>
      <c r="W326" t="s">
        <v>12041</v>
      </c>
      <c r="X326">
        <v>1</v>
      </c>
      <c r="Y326" t="s">
        <v>17837</v>
      </c>
      <c r="Z326" t="s">
        <v>23533</v>
      </c>
      <c r="AA326">
        <v>0.42481096939609769</v>
      </c>
      <c r="AB326" t="str">
        <f>HYPERLINK("Melting_Curves/meltCurve_C9JUF0_EIF4A2.pdf", "Melting_Curves/meltCurve_C9JUF0_EIF4A2.pdf")</f>
        <v>Melting_Curves/meltCurve_C9JUF0_EIF4A2.pdf</v>
      </c>
    </row>
    <row r="327" spans="1:28" x14ac:dyDescent="0.25">
      <c r="A327" t="s">
        <v>331</v>
      </c>
      <c r="B327">
        <v>0.99334974765950101</v>
      </c>
      <c r="C327">
        <v>0.94342841520949505</v>
      </c>
      <c r="D327">
        <v>0.916773479776954</v>
      </c>
      <c r="E327">
        <v>0.70875035539021503</v>
      </c>
      <c r="F327">
        <v>0.42368704002782198</v>
      </c>
      <c r="G327">
        <v>0.300898230273978</v>
      </c>
      <c r="H327">
        <v>0.15993348788850001</v>
      </c>
      <c r="I327">
        <v>9.7876232064136801E-2</v>
      </c>
      <c r="J327">
        <v>6.6388192214713204E-2</v>
      </c>
      <c r="K327">
        <v>5.9831382421912403E-2</v>
      </c>
      <c r="L327">
        <v>783.67135421978696</v>
      </c>
      <c r="M327">
        <v>14.959688387173101</v>
      </c>
      <c r="N327">
        <v>52.702495625647202</v>
      </c>
      <c r="O327">
        <v>51.476184909691</v>
      </c>
      <c r="P327">
        <v>-6.9534995043306194E-2</v>
      </c>
      <c r="Q327">
        <v>4.3019947106565599E-2</v>
      </c>
      <c r="R327">
        <v>0.99508616257206695</v>
      </c>
      <c r="S327" t="s">
        <v>6188</v>
      </c>
      <c r="T327" t="s">
        <v>11720</v>
      </c>
      <c r="U327" t="s">
        <v>11720</v>
      </c>
      <c r="V327" t="s">
        <v>11720</v>
      </c>
      <c r="W327" t="s">
        <v>12042</v>
      </c>
      <c r="X327">
        <v>9</v>
      </c>
      <c r="Y327" t="s">
        <v>17838</v>
      </c>
      <c r="Z327" t="s">
        <v>23534</v>
      </c>
      <c r="AA327">
        <v>0.45929420499606421</v>
      </c>
      <c r="AB327" t="str">
        <f>HYPERLINK("Melting_Curves/meltCurve_C9JVN9_L2HGDH.pdf", "Melting_Curves/meltCurve_C9JVN9_L2HGDH.pdf")</f>
        <v>Melting_Curves/meltCurve_C9JVN9_L2HGDH.pdf</v>
      </c>
    </row>
    <row r="328" spans="1:28" x14ac:dyDescent="0.25">
      <c r="A328" t="s">
        <v>332</v>
      </c>
      <c r="B328">
        <v>0.99334974765950101</v>
      </c>
      <c r="C328">
        <v>1.0197327079376901</v>
      </c>
      <c r="D328">
        <v>1.01252760092768</v>
      </c>
      <c r="E328">
        <v>0.88620806943897201</v>
      </c>
      <c r="F328">
        <v>0.34109977787915702</v>
      </c>
      <c r="G328">
        <v>0.19202293791678501</v>
      </c>
      <c r="H328">
        <v>0.13956801329109</v>
      </c>
      <c r="I328">
        <v>0.117276792427683</v>
      </c>
      <c r="J328">
        <v>0.107179393043506</v>
      </c>
      <c r="K328">
        <v>8.3113695776496896E-2</v>
      </c>
      <c r="L328">
        <v>2572.5912046285698</v>
      </c>
      <c r="M328">
        <v>49.6092201678292</v>
      </c>
      <c r="N328">
        <v>52.158761848244197</v>
      </c>
      <c r="O328">
        <v>51.773063382481297</v>
      </c>
      <c r="P328">
        <v>-0.209677971152822</v>
      </c>
      <c r="Q328">
        <v>0.12470616478855701</v>
      </c>
      <c r="R328">
        <v>0.99616516841059799</v>
      </c>
      <c r="S328" t="s">
        <v>6189</v>
      </c>
      <c r="T328" t="s">
        <v>11720</v>
      </c>
      <c r="U328" t="s">
        <v>11720</v>
      </c>
      <c r="V328" t="s">
        <v>11720</v>
      </c>
      <c r="W328" t="s">
        <v>12043</v>
      </c>
      <c r="X328">
        <v>6</v>
      </c>
      <c r="Y328" t="s">
        <v>17839</v>
      </c>
      <c r="Z328" t="s">
        <v>23535</v>
      </c>
      <c r="AA328">
        <v>0.47268880507044408</v>
      </c>
      <c r="AB328" t="str">
        <f>HYPERLINK("Melting_Curves/meltCurve_C9JXB8_RPL24.pdf", "Melting_Curves/meltCurve_C9JXB8_RPL24.pdf")</f>
        <v>Melting_Curves/meltCurve_C9JXB8_RPL24.pdf</v>
      </c>
    </row>
    <row r="329" spans="1:28" x14ac:dyDescent="0.25">
      <c r="A329" t="s">
        <v>333</v>
      </c>
      <c r="B329">
        <v>0.99334974765950101</v>
      </c>
      <c r="C329">
        <v>0.94613529548017405</v>
      </c>
      <c r="D329">
        <v>0.894731293670463</v>
      </c>
      <c r="E329">
        <v>0.776666255971727</v>
      </c>
      <c r="F329">
        <v>0.57980848055328604</v>
      </c>
      <c r="G329">
        <v>0.457779151441086</v>
      </c>
      <c r="H329">
        <v>0.290942544443203</v>
      </c>
      <c r="I329">
        <v>0.25327038199526303</v>
      </c>
      <c r="J329">
        <v>0.204367873485961</v>
      </c>
      <c r="K329">
        <v>0.16098563677591399</v>
      </c>
      <c r="L329">
        <v>607.07336623328899</v>
      </c>
      <c r="M329">
        <v>11.173895612241999</v>
      </c>
      <c r="N329">
        <v>55.460022020065097</v>
      </c>
      <c r="O329">
        <v>52.676612288328798</v>
      </c>
      <c r="P329">
        <v>-4.7645130593843801E-2</v>
      </c>
      <c r="Q329">
        <v>0.101839505354673</v>
      </c>
      <c r="R329">
        <v>0.99702410506031602</v>
      </c>
      <c r="S329" t="s">
        <v>6190</v>
      </c>
      <c r="T329" t="s">
        <v>11720</v>
      </c>
      <c r="U329" t="s">
        <v>11720</v>
      </c>
      <c r="V329" t="s">
        <v>11720</v>
      </c>
      <c r="W329" t="s">
        <v>12044</v>
      </c>
      <c r="X329">
        <v>11</v>
      </c>
      <c r="Y329" t="s">
        <v>17840</v>
      </c>
      <c r="Z329" t="s">
        <v>23536</v>
      </c>
      <c r="AA329">
        <v>0.55488467214089476</v>
      </c>
      <c r="AB329" t="str">
        <f>HYPERLINK("Melting_Curves/meltCurve_C9JXK9_LPP.pdf", "Melting_Curves/meltCurve_C9JXK9_LPP.pdf")</f>
        <v>Melting_Curves/meltCurve_C9JXK9_LPP.pdf</v>
      </c>
    </row>
    <row r="330" spans="1:28" x14ac:dyDescent="0.25">
      <c r="A330" t="s">
        <v>334</v>
      </c>
      <c r="B330">
        <v>0.99334974765950101</v>
      </c>
      <c r="C330">
        <v>1.0149243603315701</v>
      </c>
      <c r="D330">
        <v>0.95313671762909802</v>
      </c>
      <c r="E330">
        <v>0.81777741614889399</v>
      </c>
      <c r="F330">
        <v>0.52252232902804996</v>
      </c>
      <c r="G330">
        <v>0.55752519175468496</v>
      </c>
      <c r="H330">
        <v>0.51841491892989999</v>
      </c>
      <c r="I330">
        <v>0.95424059858312005</v>
      </c>
      <c r="J330">
        <v>0.67724552049711395</v>
      </c>
      <c r="K330">
        <v>0.67685051354687498</v>
      </c>
      <c r="L330">
        <v>12495.531430072901</v>
      </c>
      <c r="M330">
        <v>250</v>
      </c>
      <c r="O330">
        <v>49.978906452829698</v>
      </c>
      <c r="P330">
        <v>-0.4362673886747</v>
      </c>
      <c r="Q330">
        <v>0.65113318256558606</v>
      </c>
      <c r="R330">
        <v>0.62192238080096296</v>
      </c>
      <c r="S330" t="s">
        <v>6191</v>
      </c>
      <c r="T330" t="s">
        <v>11720</v>
      </c>
      <c r="U330" t="s">
        <v>11720</v>
      </c>
      <c r="V330" t="s">
        <v>11720</v>
      </c>
      <c r="W330" t="s">
        <v>12045</v>
      </c>
      <c r="X330">
        <v>1</v>
      </c>
      <c r="Y330" t="s">
        <v>17841</v>
      </c>
      <c r="Z330" t="s">
        <v>23537</v>
      </c>
      <c r="AA330">
        <v>0.76724486545598047</v>
      </c>
      <c r="AB330" t="str">
        <f>HYPERLINK("Melting_Curves/meltCurve_C9JYN0_SYPL1.pdf", "Melting_Curves/meltCurve_C9JYN0_SYPL1.pdf")</f>
        <v>Melting_Curves/meltCurve_C9JYN0_SYPL1.pdf</v>
      </c>
    </row>
    <row r="331" spans="1:28" x14ac:dyDescent="0.25">
      <c r="A331" t="s">
        <v>335</v>
      </c>
      <c r="B331">
        <v>0.99334974765950101</v>
      </c>
      <c r="C331">
        <v>0.92862073825749403</v>
      </c>
      <c r="D331">
        <v>0.88568070599105797</v>
      </c>
      <c r="E331">
        <v>0.71523685184414398</v>
      </c>
      <c r="F331">
        <v>0.87404470900484399</v>
      </c>
      <c r="G331">
        <v>0.54463386317096096</v>
      </c>
      <c r="H331">
        <v>0.54032024640096998</v>
      </c>
      <c r="I331">
        <v>0.54544642721406</v>
      </c>
      <c r="J331">
        <v>0.50340556648311996</v>
      </c>
      <c r="K331">
        <v>0.56314100631778896</v>
      </c>
      <c r="L331">
        <v>535.83803751286098</v>
      </c>
      <c r="M331">
        <v>10.3192215949383</v>
      </c>
      <c r="O331">
        <v>50.0895962247087</v>
      </c>
      <c r="P331">
        <v>-2.6846681426803898E-2</v>
      </c>
      <c r="Q331">
        <v>0.47896837403600701</v>
      </c>
      <c r="R331">
        <v>0.87009281240726699</v>
      </c>
      <c r="S331" t="s">
        <v>6192</v>
      </c>
      <c r="T331" t="s">
        <v>11720</v>
      </c>
      <c r="U331" t="s">
        <v>11720</v>
      </c>
      <c r="V331" t="s">
        <v>11720</v>
      </c>
      <c r="W331" t="s">
        <v>12046</v>
      </c>
      <c r="X331">
        <v>2</v>
      </c>
      <c r="Y331" t="s">
        <v>17842</v>
      </c>
      <c r="Z331" t="s">
        <v>23538</v>
      </c>
      <c r="AA331">
        <v>0.70533815252836896</v>
      </c>
      <c r="AB331" t="str">
        <f>HYPERLINK("Melting_Curves/meltCurve_C9JYY6_NRCAM.pdf", "Melting_Curves/meltCurve_C9JYY6_NRCAM.pdf")</f>
        <v>Melting_Curves/meltCurve_C9JYY6_NRCAM.pdf</v>
      </c>
    </row>
    <row r="332" spans="1:28" x14ac:dyDescent="0.25">
      <c r="A332" t="s">
        <v>336</v>
      </c>
      <c r="B332">
        <v>0.99334974765950101</v>
      </c>
      <c r="C332">
        <v>1.07902564998966</v>
      </c>
      <c r="D332">
        <v>0.97485793027840995</v>
      </c>
      <c r="E332">
        <v>0.54133543639205095</v>
      </c>
      <c r="F332">
        <v>0.178915102031342</v>
      </c>
      <c r="G332">
        <v>0.11267083480588599</v>
      </c>
      <c r="H332">
        <v>4.6511536371308698E-2</v>
      </c>
      <c r="I332">
        <v>3.9265553311904101E-2</v>
      </c>
      <c r="J332">
        <v>3.32938593326874E-2</v>
      </c>
      <c r="K332">
        <v>0</v>
      </c>
      <c r="L332">
        <v>1683.6223560025101</v>
      </c>
      <c r="M332">
        <v>33.553068604735998</v>
      </c>
      <c r="N332">
        <v>50.3078750359659</v>
      </c>
      <c r="O332">
        <v>50.000661532258398</v>
      </c>
      <c r="P332">
        <v>-0.160798579923771</v>
      </c>
      <c r="Q332">
        <v>4.1518150312745201E-2</v>
      </c>
      <c r="R332">
        <v>0.99351800748331098</v>
      </c>
      <c r="S332" t="s">
        <v>6193</v>
      </c>
      <c r="T332" t="s">
        <v>11720</v>
      </c>
      <c r="U332" t="s">
        <v>11720</v>
      </c>
      <c r="V332" t="s">
        <v>11720</v>
      </c>
      <c r="W332" t="s">
        <v>12047</v>
      </c>
      <c r="X332">
        <v>1</v>
      </c>
      <c r="Y332" t="s">
        <v>17843</v>
      </c>
      <c r="Z332" t="s">
        <v>23539</v>
      </c>
      <c r="AA332">
        <v>0.37143776844807291</v>
      </c>
      <c r="AB332" t="str">
        <f>HYPERLINK("Melting_Curves/meltCurve_C9JZB0_INPP5K.pdf", "Melting_Curves/meltCurve_C9JZB0_INPP5K.pdf")</f>
        <v>Melting_Curves/meltCurve_C9JZB0_INPP5K.pdf</v>
      </c>
    </row>
    <row r="333" spans="1:28" x14ac:dyDescent="0.25">
      <c r="A333" t="s">
        <v>337</v>
      </c>
      <c r="B333">
        <v>0.99334974765950101</v>
      </c>
      <c r="C333">
        <v>0.90377036165864799</v>
      </c>
      <c r="D333">
        <v>0.90183043396469098</v>
      </c>
      <c r="E333">
        <v>0.66435794920569302</v>
      </c>
      <c r="F333">
        <v>0.29378259262791101</v>
      </c>
      <c r="G333">
        <v>0.16790451225979799</v>
      </c>
      <c r="H333">
        <v>0.107915361167383</v>
      </c>
      <c r="I333">
        <v>7.4229789199350305E-2</v>
      </c>
      <c r="J333">
        <v>7.7733306789917106E-2</v>
      </c>
      <c r="K333">
        <v>2.3845849708374101E-2</v>
      </c>
      <c r="L333">
        <v>1064.53857873827</v>
      </c>
      <c r="M333">
        <v>20.9023797470883</v>
      </c>
      <c r="N333">
        <v>51.226431803362303</v>
      </c>
      <c r="O333">
        <v>50.469786803201998</v>
      </c>
      <c r="P333">
        <v>-9.7626238540979599E-2</v>
      </c>
      <c r="Q333">
        <v>5.7133054709938402E-2</v>
      </c>
      <c r="R333">
        <v>0.99067442406689699</v>
      </c>
      <c r="S333" t="s">
        <v>6194</v>
      </c>
      <c r="T333" t="s">
        <v>11720</v>
      </c>
      <c r="U333" t="s">
        <v>11720</v>
      </c>
      <c r="V333" t="s">
        <v>11720</v>
      </c>
      <c r="W333" t="s">
        <v>12048</v>
      </c>
      <c r="X333">
        <v>3</v>
      </c>
      <c r="Y333" t="s">
        <v>17844</v>
      </c>
      <c r="Z333" t="s">
        <v>23540</v>
      </c>
      <c r="AA333">
        <v>0.41266488626712777</v>
      </c>
      <c r="AB333" t="str">
        <f>HYPERLINK("Melting_Curves/meltCurve_C9JZI1_RFC4.pdf", "Melting_Curves/meltCurve_C9JZI1_RFC4.pdf")</f>
        <v>Melting_Curves/meltCurve_C9JZI1_RFC4.pdf</v>
      </c>
    </row>
    <row r="334" spans="1:28" x14ac:dyDescent="0.25">
      <c r="A334" t="s">
        <v>338</v>
      </c>
      <c r="B334">
        <v>0.99334974765950101</v>
      </c>
      <c r="C334">
        <v>1.25167778539311</v>
      </c>
      <c r="D334">
        <v>0.94852218189625104</v>
      </c>
      <c r="E334">
        <v>0.77925923994468305</v>
      </c>
      <c r="F334">
        <v>0.44879252222958399</v>
      </c>
      <c r="G334">
        <v>0.29605244490658</v>
      </c>
      <c r="H334">
        <v>0.23782138089628399</v>
      </c>
      <c r="I334">
        <v>0.32976913620887699</v>
      </c>
      <c r="J334">
        <v>0.40537082694779503</v>
      </c>
      <c r="K334">
        <v>0.31051529353914997</v>
      </c>
      <c r="L334">
        <v>1960.10700322818</v>
      </c>
      <c r="M334">
        <v>38.458514740265002</v>
      </c>
      <c r="N334">
        <v>52.315113240510001</v>
      </c>
      <c r="O334">
        <v>50.829572300276602</v>
      </c>
      <c r="P334">
        <v>-0.12967825287502699</v>
      </c>
      <c r="Q334">
        <v>0.31443280566869602</v>
      </c>
      <c r="R334">
        <v>0.93118174984688795</v>
      </c>
      <c r="S334" t="s">
        <v>6195</v>
      </c>
      <c r="T334" t="s">
        <v>11720</v>
      </c>
      <c r="U334" t="s">
        <v>11720</v>
      </c>
      <c r="V334" t="s">
        <v>11720</v>
      </c>
      <c r="W334" t="s">
        <v>12040</v>
      </c>
      <c r="X334">
        <v>14</v>
      </c>
      <c r="Y334" t="s">
        <v>17836</v>
      </c>
      <c r="Z334" t="s">
        <v>23541</v>
      </c>
      <c r="AA334">
        <v>0.56766258288292093</v>
      </c>
      <c r="AB334" t="str">
        <f>HYPERLINK("Melting_Curves/meltCurve_C9JZR7_ACTB.pdf", "Melting_Curves/meltCurve_C9JZR7_ACTB.pdf")</f>
        <v>Melting_Curves/meltCurve_C9JZR7_ACTB.pdf</v>
      </c>
    </row>
    <row r="335" spans="1:28" x14ac:dyDescent="0.25">
      <c r="A335" t="s">
        <v>339</v>
      </c>
      <c r="B335">
        <v>0.99334974765950101</v>
      </c>
      <c r="C335">
        <v>0.81581852379672204</v>
      </c>
      <c r="D335">
        <v>0.65829510913754496</v>
      </c>
      <c r="E335">
        <v>0.44099412612271199</v>
      </c>
      <c r="F335">
        <v>0.41379938166767699</v>
      </c>
      <c r="G335">
        <v>0.19334714190035801</v>
      </c>
      <c r="H335">
        <v>0.18504952580140899</v>
      </c>
      <c r="I335">
        <v>4.0072249826094003E-2</v>
      </c>
      <c r="J335">
        <v>0.13322358851646501</v>
      </c>
      <c r="K335">
        <v>5.8570074824345099E-2</v>
      </c>
      <c r="L335">
        <v>518.22349258562701</v>
      </c>
      <c r="M335">
        <v>10.527284853737999</v>
      </c>
      <c r="N335">
        <v>49.545299865471897</v>
      </c>
      <c r="O335">
        <v>47.549927969835998</v>
      </c>
      <c r="P335">
        <v>-5.35585520939173E-2</v>
      </c>
      <c r="Q335">
        <v>3.2727468911034299E-2</v>
      </c>
      <c r="R335">
        <v>0.97797447832699402</v>
      </c>
      <c r="S335" t="s">
        <v>6196</v>
      </c>
      <c r="T335" t="s">
        <v>11720</v>
      </c>
      <c r="U335" t="s">
        <v>11720</v>
      </c>
      <c r="V335" t="s">
        <v>11720</v>
      </c>
      <c r="W335" t="s">
        <v>12049</v>
      </c>
      <c r="X335">
        <v>3</v>
      </c>
      <c r="Y335" t="s">
        <v>17845</v>
      </c>
      <c r="Z335" t="s">
        <v>23542</v>
      </c>
      <c r="AA335">
        <v>0.37332426383680112</v>
      </c>
      <c r="AB335" t="str">
        <f>HYPERLINK("Melting_Curves/meltCurve_C9JZY3_PCBP4.pdf", "Melting_Curves/meltCurve_C9JZY3_PCBP4.pdf")</f>
        <v>Melting_Curves/meltCurve_C9JZY3_PCBP4.pdf</v>
      </c>
    </row>
    <row r="336" spans="1:28" x14ac:dyDescent="0.25">
      <c r="A336" t="s">
        <v>340</v>
      </c>
      <c r="B336">
        <v>0.99334974765950101</v>
      </c>
      <c r="C336">
        <v>1.0230924421813701</v>
      </c>
      <c r="D336">
        <v>1.0244991986924299</v>
      </c>
      <c r="E336">
        <v>0.81102645420355701</v>
      </c>
      <c r="F336">
        <v>0.35255320692659498</v>
      </c>
      <c r="G336">
        <v>0.202123272432259</v>
      </c>
      <c r="H336">
        <v>0.12820453391730799</v>
      </c>
      <c r="I336">
        <v>0.15120165044318201</v>
      </c>
      <c r="J336">
        <v>9.7947586430315106E-2</v>
      </c>
      <c r="K336">
        <v>8.4528563223075198E-2</v>
      </c>
      <c r="L336">
        <v>1967.32498146032</v>
      </c>
      <c r="M336">
        <v>38.091454384551596</v>
      </c>
      <c r="N336">
        <v>52.042285425911999</v>
      </c>
      <c r="O336">
        <v>51.505683108923101</v>
      </c>
      <c r="P336">
        <v>-0.16168591049623501</v>
      </c>
      <c r="Q336">
        <v>0.125502356240761</v>
      </c>
      <c r="R336">
        <v>0.99514930317732297</v>
      </c>
      <c r="S336" t="s">
        <v>6197</v>
      </c>
      <c r="T336" t="s">
        <v>11720</v>
      </c>
      <c r="U336" t="s">
        <v>11720</v>
      </c>
      <c r="V336" t="s">
        <v>11720</v>
      </c>
      <c r="W336" t="s">
        <v>12050</v>
      </c>
      <c r="X336">
        <v>5</v>
      </c>
      <c r="Y336" t="s">
        <v>17846</v>
      </c>
      <c r="Z336" t="s">
        <v>23543</v>
      </c>
      <c r="AA336">
        <v>0.46846700780117451</v>
      </c>
      <c r="AB336" t="str">
        <f>HYPERLINK("Melting_Curves/meltCurve_C9JZY6_UBE2H.pdf", "Melting_Curves/meltCurve_C9JZY6_UBE2H.pdf")</f>
        <v>Melting_Curves/meltCurve_C9JZY6_UBE2H.pdf</v>
      </c>
    </row>
    <row r="337" spans="1:28" x14ac:dyDescent="0.25">
      <c r="A337" t="s">
        <v>341</v>
      </c>
      <c r="B337">
        <v>0.99334974765950101</v>
      </c>
      <c r="C337">
        <v>0.96675767534038204</v>
      </c>
      <c r="D337">
        <v>0.86716326810279099</v>
      </c>
      <c r="E337">
        <v>0.75330584930579003</v>
      </c>
      <c r="F337">
        <v>0.499144973215494</v>
      </c>
      <c r="G337">
        <v>0.30105191256609698</v>
      </c>
      <c r="H337">
        <v>0.212250465742744</v>
      </c>
      <c r="I337">
        <v>0.24231734899555701</v>
      </c>
      <c r="J337">
        <v>0.21327782729678699</v>
      </c>
      <c r="K337">
        <v>0.22633304722848799</v>
      </c>
      <c r="L337">
        <v>946.780478627825</v>
      </c>
      <c r="M337">
        <v>18.359121602577101</v>
      </c>
      <c r="N337">
        <v>53.051896745661701</v>
      </c>
      <c r="O337">
        <v>50.969863715527602</v>
      </c>
      <c r="P337">
        <v>-7.1988750210667196E-2</v>
      </c>
      <c r="Q337">
        <v>0.20059588547773999</v>
      </c>
      <c r="R337">
        <v>0.99294555198764101</v>
      </c>
      <c r="S337" t="s">
        <v>6198</v>
      </c>
      <c r="T337" t="s">
        <v>11720</v>
      </c>
      <c r="U337" t="s">
        <v>11720</v>
      </c>
      <c r="V337" t="s">
        <v>11720</v>
      </c>
      <c r="W337" t="s">
        <v>12051</v>
      </c>
      <c r="X337">
        <v>30</v>
      </c>
      <c r="Y337" t="s">
        <v>17847</v>
      </c>
      <c r="Z337" t="s">
        <v>23544</v>
      </c>
      <c r="AA337">
        <v>0.52182185674249848</v>
      </c>
      <c r="AB337" t="str">
        <f>HYPERLINK("Melting_Curves/meltCurve_C9K0J5_RAPH1.pdf", "Melting_Curves/meltCurve_C9K0J5_RAPH1.pdf")</f>
        <v>Melting_Curves/meltCurve_C9K0J5_RAPH1.pdf</v>
      </c>
    </row>
    <row r="338" spans="1:28" x14ac:dyDescent="0.25">
      <c r="A338" t="s">
        <v>342</v>
      </c>
      <c r="B338">
        <v>0.99334974765950101</v>
      </c>
      <c r="C338">
        <v>0.72054331578339603</v>
      </c>
      <c r="D338">
        <v>0.32055971354369101</v>
      </c>
      <c r="E338">
        <v>0.17752757043828801</v>
      </c>
      <c r="F338">
        <v>0.15233149644358199</v>
      </c>
      <c r="G338">
        <v>0.14179241561827</v>
      </c>
      <c r="H338">
        <v>0.11518522713172399</v>
      </c>
      <c r="I338">
        <v>6.3975777714016899E-2</v>
      </c>
      <c r="J338">
        <v>5.0280115404247198E-2</v>
      </c>
      <c r="K338">
        <v>3.6822022110577099E-2</v>
      </c>
      <c r="L338">
        <v>1178.7959720733299</v>
      </c>
      <c r="M338">
        <v>26.635813539511801</v>
      </c>
      <c r="N338">
        <v>44.611184753147903</v>
      </c>
      <c r="O338">
        <v>44.008854406170201</v>
      </c>
      <c r="P338">
        <v>-0.13685638335265399</v>
      </c>
      <c r="Q338">
        <v>9.55290675384219E-2</v>
      </c>
      <c r="R338">
        <v>0.98413914044398199</v>
      </c>
      <c r="S338" t="s">
        <v>6199</v>
      </c>
      <c r="T338" t="s">
        <v>11720</v>
      </c>
      <c r="U338" t="s">
        <v>11720</v>
      </c>
      <c r="V338" t="s">
        <v>11720</v>
      </c>
      <c r="W338" t="s">
        <v>12052</v>
      </c>
      <c r="X338">
        <v>7</v>
      </c>
      <c r="Y338" t="s">
        <v>17848</v>
      </c>
      <c r="Z338" t="s">
        <v>23545</v>
      </c>
      <c r="AA338">
        <v>0.23234112837439849</v>
      </c>
      <c r="AB338" t="str">
        <f>HYPERLINK("Melting_Curves/meltCurve_D0FY33_BTN3A3.pdf", "Melting_Curves/meltCurve_D0FY33_BTN3A3.pdf")</f>
        <v>Melting_Curves/meltCurve_D0FY33_BTN3A3.pdf</v>
      </c>
    </row>
    <row r="339" spans="1:28" x14ac:dyDescent="0.25">
      <c r="A339" t="s">
        <v>343</v>
      </c>
      <c r="B339">
        <v>0.99334974765950101</v>
      </c>
      <c r="C339">
        <v>0.88926752484837601</v>
      </c>
      <c r="D339">
        <v>0.79497105051593098</v>
      </c>
      <c r="E339">
        <v>0.94389376810124204</v>
      </c>
      <c r="F339">
        <v>0.95855542862240795</v>
      </c>
      <c r="G339">
        <v>0.88051165851672597</v>
      </c>
      <c r="H339">
        <v>0.94660668804479098</v>
      </c>
      <c r="I339">
        <v>1.1387964213609301</v>
      </c>
      <c r="J339">
        <v>1.3268666829895801</v>
      </c>
      <c r="K339">
        <v>1.03181945149901</v>
      </c>
      <c r="L339">
        <v>15000</v>
      </c>
      <c r="M339">
        <v>235.605430089723</v>
      </c>
      <c r="O339">
        <v>63.661178331374003</v>
      </c>
      <c r="P339">
        <v>0.16593447234462499</v>
      </c>
      <c r="Q339">
        <v>1.17934364197755</v>
      </c>
      <c r="R339">
        <v>0.40821271781750601</v>
      </c>
      <c r="S339" t="s">
        <v>6200</v>
      </c>
      <c r="T339" t="s">
        <v>11720</v>
      </c>
      <c r="U339" t="s">
        <v>11720</v>
      </c>
      <c r="V339" t="s">
        <v>11720</v>
      </c>
      <c r="W339" t="s">
        <v>11906</v>
      </c>
      <c r="X339">
        <v>2</v>
      </c>
      <c r="Y339" t="s">
        <v>17849</v>
      </c>
      <c r="Z339" t="s">
        <v>23546</v>
      </c>
      <c r="AA339">
        <v>1.037844261926941</v>
      </c>
      <c r="AB339" t="str">
        <f>HYPERLINK("Melting_Curves/meltCurve_D3DPN2_SDC3.pdf", "Melting_Curves/meltCurve_D3DPN2_SDC3.pdf")</f>
        <v>Melting_Curves/meltCurve_D3DPN2_SDC3.pdf</v>
      </c>
    </row>
    <row r="340" spans="1:28" x14ac:dyDescent="0.25">
      <c r="A340" t="s">
        <v>344</v>
      </c>
      <c r="B340">
        <v>0.99334974765950101</v>
      </c>
      <c r="C340">
        <v>0.928534801055099</v>
      </c>
      <c r="D340">
        <v>0.55889957913309896</v>
      </c>
      <c r="E340">
        <v>0.200102436974498</v>
      </c>
      <c r="F340">
        <v>0.131079546030025</v>
      </c>
      <c r="G340">
        <v>9.3477492231151593E-2</v>
      </c>
      <c r="H340">
        <v>7.0958475247247604E-2</v>
      </c>
      <c r="I340">
        <v>6.3536225944429398E-2</v>
      </c>
      <c r="J340">
        <v>5.2182334834068998E-2</v>
      </c>
      <c r="K340">
        <v>4.1610993011034998E-2</v>
      </c>
      <c r="L340">
        <v>1200.08007383633</v>
      </c>
      <c r="M340">
        <v>25.887092097502801</v>
      </c>
      <c r="N340">
        <v>46.621554796156097</v>
      </c>
      <c r="O340">
        <v>46.084256192564801</v>
      </c>
      <c r="P340">
        <v>-0.13088435969130699</v>
      </c>
      <c r="Q340">
        <v>6.8008455114524094E-2</v>
      </c>
      <c r="R340">
        <v>0.99703412651656798</v>
      </c>
      <c r="S340" t="s">
        <v>6201</v>
      </c>
      <c r="T340" t="s">
        <v>11720</v>
      </c>
      <c r="U340" t="s">
        <v>11720</v>
      </c>
      <c r="V340" t="s">
        <v>11720</v>
      </c>
      <c r="W340" t="s">
        <v>12053</v>
      </c>
      <c r="X340">
        <v>33</v>
      </c>
      <c r="Y340" t="s">
        <v>17850</v>
      </c>
      <c r="Z340" t="s">
        <v>23547</v>
      </c>
      <c r="AA340">
        <v>0.27336618224443471</v>
      </c>
      <c r="AB340" t="str">
        <f>HYPERLINK("Melting_Curves/meltCurve_D3DQV9_EIF4G2.pdf", "Melting_Curves/meltCurve_D3DQV9_EIF4G2.pdf")</f>
        <v>Melting_Curves/meltCurve_D3DQV9_EIF4G2.pdf</v>
      </c>
    </row>
    <row r="341" spans="1:28" x14ac:dyDescent="0.25">
      <c r="A341" t="s">
        <v>345</v>
      </c>
      <c r="B341">
        <v>0.99334974765950101</v>
      </c>
      <c r="C341">
        <v>0.94030264753516901</v>
      </c>
      <c r="D341">
        <v>0.60390928701443503</v>
      </c>
      <c r="E341">
        <v>0.32246783889922498</v>
      </c>
      <c r="F341">
        <v>0.33977132312695402</v>
      </c>
      <c r="G341">
        <v>0.18457959226130499</v>
      </c>
      <c r="H341">
        <v>0.146919674919917</v>
      </c>
      <c r="I341">
        <v>0.1530089000548</v>
      </c>
      <c r="J341">
        <v>0.162163538288778</v>
      </c>
      <c r="K341">
        <v>0.124261433506788</v>
      </c>
      <c r="L341">
        <v>899.98162523796805</v>
      </c>
      <c r="M341">
        <v>19.204127190584</v>
      </c>
      <c r="N341">
        <v>47.800318202965002</v>
      </c>
      <c r="O341">
        <v>46.364682131640699</v>
      </c>
      <c r="P341">
        <v>-8.7320052887905605E-2</v>
      </c>
      <c r="Q341">
        <v>0.156762139066738</v>
      </c>
      <c r="R341">
        <v>0.98046840455289996</v>
      </c>
      <c r="S341" t="s">
        <v>6202</v>
      </c>
      <c r="T341" t="s">
        <v>11720</v>
      </c>
      <c r="U341" t="s">
        <v>11720</v>
      </c>
      <c r="V341" t="s">
        <v>11720</v>
      </c>
      <c r="W341" t="s">
        <v>12054</v>
      </c>
      <c r="X341">
        <v>6</v>
      </c>
      <c r="Y341" t="s">
        <v>17851</v>
      </c>
      <c r="Z341" t="s">
        <v>23548</v>
      </c>
      <c r="AA341">
        <v>0.36327906206495769</v>
      </c>
      <c r="AB341" t="str">
        <f>HYPERLINK("Melting_Curves/meltCurve_D3DR31_IFIT1.pdf", "Melting_Curves/meltCurve_D3DR31_IFIT1.pdf")</f>
        <v>Melting_Curves/meltCurve_D3DR31_IFIT1.pdf</v>
      </c>
    </row>
    <row r="342" spans="1:28" x14ac:dyDescent="0.25">
      <c r="A342" t="s">
        <v>346</v>
      </c>
      <c r="B342">
        <v>0.99334974765950101</v>
      </c>
      <c r="C342">
        <v>0.99182282809215305</v>
      </c>
      <c r="D342">
        <v>0.89722684924803597</v>
      </c>
      <c r="E342">
        <v>0.96592945620607695</v>
      </c>
      <c r="F342">
        <v>0.72647651632500698</v>
      </c>
      <c r="G342">
        <v>0.70575757895081503</v>
      </c>
      <c r="H342">
        <v>0.44744663808729102</v>
      </c>
      <c r="I342">
        <v>0.27076018802829399</v>
      </c>
      <c r="J342">
        <v>0.121387057643079</v>
      </c>
      <c r="K342">
        <v>5.44105586029646E-2</v>
      </c>
      <c r="L342">
        <v>825.43967917463203</v>
      </c>
      <c r="M342">
        <v>13.911343491173399</v>
      </c>
      <c r="N342">
        <v>59.335727155635603</v>
      </c>
      <c r="O342">
        <v>58.1499514954169</v>
      </c>
      <c r="P342">
        <v>-5.9816176411521801E-2</v>
      </c>
      <c r="Q342">
        <v>0</v>
      </c>
      <c r="R342">
        <v>0.972892387928043</v>
      </c>
      <c r="S342" t="s">
        <v>6203</v>
      </c>
      <c r="T342" t="s">
        <v>11720</v>
      </c>
      <c r="U342" t="s">
        <v>11720</v>
      </c>
      <c r="V342" t="s">
        <v>11720</v>
      </c>
      <c r="W342" t="s">
        <v>12055</v>
      </c>
      <c r="X342">
        <v>1</v>
      </c>
      <c r="Y342" t="s">
        <v>17852</v>
      </c>
      <c r="Z342" t="s">
        <v>23549</v>
      </c>
      <c r="AA342">
        <v>0.65314556380189237</v>
      </c>
      <c r="AB342" t="str">
        <f>HYPERLINK("Melting_Curves/meltCurve_D3DWC4_TMEM23.pdf", "Melting_Curves/meltCurve_D3DWC4_TMEM23.pdf")</f>
        <v>Melting_Curves/meltCurve_D3DWC4_TMEM23.pdf</v>
      </c>
    </row>
    <row r="343" spans="1:28" x14ac:dyDescent="0.25">
      <c r="A343" t="s">
        <v>347</v>
      </c>
      <c r="B343">
        <v>0.99334974765950101</v>
      </c>
      <c r="C343">
        <v>1.1051324697257201</v>
      </c>
      <c r="D343">
        <v>0.98818095350061397</v>
      </c>
      <c r="E343">
        <v>0.97690504693187696</v>
      </c>
      <c r="F343">
        <v>0.71457840401376604</v>
      </c>
      <c r="G343">
        <v>0.44208331581621801</v>
      </c>
      <c r="H343">
        <v>0.26497696269457899</v>
      </c>
      <c r="I343">
        <v>0.244106959769189</v>
      </c>
      <c r="J343">
        <v>0.19975772349440299</v>
      </c>
      <c r="K343">
        <v>0.10953064622400301</v>
      </c>
      <c r="L343">
        <v>1180.4104807434201</v>
      </c>
      <c r="M343">
        <v>21.395780964674401</v>
      </c>
      <c r="N343">
        <v>56.192749070969597</v>
      </c>
      <c r="O343">
        <v>54.695083365226601</v>
      </c>
      <c r="P343">
        <v>-8.2028882826900795E-2</v>
      </c>
      <c r="Q343">
        <v>0.16124312460225099</v>
      </c>
      <c r="R343">
        <v>0.98378928142661504</v>
      </c>
      <c r="S343" t="s">
        <v>6204</v>
      </c>
      <c r="T343" t="s">
        <v>11720</v>
      </c>
      <c r="U343" t="s">
        <v>11720</v>
      </c>
      <c r="V343" t="s">
        <v>11720</v>
      </c>
      <c r="W343" t="s">
        <v>12056</v>
      </c>
      <c r="X343">
        <v>4</v>
      </c>
      <c r="Y343" t="s">
        <v>17853</v>
      </c>
      <c r="Z343" t="s">
        <v>23550</v>
      </c>
      <c r="AA343">
        <v>0.59541395118509777</v>
      </c>
      <c r="AB343" t="str">
        <f>HYPERLINK("Melting_Curves/meltCurve_D3YTB1_RPL32.pdf", "Melting_Curves/meltCurve_D3YTB1_RPL32.pdf")</f>
        <v>Melting_Curves/meltCurve_D3YTB1_RPL32.pdf</v>
      </c>
    </row>
    <row r="344" spans="1:28" x14ac:dyDescent="0.25">
      <c r="A344" t="s">
        <v>348</v>
      </c>
      <c r="B344">
        <v>0.99334974765950101</v>
      </c>
      <c r="C344">
        <v>0.98406559234518898</v>
      </c>
      <c r="D344">
        <v>0.94857655867833102</v>
      </c>
      <c r="E344">
        <v>0.59999413426356296</v>
      </c>
      <c r="F344">
        <v>0.29547511542467703</v>
      </c>
      <c r="G344">
        <v>0.21374445970825201</v>
      </c>
      <c r="H344">
        <v>0.143871847146328</v>
      </c>
      <c r="I344">
        <v>0.111742770406642</v>
      </c>
      <c r="J344">
        <v>8.8171177001245798E-2</v>
      </c>
      <c r="K344">
        <v>5.8906605576271698E-2</v>
      </c>
      <c r="L344">
        <v>1213.1796894239901</v>
      </c>
      <c r="M344">
        <v>24.029447382629499</v>
      </c>
      <c r="N344">
        <v>50.978627360437997</v>
      </c>
      <c r="O344">
        <v>50.141445967330398</v>
      </c>
      <c r="P344">
        <v>-0.107423973435523</v>
      </c>
      <c r="Q344">
        <v>0.10338203370150401</v>
      </c>
      <c r="R344">
        <v>0.994598874687602</v>
      </c>
      <c r="S344" t="s">
        <v>6205</v>
      </c>
      <c r="T344" t="s">
        <v>11720</v>
      </c>
      <c r="U344" t="s">
        <v>11720</v>
      </c>
      <c r="V344" t="s">
        <v>11720</v>
      </c>
      <c r="W344" t="s">
        <v>12057</v>
      </c>
      <c r="X344">
        <v>4</v>
      </c>
      <c r="Y344" t="s">
        <v>17854</v>
      </c>
      <c r="Z344" t="s">
        <v>23551</v>
      </c>
      <c r="AA344">
        <v>0.42552944285359939</v>
      </c>
      <c r="AB344" t="str">
        <f>HYPERLINK("Melting_Curves/meltCurve_D3YTG6_NDOR1.pdf", "Melting_Curves/meltCurve_D3YTG6_NDOR1.pdf")</f>
        <v>Melting_Curves/meltCurve_D3YTG6_NDOR1.pdf</v>
      </c>
    </row>
    <row r="345" spans="1:28" x14ac:dyDescent="0.25">
      <c r="A345" t="s">
        <v>349</v>
      </c>
      <c r="B345">
        <v>0.99334974765950101</v>
      </c>
      <c r="C345">
        <v>0.96285274916371399</v>
      </c>
      <c r="D345">
        <v>0.93153120913360199</v>
      </c>
      <c r="E345">
        <v>0.72473764483257497</v>
      </c>
      <c r="F345">
        <v>0.26927914557731403</v>
      </c>
      <c r="G345">
        <v>0.17972330178552101</v>
      </c>
      <c r="H345">
        <v>0.120459757427264</v>
      </c>
      <c r="I345">
        <v>0.13497948711527899</v>
      </c>
      <c r="J345">
        <v>7.4023717712935005E-2</v>
      </c>
      <c r="K345">
        <v>7.0524811604800897E-2</v>
      </c>
      <c r="L345">
        <v>1785.5674710401199</v>
      </c>
      <c r="M345">
        <v>35.004716901814298</v>
      </c>
      <c r="N345">
        <v>51.363881731687201</v>
      </c>
      <c r="O345">
        <v>50.843723130054798</v>
      </c>
      <c r="P345">
        <v>-0.153646990816595</v>
      </c>
      <c r="Q345">
        <v>0.10732515903024301</v>
      </c>
      <c r="R345">
        <v>0.99267792213718198</v>
      </c>
      <c r="S345" t="s">
        <v>6206</v>
      </c>
      <c r="T345" t="s">
        <v>11720</v>
      </c>
      <c r="U345" t="s">
        <v>11720</v>
      </c>
      <c r="V345" t="s">
        <v>11720</v>
      </c>
      <c r="W345" t="s">
        <v>12058</v>
      </c>
      <c r="X345">
        <v>4</v>
      </c>
      <c r="Y345" t="s">
        <v>17855</v>
      </c>
      <c r="Z345" t="s">
        <v>23552</v>
      </c>
      <c r="AA345">
        <v>0.43903451309595182</v>
      </c>
      <c r="AB345" t="str">
        <f>HYPERLINK("Melting_Curves/meltCurve_D3YTI9_TAPBP.pdf", "Melting_Curves/meltCurve_D3YTI9_TAPBP.pdf")</f>
        <v>Melting_Curves/meltCurve_D3YTI9_TAPBP.pdf</v>
      </c>
    </row>
    <row r="346" spans="1:28" x14ac:dyDescent="0.25">
      <c r="A346" t="s">
        <v>350</v>
      </c>
      <c r="B346">
        <v>0.99334974765950101</v>
      </c>
      <c r="C346">
        <v>0.94788981824780305</v>
      </c>
      <c r="D346">
        <v>0.89442405608542097</v>
      </c>
      <c r="E346">
        <v>0.81510189152158996</v>
      </c>
      <c r="F346">
        <v>0.53445585023112196</v>
      </c>
      <c r="G346">
        <v>0.314971374962074</v>
      </c>
      <c r="H346">
        <v>0.18065461725804499</v>
      </c>
      <c r="I346">
        <v>0.14790743869225401</v>
      </c>
      <c r="J346">
        <v>0.17144704671150701</v>
      </c>
      <c r="K346">
        <v>0.13228667854777801</v>
      </c>
      <c r="L346">
        <v>955.01342746958699</v>
      </c>
      <c r="M346">
        <v>18.062718115830499</v>
      </c>
      <c r="N346">
        <v>53.722475785396398</v>
      </c>
      <c r="O346">
        <v>52.236801842000602</v>
      </c>
      <c r="P346">
        <v>-7.5701324753425697E-2</v>
      </c>
      <c r="Q346">
        <v>0.124339398551086</v>
      </c>
      <c r="R346">
        <v>0.99367253067239103</v>
      </c>
      <c r="S346" t="s">
        <v>6207</v>
      </c>
      <c r="T346" t="s">
        <v>11720</v>
      </c>
      <c r="U346" t="s">
        <v>11720</v>
      </c>
      <c r="V346" t="s">
        <v>11720</v>
      </c>
      <c r="W346" t="s">
        <v>12059</v>
      </c>
      <c r="X346">
        <v>22</v>
      </c>
      <c r="Y346" t="s">
        <v>17856</v>
      </c>
      <c r="Z346" t="s">
        <v>23553</v>
      </c>
      <c r="AA346">
        <v>0.51435008865071608</v>
      </c>
      <c r="AB346" t="str">
        <f>HYPERLINK("Melting_Curves/meltCurve_D6R938_CAMK2D.pdf", "Melting_Curves/meltCurve_D6R938_CAMK2D.pdf")</f>
        <v>Melting_Curves/meltCurve_D6R938_CAMK2D.pdf</v>
      </c>
    </row>
    <row r="347" spans="1:28" x14ac:dyDescent="0.25">
      <c r="A347" t="s">
        <v>351</v>
      </c>
      <c r="B347">
        <v>0.99334974765950101</v>
      </c>
      <c r="C347">
        <v>0.92062401122642301</v>
      </c>
      <c r="D347">
        <v>0.87679723038107205</v>
      </c>
      <c r="E347">
        <v>0.85947725767585503</v>
      </c>
      <c r="F347">
        <v>0.947043815831207</v>
      </c>
      <c r="G347">
        <v>0.78433958057719999</v>
      </c>
      <c r="H347">
        <v>0.70239780532652796</v>
      </c>
      <c r="I347">
        <v>0.75992068941755597</v>
      </c>
      <c r="J347">
        <v>1.0625023797729201</v>
      </c>
      <c r="K347">
        <v>1.2553424950424199</v>
      </c>
      <c r="L347">
        <v>15000</v>
      </c>
      <c r="M347">
        <v>222.75341150256901</v>
      </c>
      <c r="O347">
        <v>67.333608287471606</v>
      </c>
      <c r="P347">
        <v>0.211226316599506</v>
      </c>
      <c r="Q347">
        <v>1.25539685216645</v>
      </c>
      <c r="R347">
        <v>-4.8953424324194002E-3</v>
      </c>
      <c r="S347" t="s">
        <v>6208</v>
      </c>
      <c r="T347" t="s">
        <v>11720</v>
      </c>
      <c r="U347" t="s">
        <v>11720</v>
      </c>
      <c r="V347" t="s">
        <v>11720</v>
      </c>
      <c r="W347" t="s">
        <v>12060</v>
      </c>
      <c r="X347">
        <v>2</v>
      </c>
      <c r="Y347" t="s">
        <v>17857</v>
      </c>
      <c r="Z347" t="s">
        <v>23554</v>
      </c>
      <c r="AA347">
        <v>1.02261596407491</v>
      </c>
      <c r="AB347" t="str">
        <f>HYPERLINK("Melting_Curves/meltCurve_D6R9U7_POLR3G.pdf", "Melting_Curves/meltCurve_D6R9U7_POLR3G.pdf")</f>
        <v>Melting_Curves/meltCurve_D6R9U7_POLR3G.pdf</v>
      </c>
    </row>
    <row r="348" spans="1:28" x14ac:dyDescent="0.25">
      <c r="A348" t="s">
        <v>352</v>
      </c>
      <c r="B348">
        <v>0.99334974765950101</v>
      </c>
      <c r="C348">
        <v>0.91789635168272898</v>
      </c>
      <c r="D348">
        <v>0.92508222228693704</v>
      </c>
      <c r="E348">
        <v>0.67500495134343996</v>
      </c>
      <c r="F348">
        <v>0.592308197936114</v>
      </c>
      <c r="G348">
        <v>0.50058016621978996</v>
      </c>
      <c r="H348">
        <v>0.44135651854168501</v>
      </c>
      <c r="I348">
        <v>0.41445726047054099</v>
      </c>
      <c r="J348">
        <v>0.49155722153236903</v>
      </c>
      <c r="K348">
        <v>0.465820838449579</v>
      </c>
      <c r="L348">
        <v>898.39199562541296</v>
      </c>
      <c r="M348">
        <v>18.1559936172129</v>
      </c>
      <c r="N348">
        <v>56.522467307318799</v>
      </c>
      <c r="O348">
        <v>48.893271413731597</v>
      </c>
      <c r="P348">
        <v>-5.12559323678888E-2</v>
      </c>
      <c r="Q348">
        <v>0.44790665192182799</v>
      </c>
      <c r="R348">
        <v>0.98037351280965801</v>
      </c>
      <c r="S348" t="s">
        <v>6209</v>
      </c>
      <c r="T348" t="s">
        <v>11720</v>
      </c>
      <c r="U348" t="s">
        <v>11720</v>
      </c>
      <c r="V348" t="s">
        <v>11720</v>
      </c>
      <c r="W348" t="s">
        <v>12061</v>
      </c>
      <c r="X348">
        <v>3</v>
      </c>
      <c r="Y348" t="s">
        <v>17858</v>
      </c>
      <c r="Z348" t="s">
        <v>23555</v>
      </c>
      <c r="AA348">
        <v>0.63172822821430941</v>
      </c>
      <c r="AB348" t="str">
        <f>HYPERLINK("Melting_Curves/meltCurve_D6R9X7_ERCC6.pdf", "Melting_Curves/meltCurve_D6R9X7_ERCC6.pdf")</f>
        <v>Melting_Curves/meltCurve_D6R9X7_ERCC6.pdf</v>
      </c>
    </row>
    <row r="349" spans="1:28" x14ac:dyDescent="0.25">
      <c r="A349" t="s">
        <v>353</v>
      </c>
      <c r="B349">
        <v>0.99334974765950101</v>
      </c>
      <c r="C349">
        <v>1.0235742993505901</v>
      </c>
      <c r="D349">
        <v>1.1340623535157199</v>
      </c>
      <c r="E349">
        <v>0.77691331469596103</v>
      </c>
      <c r="F349">
        <v>0.522813380994259</v>
      </c>
      <c r="G349">
        <v>0.53214441951323899</v>
      </c>
      <c r="H349">
        <v>0.68239289102940304</v>
      </c>
      <c r="I349">
        <v>1.12131961595812</v>
      </c>
      <c r="J349">
        <v>2.40969337046627</v>
      </c>
      <c r="K349">
        <v>1.4314442180264999</v>
      </c>
      <c r="L349">
        <v>15000</v>
      </c>
      <c r="M349">
        <v>233.24129519594601</v>
      </c>
      <c r="O349">
        <v>64.306352975786794</v>
      </c>
      <c r="P349">
        <v>0.45337918072135602</v>
      </c>
      <c r="Q349">
        <v>1.5</v>
      </c>
      <c r="R349">
        <v>0.47616988797641502</v>
      </c>
      <c r="S349" t="s">
        <v>6210</v>
      </c>
      <c r="T349" t="s">
        <v>11720</v>
      </c>
      <c r="U349" t="s">
        <v>11720</v>
      </c>
      <c r="V349" t="s">
        <v>11720</v>
      </c>
      <c r="W349" t="s">
        <v>12062</v>
      </c>
      <c r="X349">
        <v>3</v>
      </c>
      <c r="Y349" t="s">
        <v>17859</v>
      </c>
      <c r="Z349" t="s">
        <v>23556</v>
      </c>
      <c r="AA349">
        <v>1.0947504689516521</v>
      </c>
      <c r="AB349" t="str">
        <f>HYPERLINK("Melting_Curves/meltCurve_D6R9Z7_COX7C.pdf", "Melting_Curves/meltCurve_D6R9Z7_COX7C.pdf")</f>
        <v>Melting_Curves/meltCurve_D6R9Z7_COX7C.pdf</v>
      </c>
    </row>
    <row r="350" spans="1:28" x14ac:dyDescent="0.25">
      <c r="A350" t="s">
        <v>354</v>
      </c>
      <c r="B350">
        <v>0.99334974765950101</v>
      </c>
      <c r="C350">
        <v>1.01892736969952</v>
      </c>
      <c r="D350">
        <v>1.3171436170315001</v>
      </c>
      <c r="E350">
        <v>1.79508239146894</v>
      </c>
      <c r="F350">
        <v>0.856006984196789</v>
      </c>
      <c r="G350">
        <v>0.55754647432248206</v>
      </c>
      <c r="H350">
        <v>0.35856015565147398</v>
      </c>
      <c r="I350">
        <v>0.479673306780877</v>
      </c>
      <c r="J350">
        <v>0.37393963472506903</v>
      </c>
      <c r="K350">
        <v>0.58200498533638101</v>
      </c>
      <c r="L350">
        <v>3081.3470182411402</v>
      </c>
      <c r="M350">
        <v>56.390240356593203</v>
      </c>
      <c r="N350">
        <v>57.167157915535398</v>
      </c>
      <c r="O350">
        <v>54.574675119427503</v>
      </c>
      <c r="P350">
        <v>-0.13987136314985599</v>
      </c>
      <c r="Q350">
        <v>0.45852827478364</v>
      </c>
      <c r="R350">
        <v>0.59511425479523705</v>
      </c>
      <c r="S350" t="s">
        <v>6211</v>
      </c>
      <c r="T350" t="s">
        <v>11720</v>
      </c>
      <c r="U350" t="s">
        <v>11720</v>
      </c>
      <c r="V350" t="s">
        <v>11720</v>
      </c>
      <c r="W350" t="s">
        <v>12063</v>
      </c>
      <c r="X350">
        <v>1</v>
      </c>
      <c r="Y350" t="s">
        <v>17860</v>
      </c>
      <c r="Z350" t="s">
        <v>23557</v>
      </c>
      <c r="AA350">
        <v>0.72385019182495325</v>
      </c>
      <c r="AB350" t="str">
        <f>HYPERLINK("Melting_Curves/meltCurve_D6RA26_PLRG1.pdf", "Melting_Curves/meltCurve_D6RA26_PLRG1.pdf")</f>
        <v>Melting_Curves/meltCurve_D6RA26_PLRG1.pdf</v>
      </c>
    </row>
    <row r="351" spans="1:28" x14ac:dyDescent="0.25">
      <c r="A351" t="s">
        <v>355</v>
      </c>
      <c r="B351">
        <v>0.99334974765950101</v>
      </c>
      <c r="C351">
        <v>0.95396221635657696</v>
      </c>
      <c r="D351">
        <v>1.0635359086357801</v>
      </c>
      <c r="E351">
        <v>0.91766587963916302</v>
      </c>
      <c r="F351">
        <v>0.63115523728192102</v>
      </c>
      <c r="G351">
        <v>0.66392367353870696</v>
      </c>
      <c r="H351">
        <v>0.44002829984752201</v>
      </c>
      <c r="I351">
        <v>0.39629962527545198</v>
      </c>
      <c r="J351">
        <v>0.29932444458791901</v>
      </c>
      <c r="K351">
        <v>0.243907310293976</v>
      </c>
      <c r="L351">
        <v>651.52497161605504</v>
      </c>
      <c r="M351">
        <v>11.338757647369301</v>
      </c>
      <c r="N351">
        <v>59.581255873254001</v>
      </c>
      <c r="O351">
        <v>55.7597888240686</v>
      </c>
      <c r="P351">
        <v>-4.2407406200739198E-2</v>
      </c>
      <c r="Q351">
        <v>0.16607495350462001</v>
      </c>
      <c r="R351">
        <v>0.95374961355243804</v>
      </c>
      <c r="S351" t="s">
        <v>6212</v>
      </c>
      <c r="T351" t="s">
        <v>11720</v>
      </c>
      <c r="U351" t="s">
        <v>11720</v>
      </c>
      <c r="V351" t="s">
        <v>11720</v>
      </c>
      <c r="W351" t="s">
        <v>12064</v>
      </c>
      <c r="X351">
        <v>2</v>
      </c>
      <c r="Y351" t="s">
        <v>17861</v>
      </c>
      <c r="Z351" t="s">
        <v>23558</v>
      </c>
      <c r="AA351">
        <v>0.66363693180038608</v>
      </c>
      <c r="AB351" t="str">
        <f>HYPERLINK("Melting_Curves/meltCurve_D6RAB5_MFAP3L.pdf", "Melting_Curves/meltCurve_D6RAB5_MFAP3L.pdf")</f>
        <v>Melting_Curves/meltCurve_D6RAB5_MFAP3L.pdf</v>
      </c>
    </row>
    <row r="352" spans="1:28" x14ac:dyDescent="0.25">
      <c r="A352" t="s">
        <v>356</v>
      </c>
      <c r="B352">
        <v>0.99334974765950101</v>
      </c>
      <c r="C352">
        <v>0.99574646616546203</v>
      </c>
      <c r="D352">
        <v>0.99380853273845304</v>
      </c>
      <c r="E352">
        <v>0.81786239416143203</v>
      </c>
      <c r="F352">
        <v>0.440365972321627</v>
      </c>
      <c r="G352">
        <v>0.17922406110136199</v>
      </c>
      <c r="H352">
        <v>8.0598860662572894E-2</v>
      </c>
      <c r="I352">
        <v>5.0101499316009698E-2</v>
      </c>
      <c r="J352">
        <v>4.2276411145466097E-2</v>
      </c>
      <c r="K352">
        <v>3.5471551169166997E-2</v>
      </c>
      <c r="L352">
        <v>1400.94625720062</v>
      </c>
      <c r="M352">
        <v>26.682995239880199</v>
      </c>
      <c r="N352">
        <v>52.699632863146697</v>
      </c>
      <c r="O352">
        <v>52.211096696300999</v>
      </c>
      <c r="P352">
        <v>-0.121722294033437</v>
      </c>
      <c r="Q352">
        <v>4.7305052527333802E-2</v>
      </c>
      <c r="R352">
        <v>0.99867142463094505</v>
      </c>
      <c r="S352" t="s">
        <v>6213</v>
      </c>
      <c r="T352" t="s">
        <v>11720</v>
      </c>
      <c r="U352" t="s">
        <v>11720</v>
      </c>
      <c r="V352" t="s">
        <v>11720</v>
      </c>
      <c r="W352" t="s">
        <v>12065</v>
      </c>
      <c r="X352">
        <v>5</v>
      </c>
      <c r="Y352" t="s">
        <v>17862</v>
      </c>
      <c r="Z352" t="s">
        <v>23559</v>
      </c>
      <c r="AA352">
        <v>0.45207866764892818</v>
      </c>
      <c r="AB352" t="str">
        <f>HYPERLINK("Melting_Curves/meltCurve_D6RB81_AMACR.pdf", "Melting_Curves/meltCurve_D6RB81_AMACR.pdf")</f>
        <v>Melting_Curves/meltCurve_D6RB81_AMACR.pdf</v>
      </c>
    </row>
    <row r="353" spans="1:28" x14ac:dyDescent="0.25">
      <c r="A353" t="s">
        <v>357</v>
      </c>
      <c r="B353">
        <v>0.99334974765950101</v>
      </c>
      <c r="C353">
        <v>1.02606336731049</v>
      </c>
      <c r="D353">
        <v>0.85814891673629101</v>
      </c>
      <c r="E353">
        <v>0.69451545960808003</v>
      </c>
      <c r="F353">
        <v>0.43103182600999002</v>
      </c>
      <c r="G353">
        <v>0.16623648552892001</v>
      </c>
      <c r="H353">
        <v>9.6517437380375104E-2</v>
      </c>
      <c r="I353">
        <v>8.4751180478982294E-2</v>
      </c>
      <c r="J353">
        <v>7.8946743323651702E-2</v>
      </c>
      <c r="K353">
        <v>6.59059593545617E-2</v>
      </c>
      <c r="L353">
        <v>977.56902233834796</v>
      </c>
      <c r="M353">
        <v>18.9096386408666</v>
      </c>
      <c r="N353">
        <v>52.016321807244502</v>
      </c>
      <c r="O353">
        <v>51.129113710145297</v>
      </c>
      <c r="P353">
        <v>-8.7394968853769406E-2</v>
      </c>
      <c r="Q353">
        <v>5.4821533638987001E-2</v>
      </c>
      <c r="R353">
        <v>0.99520230989754299</v>
      </c>
      <c r="S353" t="s">
        <v>6214</v>
      </c>
      <c r="T353" t="s">
        <v>11720</v>
      </c>
      <c r="U353" t="s">
        <v>11720</v>
      </c>
      <c r="V353" t="s">
        <v>11720</v>
      </c>
      <c r="W353" t="s">
        <v>12066</v>
      </c>
      <c r="X353">
        <v>12</v>
      </c>
      <c r="Y353" t="s">
        <v>17863</v>
      </c>
      <c r="Z353" t="s">
        <v>23560</v>
      </c>
      <c r="AA353">
        <v>0.4378247511637206</v>
      </c>
      <c r="AB353" t="str">
        <f>HYPERLINK("Melting_Curves/meltCurve_D6RBW1_EIF4E.pdf", "Melting_Curves/meltCurve_D6RBW1_EIF4E.pdf")</f>
        <v>Melting_Curves/meltCurve_D6RBW1_EIF4E.pdf</v>
      </c>
    </row>
    <row r="354" spans="1:28" x14ac:dyDescent="0.25">
      <c r="A354" t="s">
        <v>358</v>
      </c>
      <c r="B354">
        <v>0.99334974765950101</v>
      </c>
      <c r="C354">
        <v>0.96009361385147196</v>
      </c>
      <c r="D354">
        <v>0.96325501106237599</v>
      </c>
      <c r="E354">
        <v>0.769154986400993</v>
      </c>
      <c r="F354">
        <v>0.44404999421070002</v>
      </c>
      <c r="G354">
        <v>0.208098010640895</v>
      </c>
      <c r="H354">
        <v>0.14294810017460099</v>
      </c>
      <c r="I354">
        <v>0.120606637477982</v>
      </c>
      <c r="J354">
        <v>8.7759135135164396E-2</v>
      </c>
      <c r="K354">
        <v>7.2931135369630404E-2</v>
      </c>
      <c r="L354">
        <v>1213.7082129857899</v>
      </c>
      <c r="M354">
        <v>23.283055426038299</v>
      </c>
      <c r="N354">
        <v>52.595028730292597</v>
      </c>
      <c r="O354">
        <v>51.748400473761599</v>
      </c>
      <c r="P354">
        <v>-0.101987574731445</v>
      </c>
      <c r="Q354">
        <v>9.3314662244154994E-2</v>
      </c>
      <c r="R354">
        <v>0.99793937602202898</v>
      </c>
      <c r="S354" t="s">
        <v>6215</v>
      </c>
      <c r="T354" t="s">
        <v>11720</v>
      </c>
      <c r="U354" t="s">
        <v>11720</v>
      </c>
      <c r="V354" t="s">
        <v>11720</v>
      </c>
      <c r="W354" t="s">
        <v>12067</v>
      </c>
      <c r="X354">
        <v>7</v>
      </c>
      <c r="Y354" t="s">
        <v>17864</v>
      </c>
      <c r="Z354" t="s">
        <v>23561</v>
      </c>
      <c r="AA354">
        <v>0.46935719905466672</v>
      </c>
      <c r="AB354" t="str">
        <f>HYPERLINK("Melting_Curves/meltCurve_D6RCD0_HSD17B11.pdf", "Melting_Curves/meltCurve_D6RCD0_HSD17B11.pdf")</f>
        <v>Melting_Curves/meltCurve_D6RCD0_HSD17B11.pdf</v>
      </c>
    </row>
    <row r="355" spans="1:28" x14ac:dyDescent="0.25">
      <c r="A355" t="s">
        <v>359</v>
      </c>
      <c r="B355">
        <v>0.99334974765950101</v>
      </c>
      <c r="C355">
        <v>1.0915271461281999</v>
      </c>
      <c r="D355">
        <v>0.89835048055022604</v>
      </c>
      <c r="E355">
        <v>0.87025639501921503</v>
      </c>
      <c r="F355">
        <v>0.48580867837777603</v>
      </c>
      <c r="G355">
        <v>0.182602651537912</v>
      </c>
      <c r="H355">
        <v>0.110097435899176</v>
      </c>
      <c r="I355">
        <v>0.102423001618674</v>
      </c>
      <c r="J355">
        <v>0.122456950251638</v>
      </c>
      <c r="K355">
        <v>0.11206222032433701</v>
      </c>
      <c r="L355">
        <v>1677.3582807349701</v>
      </c>
      <c r="M355">
        <v>31.925757393257602</v>
      </c>
      <c r="N355">
        <v>52.946977165622698</v>
      </c>
      <c r="O355">
        <v>52.334503320509903</v>
      </c>
      <c r="P355">
        <v>-0.13589159067163101</v>
      </c>
      <c r="Q355">
        <v>0.10896004955560901</v>
      </c>
      <c r="R355">
        <v>0.98883740058356895</v>
      </c>
      <c r="S355" t="s">
        <v>6216</v>
      </c>
      <c r="T355" t="s">
        <v>11720</v>
      </c>
      <c r="U355" t="s">
        <v>11720</v>
      </c>
      <c r="V355" t="s">
        <v>11720</v>
      </c>
      <c r="W355" t="s">
        <v>12068</v>
      </c>
      <c r="X355">
        <v>3</v>
      </c>
      <c r="Y355" t="s">
        <v>17865</v>
      </c>
      <c r="Z355" t="s">
        <v>23562</v>
      </c>
      <c r="AA355">
        <v>0.4864706562215535</v>
      </c>
      <c r="AB355" t="str">
        <f>HYPERLINK("Melting_Curves/meltCurve_D6RCM8_TNFAIP8.pdf", "Melting_Curves/meltCurve_D6RCM8_TNFAIP8.pdf")</f>
        <v>Melting_Curves/meltCurve_D6RCM8_TNFAIP8.pdf</v>
      </c>
    </row>
    <row r="356" spans="1:28" x14ac:dyDescent="0.25">
      <c r="A356" t="s">
        <v>360</v>
      </c>
      <c r="B356">
        <v>0.99334974765950101</v>
      </c>
      <c r="C356">
        <v>0.87776935777827303</v>
      </c>
      <c r="D356">
        <v>0.69544162302590495</v>
      </c>
      <c r="E356">
        <v>0.37854503960395602</v>
      </c>
      <c r="F356">
        <v>0.29510025427777098</v>
      </c>
      <c r="G356">
        <v>0.19731427072244601</v>
      </c>
      <c r="H356">
        <v>0.16501237681488401</v>
      </c>
      <c r="I356">
        <v>0.13313102779202099</v>
      </c>
      <c r="J356">
        <v>0.12944339230360899</v>
      </c>
      <c r="K356">
        <v>9.0870218766834904E-2</v>
      </c>
      <c r="L356">
        <v>767.77603793881201</v>
      </c>
      <c r="M356">
        <v>16.070144955999002</v>
      </c>
      <c r="N356">
        <v>48.608401014872904</v>
      </c>
      <c r="O356">
        <v>47.0551168841098</v>
      </c>
      <c r="P356">
        <v>-7.5120912721859501E-2</v>
      </c>
      <c r="Q356">
        <v>0.120219736537542</v>
      </c>
      <c r="R356">
        <v>0.99573899831382895</v>
      </c>
      <c r="S356" t="s">
        <v>6217</v>
      </c>
      <c r="T356" t="s">
        <v>11720</v>
      </c>
      <c r="U356" t="s">
        <v>11720</v>
      </c>
      <c r="V356" t="s">
        <v>11720</v>
      </c>
      <c r="W356" t="s">
        <v>12069</v>
      </c>
      <c r="X356">
        <v>4</v>
      </c>
      <c r="Y356" t="s">
        <v>17866</v>
      </c>
      <c r="Z356" t="s">
        <v>23563</v>
      </c>
      <c r="AA356">
        <v>0.36818150298025581</v>
      </c>
      <c r="AB356" t="str">
        <f>HYPERLINK("Melting_Curves/meltCurve_D6RCP5_ARHGAP24.pdf", "Melting_Curves/meltCurve_D6RCP5_ARHGAP24.pdf")</f>
        <v>Melting_Curves/meltCurve_D6RCP5_ARHGAP24.pdf</v>
      </c>
    </row>
    <row r="357" spans="1:28" x14ac:dyDescent="0.25">
      <c r="A357" t="s">
        <v>361</v>
      </c>
      <c r="B357">
        <v>0.99334974765950101</v>
      </c>
      <c r="C357">
        <v>1.0884534572189899</v>
      </c>
      <c r="D357">
        <v>0.81857007982854602</v>
      </c>
      <c r="E357">
        <v>0.86315972744038705</v>
      </c>
      <c r="F357">
        <v>0.73068235306075002</v>
      </c>
      <c r="G357">
        <v>0.57888457426975704</v>
      </c>
      <c r="H357">
        <v>0.44249317151043699</v>
      </c>
      <c r="I357">
        <v>0.43944324326934597</v>
      </c>
      <c r="J357">
        <v>0.54486990083254805</v>
      </c>
      <c r="K357">
        <v>0.39529104310970398</v>
      </c>
      <c r="L357">
        <v>748.45820856203898</v>
      </c>
      <c r="M357">
        <v>14.0931132034241</v>
      </c>
      <c r="N357">
        <v>60.765208535655297</v>
      </c>
      <c r="O357">
        <v>52.073085361273897</v>
      </c>
      <c r="P357">
        <v>-3.9563747731022697E-2</v>
      </c>
      <c r="Q357">
        <v>0.41533406958511998</v>
      </c>
      <c r="R357">
        <v>0.92057877354574702</v>
      </c>
      <c r="S357" t="s">
        <v>6218</v>
      </c>
      <c r="T357" t="s">
        <v>11720</v>
      </c>
      <c r="U357" t="s">
        <v>11720</v>
      </c>
      <c r="V357" t="s">
        <v>11720</v>
      </c>
      <c r="W357" t="s">
        <v>12070</v>
      </c>
      <c r="X357">
        <v>3</v>
      </c>
      <c r="Y357" t="s">
        <v>17867</v>
      </c>
      <c r="Z357" t="s">
        <v>23564</v>
      </c>
      <c r="AA357">
        <v>0.68440860169941264</v>
      </c>
      <c r="AB357" t="str">
        <f>HYPERLINK("Melting_Curves/meltCurve_D6RD47_RPS23.pdf", "Melting_Curves/meltCurve_D6RD47_RPS23.pdf")</f>
        <v>Melting_Curves/meltCurve_D6RD47_RPS23.pdf</v>
      </c>
    </row>
    <row r="358" spans="1:28" x14ac:dyDescent="0.25">
      <c r="A358" t="s">
        <v>362</v>
      </c>
      <c r="B358">
        <v>0.99334974765950101</v>
      </c>
      <c r="C358">
        <v>1.0055390697039499</v>
      </c>
      <c r="D358">
        <v>0.94551015531126203</v>
      </c>
      <c r="E358">
        <v>0.72540034694023903</v>
      </c>
      <c r="F358">
        <v>0.69811219755994502</v>
      </c>
      <c r="G358">
        <v>0.61172680921533296</v>
      </c>
      <c r="H358">
        <v>0.48255943455782302</v>
      </c>
      <c r="I358">
        <v>0.50172074605865402</v>
      </c>
      <c r="J358">
        <v>0.51743600572308701</v>
      </c>
      <c r="K358">
        <v>0.43596862525629698</v>
      </c>
      <c r="L358">
        <v>720.44783211069398</v>
      </c>
      <c r="M358">
        <v>13.979281724322099</v>
      </c>
      <c r="N358">
        <v>62.991996162592699</v>
      </c>
      <c r="O358">
        <v>50.516565519110799</v>
      </c>
      <c r="P358">
        <v>-3.7318000900590897E-2</v>
      </c>
      <c r="Q358">
        <v>0.46065144392582302</v>
      </c>
      <c r="R358">
        <v>0.97283427820055601</v>
      </c>
      <c r="S358" t="s">
        <v>6219</v>
      </c>
      <c r="T358" t="s">
        <v>11720</v>
      </c>
      <c r="U358" t="s">
        <v>11720</v>
      </c>
      <c r="V358" t="s">
        <v>11720</v>
      </c>
      <c r="W358" t="s">
        <v>12071</v>
      </c>
      <c r="X358">
        <v>6</v>
      </c>
      <c r="Y358" t="s">
        <v>17868</v>
      </c>
      <c r="Z358" t="s">
        <v>23565</v>
      </c>
      <c r="AA358">
        <v>0.6817279429774703</v>
      </c>
      <c r="AB358" t="str">
        <f>HYPERLINK("Melting_Curves/meltCurve_D6RDN0_CDV3.pdf", "Melting_Curves/meltCurve_D6RDN0_CDV3.pdf")</f>
        <v>Melting_Curves/meltCurve_D6RDN0_CDV3.pdf</v>
      </c>
    </row>
    <row r="359" spans="1:28" x14ac:dyDescent="0.25">
      <c r="A359" t="s">
        <v>363</v>
      </c>
      <c r="B359">
        <v>0.99334974765950101</v>
      </c>
      <c r="C359">
        <v>0.97005773080115598</v>
      </c>
      <c r="D359">
        <v>0.92965241185899505</v>
      </c>
      <c r="E359">
        <v>1.0183270563919899</v>
      </c>
      <c r="F359">
        <v>1.0242911659648499</v>
      </c>
      <c r="G359">
        <v>1.01933580221617</v>
      </c>
      <c r="H359">
        <v>0.97016793856666605</v>
      </c>
      <c r="I359">
        <v>0.97877865210485004</v>
      </c>
      <c r="J359">
        <v>1.14705240927148</v>
      </c>
      <c r="K359">
        <v>0.92591267601472504</v>
      </c>
      <c r="L359">
        <v>12038.806443285799</v>
      </c>
      <c r="M359">
        <v>250</v>
      </c>
      <c r="O359">
        <v>48.152144186731903</v>
      </c>
      <c r="P359">
        <v>1.55507243169306E-2</v>
      </c>
      <c r="Q359">
        <v>1.0119808114911</v>
      </c>
      <c r="R359">
        <v>2.6735435500676301E-2</v>
      </c>
      <c r="S359" t="s">
        <v>6220</v>
      </c>
      <c r="T359" t="s">
        <v>11720</v>
      </c>
      <c r="U359" t="s">
        <v>11720</v>
      </c>
      <c r="V359" t="s">
        <v>11720</v>
      </c>
      <c r="W359" t="s">
        <v>12072</v>
      </c>
      <c r="X359">
        <v>4</v>
      </c>
      <c r="Y359" t="s">
        <v>17869</v>
      </c>
      <c r="Z359" t="s">
        <v>23566</v>
      </c>
      <c r="AA359">
        <v>1.008722924884178</v>
      </c>
      <c r="AB359" t="str">
        <f>HYPERLINK("Melting_Curves/meltCurve_D6RDX7_EMB.pdf", "Melting_Curves/meltCurve_D6RDX7_EMB.pdf")</f>
        <v>Melting_Curves/meltCurve_D6RDX7_EMB.pdf</v>
      </c>
    </row>
    <row r="360" spans="1:28" x14ac:dyDescent="0.25">
      <c r="A360" t="s">
        <v>364</v>
      </c>
      <c r="B360">
        <v>0.99334974765950101</v>
      </c>
      <c r="C360">
        <v>0.93039064158945595</v>
      </c>
      <c r="D360">
        <v>0.90520063855338095</v>
      </c>
      <c r="E360">
        <v>0.64892161732287001</v>
      </c>
      <c r="F360">
        <v>0.42458350679467799</v>
      </c>
      <c r="G360">
        <v>0.16574077046100799</v>
      </c>
      <c r="H360">
        <v>4.5621388523587103E-2</v>
      </c>
      <c r="I360">
        <v>2.3221987725916399E-2</v>
      </c>
      <c r="J360">
        <v>1.5428082132557801E-2</v>
      </c>
      <c r="K360">
        <v>8.6317208060543906E-3</v>
      </c>
      <c r="L360">
        <v>907.11439819910595</v>
      </c>
      <c r="M360">
        <v>17.499713290428399</v>
      </c>
      <c r="N360">
        <v>51.835978121175202</v>
      </c>
      <c r="O360">
        <v>51.173273725997603</v>
      </c>
      <c r="P360">
        <v>-8.5497159464411401E-2</v>
      </c>
      <c r="Q360">
        <v>0</v>
      </c>
      <c r="R360">
        <v>0.99808124643687401</v>
      </c>
      <c r="S360" t="s">
        <v>6221</v>
      </c>
      <c r="T360" t="s">
        <v>11720</v>
      </c>
      <c r="U360" t="s">
        <v>11720</v>
      </c>
      <c r="V360" t="s">
        <v>11720</v>
      </c>
      <c r="W360" t="s">
        <v>12073</v>
      </c>
      <c r="X360">
        <v>3</v>
      </c>
      <c r="Y360" t="s">
        <v>17870</v>
      </c>
      <c r="Z360" t="s">
        <v>23567</v>
      </c>
      <c r="AA360">
        <v>0.41203319644273001</v>
      </c>
      <c r="AB360" t="str">
        <f>HYPERLINK("Melting_Curves/meltCurve_D6RE84_ALG13.pdf", "Melting_Curves/meltCurve_D6RE84_ALG13.pdf")</f>
        <v>Melting_Curves/meltCurve_D6RE84_ALG13.pdf</v>
      </c>
    </row>
    <row r="361" spans="1:28" x14ac:dyDescent="0.25">
      <c r="A361" t="s">
        <v>365</v>
      </c>
      <c r="B361">
        <v>0.99334974765950101</v>
      </c>
      <c r="C361">
        <v>0.95038625986088099</v>
      </c>
      <c r="D361">
        <v>0.96952941940797499</v>
      </c>
      <c r="E361">
        <v>0.70301017607530902</v>
      </c>
      <c r="F361">
        <v>0.73818917356790203</v>
      </c>
      <c r="G361">
        <v>0.50730679076205099</v>
      </c>
      <c r="H361">
        <v>0.40375039358831699</v>
      </c>
      <c r="I361">
        <v>0.21250780402285299</v>
      </c>
      <c r="J361">
        <v>0.12963593061509601</v>
      </c>
      <c r="K361">
        <v>9.9097832525919305E-2</v>
      </c>
      <c r="L361">
        <v>599.01031497363601</v>
      </c>
      <c r="M361">
        <v>10.5097779091288</v>
      </c>
      <c r="N361">
        <v>56.995538993920803</v>
      </c>
      <c r="O361">
        <v>55.048020738969903</v>
      </c>
      <c r="P361">
        <v>-4.7749234950985299E-2</v>
      </c>
      <c r="Q361">
        <v>0</v>
      </c>
      <c r="R361">
        <v>0.97725179811291596</v>
      </c>
      <c r="S361" t="s">
        <v>6222</v>
      </c>
      <c r="T361" t="s">
        <v>11720</v>
      </c>
      <c r="U361" t="s">
        <v>11720</v>
      </c>
      <c r="V361" t="s">
        <v>11720</v>
      </c>
      <c r="W361" t="s">
        <v>12074</v>
      </c>
      <c r="X361">
        <v>6</v>
      </c>
      <c r="Y361" t="s">
        <v>17871</v>
      </c>
      <c r="Z361" t="s">
        <v>23568</v>
      </c>
      <c r="AA361">
        <v>0.58281164773095351</v>
      </c>
      <c r="AB361" t="str">
        <f>HYPERLINK("Melting_Curves/meltCurve_D6REB5_IDUA.pdf", "Melting_Curves/meltCurve_D6REB5_IDUA.pdf")</f>
        <v>Melting_Curves/meltCurve_D6REB5_IDUA.pdf</v>
      </c>
    </row>
    <row r="362" spans="1:28" x14ac:dyDescent="0.25">
      <c r="A362" t="s">
        <v>366</v>
      </c>
      <c r="B362">
        <v>0.99334974765950101</v>
      </c>
      <c r="C362">
        <v>0.78020191765926095</v>
      </c>
      <c r="D362">
        <v>0.942400612582589</v>
      </c>
      <c r="E362">
        <v>1.1294991485904899</v>
      </c>
      <c r="F362">
        <v>1.5611293393304999</v>
      </c>
      <c r="G362">
        <v>1.4044530534501201</v>
      </c>
      <c r="H362">
        <v>1.76919189063488</v>
      </c>
      <c r="I362">
        <v>1.36498995687573</v>
      </c>
      <c r="J362">
        <v>2.3395183840962801</v>
      </c>
      <c r="K362">
        <v>2.2223784087807599</v>
      </c>
      <c r="L362">
        <v>12552.558770014801</v>
      </c>
      <c r="M362">
        <v>250</v>
      </c>
      <c r="O362">
        <v>50.207021965095997</v>
      </c>
      <c r="P362">
        <v>0.62242289659679995</v>
      </c>
      <c r="Q362">
        <v>1.5</v>
      </c>
      <c r="R362">
        <v>0.45357065866719098</v>
      </c>
      <c r="S362" t="s">
        <v>6223</v>
      </c>
      <c r="T362" t="s">
        <v>11720</v>
      </c>
      <c r="U362" t="s">
        <v>11720</v>
      </c>
      <c r="V362" t="s">
        <v>11720</v>
      </c>
      <c r="W362" t="s">
        <v>12075</v>
      </c>
      <c r="X362">
        <v>2</v>
      </c>
      <c r="Y362" t="s">
        <v>17872</v>
      </c>
      <c r="Z362" t="s">
        <v>23569</v>
      </c>
      <c r="AA362">
        <v>1.3297853562417861</v>
      </c>
      <c r="AB362" t="str">
        <f>HYPERLINK("Melting_Curves/meltCurve_D6REL0_CDC42SE2.pdf", "Melting_Curves/meltCurve_D6REL0_CDC42SE2.pdf")</f>
        <v>Melting_Curves/meltCurve_D6REL0_CDC42SE2.pdf</v>
      </c>
    </row>
    <row r="363" spans="1:28" x14ac:dyDescent="0.25">
      <c r="A363" t="s">
        <v>367</v>
      </c>
      <c r="B363">
        <v>0.99334974765950101</v>
      </c>
      <c r="C363">
        <v>1.026145227644</v>
      </c>
      <c r="D363">
        <v>0.93557765151850703</v>
      </c>
      <c r="E363">
        <v>0.65948252835458898</v>
      </c>
      <c r="F363">
        <v>0.78816864186220503</v>
      </c>
      <c r="G363">
        <v>0.52618135914782704</v>
      </c>
      <c r="H363">
        <v>0.37619328744586</v>
      </c>
      <c r="I363">
        <v>0.451315002159142</v>
      </c>
      <c r="J363">
        <v>0.64167581425883402</v>
      </c>
      <c r="K363">
        <v>0.52394664182241701</v>
      </c>
      <c r="L363">
        <v>897.56348409377199</v>
      </c>
      <c r="M363">
        <v>17.837342228529799</v>
      </c>
      <c r="O363">
        <v>49.699698450947999</v>
      </c>
      <c r="P363">
        <v>-4.5040575832121399E-2</v>
      </c>
      <c r="Q363">
        <v>0.49804449914180499</v>
      </c>
      <c r="R363">
        <v>0.83933543727803195</v>
      </c>
      <c r="S363" t="s">
        <v>6224</v>
      </c>
      <c r="T363" t="s">
        <v>11720</v>
      </c>
      <c r="U363" t="s">
        <v>11720</v>
      </c>
      <c r="V363" t="s">
        <v>11720</v>
      </c>
      <c r="W363" t="s">
        <v>12076</v>
      </c>
      <c r="X363">
        <v>1</v>
      </c>
      <c r="Y363" t="s">
        <v>17873</v>
      </c>
      <c r="Z363" t="s">
        <v>23570</v>
      </c>
      <c r="AA363">
        <v>0.67937770742797254</v>
      </c>
      <c r="AB363" t="str">
        <f>HYPERLINK("Melting_Curves/meltCurve_D6REL4_IK.pdf", "Melting_Curves/meltCurve_D6REL4_IK.pdf")</f>
        <v>Melting_Curves/meltCurve_D6REL4_IK.pdf</v>
      </c>
    </row>
    <row r="364" spans="1:28" x14ac:dyDescent="0.25">
      <c r="A364" t="s">
        <v>368</v>
      </c>
      <c r="B364">
        <v>0.99334974765950101</v>
      </c>
      <c r="C364">
        <v>0.86189890973610905</v>
      </c>
      <c r="D364">
        <v>0.54598538775047301</v>
      </c>
      <c r="E364">
        <v>0.34918647945576198</v>
      </c>
      <c r="F364">
        <v>0.31953672136082001</v>
      </c>
      <c r="G364">
        <v>0.16827266093064699</v>
      </c>
      <c r="H364">
        <v>0.209298506201062</v>
      </c>
      <c r="I364">
        <v>0.23928813716229499</v>
      </c>
      <c r="J364">
        <v>0.29028577665579502</v>
      </c>
      <c r="K364">
        <v>0.231696115543081</v>
      </c>
      <c r="L364">
        <v>1042.0497443536501</v>
      </c>
      <c r="M364">
        <v>22.895071736800102</v>
      </c>
      <c r="N364">
        <v>46.835048920701603</v>
      </c>
      <c r="O364">
        <v>45.1711912415944</v>
      </c>
      <c r="P364">
        <v>-9.6575196414400793E-2</v>
      </c>
      <c r="Q364">
        <v>0.237856347297659</v>
      </c>
      <c r="R364">
        <v>0.98056021589638898</v>
      </c>
      <c r="S364" t="s">
        <v>6225</v>
      </c>
      <c r="T364" t="s">
        <v>11720</v>
      </c>
      <c r="U364" t="s">
        <v>11720</v>
      </c>
      <c r="V364" t="s">
        <v>11720</v>
      </c>
      <c r="W364" t="s">
        <v>12077</v>
      </c>
      <c r="X364">
        <v>2</v>
      </c>
      <c r="Y364" t="s">
        <v>17874</v>
      </c>
      <c r="Z364" t="s">
        <v>23571</v>
      </c>
      <c r="AA364">
        <v>0.38687015173756428</v>
      </c>
      <c r="AB364" t="str">
        <f>HYPERLINK("Melting_Curves/meltCurve_D6REP5_GRAMD3.pdf", "Melting_Curves/meltCurve_D6REP5_GRAMD3.pdf")</f>
        <v>Melting_Curves/meltCurve_D6REP5_GRAMD3.pdf</v>
      </c>
    </row>
    <row r="365" spans="1:28" x14ac:dyDescent="0.25">
      <c r="A365" t="s">
        <v>369</v>
      </c>
      <c r="B365">
        <v>0.99334974765950101</v>
      </c>
      <c r="C365">
        <v>0.97872061294559198</v>
      </c>
      <c r="D365">
        <v>0.59912021525429204</v>
      </c>
      <c r="E365">
        <v>0.58914689888318195</v>
      </c>
      <c r="F365">
        <v>0.70127441985771799</v>
      </c>
      <c r="G365">
        <v>0.89064604961475102</v>
      </c>
      <c r="H365">
        <v>0.94188450711510896</v>
      </c>
      <c r="I365">
        <v>0.47664315113960098</v>
      </c>
      <c r="J365">
        <v>0.44694713133604003</v>
      </c>
      <c r="K365">
        <v>0.34364617995211899</v>
      </c>
      <c r="L365">
        <v>225.67682253772199</v>
      </c>
      <c r="M365">
        <v>3.2710781818171601</v>
      </c>
      <c r="N365">
        <v>68.991575503978595</v>
      </c>
      <c r="O365">
        <v>52.687110354812702</v>
      </c>
      <c r="P365">
        <v>-1.5893308527914301E-2</v>
      </c>
      <c r="Q365">
        <v>0</v>
      </c>
      <c r="R365">
        <v>0.41283396958565199</v>
      </c>
      <c r="S365" t="s">
        <v>6226</v>
      </c>
      <c r="T365" t="s">
        <v>11720</v>
      </c>
      <c r="U365" t="s">
        <v>11720</v>
      </c>
      <c r="V365" t="s">
        <v>11720</v>
      </c>
      <c r="W365" t="s">
        <v>12078</v>
      </c>
      <c r="X365">
        <v>2</v>
      </c>
      <c r="Y365" t="s">
        <v>17875</v>
      </c>
      <c r="Z365" t="s">
        <v>23572</v>
      </c>
      <c r="AA365">
        <v>0.69929792357534559</v>
      </c>
      <c r="AB365" t="str">
        <f>HYPERLINK("Melting_Curves/meltCurve_D6REQ8_HEXB.pdf", "Melting_Curves/meltCurve_D6REQ8_HEXB.pdf")</f>
        <v>Melting_Curves/meltCurve_D6REQ8_HEXB.pdf</v>
      </c>
    </row>
    <row r="366" spans="1:28" x14ac:dyDescent="0.25">
      <c r="A366" t="s">
        <v>370</v>
      </c>
      <c r="B366">
        <v>0.99334974765950101</v>
      </c>
      <c r="C366">
        <v>1.13020914498452</v>
      </c>
      <c r="D366">
        <v>0.99015816719983096</v>
      </c>
      <c r="E366">
        <v>0.82651609010818305</v>
      </c>
      <c r="F366">
        <v>0.81928608918435197</v>
      </c>
      <c r="G366">
        <v>0.78856464538424398</v>
      </c>
      <c r="H366">
        <v>0.85346522459293395</v>
      </c>
      <c r="I366">
        <v>1.2887121627329901</v>
      </c>
      <c r="J366">
        <v>1.10513134870537</v>
      </c>
      <c r="K366">
        <v>1.12640164710506</v>
      </c>
      <c r="L366">
        <v>4511.0547171225098</v>
      </c>
      <c r="M366">
        <v>72.075375639034604</v>
      </c>
      <c r="O366">
        <v>62.539896891771001</v>
      </c>
      <c r="P366">
        <v>4.7206887961046003E-2</v>
      </c>
      <c r="Q366">
        <v>1.16384584768168</v>
      </c>
      <c r="R366">
        <v>0.29277386920656501</v>
      </c>
      <c r="S366" t="s">
        <v>6227</v>
      </c>
      <c r="T366" t="s">
        <v>11720</v>
      </c>
      <c r="U366" t="s">
        <v>11720</v>
      </c>
      <c r="V366" t="s">
        <v>11720</v>
      </c>
      <c r="W366" t="s">
        <v>12079</v>
      </c>
      <c r="X366">
        <v>1</v>
      </c>
      <c r="Y366" t="s">
        <v>17876</v>
      </c>
      <c r="Z366" t="s">
        <v>23573</v>
      </c>
      <c r="AA366">
        <v>1.0402666772890461</v>
      </c>
      <c r="AB366" t="str">
        <f>HYPERLINK("Melting_Curves/meltCurve_D6RER8_SLC38A9.pdf", "Melting_Curves/meltCurve_D6RER8_SLC38A9.pdf")</f>
        <v>Melting_Curves/meltCurve_D6RER8_SLC38A9.pdf</v>
      </c>
    </row>
    <row r="367" spans="1:28" x14ac:dyDescent="0.25">
      <c r="A367" t="s">
        <v>371</v>
      </c>
      <c r="B367">
        <v>0.99334974765950101</v>
      </c>
      <c r="C367">
        <v>0.97050558395533804</v>
      </c>
      <c r="D367">
        <v>1.00270522697988</v>
      </c>
      <c r="E367">
        <v>0.78384350418566295</v>
      </c>
      <c r="F367">
        <v>0.33149507103922599</v>
      </c>
      <c r="G367">
        <v>0.19162709749454501</v>
      </c>
      <c r="H367">
        <v>0.11584225986103</v>
      </c>
      <c r="I367">
        <v>9.4107327439377497E-2</v>
      </c>
      <c r="J367">
        <v>8.6858703866927595E-2</v>
      </c>
      <c r="K367">
        <v>7.18470211787261E-2</v>
      </c>
      <c r="L367">
        <v>1807.6690704709999</v>
      </c>
      <c r="M367">
        <v>35.063425868502001</v>
      </c>
      <c r="N367">
        <v>51.892546163335197</v>
      </c>
      <c r="O367">
        <v>51.387434745001599</v>
      </c>
      <c r="P367">
        <v>-0.15315612590094399</v>
      </c>
      <c r="Q367">
        <v>0.102167268222029</v>
      </c>
      <c r="R367">
        <v>0.99591730381156696</v>
      </c>
      <c r="S367" t="s">
        <v>6228</v>
      </c>
      <c r="T367" t="s">
        <v>11720</v>
      </c>
      <c r="U367" t="s">
        <v>11720</v>
      </c>
      <c r="V367" t="s">
        <v>11720</v>
      </c>
      <c r="W367" t="s">
        <v>12080</v>
      </c>
      <c r="X367">
        <v>36</v>
      </c>
      <c r="Y367" t="s">
        <v>17877</v>
      </c>
      <c r="Z367" t="s">
        <v>23574</v>
      </c>
      <c r="AA367">
        <v>0.45212917823505699</v>
      </c>
      <c r="AB367" t="str">
        <f>HYPERLINK("Melting_Curves/meltCurve_D6REX3_SEC31A.pdf", "Melting_Curves/meltCurve_D6REX3_SEC31A.pdf")</f>
        <v>Melting_Curves/meltCurve_D6REX3_SEC31A.pdf</v>
      </c>
    </row>
    <row r="368" spans="1:28" x14ac:dyDescent="0.25">
      <c r="A368" t="s">
        <v>372</v>
      </c>
      <c r="B368">
        <v>0.99334974765950101</v>
      </c>
      <c r="C368">
        <v>0.85488306124475699</v>
      </c>
      <c r="D368">
        <v>0.88906472109278201</v>
      </c>
      <c r="E368">
        <v>0.78883025557680897</v>
      </c>
      <c r="F368">
        <v>0.69775546253091003</v>
      </c>
      <c r="G368">
        <v>0.61850528527167603</v>
      </c>
      <c r="H368">
        <v>0.48949415818853298</v>
      </c>
      <c r="I368">
        <v>0.53306336132698895</v>
      </c>
      <c r="J368">
        <v>0.43833134314567201</v>
      </c>
      <c r="K368">
        <v>0.34909946760490801</v>
      </c>
      <c r="L368">
        <v>328.76077084993801</v>
      </c>
      <c r="M368">
        <v>5.4020405718628899</v>
      </c>
      <c r="N368">
        <v>62.635970619694</v>
      </c>
      <c r="O368">
        <v>54.030194377758903</v>
      </c>
      <c r="P368">
        <v>-2.3328242421454402E-2</v>
      </c>
      <c r="Q368">
        <v>7.1058100419313097E-2</v>
      </c>
      <c r="R368">
        <v>0.96891056265665398</v>
      </c>
      <c r="S368" t="s">
        <v>6229</v>
      </c>
      <c r="T368" t="s">
        <v>11720</v>
      </c>
      <c r="U368" t="s">
        <v>11720</v>
      </c>
      <c r="V368" t="s">
        <v>11720</v>
      </c>
      <c r="W368" t="s">
        <v>12081</v>
      </c>
      <c r="X368">
        <v>1</v>
      </c>
      <c r="Y368" t="s">
        <v>17878</v>
      </c>
      <c r="Z368" t="s">
        <v>23575</v>
      </c>
      <c r="AA368">
        <v>0.66664757485424664</v>
      </c>
      <c r="AB368" t="str">
        <f>HYPERLINK("Melting_Curves/meltCurve_D6REX7_SPRY1.pdf", "Melting_Curves/meltCurve_D6REX7_SPRY1.pdf")</f>
        <v>Melting_Curves/meltCurve_D6REX7_SPRY1.pdf</v>
      </c>
    </row>
    <row r="369" spans="1:28" x14ac:dyDescent="0.25">
      <c r="A369" t="s">
        <v>373</v>
      </c>
      <c r="B369">
        <v>0.99334974765950101</v>
      </c>
      <c r="C369">
        <v>1.00893370226837</v>
      </c>
      <c r="D369">
        <v>1.1240175936753201</v>
      </c>
      <c r="E369">
        <v>1.08400592033923</v>
      </c>
      <c r="F369">
        <v>1.1587452334377599</v>
      </c>
      <c r="G369">
        <v>0.94363841304123497</v>
      </c>
      <c r="H369">
        <v>1.0729841216624201</v>
      </c>
      <c r="I369">
        <v>1.0368357045027099</v>
      </c>
      <c r="J369">
        <v>0.712394986511526</v>
      </c>
      <c r="K369">
        <v>0.60374919020128404</v>
      </c>
      <c r="L369">
        <v>15000</v>
      </c>
      <c r="M369">
        <v>224.853760372024</v>
      </c>
      <c r="O369">
        <v>66.704753051302006</v>
      </c>
      <c r="P369">
        <v>-0.333943185723373</v>
      </c>
      <c r="Q369">
        <v>0.60373184814571401</v>
      </c>
      <c r="R369">
        <v>0.80165495451268298</v>
      </c>
      <c r="S369" t="s">
        <v>6230</v>
      </c>
      <c r="T369" t="s">
        <v>11720</v>
      </c>
      <c r="U369" t="s">
        <v>11720</v>
      </c>
      <c r="V369" t="s">
        <v>11720</v>
      </c>
      <c r="W369" t="s">
        <v>12082</v>
      </c>
      <c r="X369">
        <v>12</v>
      </c>
      <c r="Y369" t="s">
        <v>17879</v>
      </c>
      <c r="Z369" t="s">
        <v>23576</v>
      </c>
      <c r="AA369">
        <v>0.95660016525092262</v>
      </c>
      <c r="AB369" t="str">
        <f>HYPERLINK("Melting_Curves/meltCurve_D6RF44_HNRNPD.pdf", "Melting_Curves/meltCurve_D6RF44_HNRNPD.pdf")</f>
        <v>Melting_Curves/meltCurve_D6RF44_HNRNPD.pdf</v>
      </c>
    </row>
    <row r="370" spans="1:28" x14ac:dyDescent="0.25">
      <c r="A370" t="s">
        <v>374</v>
      </c>
      <c r="B370">
        <v>0.99334974765950101</v>
      </c>
      <c r="C370">
        <v>0.89770828461821295</v>
      </c>
      <c r="D370">
        <v>0.87578509575654095</v>
      </c>
      <c r="E370">
        <v>0.53356875593041098</v>
      </c>
      <c r="F370">
        <v>0.25932739523932302</v>
      </c>
      <c r="G370">
        <v>0.172535266816748</v>
      </c>
      <c r="H370">
        <v>0.141340379375891</v>
      </c>
      <c r="I370">
        <v>0.123504570918663</v>
      </c>
      <c r="J370">
        <v>0.126087766659885</v>
      </c>
      <c r="K370">
        <v>0.11189354894343601</v>
      </c>
      <c r="L370">
        <v>1070.6868427260599</v>
      </c>
      <c r="M370">
        <v>21.611018152632301</v>
      </c>
      <c r="N370">
        <v>50.161745167431199</v>
      </c>
      <c r="O370">
        <v>49.125187072330803</v>
      </c>
      <c r="P370">
        <v>-9.7124436966883804E-2</v>
      </c>
      <c r="Q370">
        <v>0.116905467894465</v>
      </c>
      <c r="R370">
        <v>0.99422084085496598</v>
      </c>
      <c r="S370" t="s">
        <v>6231</v>
      </c>
      <c r="T370" t="s">
        <v>11720</v>
      </c>
      <c r="U370" t="s">
        <v>11720</v>
      </c>
      <c r="V370" t="s">
        <v>11720</v>
      </c>
      <c r="W370" t="s">
        <v>12083</v>
      </c>
      <c r="X370">
        <v>7</v>
      </c>
      <c r="Y370" t="s">
        <v>17880</v>
      </c>
      <c r="Z370" t="s">
        <v>23577</v>
      </c>
      <c r="AA370">
        <v>0.40838664378457118</v>
      </c>
      <c r="AB370" t="str">
        <f>HYPERLINK("Melting_Curves/meltCurve_D6RF48_STX18.pdf", "Melting_Curves/meltCurve_D6RF48_STX18.pdf")</f>
        <v>Melting_Curves/meltCurve_D6RF48_STX18.pdf</v>
      </c>
    </row>
    <row r="371" spans="1:28" x14ac:dyDescent="0.25">
      <c r="A371" t="s">
        <v>375</v>
      </c>
      <c r="B371">
        <v>0.99334974765950101</v>
      </c>
      <c r="C371">
        <v>0.962877407154905</v>
      </c>
      <c r="D371">
        <v>0.93472469548556303</v>
      </c>
      <c r="E371">
        <v>0.74440468299775997</v>
      </c>
      <c r="F371">
        <v>0.44604171203488602</v>
      </c>
      <c r="G371">
        <v>0.241211314169161</v>
      </c>
      <c r="H371">
        <v>0.14267629639976201</v>
      </c>
      <c r="I371">
        <v>0.10982505961853201</v>
      </c>
      <c r="J371">
        <v>0.105375765470322</v>
      </c>
      <c r="K371">
        <v>7.9548645795168196E-2</v>
      </c>
      <c r="L371">
        <v>1029.2931574480799</v>
      </c>
      <c r="M371">
        <v>19.751545840103301</v>
      </c>
      <c r="N371">
        <v>52.626235503600903</v>
      </c>
      <c r="O371">
        <v>51.586671936320101</v>
      </c>
      <c r="P371">
        <v>-8.7323322077979396E-2</v>
      </c>
      <c r="Q371">
        <v>8.7754335493176405E-2</v>
      </c>
      <c r="R371">
        <v>0.99856150635051499</v>
      </c>
      <c r="S371" t="s">
        <v>6232</v>
      </c>
      <c r="T371" t="s">
        <v>11720</v>
      </c>
      <c r="U371" t="s">
        <v>11720</v>
      </c>
      <c r="V371" t="s">
        <v>11720</v>
      </c>
      <c r="W371" t="s">
        <v>12084</v>
      </c>
      <c r="X371">
        <v>4</v>
      </c>
      <c r="Y371" t="s">
        <v>17881</v>
      </c>
      <c r="Z371" t="s">
        <v>23578</v>
      </c>
      <c r="AA371">
        <v>0.46896101672350399</v>
      </c>
      <c r="AB371" t="str">
        <f>HYPERLINK("Melting_Curves/meltCurve_D6RFG8_DCK.pdf", "Melting_Curves/meltCurve_D6RFG8_DCK.pdf")</f>
        <v>Melting_Curves/meltCurve_D6RFG8_DCK.pdf</v>
      </c>
    </row>
    <row r="372" spans="1:28" x14ac:dyDescent="0.25">
      <c r="A372" t="s">
        <v>376</v>
      </c>
      <c r="B372">
        <v>0.99334974765950101</v>
      </c>
      <c r="C372">
        <v>0.75359534840781595</v>
      </c>
      <c r="D372">
        <v>0.61932806062733003</v>
      </c>
      <c r="E372">
        <v>0.39048249628975701</v>
      </c>
      <c r="F372">
        <v>0.38618305746697501</v>
      </c>
      <c r="G372">
        <v>0.171999373004631</v>
      </c>
      <c r="H372">
        <v>0.15686390685276799</v>
      </c>
      <c r="I372">
        <v>0.209794531988305</v>
      </c>
      <c r="J372">
        <v>0.28018173836403198</v>
      </c>
      <c r="K372">
        <v>0.27607015874430102</v>
      </c>
      <c r="L372">
        <v>714.08808736648996</v>
      </c>
      <c r="M372">
        <v>15.523351488136299</v>
      </c>
      <c r="N372">
        <v>47.765777158288103</v>
      </c>
      <c r="O372">
        <v>45.257779858479097</v>
      </c>
      <c r="P372">
        <v>-6.7041321451859495E-2</v>
      </c>
      <c r="Q372">
        <v>0.218242520265398</v>
      </c>
      <c r="R372">
        <v>0.95310130145298499</v>
      </c>
      <c r="S372" t="s">
        <v>6233</v>
      </c>
      <c r="T372" t="s">
        <v>11720</v>
      </c>
      <c r="U372" t="s">
        <v>11720</v>
      </c>
      <c r="V372" t="s">
        <v>11720</v>
      </c>
      <c r="W372" t="s">
        <v>12085</v>
      </c>
      <c r="X372">
        <v>1</v>
      </c>
      <c r="Y372" t="s">
        <v>17882</v>
      </c>
      <c r="Z372" t="s">
        <v>23579</v>
      </c>
      <c r="AA372">
        <v>0.39584683704049911</v>
      </c>
      <c r="AB372" t="str">
        <f>HYPERLINK("Melting_Curves/meltCurve_D6RGD1_MYO10.pdf", "Melting_Curves/meltCurve_D6RGD1_MYO10.pdf")</f>
        <v>Melting_Curves/meltCurve_D6RGD1_MYO10.pdf</v>
      </c>
    </row>
    <row r="373" spans="1:28" x14ac:dyDescent="0.25">
      <c r="A373" t="s">
        <v>377</v>
      </c>
      <c r="B373">
        <v>0.99334974765950101</v>
      </c>
      <c r="C373">
        <v>1.0086982046817099</v>
      </c>
      <c r="D373">
        <v>1.1283599048892301</v>
      </c>
      <c r="E373">
        <v>1.1114843200178499</v>
      </c>
      <c r="F373">
        <v>0.56161995700725997</v>
      </c>
      <c r="G373">
        <v>0.39160609161223398</v>
      </c>
      <c r="H373">
        <v>0.30160696340103599</v>
      </c>
      <c r="I373">
        <v>0.30160723298811298</v>
      </c>
      <c r="J373">
        <v>0.22250912852986601</v>
      </c>
      <c r="K373">
        <v>0.18341623984901001</v>
      </c>
      <c r="L373">
        <v>13226.518038775001</v>
      </c>
      <c r="M373">
        <v>250</v>
      </c>
      <c r="N373">
        <v>53.080528419654101</v>
      </c>
      <c r="O373">
        <v>52.902692409040903</v>
      </c>
      <c r="P373">
        <v>-0.85044226856872496</v>
      </c>
      <c r="Q373">
        <v>0.28014910894092099</v>
      </c>
      <c r="R373">
        <v>0.96060633220273695</v>
      </c>
      <c r="S373" t="s">
        <v>6234</v>
      </c>
      <c r="T373" t="s">
        <v>11720</v>
      </c>
      <c r="U373" t="s">
        <v>11720</v>
      </c>
      <c r="V373" t="s">
        <v>11720</v>
      </c>
      <c r="W373" t="s">
        <v>12086</v>
      </c>
      <c r="X373">
        <v>40</v>
      </c>
      <c r="Y373" t="s">
        <v>17883</v>
      </c>
      <c r="Z373" t="s">
        <v>23580</v>
      </c>
      <c r="AA373">
        <v>0.5898975313135667</v>
      </c>
      <c r="AB373" t="str">
        <f>HYPERLINK("Melting_Curves/meltCurve_D6RGG3_COL12A1.pdf", "Melting_Curves/meltCurve_D6RGG3_COL12A1.pdf")</f>
        <v>Melting_Curves/meltCurve_D6RGG3_COL12A1.pdf</v>
      </c>
    </row>
    <row r="374" spans="1:28" x14ac:dyDescent="0.25">
      <c r="A374" t="s">
        <v>378</v>
      </c>
      <c r="B374">
        <v>0.99334974765950101</v>
      </c>
      <c r="C374">
        <v>0.88884064078639302</v>
      </c>
      <c r="D374">
        <v>0.86182116418902199</v>
      </c>
      <c r="E374">
        <v>0.93583891703734501</v>
      </c>
      <c r="F374">
        <v>0.88093781301343899</v>
      </c>
      <c r="G374">
        <v>0.92937625364719201</v>
      </c>
      <c r="H374">
        <v>0.85641988364087696</v>
      </c>
      <c r="I374">
        <v>0.82215715051235705</v>
      </c>
      <c r="J374">
        <v>0.69264241900027501</v>
      </c>
      <c r="K374">
        <v>0.63868641620198097</v>
      </c>
      <c r="L374">
        <v>302.47130619657003</v>
      </c>
      <c r="M374">
        <v>3.51840213968668</v>
      </c>
      <c r="O374">
        <v>67.529623239044597</v>
      </c>
      <c r="P374">
        <v>-1.32758476309809E-2</v>
      </c>
      <c r="Q374">
        <v>0</v>
      </c>
      <c r="R374">
        <v>0.71508558820941703</v>
      </c>
      <c r="S374" t="s">
        <v>6235</v>
      </c>
      <c r="T374" t="s">
        <v>11720</v>
      </c>
      <c r="U374" t="s">
        <v>11720</v>
      </c>
      <c r="V374" t="s">
        <v>11720</v>
      </c>
      <c r="W374" t="s">
        <v>12087</v>
      </c>
      <c r="X374">
        <v>1</v>
      </c>
      <c r="Y374" t="s">
        <v>17884</v>
      </c>
      <c r="Z374" t="s">
        <v>23581</v>
      </c>
      <c r="AA374">
        <v>0.86409459062208804</v>
      </c>
      <c r="AB374" t="str">
        <f>HYPERLINK("Melting_Curves/meltCurve_D6RGJ7_SLC9B2.pdf", "Melting_Curves/meltCurve_D6RGJ7_SLC9B2.pdf")</f>
        <v>Melting_Curves/meltCurve_D6RGJ7_SLC9B2.pdf</v>
      </c>
    </row>
    <row r="375" spans="1:28" x14ac:dyDescent="0.25">
      <c r="A375" t="s">
        <v>379</v>
      </c>
      <c r="B375">
        <v>0.99334974765950101</v>
      </c>
      <c r="C375">
        <v>1.0974830359072101</v>
      </c>
      <c r="D375">
        <v>0.82921517635410902</v>
      </c>
      <c r="E375">
        <v>0.76480007391133198</v>
      </c>
      <c r="F375">
        <v>0.41151528986406699</v>
      </c>
      <c r="G375">
        <v>0.58869130197280894</v>
      </c>
      <c r="H375">
        <v>0.53853215166744905</v>
      </c>
      <c r="I375">
        <v>1.8749259383377901</v>
      </c>
      <c r="J375">
        <v>0.88253593854078005</v>
      </c>
      <c r="K375">
        <v>0.84452703382323402</v>
      </c>
      <c r="L375">
        <v>11145.952551918001</v>
      </c>
      <c r="M375">
        <v>250</v>
      </c>
      <c r="O375">
        <v>44.580957182602504</v>
      </c>
      <c r="P375">
        <v>-0.22173968202274</v>
      </c>
      <c r="Q375">
        <v>0.84183412401914703</v>
      </c>
      <c r="R375">
        <v>4.17863832906199E-2</v>
      </c>
      <c r="S375" t="s">
        <v>6236</v>
      </c>
      <c r="T375" t="s">
        <v>11720</v>
      </c>
      <c r="U375" t="s">
        <v>11720</v>
      </c>
      <c r="V375" t="s">
        <v>11720</v>
      </c>
      <c r="W375" t="s">
        <v>12088</v>
      </c>
      <c r="X375">
        <v>1</v>
      </c>
      <c r="Y375" t="s">
        <v>17885</v>
      </c>
      <c r="Z375" t="s">
        <v>23582</v>
      </c>
      <c r="AA375">
        <v>0.86601324476057684</v>
      </c>
      <c r="AB375" t="str">
        <f>HYPERLINK("Melting_Curves/meltCurve_D6RH20_MRPS27.pdf", "Melting_Curves/meltCurve_D6RH20_MRPS27.pdf")</f>
        <v>Melting_Curves/meltCurve_D6RH20_MRPS27.pdf</v>
      </c>
    </row>
    <row r="376" spans="1:28" x14ac:dyDescent="0.25">
      <c r="A376" t="s">
        <v>380</v>
      </c>
      <c r="B376">
        <v>0.99334974765950101</v>
      </c>
      <c r="C376">
        <v>0.88728159760491798</v>
      </c>
      <c r="D376">
        <v>0.85812181920546304</v>
      </c>
      <c r="E376">
        <v>0.83418270841069597</v>
      </c>
      <c r="F376">
        <v>0.608105542612279</v>
      </c>
      <c r="G376">
        <v>0.62029272448941797</v>
      </c>
      <c r="H376">
        <v>0.52118515801126697</v>
      </c>
      <c r="I376">
        <v>0.41054654675654001</v>
      </c>
      <c r="J376">
        <v>0.329910134501393</v>
      </c>
      <c r="K376">
        <v>0.243438085600898</v>
      </c>
      <c r="L376">
        <v>381.90272232685902</v>
      </c>
      <c r="M376">
        <v>6.3687637117931697</v>
      </c>
      <c r="N376">
        <v>59.964971471392197</v>
      </c>
      <c r="O376">
        <v>54.8701555225934</v>
      </c>
      <c r="P376">
        <v>-2.9093296918798001E-2</v>
      </c>
      <c r="Q376">
        <v>0</v>
      </c>
      <c r="R376">
        <v>0.96689214684317104</v>
      </c>
      <c r="S376" t="s">
        <v>6237</v>
      </c>
      <c r="T376" t="s">
        <v>11720</v>
      </c>
      <c r="U376" t="s">
        <v>11720</v>
      </c>
      <c r="V376" t="s">
        <v>11720</v>
      </c>
      <c r="W376" t="s">
        <v>12089</v>
      </c>
      <c r="X376">
        <v>1</v>
      </c>
      <c r="Y376" t="s">
        <v>17886</v>
      </c>
      <c r="Z376" t="s">
        <v>23583</v>
      </c>
      <c r="AA376">
        <v>0.63622964616351785</v>
      </c>
      <c r="AB376" t="str">
        <f>HYPERLINK("Melting_Curves/meltCurve_D6RHG7_SERINC5.pdf", "Melting_Curves/meltCurve_D6RHG7_SERINC5.pdf")</f>
        <v>Melting_Curves/meltCurve_D6RHG7_SERINC5.pdf</v>
      </c>
    </row>
    <row r="377" spans="1:28" x14ac:dyDescent="0.25">
      <c r="A377" t="s">
        <v>381</v>
      </c>
      <c r="B377">
        <v>0.99334974765950101</v>
      </c>
      <c r="C377">
        <v>1.1440485509942999</v>
      </c>
      <c r="D377">
        <v>1.0088508612420499</v>
      </c>
      <c r="E377">
        <v>1.4309333805789499</v>
      </c>
      <c r="F377">
        <v>1.3117606545190399</v>
      </c>
      <c r="G377">
        <v>0.495034865481077</v>
      </c>
      <c r="H377">
        <v>0.28095493982868103</v>
      </c>
      <c r="I377">
        <v>0.246913443159471</v>
      </c>
      <c r="J377">
        <v>0.25683557379274802</v>
      </c>
      <c r="K377">
        <v>0.25410901006151598</v>
      </c>
      <c r="L377">
        <v>14206.480870945101</v>
      </c>
      <c r="M377">
        <v>250</v>
      </c>
      <c r="N377">
        <v>56.992961681369003</v>
      </c>
      <c r="O377">
        <v>56.822288260819697</v>
      </c>
      <c r="P377">
        <v>-0.81426761589993701</v>
      </c>
      <c r="Q377">
        <v>0.25970323019380898</v>
      </c>
      <c r="R377">
        <v>0.85415844189915202</v>
      </c>
      <c r="S377" t="s">
        <v>6238</v>
      </c>
      <c r="T377" t="s">
        <v>11720</v>
      </c>
      <c r="U377" t="s">
        <v>11720</v>
      </c>
      <c r="V377" t="s">
        <v>11720</v>
      </c>
      <c r="W377" t="s">
        <v>12090</v>
      </c>
      <c r="X377">
        <v>4</v>
      </c>
      <c r="Y377" t="s">
        <v>17887</v>
      </c>
      <c r="Z377" t="s">
        <v>23584</v>
      </c>
      <c r="AA377">
        <v>0.67498295243090922</v>
      </c>
      <c r="AB377" t="str">
        <f>HYPERLINK("Melting_Curves/meltCurve_D6RHI7_CCNH.pdf", "Melting_Curves/meltCurve_D6RHI7_CCNH.pdf")</f>
        <v>Melting_Curves/meltCurve_D6RHI7_CCNH.pdf</v>
      </c>
    </row>
    <row r="378" spans="1:28" x14ac:dyDescent="0.25">
      <c r="A378" t="s">
        <v>382</v>
      </c>
      <c r="B378">
        <v>0.99334974765950101</v>
      </c>
      <c r="C378">
        <v>1.02184415235605</v>
      </c>
      <c r="D378">
        <v>0.92433105842144903</v>
      </c>
      <c r="E378">
        <v>0.85569558456405004</v>
      </c>
      <c r="F378">
        <v>0.80276545050686399</v>
      </c>
      <c r="G378">
        <v>0.636399079139499</v>
      </c>
      <c r="H378">
        <v>0.50415487895428301</v>
      </c>
      <c r="I378">
        <v>0.38769132651071198</v>
      </c>
      <c r="J378">
        <v>0.41045338120582298</v>
      </c>
      <c r="K378">
        <v>0.38712341030228298</v>
      </c>
      <c r="L378">
        <v>700.94263616061198</v>
      </c>
      <c r="M378">
        <v>12.4924541604321</v>
      </c>
      <c r="N378">
        <v>61.008664872583601</v>
      </c>
      <c r="O378">
        <v>54.729710879703703</v>
      </c>
      <c r="P378">
        <v>-3.9002801589840701E-2</v>
      </c>
      <c r="Q378">
        <v>0.31665248321876699</v>
      </c>
      <c r="R378">
        <v>0.98872377840597703</v>
      </c>
      <c r="S378" t="s">
        <v>6239</v>
      </c>
      <c r="T378" t="s">
        <v>11720</v>
      </c>
      <c r="U378" t="s">
        <v>11720</v>
      </c>
      <c r="V378" t="s">
        <v>11720</v>
      </c>
      <c r="W378" t="s">
        <v>12091</v>
      </c>
      <c r="X378">
        <v>8</v>
      </c>
      <c r="Y378" t="s">
        <v>17888</v>
      </c>
      <c r="Z378" t="s">
        <v>23585</v>
      </c>
      <c r="AA378">
        <v>0.69705993263010257</v>
      </c>
      <c r="AB378" t="str">
        <f>HYPERLINK("Melting_Curves/meltCurve_D6RHI9_RNASET2.pdf", "Melting_Curves/meltCurve_D6RHI9_RNASET2.pdf")</f>
        <v>Melting_Curves/meltCurve_D6RHI9_RNASET2.pdf</v>
      </c>
    </row>
    <row r="379" spans="1:28" x14ac:dyDescent="0.25">
      <c r="A379" t="s">
        <v>383</v>
      </c>
      <c r="B379">
        <v>0.99334974765950101</v>
      </c>
      <c r="C379">
        <v>0.93162245493562201</v>
      </c>
      <c r="D379">
        <v>0.90796727405185795</v>
      </c>
      <c r="E379">
        <v>0.92624892412308102</v>
      </c>
      <c r="F379">
        <v>1.1343937500671399</v>
      </c>
      <c r="G379">
        <v>2.1000334398613201</v>
      </c>
      <c r="H379">
        <v>1.70772655245259</v>
      </c>
      <c r="I379">
        <v>1.71041879136752</v>
      </c>
      <c r="J379">
        <v>1.24990065822148</v>
      </c>
      <c r="K379">
        <v>0.57888583183535502</v>
      </c>
      <c r="L379">
        <v>13298.4077238964</v>
      </c>
      <c r="M379">
        <v>250</v>
      </c>
      <c r="O379">
        <v>53.190207727372702</v>
      </c>
      <c r="P379">
        <v>0.55154991716528501</v>
      </c>
      <c r="Q379">
        <v>1.4693930438626699</v>
      </c>
      <c r="R379">
        <v>0.31038637751257703</v>
      </c>
      <c r="S379" t="s">
        <v>6240</v>
      </c>
      <c r="T379" t="s">
        <v>11720</v>
      </c>
      <c r="U379" t="s">
        <v>11720</v>
      </c>
      <c r="V379" t="s">
        <v>11720</v>
      </c>
      <c r="W379" t="s">
        <v>12092</v>
      </c>
      <c r="X379">
        <v>3</v>
      </c>
      <c r="Y379" t="s">
        <v>17889</v>
      </c>
      <c r="Z379" t="s">
        <v>23586</v>
      </c>
      <c r="AA379">
        <v>1.2629159386244571</v>
      </c>
      <c r="AB379" t="str">
        <f>HYPERLINK("Melting_Curves/meltCurve_D6RIE3_COX7A2.pdf", "Melting_Curves/meltCurve_D6RIE3_COX7A2.pdf")</f>
        <v>Melting_Curves/meltCurve_D6RIE3_COX7A2.pdf</v>
      </c>
    </row>
    <row r="380" spans="1:28" x14ac:dyDescent="0.25">
      <c r="A380" t="s">
        <v>384</v>
      </c>
      <c r="B380">
        <v>0.99334974765950101</v>
      </c>
      <c r="C380">
        <v>0.98843988080216705</v>
      </c>
      <c r="D380">
        <v>0.901918357221411</v>
      </c>
      <c r="E380">
        <v>0.91347965418876897</v>
      </c>
      <c r="F380">
        <v>1.04794619645206</v>
      </c>
      <c r="G380">
        <v>1.08363575500552</v>
      </c>
      <c r="H380">
        <v>1.0431994923233701</v>
      </c>
      <c r="I380">
        <v>1.88033512872617</v>
      </c>
      <c r="J380">
        <v>1.41450057330025</v>
      </c>
      <c r="K380">
        <v>1.2129904330002199</v>
      </c>
      <c r="L380">
        <v>15000</v>
      </c>
      <c r="M380">
        <v>243.555606415445</v>
      </c>
      <c r="O380">
        <v>61.5834258027459</v>
      </c>
      <c r="P380">
        <v>0.49436111105409702</v>
      </c>
      <c r="Q380">
        <v>1.5</v>
      </c>
      <c r="R380">
        <v>0.67446783007514799</v>
      </c>
      <c r="S380" t="s">
        <v>6241</v>
      </c>
      <c r="T380" t="s">
        <v>11720</v>
      </c>
      <c r="U380" t="s">
        <v>11720</v>
      </c>
      <c r="V380" t="s">
        <v>11720</v>
      </c>
      <c r="W380" t="s">
        <v>12093</v>
      </c>
      <c r="X380">
        <v>4</v>
      </c>
      <c r="Y380" t="s">
        <v>17890</v>
      </c>
      <c r="Z380" t="s">
        <v>23587</v>
      </c>
      <c r="AA380">
        <v>1.1401500859712219</v>
      </c>
      <c r="AB380" t="str">
        <f>HYPERLINK("Melting_Curves/meltCurve_D6RIU2_CLDND1.pdf", "Melting_Curves/meltCurve_D6RIU2_CLDND1.pdf")</f>
        <v>Melting_Curves/meltCurve_D6RIU2_CLDND1.pdf</v>
      </c>
    </row>
    <row r="381" spans="1:28" x14ac:dyDescent="0.25">
      <c r="A381" t="s">
        <v>385</v>
      </c>
      <c r="B381">
        <v>0.99334974765950101</v>
      </c>
      <c r="C381">
        <v>0.83439538497871601</v>
      </c>
      <c r="D381">
        <v>0.74969107539594004</v>
      </c>
      <c r="E381">
        <v>0.74718896098888199</v>
      </c>
      <c r="F381">
        <v>0.45780331229603299</v>
      </c>
      <c r="G381">
        <v>0.38850511865551102</v>
      </c>
      <c r="H381">
        <v>0.22695733870693599</v>
      </c>
      <c r="I381">
        <v>0.11684933938513101</v>
      </c>
      <c r="J381">
        <v>3.80622626528377E-2</v>
      </c>
      <c r="K381">
        <v>3.4327822831904699E-2</v>
      </c>
      <c r="L381">
        <v>538.82204083862905</v>
      </c>
      <c r="M381">
        <v>10.1725612859951</v>
      </c>
      <c r="N381">
        <v>52.968176568603198</v>
      </c>
      <c r="O381">
        <v>51.0435567407457</v>
      </c>
      <c r="P381">
        <v>-4.9845642703672102E-2</v>
      </c>
      <c r="Q381">
        <v>0</v>
      </c>
      <c r="R381">
        <v>0.96782004747154304</v>
      </c>
      <c r="S381" t="s">
        <v>6242</v>
      </c>
      <c r="T381" t="s">
        <v>11720</v>
      </c>
      <c r="U381" t="s">
        <v>11720</v>
      </c>
      <c r="V381" t="s">
        <v>11720</v>
      </c>
      <c r="W381" t="s">
        <v>12094</v>
      </c>
      <c r="X381">
        <v>3</v>
      </c>
      <c r="Y381" t="s">
        <v>17891</v>
      </c>
      <c r="Z381" t="s">
        <v>23588</v>
      </c>
      <c r="AA381">
        <v>0.46607072412599487</v>
      </c>
      <c r="AB381" t="str">
        <f>HYPERLINK("Melting_Curves/meltCurve_D6RIZ4_MFSD10.pdf", "Melting_Curves/meltCurve_D6RIZ4_MFSD10.pdf")</f>
        <v>Melting_Curves/meltCurve_D6RIZ4_MFSD10.pdf</v>
      </c>
    </row>
    <row r="382" spans="1:28" x14ac:dyDescent="0.25">
      <c r="A382" t="s">
        <v>386</v>
      </c>
      <c r="B382">
        <v>0.99334974765950101</v>
      </c>
      <c r="C382">
        <v>0.89703350259769099</v>
      </c>
      <c r="D382">
        <v>0.75363515810696202</v>
      </c>
      <c r="E382">
        <v>0.65660796159921897</v>
      </c>
      <c r="F382">
        <v>0.72687562991347499</v>
      </c>
      <c r="G382">
        <v>0.385383463174159</v>
      </c>
      <c r="H382">
        <v>0.190114020889569</v>
      </c>
      <c r="I382">
        <v>0.124988643798826</v>
      </c>
      <c r="J382">
        <v>0.173863511102685</v>
      </c>
      <c r="K382">
        <v>0.120645663478768</v>
      </c>
      <c r="L382">
        <v>515.80850922749096</v>
      </c>
      <c r="M382">
        <v>9.4956994339743499</v>
      </c>
      <c r="N382">
        <v>54.320222724602203</v>
      </c>
      <c r="O382">
        <v>52.074749663012</v>
      </c>
      <c r="P382">
        <v>-4.56138809958265E-2</v>
      </c>
      <c r="Q382">
        <v>0</v>
      </c>
      <c r="R382">
        <v>0.95121074497227098</v>
      </c>
      <c r="S382" t="s">
        <v>6243</v>
      </c>
      <c r="T382" t="s">
        <v>11720</v>
      </c>
      <c r="U382" t="s">
        <v>11720</v>
      </c>
      <c r="V382" t="s">
        <v>11720</v>
      </c>
      <c r="W382" t="s">
        <v>12095</v>
      </c>
      <c r="X382">
        <v>2</v>
      </c>
      <c r="Y382" t="s">
        <v>17892</v>
      </c>
      <c r="Z382" t="s">
        <v>23589</v>
      </c>
      <c r="AA382">
        <v>0.50705146629981246</v>
      </c>
      <c r="AB382" t="str">
        <f>HYPERLINK("Melting_Curves/meltCurve_D6RJG8_RFESD.pdf", "Melting_Curves/meltCurve_D6RJG8_RFESD.pdf")</f>
        <v>Melting_Curves/meltCurve_D6RJG8_RFESD.pdf</v>
      </c>
    </row>
    <row r="383" spans="1:28" x14ac:dyDescent="0.25">
      <c r="A383" t="s">
        <v>387</v>
      </c>
      <c r="B383">
        <v>0.99334974765950101</v>
      </c>
      <c r="C383">
        <v>0.96735223745861698</v>
      </c>
      <c r="D383">
        <v>0.93271359253567898</v>
      </c>
      <c r="E383">
        <v>0.66989450676530404</v>
      </c>
      <c r="F383">
        <v>0.29550198420848001</v>
      </c>
      <c r="G383">
        <v>0.24854592211273099</v>
      </c>
      <c r="H383">
        <v>0.19479891532423299</v>
      </c>
      <c r="I383">
        <v>0.12512510619137801</v>
      </c>
      <c r="J383">
        <v>9.4531548811879904E-2</v>
      </c>
      <c r="K383">
        <v>4.2303585697173601E-2</v>
      </c>
      <c r="L383">
        <v>1150.1407424450399</v>
      </c>
      <c r="M383">
        <v>22.625288450032901</v>
      </c>
      <c r="N383">
        <v>51.408387475659097</v>
      </c>
      <c r="O383">
        <v>50.4421809309747</v>
      </c>
      <c r="P383">
        <v>-9.96187719685689E-2</v>
      </c>
      <c r="Q383">
        <v>0.111633385783171</v>
      </c>
      <c r="R383">
        <v>0.98540848205527398</v>
      </c>
      <c r="S383" t="s">
        <v>6244</v>
      </c>
      <c r="T383" t="s">
        <v>11720</v>
      </c>
      <c r="U383" t="s">
        <v>11720</v>
      </c>
      <c r="V383" t="s">
        <v>11720</v>
      </c>
      <c r="W383" t="s">
        <v>12096</v>
      </c>
      <c r="X383">
        <v>2</v>
      </c>
      <c r="Y383" t="s">
        <v>17893</v>
      </c>
      <c r="Z383" t="s">
        <v>23590</v>
      </c>
      <c r="AA383">
        <v>0.4422024273973964</v>
      </c>
      <c r="AB383" t="str">
        <f>HYPERLINK("Melting_Curves/meltCurve_E2QRD0_VWA8.pdf", "Melting_Curves/meltCurve_E2QRD0_VWA8.pdf")</f>
        <v>Melting_Curves/meltCurve_E2QRD0_VWA8.pdf</v>
      </c>
    </row>
    <row r="384" spans="1:28" x14ac:dyDescent="0.25">
      <c r="A384" t="s">
        <v>388</v>
      </c>
      <c r="B384">
        <v>0.99334974765950101</v>
      </c>
      <c r="C384">
        <v>1.0207592106660801</v>
      </c>
      <c r="D384">
        <v>0.93217709048304098</v>
      </c>
      <c r="E384">
        <v>0.80997287718863098</v>
      </c>
      <c r="F384">
        <v>0.90094353481968503</v>
      </c>
      <c r="G384">
        <v>0.83504304249025596</v>
      </c>
      <c r="H384">
        <v>0.79099372999908601</v>
      </c>
      <c r="I384">
        <v>0.65605154494780005</v>
      </c>
      <c r="J384">
        <v>0.91294448915182402</v>
      </c>
      <c r="K384">
        <v>0.84018793613862297</v>
      </c>
      <c r="L384">
        <v>11522.7852913035</v>
      </c>
      <c r="M384">
        <v>250</v>
      </c>
      <c r="O384">
        <v>46.088191640030402</v>
      </c>
      <c r="P384">
        <v>-0.242908293785454</v>
      </c>
      <c r="Q384">
        <v>0.82087673629926705</v>
      </c>
      <c r="R384">
        <v>0.56891588387883796</v>
      </c>
      <c r="S384" t="s">
        <v>6245</v>
      </c>
      <c r="T384" t="s">
        <v>11720</v>
      </c>
      <c r="U384" t="s">
        <v>11720</v>
      </c>
      <c r="V384" t="s">
        <v>11720</v>
      </c>
      <c r="W384" t="s">
        <v>12097</v>
      </c>
      <c r="X384">
        <v>4</v>
      </c>
      <c r="Y384" t="s">
        <v>17894</v>
      </c>
      <c r="Z384" t="s">
        <v>23591</v>
      </c>
      <c r="AA384">
        <v>0.85726006161561219</v>
      </c>
      <c r="AB384" t="str">
        <f>HYPERLINK("Melting_Curves/meltCurve_E2QRG8_REEP5.pdf", "Melting_Curves/meltCurve_E2QRG8_REEP5.pdf")</f>
        <v>Melting_Curves/meltCurve_E2QRG8_REEP5.pdf</v>
      </c>
    </row>
    <row r="385" spans="1:28" x14ac:dyDescent="0.25">
      <c r="A385" t="s">
        <v>389</v>
      </c>
      <c r="B385">
        <v>0.99334974765950101</v>
      </c>
      <c r="C385">
        <v>1.1464485016194701</v>
      </c>
      <c r="D385">
        <v>1.2214040931966701</v>
      </c>
      <c r="E385">
        <v>0.99898175052558702</v>
      </c>
      <c r="F385">
        <v>1.08353002644095</v>
      </c>
      <c r="G385">
        <v>0.83526400418767699</v>
      </c>
      <c r="H385">
        <v>0.77634608458195697</v>
      </c>
      <c r="I385">
        <v>0.50220235222531295</v>
      </c>
      <c r="J385">
        <v>0.322361577710295</v>
      </c>
      <c r="K385">
        <v>0.33765110292941197</v>
      </c>
      <c r="L385">
        <v>1523.1005501290399</v>
      </c>
      <c r="M385">
        <v>24.449798299559301</v>
      </c>
      <c r="N385">
        <v>64.174241858235902</v>
      </c>
      <c r="O385">
        <v>61.882771610381397</v>
      </c>
      <c r="P385">
        <v>-7.3524922610152907E-2</v>
      </c>
      <c r="Q385">
        <v>0.25564062932695802</v>
      </c>
      <c r="R385">
        <v>0.90356840803802396</v>
      </c>
      <c r="S385" t="s">
        <v>6246</v>
      </c>
      <c r="T385" t="s">
        <v>11720</v>
      </c>
      <c r="U385" t="s">
        <v>11720</v>
      </c>
      <c r="V385" t="s">
        <v>11720</v>
      </c>
      <c r="W385" t="s">
        <v>12098</v>
      </c>
      <c r="X385">
        <v>12</v>
      </c>
      <c r="Y385" t="s">
        <v>17895</v>
      </c>
      <c r="Z385" t="s">
        <v>23592</v>
      </c>
      <c r="AA385">
        <v>0.81172823614028689</v>
      </c>
      <c r="AB385" t="str">
        <f>HYPERLINK("Melting_Curves/meltCurve_E5RG13_IMPA1.pdf", "Melting_Curves/meltCurve_E5RG13_IMPA1.pdf")</f>
        <v>Melting_Curves/meltCurve_E5RG13_IMPA1.pdf</v>
      </c>
    </row>
    <row r="386" spans="1:28" x14ac:dyDescent="0.25">
      <c r="A386" t="s">
        <v>390</v>
      </c>
      <c r="B386">
        <v>0.99334974765950101</v>
      </c>
      <c r="C386">
        <v>0.96512674999733605</v>
      </c>
      <c r="D386">
        <v>0.93211943832635902</v>
      </c>
      <c r="E386">
        <v>0.852643104030128</v>
      </c>
      <c r="F386">
        <v>0.75058802292994498</v>
      </c>
      <c r="G386">
        <v>0.64743069990547197</v>
      </c>
      <c r="H386">
        <v>0.532279680943745</v>
      </c>
      <c r="I386">
        <v>0.30484135224612902</v>
      </c>
      <c r="J386">
        <v>0.11023901043236201</v>
      </c>
      <c r="K386">
        <v>8.6060808870620495E-2</v>
      </c>
      <c r="L386">
        <v>700.04179788454201</v>
      </c>
      <c r="M386">
        <v>11.801723935331401</v>
      </c>
      <c r="N386">
        <v>59.3169101459873</v>
      </c>
      <c r="O386">
        <v>57.6906951779496</v>
      </c>
      <c r="P386">
        <v>-5.1155395806651502E-2</v>
      </c>
      <c r="Q386">
        <v>0</v>
      </c>
      <c r="R386">
        <v>0.96964276527645099</v>
      </c>
      <c r="S386" t="s">
        <v>6247</v>
      </c>
      <c r="T386" t="s">
        <v>11720</v>
      </c>
      <c r="U386" t="s">
        <v>11720</v>
      </c>
      <c r="V386" t="s">
        <v>11720</v>
      </c>
      <c r="W386" t="s">
        <v>12099</v>
      </c>
      <c r="X386">
        <v>15</v>
      </c>
      <c r="Y386" t="s">
        <v>17896</v>
      </c>
      <c r="Z386" t="s">
        <v>23593</v>
      </c>
      <c r="AA386">
        <v>0.64976942799782789</v>
      </c>
      <c r="AB386" t="str">
        <f>HYPERLINK("Melting_Curves/meltCurve_E5RG17_TATDN1.pdf", "Melting_Curves/meltCurve_E5RG17_TATDN1.pdf")</f>
        <v>Melting_Curves/meltCurve_E5RG17_TATDN1.pdf</v>
      </c>
    </row>
    <row r="387" spans="1:28" x14ac:dyDescent="0.25">
      <c r="A387" t="s">
        <v>391</v>
      </c>
      <c r="B387">
        <v>0.99334974765950101</v>
      </c>
      <c r="C387">
        <v>0.92134109601987801</v>
      </c>
      <c r="D387">
        <v>0.74701283642193395</v>
      </c>
      <c r="E387">
        <v>0.76153784555014203</v>
      </c>
      <c r="F387">
        <v>0.80187234255843198</v>
      </c>
      <c r="G387">
        <v>0.77118447342811702</v>
      </c>
      <c r="H387">
        <v>0.953061643994497</v>
      </c>
      <c r="I387">
        <v>1.1677278641793301</v>
      </c>
      <c r="J387">
        <v>1.2300735509246701</v>
      </c>
      <c r="K387">
        <v>1.0711077576591299</v>
      </c>
      <c r="L387">
        <v>13214.869768008301</v>
      </c>
      <c r="M387">
        <v>210.892326298011</v>
      </c>
      <c r="O387">
        <v>62.656064625212601</v>
      </c>
      <c r="P387">
        <v>0.13195968812520101</v>
      </c>
      <c r="Q387">
        <v>1.1568207578640599</v>
      </c>
      <c r="R387">
        <v>0.144066764216324</v>
      </c>
      <c r="S387" t="s">
        <v>6248</v>
      </c>
      <c r="T387" t="s">
        <v>11720</v>
      </c>
      <c r="U387" t="s">
        <v>11720</v>
      </c>
      <c r="V387" t="s">
        <v>11720</v>
      </c>
      <c r="W387" t="s">
        <v>11938</v>
      </c>
      <c r="X387">
        <v>8</v>
      </c>
      <c r="Y387" t="s">
        <v>17897</v>
      </c>
      <c r="Z387" t="s">
        <v>23594</v>
      </c>
      <c r="AA387">
        <v>1.0383357361839149</v>
      </c>
      <c r="AB387" t="str">
        <f>HYPERLINK("Melting_Curves/meltCurve_E5RGX5_STMN2.pdf", "Melting_Curves/meltCurve_E5RGX5_STMN2.pdf")</f>
        <v>Melting_Curves/meltCurve_E5RGX5_STMN2.pdf</v>
      </c>
    </row>
    <row r="388" spans="1:28" x14ac:dyDescent="0.25">
      <c r="A388" t="s">
        <v>392</v>
      </c>
      <c r="B388">
        <v>0.99334974765950101</v>
      </c>
      <c r="C388">
        <v>0.83660393144068501</v>
      </c>
      <c r="D388">
        <v>0.77729414618596904</v>
      </c>
      <c r="E388">
        <v>0.77345856894442899</v>
      </c>
      <c r="F388">
        <v>0.61510904594829596</v>
      </c>
      <c r="G388">
        <v>0.56740716714211004</v>
      </c>
      <c r="H388">
        <v>0.45704917922428101</v>
      </c>
      <c r="I388">
        <v>0.40727483003465997</v>
      </c>
      <c r="J388">
        <v>0.23478624165370601</v>
      </c>
      <c r="K388">
        <v>0.120510816897362</v>
      </c>
      <c r="L388">
        <v>386.63246993758003</v>
      </c>
      <c r="M388">
        <v>6.7152104858611503</v>
      </c>
      <c r="N388">
        <v>57.575625778066701</v>
      </c>
      <c r="O388">
        <v>53.114626036336198</v>
      </c>
      <c r="P388">
        <v>-3.1675368651095097E-2</v>
      </c>
      <c r="Q388">
        <v>0</v>
      </c>
      <c r="R388">
        <v>0.94444904615449798</v>
      </c>
      <c r="S388" t="s">
        <v>6249</v>
      </c>
      <c r="T388" t="s">
        <v>11720</v>
      </c>
      <c r="U388" t="s">
        <v>11720</v>
      </c>
      <c r="V388" t="s">
        <v>11720</v>
      </c>
      <c r="W388" t="s">
        <v>12100</v>
      </c>
      <c r="X388">
        <v>4</v>
      </c>
      <c r="Y388" t="s">
        <v>17898</v>
      </c>
      <c r="Z388" t="s">
        <v>23595</v>
      </c>
      <c r="AA388">
        <v>0.58701936612868133</v>
      </c>
      <c r="AB388" t="str">
        <f>HYPERLINK("Melting_Curves/meltCurve_E5RGY0_DERL1.pdf", "Melting_Curves/meltCurve_E5RGY0_DERL1.pdf")</f>
        <v>Melting_Curves/meltCurve_E5RGY0_DERL1.pdf</v>
      </c>
    </row>
    <row r="389" spans="1:28" x14ac:dyDescent="0.25">
      <c r="A389" t="s">
        <v>393</v>
      </c>
      <c r="B389">
        <v>0.99334974765950101</v>
      </c>
      <c r="C389">
        <v>1.04432172217154</v>
      </c>
      <c r="D389">
        <v>0.91231359751172103</v>
      </c>
      <c r="E389">
        <v>0.43253634391745199</v>
      </c>
      <c r="F389">
        <v>0.23998294601131101</v>
      </c>
      <c r="G389">
        <v>0.17794746188094099</v>
      </c>
      <c r="H389">
        <v>0.155480241384236</v>
      </c>
      <c r="I389">
        <v>0.133034976518139</v>
      </c>
      <c r="J389">
        <v>0.13738877964385801</v>
      </c>
      <c r="K389">
        <v>0.105656537123997</v>
      </c>
      <c r="L389">
        <v>1547.5771402216501</v>
      </c>
      <c r="M389">
        <v>31.5456637579343</v>
      </c>
      <c r="N389">
        <v>49.582660875717004</v>
      </c>
      <c r="O389">
        <v>48.862433194093903</v>
      </c>
      <c r="P389">
        <v>-0.138509314170325</v>
      </c>
      <c r="Q389">
        <v>0.14183248141264199</v>
      </c>
      <c r="R389">
        <v>0.99572560074804795</v>
      </c>
      <c r="S389" t="s">
        <v>6250</v>
      </c>
      <c r="T389" t="s">
        <v>11720</v>
      </c>
      <c r="U389" t="s">
        <v>11720</v>
      </c>
      <c r="V389" t="s">
        <v>11720</v>
      </c>
      <c r="W389" t="s">
        <v>12101</v>
      </c>
      <c r="X389">
        <v>1</v>
      </c>
      <c r="Y389" t="s">
        <v>17899</v>
      </c>
      <c r="Z389" t="s">
        <v>23596</v>
      </c>
      <c r="AA389">
        <v>0.40567112070340849</v>
      </c>
      <c r="AB389" t="str">
        <f>HYPERLINK("Melting_Curves/meltCurve_E5RH41_GTF2E2.pdf", "Melting_Curves/meltCurve_E5RH41_GTF2E2.pdf")</f>
        <v>Melting_Curves/meltCurve_E5RH41_GTF2E2.pdf</v>
      </c>
    </row>
    <row r="390" spans="1:28" x14ac:dyDescent="0.25">
      <c r="A390" t="s">
        <v>394</v>
      </c>
      <c r="B390">
        <v>0.99334974765950101</v>
      </c>
      <c r="C390">
        <v>0.87853289170232696</v>
      </c>
      <c r="D390">
        <v>0.71715545420758398</v>
      </c>
      <c r="E390">
        <v>0.745422814389749</v>
      </c>
      <c r="F390">
        <v>1.23294620198292</v>
      </c>
      <c r="G390">
        <v>1.0855062801197</v>
      </c>
      <c r="H390">
        <v>1.50386284185473</v>
      </c>
      <c r="I390">
        <v>1.9818251421953299</v>
      </c>
      <c r="J390">
        <v>1.4545029632311399</v>
      </c>
      <c r="K390">
        <v>1.1305366101103</v>
      </c>
      <c r="L390">
        <v>14339.9726673677</v>
      </c>
      <c r="M390">
        <v>250</v>
      </c>
      <c r="O390">
        <v>57.3562198091048</v>
      </c>
      <c r="P390">
        <v>0.54484064722883196</v>
      </c>
      <c r="Q390">
        <v>1.5</v>
      </c>
      <c r="R390">
        <v>0.571885625333442</v>
      </c>
      <c r="S390" t="s">
        <v>6251</v>
      </c>
      <c r="T390" t="s">
        <v>11720</v>
      </c>
      <c r="U390" t="s">
        <v>11720</v>
      </c>
      <c r="V390" t="s">
        <v>11720</v>
      </c>
      <c r="W390" t="s">
        <v>12102</v>
      </c>
      <c r="X390">
        <v>1</v>
      </c>
      <c r="Y390" t="s">
        <v>17900</v>
      </c>
      <c r="Z390" t="s">
        <v>23597</v>
      </c>
      <c r="AA390">
        <v>1.210618155984448</v>
      </c>
      <c r="AB390" t="str">
        <f>HYPERLINK("Melting_Curves/meltCurve_E5RHG5_SLC36A1.pdf", "Melting_Curves/meltCurve_E5RHG5_SLC36A1.pdf")</f>
        <v>Melting_Curves/meltCurve_E5RHG5_SLC36A1.pdf</v>
      </c>
    </row>
    <row r="391" spans="1:28" x14ac:dyDescent="0.25">
      <c r="A391" t="s">
        <v>395</v>
      </c>
      <c r="B391">
        <v>0.99334974765950101</v>
      </c>
      <c r="C391">
        <v>1.0007551947242601</v>
      </c>
      <c r="D391">
        <v>0.93735658417576895</v>
      </c>
      <c r="E391">
        <v>0.88332585108639705</v>
      </c>
      <c r="F391">
        <v>0.49954219589370702</v>
      </c>
      <c r="G391">
        <v>0.155451057906938</v>
      </c>
      <c r="H391">
        <v>7.8839532344729693E-2</v>
      </c>
      <c r="I391">
        <v>6.6475507813243295E-2</v>
      </c>
      <c r="J391">
        <v>7.1735517785153996E-2</v>
      </c>
      <c r="K391">
        <v>4.9443039638686598E-2</v>
      </c>
      <c r="L391">
        <v>1671.4940356979</v>
      </c>
      <c r="M391">
        <v>31.635438186444699</v>
      </c>
      <c r="N391">
        <v>53.0621109487045</v>
      </c>
      <c r="O391">
        <v>52.626326798362101</v>
      </c>
      <c r="P391">
        <v>-0.14081249088480899</v>
      </c>
      <c r="Q391">
        <v>6.3024447972641506E-2</v>
      </c>
      <c r="R391">
        <v>0.99783467686712501</v>
      </c>
      <c r="S391" t="s">
        <v>6252</v>
      </c>
      <c r="T391" t="s">
        <v>11720</v>
      </c>
      <c r="U391" t="s">
        <v>11720</v>
      </c>
      <c r="V391" t="s">
        <v>11720</v>
      </c>
      <c r="W391" t="s">
        <v>12103</v>
      </c>
      <c r="X391">
        <v>8</v>
      </c>
      <c r="Y391" t="s">
        <v>17901</v>
      </c>
      <c r="Z391" t="s">
        <v>23598</v>
      </c>
      <c r="AA391">
        <v>0.46938919275682339</v>
      </c>
      <c r="AB391" t="str">
        <f>HYPERLINK("Melting_Curves/meltCurve_E5RHG8_TCEB1.pdf", "Melting_Curves/meltCurve_E5RHG8_TCEB1.pdf")</f>
        <v>Melting_Curves/meltCurve_E5RHG8_TCEB1.pdf</v>
      </c>
    </row>
    <row r="392" spans="1:28" x14ac:dyDescent="0.25">
      <c r="A392" t="s">
        <v>396</v>
      </c>
      <c r="B392">
        <v>0.99334974765950101</v>
      </c>
      <c r="C392">
        <v>1.0234212294854601</v>
      </c>
      <c r="D392">
        <v>0.99482492958148805</v>
      </c>
      <c r="E392">
        <v>0.80264462239884404</v>
      </c>
      <c r="F392">
        <v>1.5061036407586399</v>
      </c>
      <c r="G392">
        <v>0.911472371123764</v>
      </c>
      <c r="H392">
        <v>1.29302806367198</v>
      </c>
      <c r="I392">
        <v>1.5709625645602801</v>
      </c>
      <c r="J392">
        <v>2.46554113584549</v>
      </c>
      <c r="K392">
        <v>3.9237622809801902</v>
      </c>
      <c r="L392">
        <v>15000</v>
      </c>
      <c r="M392">
        <v>246.249341187276</v>
      </c>
      <c r="O392">
        <v>60.909850891240097</v>
      </c>
      <c r="P392">
        <v>0.50535614956017605</v>
      </c>
      <c r="Q392">
        <v>1.5</v>
      </c>
      <c r="R392">
        <v>0.153218223802356</v>
      </c>
      <c r="S392" t="s">
        <v>6253</v>
      </c>
      <c r="T392" t="s">
        <v>11720</v>
      </c>
      <c r="U392" t="s">
        <v>11720</v>
      </c>
      <c r="V392" t="s">
        <v>11720</v>
      </c>
      <c r="W392" t="s">
        <v>12104</v>
      </c>
      <c r="X392">
        <v>8</v>
      </c>
      <c r="Y392" t="s">
        <v>17902</v>
      </c>
      <c r="Z392" t="s">
        <v>23599</v>
      </c>
      <c r="AA392">
        <v>1.1513804316669529</v>
      </c>
      <c r="AB392" t="str">
        <f>HYPERLINK("Melting_Curves/meltCurve_E5RHG9_UQCRB.pdf", "Melting_Curves/meltCurve_E5RHG9_UQCRB.pdf")</f>
        <v>Melting_Curves/meltCurve_E5RHG9_UQCRB.pdf</v>
      </c>
    </row>
    <row r="393" spans="1:28" x14ac:dyDescent="0.25">
      <c r="A393" t="s">
        <v>397</v>
      </c>
      <c r="B393">
        <v>0.99334974765950101</v>
      </c>
      <c r="C393">
        <v>0.97465865732699497</v>
      </c>
      <c r="D393">
        <v>0.81539815704797203</v>
      </c>
      <c r="E393">
        <v>0.41197981200891698</v>
      </c>
      <c r="F393">
        <v>0.19196684488711899</v>
      </c>
      <c r="G393">
        <v>0.17429205959565</v>
      </c>
      <c r="H393">
        <v>0.126397507934945</v>
      </c>
      <c r="I393">
        <v>9.4056741455572704E-2</v>
      </c>
      <c r="J393">
        <v>8.2248658033617195E-2</v>
      </c>
      <c r="K393">
        <v>9.0330279756131698E-2</v>
      </c>
      <c r="L393">
        <v>1160.8545513009799</v>
      </c>
      <c r="M393">
        <v>23.874148373176901</v>
      </c>
      <c r="N393">
        <v>49.095577753980798</v>
      </c>
      <c r="O393">
        <v>48.286637447823203</v>
      </c>
      <c r="P393">
        <v>-0.110941204726533</v>
      </c>
      <c r="Q393">
        <v>0.10247872572337501</v>
      </c>
      <c r="R393">
        <v>0.99721589866113802</v>
      </c>
      <c r="S393" t="s">
        <v>6254</v>
      </c>
      <c r="T393" t="s">
        <v>11720</v>
      </c>
      <c r="U393" t="s">
        <v>11720</v>
      </c>
      <c r="V393" t="s">
        <v>11720</v>
      </c>
      <c r="W393" t="s">
        <v>12105</v>
      </c>
      <c r="X393">
        <v>1</v>
      </c>
      <c r="Y393" t="s">
        <v>17903</v>
      </c>
      <c r="Z393" t="s">
        <v>23600</v>
      </c>
      <c r="AA393">
        <v>0.36922119563886791</v>
      </c>
      <c r="AB393" t="str">
        <f>HYPERLINK("Melting_Curves/meltCurve_E5RIH5_TTI2.pdf", "Melting_Curves/meltCurve_E5RIH5_TTI2.pdf")</f>
        <v>Melting_Curves/meltCurve_E5RIH5_TTI2.pdf</v>
      </c>
    </row>
    <row r="394" spans="1:28" x14ac:dyDescent="0.25">
      <c r="A394" t="s">
        <v>398</v>
      </c>
      <c r="B394">
        <v>0.99334974765950101</v>
      </c>
      <c r="C394">
        <v>0.83665043025534902</v>
      </c>
      <c r="D394">
        <v>0.56738287126885401</v>
      </c>
      <c r="E394">
        <v>0.78662292058732897</v>
      </c>
      <c r="F394">
        <v>0.60769182324858195</v>
      </c>
      <c r="G394">
        <v>0.31046457879542499</v>
      </c>
      <c r="H394">
        <v>0.18691957607267201</v>
      </c>
      <c r="I394">
        <v>0.22356954921498301</v>
      </c>
      <c r="J394">
        <v>0.201829303808432</v>
      </c>
      <c r="K394">
        <v>0.10786282618329</v>
      </c>
      <c r="L394">
        <v>414.45633449560302</v>
      </c>
      <c r="M394">
        <v>7.7861331503526099</v>
      </c>
      <c r="N394">
        <v>53.230059555771597</v>
      </c>
      <c r="O394">
        <v>50.061029395825798</v>
      </c>
      <c r="P394">
        <v>-3.8931867856120801E-2</v>
      </c>
      <c r="Q394">
        <v>0</v>
      </c>
      <c r="R394">
        <v>0.89306838789392495</v>
      </c>
      <c r="S394" t="s">
        <v>6255</v>
      </c>
      <c r="T394" t="s">
        <v>11720</v>
      </c>
      <c r="U394" t="s">
        <v>11720</v>
      </c>
      <c r="V394" t="s">
        <v>11720</v>
      </c>
      <c r="W394" t="s">
        <v>12106</v>
      </c>
      <c r="X394">
        <v>3</v>
      </c>
      <c r="Y394" t="s">
        <v>17904</v>
      </c>
      <c r="Z394" t="s">
        <v>23601</v>
      </c>
      <c r="AA394">
        <v>0.48087231585233831</v>
      </c>
      <c r="AB394" t="str">
        <f>HYPERLINK("Melting_Curves/meltCurve_E5RIY0_TMEM55A.pdf", "Melting_Curves/meltCurve_E5RIY0_TMEM55A.pdf")</f>
        <v>Melting_Curves/meltCurve_E5RIY0_TMEM55A.pdf</v>
      </c>
    </row>
    <row r="395" spans="1:28" x14ac:dyDescent="0.25">
      <c r="A395" t="s">
        <v>399</v>
      </c>
      <c r="B395">
        <v>0.99334974765950101</v>
      </c>
      <c r="C395">
        <v>0.91097040743612101</v>
      </c>
      <c r="D395">
        <v>0.89214138973632695</v>
      </c>
      <c r="E395">
        <v>0.84932490351692502</v>
      </c>
      <c r="F395">
        <v>0.92594407839820603</v>
      </c>
      <c r="G395">
        <v>0.62606714454298695</v>
      </c>
      <c r="H395">
        <v>0.66056528293106798</v>
      </c>
      <c r="I395">
        <v>0.60460182951275399</v>
      </c>
      <c r="J395">
        <v>0.69766171196143201</v>
      </c>
      <c r="K395">
        <v>0.43454136291975798</v>
      </c>
      <c r="L395">
        <v>303.058864078922</v>
      </c>
      <c r="M395">
        <v>4.2636760213938203</v>
      </c>
      <c r="O395">
        <v>59.498613976077898</v>
      </c>
      <c r="P395">
        <v>-1.8102249111167E-2</v>
      </c>
      <c r="Q395">
        <v>0</v>
      </c>
      <c r="R395">
        <v>0.81694333213670001</v>
      </c>
      <c r="S395" t="s">
        <v>6256</v>
      </c>
      <c r="T395" t="s">
        <v>11720</v>
      </c>
      <c r="U395" t="s">
        <v>11720</v>
      </c>
      <c r="V395" t="s">
        <v>11720</v>
      </c>
      <c r="W395" t="s">
        <v>12107</v>
      </c>
      <c r="X395">
        <v>1</v>
      </c>
      <c r="Y395" t="s">
        <v>17905</v>
      </c>
      <c r="Z395" t="s">
        <v>23602</v>
      </c>
      <c r="AA395">
        <v>0.76444604828685281</v>
      </c>
      <c r="AB395" t="str">
        <f>HYPERLINK("Melting_Curves/meltCurve_E5RJ08_CHCHD7.pdf", "Melting_Curves/meltCurve_E5RJ08_CHCHD7.pdf")</f>
        <v>Melting_Curves/meltCurve_E5RJ08_CHCHD7.pdf</v>
      </c>
    </row>
    <row r="396" spans="1:28" x14ac:dyDescent="0.25">
      <c r="A396" t="s">
        <v>400</v>
      </c>
      <c r="B396">
        <v>0.99334974765950101</v>
      </c>
      <c r="C396">
        <v>0.88620162541666003</v>
      </c>
      <c r="D396">
        <v>0.79852625896895701</v>
      </c>
      <c r="E396">
        <v>0.55437688935696405</v>
      </c>
      <c r="F396">
        <v>0.58446622285455996</v>
      </c>
      <c r="G396">
        <v>0.34026765534556103</v>
      </c>
      <c r="H396">
        <v>0.31727702018308102</v>
      </c>
      <c r="I396">
        <v>0.40446587893851899</v>
      </c>
      <c r="J396">
        <v>0.360109985173304</v>
      </c>
      <c r="K396">
        <v>0.36255643813820498</v>
      </c>
      <c r="L396">
        <v>689.600388381465</v>
      </c>
      <c r="M396">
        <v>14.2453463887992</v>
      </c>
      <c r="N396">
        <v>52.619098642098798</v>
      </c>
      <c r="O396">
        <v>47.484827726921502</v>
      </c>
      <c r="P396">
        <v>-4.9500992827620702E-2</v>
      </c>
      <c r="Q396">
        <v>0.34006363788463201</v>
      </c>
      <c r="R396">
        <v>0.96039161050010502</v>
      </c>
      <c r="S396" t="s">
        <v>6257</v>
      </c>
      <c r="T396" t="s">
        <v>11720</v>
      </c>
      <c r="U396" t="s">
        <v>11720</v>
      </c>
      <c r="V396" t="s">
        <v>11720</v>
      </c>
      <c r="W396" t="s">
        <v>12108</v>
      </c>
      <c r="X396">
        <v>1</v>
      </c>
      <c r="Y396" t="s">
        <v>17906</v>
      </c>
      <c r="Z396" t="s">
        <v>23603</v>
      </c>
      <c r="AA396">
        <v>0.5434518606393951</v>
      </c>
      <c r="AB396" t="str">
        <f>HYPERLINK("Melting_Curves/meltCurve_E5RJ29_PSD3.pdf", "Melting_Curves/meltCurve_E5RJ29_PSD3.pdf")</f>
        <v>Melting_Curves/meltCurve_E5RJ29_PSD3.pdf</v>
      </c>
    </row>
    <row r="397" spans="1:28" x14ac:dyDescent="0.25">
      <c r="A397" t="s">
        <v>401</v>
      </c>
      <c r="B397">
        <v>0.99334974765950101</v>
      </c>
      <c r="C397">
        <v>1.0063139543959201</v>
      </c>
      <c r="D397">
        <v>0.97980701046737695</v>
      </c>
      <c r="E397">
        <v>0.79228067654462397</v>
      </c>
      <c r="F397">
        <v>0.39670270682588099</v>
      </c>
      <c r="G397">
        <v>0.231225176462451</v>
      </c>
      <c r="H397">
        <v>7.2980665548186205E-2</v>
      </c>
      <c r="I397">
        <v>8.8049390263698596E-2</v>
      </c>
      <c r="J397">
        <v>2.97935646881183E-2</v>
      </c>
      <c r="K397">
        <v>3.4919901428573603E-2</v>
      </c>
      <c r="L397">
        <v>1247.2038551435601</v>
      </c>
      <c r="M397">
        <v>23.8558893460451</v>
      </c>
      <c r="N397">
        <v>52.5244957840628</v>
      </c>
      <c r="O397">
        <v>51.917562820893799</v>
      </c>
      <c r="P397">
        <v>-0.108856489507156</v>
      </c>
      <c r="Q397">
        <v>5.23984218775898E-2</v>
      </c>
      <c r="R397">
        <v>0.99400175762028797</v>
      </c>
      <c r="S397" t="s">
        <v>6258</v>
      </c>
      <c r="T397" t="s">
        <v>11720</v>
      </c>
      <c r="U397" t="s">
        <v>11720</v>
      </c>
      <c r="V397" t="s">
        <v>11720</v>
      </c>
      <c r="W397" t="s">
        <v>12109</v>
      </c>
      <c r="X397">
        <v>5</v>
      </c>
      <c r="Y397" t="s">
        <v>17907</v>
      </c>
      <c r="Z397" t="s">
        <v>23604</v>
      </c>
      <c r="AA397">
        <v>0.44978836508100523</v>
      </c>
      <c r="AB397" t="str">
        <f>HYPERLINK("Melting_Curves/meltCurve_E5RJ52_AP3M2.pdf", "Melting_Curves/meltCurve_E5RJ52_AP3M2.pdf")</f>
        <v>Melting_Curves/meltCurve_E5RJ52_AP3M2.pdf</v>
      </c>
    </row>
    <row r="398" spans="1:28" x14ac:dyDescent="0.25">
      <c r="A398" t="s">
        <v>402</v>
      </c>
      <c r="B398">
        <v>0.99334974765950101</v>
      </c>
      <c r="C398">
        <v>0.87709630944841799</v>
      </c>
      <c r="D398">
        <v>0.78629307836095896</v>
      </c>
      <c r="E398">
        <v>0.36716953422861698</v>
      </c>
      <c r="F398">
        <v>8.4796060098240006E-2</v>
      </c>
      <c r="G398">
        <v>4.3765325273801003E-2</v>
      </c>
      <c r="H398">
        <v>2.86468319272523E-2</v>
      </c>
      <c r="I398">
        <v>2.2322294934145E-2</v>
      </c>
      <c r="J398">
        <v>2.7003785223881499E-2</v>
      </c>
      <c r="K398">
        <v>1.6214217431094399E-2</v>
      </c>
      <c r="L398">
        <v>1085.6795451837099</v>
      </c>
      <c r="M398">
        <v>22.415745650681199</v>
      </c>
      <c r="N398">
        <v>48.487362215052599</v>
      </c>
      <c r="O398">
        <v>48.053276461559904</v>
      </c>
      <c r="P398">
        <v>-0.115195306599141</v>
      </c>
      <c r="Q398">
        <v>1.22308693543485E-2</v>
      </c>
      <c r="R398">
        <v>0.993781020936503</v>
      </c>
      <c r="S398" t="s">
        <v>6259</v>
      </c>
      <c r="T398" t="s">
        <v>11720</v>
      </c>
      <c r="U398" t="s">
        <v>11720</v>
      </c>
      <c r="V398" t="s">
        <v>11720</v>
      </c>
      <c r="W398" t="s">
        <v>12110</v>
      </c>
      <c r="X398">
        <v>3</v>
      </c>
      <c r="Y398" t="s">
        <v>17908</v>
      </c>
      <c r="Z398" t="s">
        <v>23605</v>
      </c>
      <c r="AA398">
        <v>0.30089389162061658</v>
      </c>
      <c r="AB398" t="str">
        <f>HYPERLINK("Melting_Curves/meltCurve_E5RJ99_ZFAND1.pdf", "Melting_Curves/meltCurve_E5RJ99_ZFAND1.pdf")</f>
        <v>Melting_Curves/meltCurve_E5RJ99_ZFAND1.pdf</v>
      </c>
    </row>
    <row r="399" spans="1:28" x14ac:dyDescent="0.25">
      <c r="A399" t="s">
        <v>403</v>
      </c>
      <c r="B399">
        <v>0.99334974765950101</v>
      </c>
      <c r="C399">
        <v>1.04017459075246</v>
      </c>
      <c r="D399">
        <v>1.0502292645023299</v>
      </c>
      <c r="E399">
        <v>0.95316663138076796</v>
      </c>
      <c r="F399">
        <v>1.0749383067787599</v>
      </c>
      <c r="G399">
        <v>0.81662929429218001</v>
      </c>
      <c r="H399">
        <v>0.79014375879087195</v>
      </c>
      <c r="I399">
        <v>0.86180482986884599</v>
      </c>
      <c r="J399">
        <v>0.85845143194725504</v>
      </c>
      <c r="K399">
        <v>0.54751604297124301</v>
      </c>
      <c r="L399">
        <v>628.520281567251</v>
      </c>
      <c r="M399">
        <v>8.3996880123252193</v>
      </c>
      <c r="Q399">
        <v>0</v>
      </c>
      <c r="R399">
        <v>0.71427866160898101</v>
      </c>
      <c r="S399" t="s">
        <v>6260</v>
      </c>
      <c r="T399" t="s">
        <v>11720</v>
      </c>
      <c r="U399" t="s">
        <v>11720</v>
      </c>
      <c r="V399" t="s">
        <v>11720</v>
      </c>
      <c r="W399" t="s">
        <v>12111</v>
      </c>
      <c r="X399">
        <v>18</v>
      </c>
      <c r="Y399" t="s">
        <v>17909</v>
      </c>
      <c r="Z399" t="s">
        <v>23606</v>
      </c>
      <c r="AA399">
        <v>0.90606414300780458</v>
      </c>
      <c r="AB399" t="str">
        <f>HYPERLINK("Melting_Curves/meltCurve_E5RJR5_SKP1.pdf", "Melting_Curves/meltCurve_E5RJR5_SKP1.pdf")</f>
        <v>Melting_Curves/meltCurve_E5RJR5_SKP1.pdf</v>
      </c>
    </row>
    <row r="400" spans="1:28" x14ac:dyDescent="0.25">
      <c r="A400" t="s">
        <v>404</v>
      </c>
      <c r="B400">
        <v>0.99334974765950101</v>
      </c>
      <c r="C400">
        <v>0.92403254531375201</v>
      </c>
      <c r="D400">
        <v>0.75618046415350904</v>
      </c>
      <c r="E400">
        <v>0.295444523127949</v>
      </c>
      <c r="F400">
        <v>0.104574283923658</v>
      </c>
      <c r="G400">
        <v>4.6458940623214297E-2</v>
      </c>
      <c r="H400">
        <v>2.82047418918412E-2</v>
      </c>
      <c r="I400">
        <v>1.8743357562550099E-2</v>
      </c>
      <c r="J400">
        <v>1.2334299804918399E-2</v>
      </c>
      <c r="K400">
        <v>0</v>
      </c>
      <c r="L400">
        <v>1127.1479715452899</v>
      </c>
      <c r="M400">
        <v>23.443991549275498</v>
      </c>
      <c r="N400">
        <v>48.129667559478797</v>
      </c>
      <c r="O400">
        <v>47.732613506685198</v>
      </c>
      <c r="P400">
        <v>-0.121274521593308</v>
      </c>
      <c r="Q400">
        <v>1.2344036500787201E-2</v>
      </c>
      <c r="R400">
        <v>0.99934746563079402</v>
      </c>
      <c r="S400" t="s">
        <v>6261</v>
      </c>
      <c r="T400" t="s">
        <v>11720</v>
      </c>
      <c r="U400" t="s">
        <v>11720</v>
      </c>
      <c r="V400" t="s">
        <v>11720</v>
      </c>
      <c r="W400" t="s">
        <v>12112</v>
      </c>
      <c r="X400">
        <v>1</v>
      </c>
      <c r="Y400" t="s">
        <v>17910</v>
      </c>
      <c r="Z400" t="s">
        <v>23607</v>
      </c>
      <c r="AA400">
        <v>0.28830075042193148</v>
      </c>
      <c r="AB400" t="str">
        <f>HYPERLINK("Melting_Curves/meltCurve_E5RK28_SGK3.pdf", "Melting_Curves/meltCurve_E5RK28_SGK3.pdf")</f>
        <v>Melting_Curves/meltCurve_E5RK28_SGK3.pdf</v>
      </c>
    </row>
    <row r="401" spans="1:28" x14ac:dyDescent="0.25">
      <c r="A401" t="s">
        <v>405</v>
      </c>
      <c r="B401">
        <v>0.99334974765950101</v>
      </c>
      <c r="C401">
        <v>0.968938762743907</v>
      </c>
      <c r="D401">
        <v>0.75860066143702098</v>
      </c>
      <c r="E401">
        <v>0.66557019547392104</v>
      </c>
      <c r="F401">
        <v>1.1853172708923601</v>
      </c>
      <c r="G401">
        <v>0.63497326424387901</v>
      </c>
      <c r="H401">
        <v>0.69099091003242596</v>
      </c>
      <c r="I401">
        <v>0.99921824262757097</v>
      </c>
      <c r="J401">
        <v>1.03010308014212</v>
      </c>
      <c r="K401">
        <v>0.85763180749882395</v>
      </c>
      <c r="L401">
        <v>10781.5771909287</v>
      </c>
      <c r="M401">
        <v>250</v>
      </c>
      <c r="O401">
        <v>43.123548962635098</v>
      </c>
      <c r="P401">
        <v>-0.21333952597425401</v>
      </c>
      <c r="Q401">
        <v>0.85280068025677902</v>
      </c>
      <c r="R401">
        <v>8.6483325867075397E-2</v>
      </c>
      <c r="S401" t="s">
        <v>6262</v>
      </c>
      <c r="T401" t="s">
        <v>11720</v>
      </c>
      <c r="U401" t="s">
        <v>11720</v>
      </c>
      <c r="V401" t="s">
        <v>11720</v>
      </c>
      <c r="W401" t="s">
        <v>12113</v>
      </c>
      <c r="X401">
        <v>1</v>
      </c>
      <c r="Y401" t="s">
        <v>17911</v>
      </c>
      <c r="Z401" t="s">
        <v>23608</v>
      </c>
      <c r="AA401">
        <v>0.86815150529782514</v>
      </c>
      <c r="AB401" t="str">
        <f>HYPERLINK("Melting_Curves/meltCurve_E5RK82_CETN3.pdf", "Melting_Curves/meltCurve_E5RK82_CETN3.pdf")</f>
        <v>Melting_Curves/meltCurve_E5RK82_CETN3.pdf</v>
      </c>
    </row>
    <row r="402" spans="1:28" x14ac:dyDescent="0.25">
      <c r="A402" t="s">
        <v>406</v>
      </c>
      <c r="B402">
        <v>0.99334974765950101</v>
      </c>
      <c r="C402">
        <v>0.93446546398368902</v>
      </c>
      <c r="D402">
        <v>0.97092629055400703</v>
      </c>
      <c r="E402">
        <v>1.0569855830150101</v>
      </c>
      <c r="F402">
        <v>0.74111238663278201</v>
      </c>
      <c r="G402">
        <v>0.51893252649864696</v>
      </c>
      <c r="H402">
        <v>0.23788310315566299</v>
      </c>
      <c r="I402">
        <v>0.17139229131615299</v>
      </c>
      <c r="J402">
        <v>0.13633738175669299</v>
      </c>
      <c r="K402">
        <v>6.4736679450187504E-2</v>
      </c>
      <c r="L402">
        <v>1152.6456901659999</v>
      </c>
      <c r="M402">
        <v>20.388622199480501</v>
      </c>
      <c r="N402">
        <v>57.006930170047703</v>
      </c>
      <c r="O402">
        <v>55.998330610226702</v>
      </c>
      <c r="P402">
        <v>-8.3940501563750797E-2</v>
      </c>
      <c r="Q402">
        <v>7.7841094090395399E-2</v>
      </c>
      <c r="R402">
        <v>0.98256504369582398</v>
      </c>
      <c r="S402" t="s">
        <v>6263</v>
      </c>
      <c r="T402" t="s">
        <v>11720</v>
      </c>
      <c r="U402" t="s">
        <v>11720</v>
      </c>
      <c r="V402" t="s">
        <v>11720</v>
      </c>
      <c r="W402" t="s">
        <v>12114</v>
      </c>
      <c r="X402">
        <v>4</v>
      </c>
      <c r="Y402" t="s">
        <v>17912</v>
      </c>
      <c r="Z402" t="s">
        <v>23609</v>
      </c>
      <c r="AA402">
        <v>0.59737354453584934</v>
      </c>
      <c r="AB402" t="str">
        <f>HYPERLINK("Melting_Curves/meltCurve_E7EM50_PIGG.pdf", "Melting_Curves/meltCurve_E7EM50_PIGG.pdf")</f>
        <v>Melting_Curves/meltCurve_E7EM50_PIGG.pdf</v>
      </c>
    </row>
    <row r="403" spans="1:28" x14ac:dyDescent="0.25">
      <c r="A403" t="s">
        <v>407</v>
      </c>
      <c r="B403">
        <v>0.99334974765950101</v>
      </c>
      <c r="C403">
        <v>0.99599188429441898</v>
      </c>
      <c r="D403">
        <v>1.1240779684955</v>
      </c>
      <c r="E403">
        <v>1.20207675082235</v>
      </c>
      <c r="F403">
        <v>1.0375386959601001</v>
      </c>
      <c r="G403">
        <v>0.51496019499961099</v>
      </c>
      <c r="H403">
        <v>0.22945589365184799</v>
      </c>
      <c r="I403">
        <v>0.181347666692975</v>
      </c>
      <c r="J403">
        <v>0.20202115456154701</v>
      </c>
      <c r="K403">
        <v>0.15556312862226301</v>
      </c>
      <c r="L403">
        <v>5778.8537135815004</v>
      </c>
      <c r="M403">
        <v>101.788473363469</v>
      </c>
      <c r="N403">
        <v>57.044479247629504</v>
      </c>
      <c r="O403">
        <v>56.751256665951701</v>
      </c>
      <c r="P403">
        <v>-0.36235776752626903</v>
      </c>
      <c r="Q403">
        <v>0.19188260914229199</v>
      </c>
      <c r="R403">
        <v>0.96584520110333905</v>
      </c>
      <c r="S403" t="s">
        <v>6264</v>
      </c>
      <c r="T403" t="s">
        <v>11720</v>
      </c>
      <c r="U403" t="s">
        <v>11720</v>
      </c>
      <c r="V403" t="s">
        <v>11720</v>
      </c>
      <c r="W403" t="s">
        <v>12115</v>
      </c>
      <c r="X403">
        <v>8</v>
      </c>
      <c r="Y403" t="s">
        <v>17913</v>
      </c>
      <c r="Z403" t="s">
        <v>23610</v>
      </c>
      <c r="AA403">
        <v>0.64419171414399778</v>
      </c>
      <c r="AB403" t="str">
        <f>HYPERLINK("Melting_Curves/meltCurve_E7EM64_COPS6.pdf", "Melting_Curves/meltCurve_E7EM64_COPS6.pdf")</f>
        <v>Melting_Curves/meltCurve_E7EM64_COPS6.pdf</v>
      </c>
    </row>
    <row r="404" spans="1:28" x14ac:dyDescent="0.25">
      <c r="A404" t="s">
        <v>408</v>
      </c>
      <c r="B404">
        <v>0.99334974765950101</v>
      </c>
      <c r="C404">
        <v>1.0182155474105401</v>
      </c>
      <c r="D404">
        <v>1.13502575301266</v>
      </c>
      <c r="E404">
        <v>0.78053207602110697</v>
      </c>
      <c r="F404">
        <v>0.39241615901596599</v>
      </c>
      <c r="G404">
        <v>0.24796754420869599</v>
      </c>
      <c r="H404">
        <v>0.15700708494742899</v>
      </c>
      <c r="I404">
        <v>0.139134106708274</v>
      </c>
      <c r="J404">
        <v>7.80891365402194E-2</v>
      </c>
      <c r="K404">
        <v>6.1326344960716803E-2</v>
      </c>
      <c r="L404">
        <v>1622.2028003886101</v>
      </c>
      <c r="M404">
        <v>31.2854797806481</v>
      </c>
      <c r="N404">
        <v>52.313019287054502</v>
      </c>
      <c r="O404">
        <v>51.641159080412201</v>
      </c>
      <c r="P404">
        <v>-0.133195849142665</v>
      </c>
      <c r="Q404">
        <v>0.12056982075328</v>
      </c>
      <c r="R404">
        <v>0.97833955909857695</v>
      </c>
      <c r="S404" t="s">
        <v>6265</v>
      </c>
      <c r="T404" t="s">
        <v>11720</v>
      </c>
      <c r="U404" t="s">
        <v>11720</v>
      </c>
      <c r="V404" t="s">
        <v>11720</v>
      </c>
      <c r="W404" t="s">
        <v>12116</v>
      </c>
      <c r="X404">
        <v>2</v>
      </c>
      <c r="Y404" t="s">
        <v>17914</v>
      </c>
      <c r="Z404" t="s">
        <v>23611</v>
      </c>
      <c r="AA404">
        <v>0.47314915410586172</v>
      </c>
      <c r="AB404" t="str">
        <f>HYPERLINK("Melting_Curves/meltCurve_E7EM93_NUDT12.pdf", "Melting_Curves/meltCurve_E7EM93_NUDT12.pdf")</f>
        <v>Melting_Curves/meltCurve_E7EM93_NUDT12.pdf</v>
      </c>
    </row>
    <row r="405" spans="1:28" x14ac:dyDescent="0.25">
      <c r="A405" t="s">
        <v>409</v>
      </c>
      <c r="B405">
        <v>0.99334974765950101</v>
      </c>
      <c r="C405">
        <v>1.01671983218137</v>
      </c>
      <c r="D405">
        <v>1.0228495294997</v>
      </c>
      <c r="E405">
        <v>0.77688455588129102</v>
      </c>
      <c r="F405">
        <v>0.64181091278684999</v>
      </c>
      <c r="G405">
        <v>0.48743610443743801</v>
      </c>
      <c r="H405">
        <v>0.40291710079683302</v>
      </c>
      <c r="I405">
        <v>0.24684025016738101</v>
      </c>
      <c r="J405">
        <v>0.16227381876583899</v>
      </c>
      <c r="K405">
        <v>0.159237446780046</v>
      </c>
      <c r="L405">
        <v>653.03865813712105</v>
      </c>
      <c r="M405">
        <v>11.6687830904199</v>
      </c>
      <c r="N405">
        <v>56.798471956896201</v>
      </c>
      <c r="O405">
        <v>54.396726902450403</v>
      </c>
      <c r="P405">
        <v>-4.9419725915718901E-2</v>
      </c>
      <c r="Q405">
        <v>7.8721646754525101E-2</v>
      </c>
      <c r="R405">
        <v>0.98227001857426799</v>
      </c>
      <c r="S405" t="s">
        <v>6266</v>
      </c>
      <c r="T405" t="s">
        <v>11720</v>
      </c>
      <c r="U405" t="s">
        <v>11720</v>
      </c>
      <c r="V405" t="s">
        <v>11720</v>
      </c>
      <c r="W405" t="s">
        <v>12117</v>
      </c>
      <c r="X405">
        <v>3</v>
      </c>
      <c r="Y405" t="s">
        <v>17915</v>
      </c>
      <c r="Z405" t="s">
        <v>23612</v>
      </c>
      <c r="AA405">
        <v>0.58806716757910205</v>
      </c>
      <c r="AB405" t="str">
        <f>HYPERLINK("Melting_Curves/meltCurve_E7EMA9_ATHL1.pdf", "Melting_Curves/meltCurve_E7EMA9_ATHL1.pdf")</f>
        <v>Melting_Curves/meltCurve_E7EMA9_ATHL1.pdf</v>
      </c>
    </row>
    <row r="406" spans="1:28" x14ac:dyDescent="0.25">
      <c r="A406" t="s">
        <v>410</v>
      </c>
      <c r="B406">
        <v>0.99334974765950101</v>
      </c>
      <c r="C406">
        <v>1.0648664877277201</v>
      </c>
      <c r="D406">
        <v>1.11425371696324</v>
      </c>
      <c r="E406">
        <v>1.1410112855860599</v>
      </c>
      <c r="F406">
        <v>1.00366953146799</v>
      </c>
      <c r="G406">
        <v>1.3334385025109099</v>
      </c>
      <c r="H406">
        <v>0.955521368742004</v>
      </c>
      <c r="I406">
        <v>1.1187004469673101</v>
      </c>
      <c r="J406">
        <v>0.72808013181745801</v>
      </c>
      <c r="K406">
        <v>0.51640474612831</v>
      </c>
      <c r="L406">
        <v>15000</v>
      </c>
      <c r="M406">
        <v>224.13075972825999</v>
      </c>
      <c r="O406">
        <v>66.919891130679403</v>
      </c>
      <c r="P406">
        <v>-0.40494512464003501</v>
      </c>
      <c r="Q406">
        <v>0.516373689553144</v>
      </c>
      <c r="R406">
        <v>0.65169487506286505</v>
      </c>
      <c r="S406" t="s">
        <v>6267</v>
      </c>
      <c r="T406" t="s">
        <v>11720</v>
      </c>
      <c r="U406" t="s">
        <v>11720</v>
      </c>
      <c r="V406" t="s">
        <v>11720</v>
      </c>
      <c r="W406" t="s">
        <v>12118</v>
      </c>
      <c r="X406">
        <v>9</v>
      </c>
      <c r="Y406" t="s">
        <v>17916</v>
      </c>
      <c r="Z406" t="s">
        <v>23613</v>
      </c>
      <c r="AA406">
        <v>0.95050221521107037</v>
      </c>
      <c r="AB406" t="str">
        <f>HYPERLINK("Melting_Curves/meltCurve_E7EMB6_DNPEP.pdf", "Melting_Curves/meltCurve_E7EMB6_DNPEP.pdf")</f>
        <v>Melting_Curves/meltCurve_E7EMB6_DNPEP.pdf</v>
      </c>
    </row>
    <row r="407" spans="1:28" x14ac:dyDescent="0.25">
      <c r="A407" t="s">
        <v>411</v>
      </c>
      <c r="B407">
        <v>0.99334974765950101</v>
      </c>
      <c r="C407">
        <v>0.98846790653527505</v>
      </c>
      <c r="D407">
        <v>0.90592492651759804</v>
      </c>
      <c r="E407">
        <v>0.85898342684592199</v>
      </c>
      <c r="F407">
        <v>0.82596992614509002</v>
      </c>
      <c r="G407">
        <v>0.65936130310099095</v>
      </c>
      <c r="H407">
        <v>0.63355793410485295</v>
      </c>
      <c r="I407">
        <v>0.77354770583933397</v>
      </c>
      <c r="J407">
        <v>0.661403380947721</v>
      </c>
      <c r="K407">
        <v>0.50678156301922594</v>
      </c>
      <c r="L407">
        <v>469.12517672414998</v>
      </c>
      <c r="M407">
        <v>8.5814831492857593</v>
      </c>
      <c r="O407">
        <v>51.941365128003298</v>
      </c>
      <c r="P407">
        <v>-1.9052542492612699E-2</v>
      </c>
      <c r="Q407">
        <v>0.53912131472578095</v>
      </c>
      <c r="R407">
        <v>0.84687680274218402</v>
      </c>
      <c r="S407" t="s">
        <v>6268</v>
      </c>
      <c r="T407" t="s">
        <v>11720</v>
      </c>
      <c r="U407" t="s">
        <v>11720</v>
      </c>
      <c r="V407" t="s">
        <v>11720</v>
      </c>
      <c r="W407" t="s">
        <v>12119</v>
      </c>
      <c r="X407">
        <v>10</v>
      </c>
      <c r="Y407" t="s">
        <v>17917</v>
      </c>
      <c r="Z407" t="s">
        <v>23614</v>
      </c>
      <c r="AA407">
        <v>0.7778249456201688</v>
      </c>
      <c r="AB407" t="str">
        <f>HYPERLINK("Melting_Curves/meltCurve_E7EMM4_ASAH1.pdf", "Melting_Curves/meltCurve_E7EMM4_ASAH1.pdf")</f>
        <v>Melting_Curves/meltCurve_E7EMM4_ASAH1.pdf</v>
      </c>
    </row>
    <row r="408" spans="1:28" x14ac:dyDescent="0.25">
      <c r="A408" t="s">
        <v>412</v>
      </c>
      <c r="B408">
        <v>0.99334974765950101</v>
      </c>
      <c r="C408">
        <v>0.95420058800081797</v>
      </c>
      <c r="D408">
        <v>0.97263455833773405</v>
      </c>
      <c r="E408">
        <v>1.0584896330354401</v>
      </c>
      <c r="F408">
        <v>0.92615381188485002</v>
      </c>
      <c r="G408">
        <v>0.73053695200080004</v>
      </c>
      <c r="H408">
        <v>0.55010049980393005</v>
      </c>
      <c r="I408">
        <v>0.710544486246935</v>
      </c>
      <c r="J408">
        <v>0.53245592488979998</v>
      </c>
      <c r="K408">
        <v>0.41838658834183501</v>
      </c>
      <c r="L408">
        <v>1220.69670414247</v>
      </c>
      <c r="M408">
        <v>21.3904763729686</v>
      </c>
      <c r="O408">
        <v>56.575556525347402</v>
      </c>
      <c r="P408">
        <v>-4.65675027796855E-2</v>
      </c>
      <c r="Q408">
        <v>0.50734774099176905</v>
      </c>
      <c r="R408">
        <v>0.89612351137673096</v>
      </c>
      <c r="S408" t="s">
        <v>6269</v>
      </c>
      <c r="T408" t="s">
        <v>11720</v>
      </c>
      <c r="U408" t="s">
        <v>11720</v>
      </c>
      <c r="V408" t="s">
        <v>11720</v>
      </c>
      <c r="W408" t="s">
        <v>12120</v>
      </c>
      <c r="X408">
        <v>9</v>
      </c>
      <c r="Y408" t="s">
        <v>17918</v>
      </c>
      <c r="Z408" t="s">
        <v>23615</v>
      </c>
      <c r="AA408">
        <v>0.79314983541927164</v>
      </c>
      <c r="AB408" t="str">
        <f>HYPERLINK("Melting_Curves/meltCurve_E7EN73_KIAA0319L.pdf", "Melting_Curves/meltCurve_E7EN73_KIAA0319L.pdf")</f>
        <v>Melting_Curves/meltCurve_E7EN73_KIAA0319L.pdf</v>
      </c>
    </row>
    <row r="409" spans="1:28" x14ac:dyDescent="0.25">
      <c r="A409" t="s">
        <v>413</v>
      </c>
      <c r="B409">
        <v>0.99334974765950101</v>
      </c>
      <c r="C409">
        <v>0.96798247221232003</v>
      </c>
      <c r="D409">
        <v>1.0813701847691499</v>
      </c>
      <c r="E409">
        <v>1.0228652213004299</v>
      </c>
      <c r="F409">
        <v>0.53830787920861001</v>
      </c>
      <c r="G409">
        <v>0.44213605839833497</v>
      </c>
      <c r="H409">
        <v>0.36915182446871903</v>
      </c>
      <c r="I409">
        <v>0.450309635341342</v>
      </c>
      <c r="J409">
        <v>0.339443760628652</v>
      </c>
      <c r="K409">
        <v>0.26461933245445501</v>
      </c>
      <c r="L409">
        <v>13195.5219827828</v>
      </c>
      <c r="M409">
        <v>250</v>
      </c>
      <c r="N409">
        <v>53.073232393759703</v>
      </c>
      <c r="O409">
        <v>52.778690415393001</v>
      </c>
      <c r="P409">
        <v>-0.74233044057915198</v>
      </c>
      <c r="Q409">
        <v>0.37313210788971901</v>
      </c>
      <c r="R409">
        <v>0.96693329445648901</v>
      </c>
      <c r="S409" t="s">
        <v>6270</v>
      </c>
      <c r="T409" t="s">
        <v>11720</v>
      </c>
      <c r="U409" t="s">
        <v>11720</v>
      </c>
      <c r="V409" t="s">
        <v>11720</v>
      </c>
      <c r="W409" t="s">
        <v>12121</v>
      </c>
      <c r="X409">
        <v>6</v>
      </c>
      <c r="Y409" t="s">
        <v>17919</v>
      </c>
      <c r="Z409" t="s">
        <v>23616</v>
      </c>
      <c r="AA409">
        <v>0.64027952636031671</v>
      </c>
      <c r="AB409" t="str">
        <f>HYPERLINK("Melting_Curves/meltCurve_E7ENA9_NCSTN.pdf", "Melting_Curves/meltCurve_E7ENA9_NCSTN.pdf")</f>
        <v>Melting_Curves/meltCurve_E7ENA9_NCSTN.pdf</v>
      </c>
    </row>
    <row r="410" spans="1:28" x14ac:dyDescent="0.25">
      <c r="A410" t="s">
        <v>414</v>
      </c>
      <c r="B410">
        <v>0.99334974765950101</v>
      </c>
      <c r="C410">
        <v>0.86064004567263197</v>
      </c>
      <c r="D410">
        <v>0.622055002348326</v>
      </c>
      <c r="E410">
        <v>0.24414481034358301</v>
      </c>
      <c r="F410">
        <v>9.8036021920584401E-2</v>
      </c>
      <c r="G410">
        <v>4.9717227061172403E-2</v>
      </c>
      <c r="H410">
        <v>3.3153590857526699E-2</v>
      </c>
      <c r="I410">
        <v>0</v>
      </c>
      <c r="J410">
        <v>4.7947040905323701E-2</v>
      </c>
      <c r="K410">
        <v>0</v>
      </c>
      <c r="L410">
        <v>950.32836463951696</v>
      </c>
      <c r="M410">
        <v>20.212584512425199</v>
      </c>
      <c r="N410">
        <v>47.091647566912499</v>
      </c>
      <c r="O410">
        <v>46.5637118303042</v>
      </c>
      <c r="P410">
        <v>-0.106805996670068</v>
      </c>
      <c r="Q410">
        <v>1.5835229198696101E-2</v>
      </c>
      <c r="R410">
        <v>0.99810775159223797</v>
      </c>
      <c r="S410" t="s">
        <v>6271</v>
      </c>
      <c r="T410" t="s">
        <v>11720</v>
      </c>
      <c r="U410" t="s">
        <v>11720</v>
      </c>
      <c r="V410" t="s">
        <v>11720</v>
      </c>
      <c r="W410" t="s">
        <v>12122</v>
      </c>
      <c r="X410">
        <v>1</v>
      </c>
      <c r="Y410" t="s">
        <v>17920</v>
      </c>
      <c r="Z410" t="s">
        <v>23617</v>
      </c>
      <c r="AA410">
        <v>0.26008589554757988</v>
      </c>
      <c r="AB410" t="str">
        <f>HYPERLINK("Melting_Curves/meltCurve_E7ENC2_RIMS1.pdf", "Melting_Curves/meltCurve_E7ENC2_RIMS1.pdf")</f>
        <v>Melting_Curves/meltCurve_E7ENC2_RIMS1.pdf</v>
      </c>
    </row>
    <row r="411" spans="1:28" x14ac:dyDescent="0.25">
      <c r="A411" t="s">
        <v>415</v>
      </c>
      <c r="B411">
        <v>0.99334974765950101</v>
      </c>
      <c r="C411">
        <v>0.90992175010651499</v>
      </c>
      <c r="D411">
        <v>0.81709223609506898</v>
      </c>
      <c r="E411">
        <v>0.99685040483329801</v>
      </c>
      <c r="F411">
        <v>1.04492540762811</v>
      </c>
      <c r="G411">
        <v>0.77740900755368403</v>
      </c>
      <c r="H411">
        <v>0.91547567509173999</v>
      </c>
      <c r="I411">
        <v>0.95216045541367</v>
      </c>
      <c r="J411">
        <v>1.6138593890703801</v>
      </c>
      <c r="K411">
        <v>1.98323321149492</v>
      </c>
      <c r="L411">
        <v>15000</v>
      </c>
      <c r="M411">
        <v>229.53406723464701</v>
      </c>
      <c r="O411">
        <v>65.344792955821802</v>
      </c>
      <c r="P411">
        <v>0.439082398633379</v>
      </c>
      <c r="Q411">
        <v>1.5</v>
      </c>
      <c r="R411">
        <v>0.73992278242073595</v>
      </c>
      <c r="S411" t="s">
        <v>6272</v>
      </c>
      <c r="T411" t="s">
        <v>11720</v>
      </c>
      <c r="U411" t="s">
        <v>11720</v>
      </c>
      <c r="V411" t="s">
        <v>11720</v>
      </c>
      <c r="W411" t="s">
        <v>12123</v>
      </c>
      <c r="X411">
        <v>6</v>
      </c>
      <c r="Y411" t="s">
        <v>17921</v>
      </c>
      <c r="Z411" t="s">
        <v>23618</v>
      </c>
      <c r="AA411">
        <v>1.0774356972819841</v>
      </c>
      <c r="AB411" t="str">
        <f>HYPERLINK("Melting_Curves/meltCurve_E7ENF1_C12orf43.pdf", "Melting_Curves/meltCurve_E7ENF1_C12orf43.pdf")</f>
        <v>Melting_Curves/meltCurve_E7ENF1_C12orf43.pdf</v>
      </c>
    </row>
    <row r="412" spans="1:28" x14ac:dyDescent="0.25">
      <c r="A412" t="s">
        <v>416</v>
      </c>
      <c r="B412">
        <v>0.99334974765950101</v>
      </c>
      <c r="C412">
        <v>0.96334285434571898</v>
      </c>
      <c r="D412">
        <v>0.92011827157548598</v>
      </c>
      <c r="E412">
        <v>0.74139455464341697</v>
      </c>
      <c r="F412">
        <v>0.38230463195164499</v>
      </c>
      <c r="G412">
        <v>0.22216726361768899</v>
      </c>
      <c r="H412">
        <v>0.168641969043926</v>
      </c>
      <c r="I412">
        <v>0.13847995892610901</v>
      </c>
      <c r="J412">
        <v>0.18745341159265499</v>
      </c>
      <c r="K412">
        <v>0.16405388097183299</v>
      </c>
      <c r="L412">
        <v>1391.3210332952899</v>
      </c>
      <c r="M412">
        <v>27.156217090481402</v>
      </c>
      <c r="N412">
        <v>51.978127450631398</v>
      </c>
      <c r="O412">
        <v>50.958570460355098</v>
      </c>
      <c r="P412">
        <v>-0.111770357789062</v>
      </c>
      <c r="Q412">
        <v>0.16106098702551</v>
      </c>
      <c r="R412">
        <v>0.99556580419914797</v>
      </c>
      <c r="S412" t="s">
        <v>6273</v>
      </c>
      <c r="T412" t="s">
        <v>11720</v>
      </c>
      <c r="U412" t="s">
        <v>11720</v>
      </c>
      <c r="V412" t="s">
        <v>11720</v>
      </c>
      <c r="W412" t="s">
        <v>12124</v>
      </c>
      <c r="X412">
        <v>14</v>
      </c>
      <c r="Y412" t="s">
        <v>17922</v>
      </c>
      <c r="Z412" t="s">
        <v>23619</v>
      </c>
      <c r="AA412">
        <v>0.4816707621291666</v>
      </c>
      <c r="AB412" t="str">
        <f>HYPERLINK("Melting_Curves/meltCurve_E7ENK0_CALCOCO2.pdf", "Melting_Curves/meltCurve_E7ENK0_CALCOCO2.pdf")</f>
        <v>Melting_Curves/meltCurve_E7ENK0_CALCOCO2.pdf</v>
      </c>
    </row>
    <row r="413" spans="1:28" x14ac:dyDescent="0.25">
      <c r="A413" t="s">
        <v>417</v>
      </c>
      <c r="B413">
        <v>0.99334974765950101</v>
      </c>
      <c r="C413">
        <v>0.91177217230144803</v>
      </c>
      <c r="D413">
        <v>0.89738979750815195</v>
      </c>
      <c r="E413">
        <v>0.85411984894218695</v>
      </c>
      <c r="F413">
        <v>0.969581430960612</v>
      </c>
      <c r="G413">
        <v>0.77815924519642898</v>
      </c>
      <c r="H413">
        <v>0.91112066155901905</v>
      </c>
      <c r="I413">
        <v>0.79182934759405699</v>
      </c>
      <c r="J413">
        <v>1.09546646721261</v>
      </c>
      <c r="K413">
        <v>0.85325650748133997</v>
      </c>
      <c r="L413">
        <v>2524.5758891044702</v>
      </c>
      <c r="M413">
        <v>60.430124090864901</v>
      </c>
      <c r="O413">
        <v>41.731101877501999</v>
      </c>
      <c r="P413">
        <v>-3.8446908904527698E-2</v>
      </c>
      <c r="Q413">
        <v>0.893799244298351</v>
      </c>
      <c r="R413">
        <v>0.107106705697463</v>
      </c>
      <c r="S413" t="s">
        <v>6274</v>
      </c>
      <c r="T413" t="s">
        <v>11720</v>
      </c>
      <c r="U413" t="s">
        <v>11720</v>
      </c>
      <c r="V413" t="s">
        <v>11720</v>
      </c>
      <c r="W413" t="s">
        <v>12125</v>
      </c>
      <c r="X413">
        <v>15</v>
      </c>
      <c r="Y413" t="s">
        <v>17923</v>
      </c>
      <c r="Z413" t="s">
        <v>23620</v>
      </c>
      <c r="AA413">
        <v>0.90036643519171899</v>
      </c>
      <c r="AB413" t="str">
        <f>HYPERLINK("Melting_Curves/meltCurve_E7EPC6_CD44.pdf", "Melting_Curves/meltCurve_E7EPC6_CD44.pdf")</f>
        <v>Melting_Curves/meltCurve_E7EPC6_CD44.pdf</v>
      </c>
    </row>
    <row r="414" spans="1:28" x14ac:dyDescent="0.25">
      <c r="A414" t="s">
        <v>418</v>
      </c>
      <c r="B414">
        <v>0.99334974765950101</v>
      </c>
      <c r="C414">
        <v>0.96483611066522501</v>
      </c>
      <c r="D414">
        <v>0.896108776805008</v>
      </c>
      <c r="E414">
        <v>0.71789344649383102</v>
      </c>
      <c r="F414">
        <v>0.37255735402261603</v>
      </c>
      <c r="G414">
        <v>0.19644898039113101</v>
      </c>
      <c r="H414">
        <v>0.14803549535729299</v>
      </c>
      <c r="I414">
        <v>0.10715492390833101</v>
      </c>
      <c r="J414">
        <v>0.11055651709495</v>
      </c>
      <c r="K414">
        <v>8.6215277929931902E-2</v>
      </c>
      <c r="L414">
        <v>1107.6955837642099</v>
      </c>
      <c r="M414">
        <v>21.565985726996001</v>
      </c>
      <c r="N414">
        <v>51.8903360357438</v>
      </c>
      <c r="O414">
        <v>50.927572579887602</v>
      </c>
      <c r="P414">
        <v>-9.5452032139652004E-2</v>
      </c>
      <c r="Q414">
        <v>9.8390836796620307E-2</v>
      </c>
      <c r="R414">
        <v>0.99618652919476003</v>
      </c>
      <c r="S414" t="s">
        <v>6275</v>
      </c>
      <c r="T414" t="s">
        <v>11720</v>
      </c>
      <c r="U414" t="s">
        <v>11720</v>
      </c>
      <c r="V414" t="s">
        <v>11720</v>
      </c>
      <c r="W414" t="s">
        <v>12126</v>
      </c>
      <c r="X414">
        <v>15</v>
      </c>
      <c r="Y414" t="s">
        <v>17924</v>
      </c>
      <c r="Z414" t="s">
        <v>23621</v>
      </c>
      <c r="AA414">
        <v>0.45075610350166778</v>
      </c>
      <c r="AB414" t="str">
        <f>HYPERLINK("Melting_Curves/meltCurve_E7EPD0_TOM1.pdf", "Melting_Curves/meltCurve_E7EPD0_TOM1.pdf")</f>
        <v>Melting_Curves/meltCurve_E7EPD0_TOM1.pdf</v>
      </c>
    </row>
    <row r="415" spans="1:28" x14ac:dyDescent="0.25">
      <c r="A415" t="s">
        <v>419</v>
      </c>
      <c r="B415">
        <v>0.99334974765950101</v>
      </c>
      <c r="C415">
        <v>0.90692841856748896</v>
      </c>
      <c r="D415">
        <v>0.36861298660668002</v>
      </c>
      <c r="E415">
        <v>0.16386406605300699</v>
      </c>
      <c r="F415">
        <v>0.12874436230553901</v>
      </c>
      <c r="G415">
        <v>7.8822342267353199E-2</v>
      </c>
      <c r="H415">
        <v>6.6599374848038295E-2</v>
      </c>
      <c r="I415">
        <v>5.6433040994672501E-2</v>
      </c>
      <c r="J415">
        <v>5.2314646754272803E-2</v>
      </c>
      <c r="K415">
        <v>4.2998823583393499E-2</v>
      </c>
      <c r="L415">
        <v>1705.2295607793001</v>
      </c>
      <c r="M415">
        <v>37.767527125427499</v>
      </c>
      <c r="N415">
        <v>45.356978849554103</v>
      </c>
      <c r="O415">
        <v>45.024661903581404</v>
      </c>
      <c r="P415">
        <v>-0.193155902111805</v>
      </c>
      <c r="Q415">
        <v>7.8917192938060599E-2</v>
      </c>
      <c r="R415">
        <v>0.99221790289787104</v>
      </c>
      <c r="S415" t="s">
        <v>6276</v>
      </c>
      <c r="T415" t="s">
        <v>11720</v>
      </c>
      <c r="U415" t="s">
        <v>11720</v>
      </c>
      <c r="V415" t="s">
        <v>11720</v>
      </c>
      <c r="W415" t="s">
        <v>12127</v>
      </c>
      <c r="X415">
        <v>22</v>
      </c>
      <c r="Y415" t="s">
        <v>17925</v>
      </c>
      <c r="Z415" t="s">
        <v>23622</v>
      </c>
      <c r="AA415">
        <v>0.24049809790654519</v>
      </c>
      <c r="AB415" t="str">
        <f>HYPERLINK("Melting_Curves/meltCurve_E7EPL4_PDXDC1.pdf", "Melting_Curves/meltCurve_E7EPL4_PDXDC1.pdf")</f>
        <v>Melting_Curves/meltCurve_E7EPL4_PDXDC1.pdf</v>
      </c>
    </row>
    <row r="416" spans="1:28" x14ac:dyDescent="0.25">
      <c r="A416" t="s">
        <v>420</v>
      </c>
      <c r="B416">
        <v>0.99334974765950101</v>
      </c>
      <c r="C416">
        <v>1.03182643496636</v>
      </c>
      <c r="D416">
        <v>0.85469596307985796</v>
      </c>
      <c r="E416">
        <v>0.87963725632893497</v>
      </c>
      <c r="F416">
        <v>0.82781713063183304</v>
      </c>
      <c r="G416">
        <v>0.60651687249826702</v>
      </c>
      <c r="H416">
        <v>0.58335868142922198</v>
      </c>
      <c r="I416">
        <v>0.62155477173424301</v>
      </c>
      <c r="J416">
        <v>0.72244663355876604</v>
      </c>
      <c r="K416">
        <v>0.689109766654735</v>
      </c>
      <c r="L416">
        <v>907.21577603679998</v>
      </c>
      <c r="M416">
        <v>17.793207689788002</v>
      </c>
      <c r="O416">
        <v>50.355702059796101</v>
      </c>
      <c r="P416">
        <v>-3.1837895873201003E-2</v>
      </c>
      <c r="Q416">
        <v>0.63960704697882198</v>
      </c>
      <c r="R416">
        <v>0.83530510374698896</v>
      </c>
      <c r="S416" t="s">
        <v>6277</v>
      </c>
      <c r="T416" t="s">
        <v>11720</v>
      </c>
      <c r="U416" t="s">
        <v>11720</v>
      </c>
      <c r="V416" t="s">
        <v>11720</v>
      </c>
      <c r="W416" t="s">
        <v>12128</v>
      </c>
      <c r="X416">
        <v>41</v>
      </c>
      <c r="Y416" t="s">
        <v>17926</v>
      </c>
      <c r="Z416" t="s">
        <v>23623</v>
      </c>
      <c r="AA416">
        <v>0.77779160226150901</v>
      </c>
      <c r="AB416" t="str">
        <f>HYPERLINK("Melting_Curves/meltCurve_E7EPN9_PRRC2C.pdf", "Melting_Curves/meltCurve_E7EPN9_PRRC2C.pdf")</f>
        <v>Melting_Curves/meltCurve_E7EPN9_PRRC2C.pdf</v>
      </c>
    </row>
    <row r="417" spans="1:28" x14ac:dyDescent="0.25">
      <c r="A417" t="s">
        <v>421</v>
      </c>
      <c r="B417">
        <v>0.99334974765950101</v>
      </c>
      <c r="C417">
        <v>0.71613046779631295</v>
      </c>
      <c r="D417">
        <v>0.31021123351996599</v>
      </c>
      <c r="E417">
        <v>0.12632470373378499</v>
      </c>
      <c r="F417">
        <v>8.5527836675043101E-2</v>
      </c>
      <c r="G417">
        <v>6.0291523345446199E-2</v>
      </c>
      <c r="H417">
        <v>5.3086276202868099E-2</v>
      </c>
      <c r="I417">
        <v>5.6291504376581099E-2</v>
      </c>
      <c r="J417">
        <v>4.4140579626753301E-2</v>
      </c>
      <c r="K417">
        <v>3.7627626067969197E-2</v>
      </c>
      <c r="L417">
        <v>1199.3976735074</v>
      </c>
      <c r="M417">
        <v>27.0542988598934</v>
      </c>
      <c r="N417">
        <v>44.533258496463397</v>
      </c>
      <c r="O417">
        <v>44.092902714443298</v>
      </c>
      <c r="P417">
        <v>-0.14460793988037901</v>
      </c>
      <c r="Q417">
        <v>5.7285698645980002E-2</v>
      </c>
      <c r="R417">
        <v>0.99658593470112</v>
      </c>
      <c r="S417" t="s">
        <v>6278</v>
      </c>
      <c r="T417" t="s">
        <v>11720</v>
      </c>
      <c r="U417" t="s">
        <v>11720</v>
      </c>
      <c r="V417" t="s">
        <v>11720</v>
      </c>
      <c r="W417" t="s">
        <v>12129</v>
      </c>
      <c r="X417">
        <v>5</v>
      </c>
      <c r="Y417" t="s">
        <v>17927</v>
      </c>
      <c r="Z417" t="s">
        <v>23624</v>
      </c>
      <c r="AA417">
        <v>0.20186774406554031</v>
      </c>
      <c r="AB417" t="str">
        <f>HYPERLINK("Melting_Curves/meltCurve_E7EPP7_STXBP4.pdf", "Melting_Curves/meltCurve_E7EPP7_STXBP4.pdf")</f>
        <v>Melting_Curves/meltCurve_E7EPP7_STXBP4.pdf</v>
      </c>
    </row>
    <row r="418" spans="1:28" x14ac:dyDescent="0.25">
      <c r="A418" t="s">
        <v>422</v>
      </c>
      <c r="B418">
        <v>0.99334974765950101</v>
      </c>
      <c r="C418">
        <v>1.0212593851259</v>
      </c>
      <c r="D418">
        <v>0.78259614843143299</v>
      </c>
      <c r="E418">
        <v>0.39793682654270901</v>
      </c>
      <c r="F418">
        <v>0.22517025571035901</v>
      </c>
      <c r="G418">
        <v>0.13069627926504199</v>
      </c>
      <c r="H418">
        <v>6.67606860981899E-2</v>
      </c>
      <c r="I418">
        <v>4.97693355344377E-2</v>
      </c>
      <c r="J418">
        <v>4.6335689576157697E-2</v>
      </c>
      <c r="K418">
        <v>4.06688199275086E-2</v>
      </c>
      <c r="L418">
        <v>1032.97467732583</v>
      </c>
      <c r="M418">
        <v>21.137555394248</v>
      </c>
      <c r="N418">
        <v>49.132804501016999</v>
      </c>
      <c r="O418">
        <v>48.4380815318966</v>
      </c>
      <c r="P418">
        <v>-0.103249550197739</v>
      </c>
      <c r="Q418">
        <v>5.3612663882564103E-2</v>
      </c>
      <c r="R418">
        <v>0.99509152930823896</v>
      </c>
      <c r="S418" t="s">
        <v>6279</v>
      </c>
      <c r="T418" t="s">
        <v>11720</v>
      </c>
      <c r="U418" t="s">
        <v>11720</v>
      </c>
      <c r="V418" t="s">
        <v>11720</v>
      </c>
      <c r="W418" t="s">
        <v>12130</v>
      </c>
      <c r="X418">
        <v>7</v>
      </c>
      <c r="Y418" t="s">
        <v>17928</v>
      </c>
      <c r="Z418" t="s">
        <v>23625</v>
      </c>
      <c r="AA418">
        <v>0.34525191865666849</v>
      </c>
      <c r="AB418" t="str">
        <f>HYPERLINK("Melting_Curves/meltCurve_E7EPR3_IFI16.pdf", "Melting_Curves/meltCurve_E7EPR3_IFI16.pdf")</f>
        <v>Melting_Curves/meltCurve_E7EPR3_IFI16.pdf</v>
      </c>
    </row>
    <row r="419" spans="1:28" x14ac:dyDescent="0.25">
      <c r="A419" t="s">
        <v>423</v>
      </c>
      <c r="B419">
        <v>0.99334974765950101</v>
      </c>
      <c r="C419">
        <v>0.99825098719282401</v>
      </c>
      <c r="D419">
        <v>0.93432542760863802</v>
      </c>
      <c r="E419">
        <v>0.652018539245942</v>
      </c>
      <c r="F419">
        <v>0.60695459225523496</v>
      </c>
      <c r="G419">
        <v>0.45067015790668402</v>
      </c>
      <c r="H419">
        <v>0.52176021186520105</v>
      </c>
      <c r="I419">
        <v>0.82217573540662503</v>
      </c>
      <c r="J419">
        <v>0.94096475053723105</v>
      </c>
      <c r="K419">
        <v>0.91686375909836204</v>
      </c>
      <c r="L419">
        <v>11558.190917506599</v>
      </c>
      <c r="M419">
        <v>250</v>
      </c>
      <c r="O419">
        <v>46.229797943935502</v>
      </c>
      <c r="P419">
        <v>-0.40337927272135798</v>
      </c>
      <c r="Q419">
        <v>0.70162967782007901</v>
      </c>
      <c r="R419">
        <v>0.41530259184874802</v>
      </c>
      <c r="S419" t="s">
        <v>6280</v>
      </c>
      <c r="T419" t="s">
        <v>11720</v>
      </c>
      <c r="U419" t="s">
        <v>11720</v>
      </c>
      <c r="V419" t="s">
        <v>11720</v>
      </c>
      <c r="W419" t="s">
        <v>12131</v>
      </c>
      <c r="X419">
        <v>11</v>
      </c>
      <c r="Y419" t="s">
        <v>17929</v>
      </c>
      <c r="Z419" t="s">
        <v>23626</v>
      </c>
      <c r="AA419">
        <v>0.76364294373575026</v>
      </c>
      <c r="AB419" t="str">
        <f>HYPERLINK("Melting_Curves/meltCurve_E7EPS8_PTPRM.pdf", "Melting_Curves/meltCurve_E7EPS8_PTPRM.pdf")</f>
        <v>Melting_Curves/meltCurve_E7EPS8_PTPRM.pdf</v>
      </c>
    </row>
    <row r="420" spans="1:28" x14ac:dyDescent="0.25">
      <c r="A420" t="s">
        <v>424</v>
      </c>
      <c r="B420">
        <v>0.99334974765950101</v>
      </c>
      <c r="C420">
        <v>0.91041522359333804</v>
      </c>
      <c r="D420">
        <v>0.88939888079449803</v>
      </c>
      <c r="E420">
        <v>0.87836856259417895</v>
      </c>
      <c r="F420">
        <v>1.17864517308641</v>
      </c>
      <c r="G420">
        <v>0.733564526297799</v>
      </c>
      <c r="H420">
        <v>0.37988845115650799</v>
      </c>
      <c r="I420">
        <v>0.243714097934006</v>
      </c>
      <c r="J420">
        <v>0.19301987474909299</v>
      </c>
      <c r="K420">
        <v>0.14200473484904599</v>
      </c>
      <c r="L420">
        <v>1948.71332458099</v>
      </c>
      <c r="M420">
        <v>33.162531439984697</v>
      </c>
      <c r="N420">
        <v>59.517450492385301</v>
      </c>
      <c r="O420">
        <v>58.550058110121398</v>
      </c>
      <c r="P420">
        <v>-0.117288435272125</v>
      </c>
      <c r="Q420">
        <v>0.17168991710332801</v>
      </c>
      <c r="R420">
        <v>0.93861864383327898</v>
      </c>
      <c r="S420" t="s">
        <v>6281</v>
      </c>
      <c r="T420" t="s">
        <v>11720</v>
      </c>
      <c r="U420" t="s">
        <v>11720</v>
      </c>
      <c r="V420" t="s">
        <v>11720</v>
      </c>
      <c r="W420" t="s">
        <v>12132</v>
      </c>
      <c r="X420">
        <v>12</v>
      </c>
      <c r="Y420" t="s">
        <v>17930</v>
      </c>
      <c r="Z420" t="s">
        <v>23627</v>
      </c>
      <c r="AA420">
        <v>0.69428027382784951</v>
      </c>
      <c r="AB420" t="str">
        <f>HYPERLINK("Melting_Curves/meltCurve_E7EPT4_NDUFV2.pdf", "Melting_Curves/meltCurve_E7EPT4_NDUFV2.pdf")</f>
        <v>Melting_Curves/meltCurve_E7EPT4_NDUFV2.pdf</v>
      </c>
    </row>
    <row r="421" spans="1:28" x14ac:dyDescent="0.25">
      <c r="A421" t="s">
        <v>425</v>
      </c>
      <c r="B421">
        <v>0.99334974765950101</v>
      </c>
      <c r="C421">
        <v>1.02997079412945</v>
      </c>
      <c r="D421">
        <v>0.89613969525725501</v>
      </c>
      <c r="E421">
        <v>0.78661837362227005</v>
      </c>
      <c r="F421">
        <v>0.80776866588058105</v>
      </c>
      <c r="G421">
        <v>0.567788411231547</v>
      </c>
      <c r="H421">
        <v>0.54866685466042397</v>
      </c>
      <c r="I421">
        <v>0.68786011990598805</v>
      </c>
      <c r="J421">
        <v>0.87187416039328702</v>
      </c>
      <c r="K421">
        <v>0.87778223605092598</v>
      </c>
      <c r="L421">
        <v>1288.49084527491</v>
      </c>
      <c r="M421">
        <v>27.125036633172101</v>
      </c>
      <c r="O421">
        <v>47.2459742215459</v>
      </c>
      <c r="P421">
        <v>-3.9689658704394198E-2</v>
      </c>
      <c r="Q421">
        <v>0.72347932568111395</v>
      </c>
      <c r="R421">
        <v>0.54067428203349699</v>
      </c>
      <c r="S421" t="s">
        <v>6282</v>
      </c>
      <c r="T421" t="s">
        <v>11720</v>
      </c>
      <c r="U421" t="s">
        <v>11720</v>
      </c>
      <c r="V421" t="s">
        <v>11720</v>
      </c>
      <c r="W421" t="s">
        <v>12133</v>
      </c>
      <c r="X421">
        <v>8</v>
      </c>
      <c r="Y421" t="s">
        <v>17931</v>
      </c>
      <c r="Z421" t="s">
        <v>23628</v>
      </c>
      <c r="AA421">
        <v>0.79468318837731244</v>
      </c>
      <c r="AB421" t="str">
        <f>HYPERLINK("Melting_Curves/meltCurve_E7EPV7_SNCA.pdf", "Melting_Curves/meltCurve_E7EPV7_SNCA.pdf")</f>
        <v>Melting_Curves/meltCurve_E7EPV7_SNCA.pdf</v>
      </c>
    </row>
    <row r="422" spans="1:28" x14ac:dyDescent="0.25">
      <c r="A422" t="s">
        <v>426</v>
      </c>
      <c r="B422">
        <v>0.99334974765950101</v>
      </c>
      <c r="C422">
        <v>1.0245831725644201</v>
      </c>
      <c r="D422">
        <v>1.06339424128129</v>
      </c>
      <c r="E422">
        <v>0.99641593374691995</v>
      </c>
      <c r="F422">
        <v>0.31885848726724503</v>
      </c>
      <c r="G422">
        <v>0.12721943115157899</v>
      </c>
      <c r="H422">
        <v>8.7114333578498807E-2</v>
      </c>
      <c r="I422">
        <v>6.4467787680848404E-2</v>
      </c>
      <c r="J422">
        <v>6.7845967089507894E-2</v>
      </c>
      <c r="K422">
        <v>5.8636022502282399E-2</v>
      </c>
      <c r="L422">
        <v>5376.1580434042598</v>
      </c>
      <c r="M422">
        <v>102.488135250377</v>
      </c>
      <c r="N422">
        <v>52.546987222093598</v>
      </c>
      <c r="O422">
        <v>52.436445389080703</v>
      </c>
      <c r="P422">
        <v>-0.44905953219640699</v>
      </c>
      <c r="Q422">
        <v>8.0983258900688998E-2</v>
      </c>
      <c r="R422">
        <v>0.996099817477066</v>
      </c>
      <c r="S422" t="s">
        <v>6283</v>
      </c>
      <c r="T422" t="s">
        <v>11720</v>
      </c>
      <c r="U422" t="s">
        <v>11720</v>
      </c>
      <c r="V422" t="s">
        <v>11720</v>
      </c>
      <c r="W422" t="s">
        <v>12134</v>
      </c>
      <c r="X422">
        <v>8</v>
      </c>
      <c r="Y422" t="s">
        <v>17932</v>
      </c>
      <c r="Z422" t="s">
        <v>23629</v>
      </c>
      <c r="AA422">
        <v>0.4630750614641459</v>
      </c>
      <c r="AB422" t="str">
        <f>HYPERLINK("Melting_Curves/meltCurve_E7EQ69_NAA50.pdf", "Melting_Curves/meltCurve_E7EQ69_NAA50.pdf")</f>
        <v>Melting_Curves/meltCurve_E7EQ69_NAA50.pdf</v>
      </c>
    </row>
    <row r="423" spans="1:28" x14ac:dyDescent="0.25">
      <c r="A423" t="s">
        <v>427</v>
      </c>
      <c r="B423">
        <v>0.99334974765950101</v>
      </c>
      <c r="C423">
        <v>1.22370399309392</v>
      </c>
      <c r="D423">
        <v>1.2608732824036499</v>
      </c>
      <c r="E423">
        <v>1.20692146560941</v>
      </c>
      <c r="F423">
        <v>0.82814975050177198</v>
      </c>
      <c r="G423">
        <v>0.89889150159695197</v>
      </c>
      <c r="H423">
        <v>0.67798168737450004</v>
      </c>
      <c r="I423">
        <v>0.62846865801413498</v>
      </c>
      <c r="J423">
        <v>0.62446583775283004</v>
      </c>
      <c r="K423">
        <v>0.82025245450801898</v>
      </c>
      <c r="L423">
        <v>1805.92004147598</v>
      </c>
      <c r="M423">
        <v>31.683937186709901</v>
      </c>
      <c r="O423">
        <v>56.772352944197301</v>
      </c>
      <c r="P423">
        <v>-4.43545352355766E-2</v>
      </c>
      <c r="Q423">
        <v>0.68209782899885496</v>
      </c>
      <c r="R423">
        <v>0.60587682036156498</v>
      </c>
      <c r="S423" t="s">
        <v>6284</v>
      </c>
      <c r="T423" t="s">
        <v>11720</v>
      </c>
      <c r="U423" t="s">
        <v>11720</v>
      </c>
      <c r="V423" t="s">
        <v>11720</v>
      </c>
      <c r="W423" t="s">
        <v>12135</v>
      </c>
      <c r="X423">
        <v>1</v>
      </c>
      <c r="Y423" t="s">
        <v>17933</v>
      </c>
      <c r="Z423" t="s">
        <v>23630</v>
      </c>
      <c r="AA423">
        <v>0.86414151835273534</v>
      </c>
      <c r="AB423" t="str">
        <f>HYPERLINK("Melting_Curves/meltCurve_E7EQB2_LTF.pdf", "Melting_Curves/meltCurve_E7EQB2_LTF.pdf")</f>
        <v>Melting_Curves/meltCurve_E7EQB2_LTF.pdf</v>
      </c>
    </row>
    <row r="424" spans="1:28" x14ac:dyDescent="0.25">
      <c r="A424" t="s">
        <v>428</v>
      </c>
      <c r="B424">
        <v>0.99334974765950101</v>
      </c>
      <c r="C424">
        <v>1.042365034913</v>
      </c>
      <c r="D424">
        <v>0.69784226755882695</v>
      </c>
      <c r="E424">
        <v>0.49001649733256802</v>
      </c>
      <c r="F424">
        <v>0.27417522931556498</v>
      </c>
      <c r="G424">
        <v>0.10226175445006</v>
      </c>
      <c r="H424">
        <v>0.104533442343891</v>
      </c>
      <c r="I424">
        <v>5.3562735719349101E-2</v>
      </c>
      <c r="J424">
        <v>5.22592107599043E-2</v>
      </c>
      <c r="K424">
        <v>0</v>
      </c>
      <c r="L424">
        <v>825.69921295478002</v>
      </c>
      <c r="M424">
        <v>16.713227797993198</v>
      </c>
      <c r="N424">
        <v>49.586169158130801</v>
      </c>
      <c r="O424">
        <v>48.712909939988897</v>
      </c>
      <c r="P424">
        <v>-8.3224640519095006E-2</v>
      </c>
      <c r="Q424">
        <v>2.9787282741858798E-2</v>
      </c>
      <c r="R424">
        <v>0.983481948817162</v>
      </c>
      <c r="S424" t="s">
        <v>6285</v>
      </c>
      <c r="T424" t="s">
        <v>11720</v>
      </c>
      <c r="U424" t="s">
        <v>11720</v>
      </c>
      <c r="V424" t="s">
        <v>11720</v>
      </c>
      <c r="W424" t="s">
        <v>12136</v>
      </c>
      <c r="X424">
        <v>3</v>
      </c>
      <c r="Y424" t="s">
        <v>17934</v>
      </c>
      <c r="Z424" t="s">
        <v>23631</v>
      </c>
      <c r="AA424">
        <v>0.35317837076261749</v>
      </c>
      <c r="AB424" t="str">
        <f>HYPERLINK("Melting_Curves/meltCurve_E7EQB3_TSEN34.pdf", "Melting_Curves/meltCurve_E7EQB3_TSEN34.pdf")</f>
        <v>Melting_Curves/meltCurve_E7EQB3_TSEN34.pdf</v>
      </c>
    </row>
    <row r="425" spans="1:28" x14ac:dyDescent="0.25">
      <c r="A425" t="s">
        <v>429</v>
      </c>
      <c r="B425">
        <v>0.99334974765950101</v>
      </c>
      <c r="C425">
        <v>1.1621021416846999</v>
      </c>
      <c r="D425">
        <v>1.0758387650094901</v>
      </c>
      <c r="E425">
        <v>0.96336279574153605</v>
      </c>
      <c r="F425">
        <v>0.83720744360694799</v>
      </c>
      <c r="G425">
        <v>0.72452950341266897</v>
      </c>
      <c r="H425">
        <v>0.55678947999282302</v>
      </c>
      <c r="I425">
        <v>0.54709865723126305</v>
      </c>
      <c r="J425">
        <v>0.59579461569820302</v>
      </c>
      <c r="K425">
        <v>0.61181841719098595</v>
      </c>
      <c r="L425">
        <v>1393.6278455423601</v>
      </c>
      <c r="M425">
        <v>25.539258542029199</v>
      </c>
      <c r="O425">
        <v>54.236800048111697</v>
      </c>
      <c r="P425">
        <v>-5.0102877753926002E-2</v>
      </c>
      <c r="Q425">
        <v>0.57439858159688695</v>
      </c>
      <c r="R425">
        <v>0.91572908255914498</v>
      </c>
      <c r="S425" t="s">
        <v>6286</v>
      </c>
      <c r="T425" t="s">
        <v>11720</v>
      </c>
      <c r="U425" t="s">
        <v>11720</v>
      </c>
      <c r="V425" t="s">
        <v>11720</v>
      </c>
      <c r="W425" t="s">
        <v>12137</v>
      </c>
      <c r="X425">
        <v>2</v>
      </c>
      <c r="Y425" t="s">
        <v>17935</v>
      </c>
      <c r="Z425" t="s">
        <v>23632</v>
      </c>
      <c r="AA425">
        <v>0.78486460744913555</v>
      </c>
      <c r="AB425" t="str">
        <f>HYPERLINK("Melting_Curves/meltCurve_E7EQL8_TUBGCP6.pdf", "Melting_Curves/meltCurve_E7EQL8_TUBGCP6.pdf")</f>
        <v>Melting_Curves/meltCurve_E7EQL8_TUBGCP6.pdf</v>
      </c>
    </row>
    <row r="426" spans="1:28" x14ac:dyDescent="0.25">
      <c r="A426" t="s">
        <v>430</v>
      </c>
      <c r="B426">
        <v>0.99334974765950101</v>
      </c>
      <c r="C426">
        <v>0.92845783792167302</v>
      </c>
      <c r="D426">
        <v>0.91602920248584996</v>
      </c>
      <c r="E426">
        <v>0.86901488032262797</v>
      </c>
      <c r="F426">
        <v>0.77064398062170603</v>
      </c>
      <c r="G426">
        <v>0.64905297039608401</v>
      </c>
      <c r="H426">
        <v>0.52489888342951596</v>
      </c>
      <c r="I426">
        <v>0.40614137216201301</v>
      </c>
      <c r="J426">
        <v>0.32162756583971902</v>
      </c>
      <c r="K426">
        <v>0.203194470829927</v>
      </c>
      <c r="L426">
        <v>517.18426932883096</v>
      </c>
      <c r="M426">
        <v>8.4928243214260295</v>
      </c>
      <c r="N426">
        <v>60.8966145562596</v>
      </c>
      <c r="O426">
        <v>57.801791784752403</v>
      </c>
      <c r="P426">
        <v>-3.6765748353838501E-2</v>
      </c>
      <c r="Q426">
        <v>0</v>
      </c>
      <c r="R426">
        <v>0.99198454182269902</v>
      </c>
      <c r="S426" t="s">
        <v>6287</v>
      </c>
      <c r="T426" t="s">
        <v>11720</v>
      </c>
      <c r="U426" t="s">
        <v>11720</v>
      </c>
      <c r="V426" t="s">
        <v>11720</v>
      </c>
      <c r="W426" t="s">
        <v>12138</v>
      </c>
      <c r="X426">
        <v>6</v>
      </c>
      <c r="Y426" t="s">
        <v>17936</v>
      </c>
      <c r="Z426" t="s">
        <v>23633</v>
      </c>
      <c r="AA426">
        <v>0.6759959822010031</v>
      </c>
      <c r="AB426" t="str">
        <f>HYPERLINK("Melting_Curves/meltCurve_E7EQR8_YIPF3.pdf", "Melting_Curves/meltCurve_E7EQR8_YIPF3.pdf")</f>
        <v>Melting_Curves/meltCurve_E7EQR8_YIPF3.pdf</v>
      </c>
    </row>
    <row r="427" spans="1:28" x14ac:dyDescent="0.25">
      <c r="A427" t="s">
        <v>431</v>
      </c>
      <c r="B427">
        <v>0.99334974765950101</v>
      </c>
      <c r="C427">
        <v>0.97682862339843002</v>
      </c>
      <c r="D427">
        <v>0.926973874226799</v>
      </c>
      <c r="E427">
        <v>0.94235755751287198</v>
      </c>
      <c r="F427">
        <v>0.97962585916037503</v>
      </c>
      <c r="G427">
        <v>0.69778839038132501</v>
      </c>
      <c r="H427">
        <v>0.69896918879421299</v>
      </c>
      <c r="I427">
        <v>0.77932670009042504</v>
      </c>
      <c r="J427">
        <v>0.889782027127348</v>
      </c>
      <c r="K427">
        <v>0.84071135340344405</v>
      </c>
      <c r="L427">
        <v>13370.604448780699</v>
      </c>
      <c r="M427">
        <v>250</v>
      </c>
      <c r="O427">
        <v>53.478995286730303</v>
      </c>
      <c r="P427">
        <v>-0.25557285288082898</v>
      </c>
      <c r="Q427">
        <v>0.78131552998970399</v>
      </c>
      <c r="R427">
        <v>0.66830301042941498</v>
      </c>
      <c r="S427" t="s">
        <v>6288</v>
      </c>
      <c r="T427" t="s">
        <v>11720</v>
      </c>
      <c r="U427" t="s">
        <v>11720</v>
      </c>
      <c r="V427" t="s">
        <v>11720</v>
      </c>
      <c r="W427" t="s">
        <v>12139</v>
      </c>
      <c r="X427">
        <v>15</v>
      </c>
      <c r="Y427" t="s">
        <v>17937</v>
      </c>
      <c r="Z427" t="s">
        <v>23634</v>
      </c>
      <c r="AA427">
        <v>0.87961590222417552</v>
      </c>
      <c r="AB427" t="str">
        <f>HYPERLINK("Melting_Curves/meltCurve_E7EQT4_ACIN1.pdf", "Melting_Curves/meltCurve_E7EQT4_ACIN1.pdf")</f>
        <v>Melting_Curves/meltCurve_E7EQT4_ACIN1.pdf</v>
      </c>
    </row>
    <row r="428" spans="1:28" x14ac:dyDescent="0.25">
      <c r="A428" t="s">
        <v>432</v>
      </c>
      <c r="B428">
        <v>0.99334974765950101</v>
      </c>
      <c r="C428">
        <v>0.98113239166383104</v>
      </c>
      <c r="D428">
        <v>0.74953398494375401</v>
      </c>
      <c r="E428">
        <v>0.59043176956024501</v>
      </c>
      <c r="F428">
        <v>0.40522740483944902</v>
      </c>
      <c r="G428">
        <v>0.30694035119889201</v>
      </c>
      <c r="H428">
        <v>0.29870923203468203</v>
      </c>
      <c r="I428">
        <v>0.23784760473171901</v>
      </c>
      <c r="J428">
        <v>0.29971435153572801</v>
      </c>
      <c r="K428">
        <v>0.28507630957416402</v>
      </c>
      <c r="L428">
        <v>834.39596855903801</v>
      </c>
      <c r="M428">
        <v>17.135215284097601</v>
      </c>
      <c r="N428">
        <v>50.967008494492902</v>
      </c>
      <c r="O428">
        <v>48.0460958930014</v>
      </c>
      <c r="P428">
        <v>-6.5351115073099694E-2</v>
      </c>
      <c r="Q428">
        <v>0.267081680316887</v>
      </c>
      <c r="R428">
        <v>0.98776622829474203</v>
      </c>
      <c r="S428" t="s">
        <v>6289</v>
      </c>
      <c r="T428" t="s">
        <v>11720</v>
      </c>
      <c r="U428" t="s">
        <v>11720</v>
      </c>
      <c r="V428" t="s">
        <v>11720</v>
      </c>
      <c r="W428" t="s">
        <v>12140</v>
      </c>
      <c r="X428">
        <v>2</v>
      </c>
      <c r="Y428" t="s">
        <v>17938</v>
      </c>
      <c r="Z428" t="s">
        <v>23635</v>
      </c>
      <c r="AA428">
        <v>0.49360417504870507</v>
      </c>
      <c r="AB428" t="str">
        <f>HYPERLINK("Melting_Curves/meltCurve_E7EQZ4_SMN1.pdf", "Melting_Curves/meltCurve_E7EQZ4_SMN1.pdf")</f>
        <v>Melting_Curves/meltCurve_E7EQZ4_SMN1.pdf</v>
      </c>
    </row>
    <row r="429" spans="1:28" x14ac:dyDescent="0.25">
      <c r="A429" t="s">
        <v>433</v>
      </c>
      <c r="B429">
        <v>0.99334974765950101</v>
      </c>
      <c r="C429">
        <v>1.06478696721291</v>
      </c>
      <c r="D429">
        <v>0.86204967847337199</v>
      </c>
      <c r="E429">
        <v>0.89472919672443796</v>
      </c>
      <c r="F429">
        <v>0.62309921035409899</v>
      </c>
      <c r="G429">
        <v>0.31727592359692702</v>
      </c>
      <c r="H429">
        <v>0.30921030560324098</v>
      </c>
      <c r="I429">
        <v>0.34925219538984797</v>
      </c>
      <c r="J429">
        <v>0.42483310131480101</v>
      </c>
      <c r="K429">
        <v>0.43585911413156597</v>
      </c>
      <c r="L429">
        <v>2061.9504921228499</v>
      </c>
      <c r="M429">
        <v>39.4316608444854</v>
      </c>
      <c r="N429">
        <v>54.085965674932901</v>
      </c>
      <c r="O429">
        <v>52.157798828622902</v>
      </c>
      <c r="P429">
        <v>-0.12004828776715799</v>
      </c>
      <c r="Q429">
        <v>0.36483116187979903</v>
      </c>
      <c r="R429">
        <v>0.94958610396301402</v>
      </c>
      <c r="S429" t="s">
        <v>6290</v>
      </c>
      <c r="T429" t="s">
        <v>11720</v>
      </c>
      <c r="U429" t="s">
        <v>11720</v>
      </c>
      <c r="V429" t="s">
        <v>11720</v>
      </c>
      <c r="W429" t="s">
        <v>12141</v>
      </c>
      <c r="X429">
        <v>7</v>
      </c>
      <c r="Y429" t="s">
        <v>17939</v>
      </c>
      <c r="Z429" t="s">
        <v>23636</v>
      </c>
      <c r="AA429">
        <v>0.62743705435925301</v>
      </c>
      <c r="AB429" t="str">
        <f>HYPERLINK("Melting_Curves/meltCurve_E7ER32_MKL1.pdf", "Melting_Curves/meltCurve_E7ER32_MKL1.pdf")</f>
        <v>Melting_Curves/meltCurve_E7ER32_MKL1.pdf</v>
      </c>
    </row>
    <row r="430" spans="1:28" x14ac:dyDescent="0.25">
      <c r="A430" t="s">
        <v>434</v>
      </c>
      <c r="B430">
        <v>0.99334974765950101</v>
      </c>
      <c r="C430">
        <v>0.93696982381391403</v>
      </c>
      <c r="D430">
        <v>0.83498582248074804</v>
      </c>
      <c r="E430">
        <v>0.45522476810257001</v>
      </c>
      <c r="F430">
        <v>0.26916152060280002</v>
      </c>
      <c r="G430">
        <v>0.19902198128644699</v>
      </c>
      <c r="H430">
        <v>0.15323209872023899</v>
      </c>
      <c r="I430">
        <v>0.166930963502711</v>
      </c>
      <c r="J430">
        <v>0.17080700532638499</v>
      </c>
      <c r="K430">
        <v>0.188630164690926</v>
      </c>
      <c r="L430">
        <v>1128.3717999624901</v>
      </c>
      <c r="M430">
        <v>23.2057167878374</v>
      </c>
      <c r="N430">
        <v>49.4929456635669</v>
      </c>
      <c r="O430">
        <v>48.2679641066511</v>
      </c>
      <c r="P430">
        <v>-0.100097359702216</v>
      </c>
      <c r="Q430">
        <v>0.16720383378436199</v>
      </c>
      <c r="R430">
        <v>0.99835926538572595</v>
      </c>
      <c r="S430" t="s">
        <v>6291</v>
      </c>
      <c r="T430" t="s">
        <v>11720</v>
      </c>
      <c r="U430" t="s">
        <v>11720</v>
      </c>
      <c r="V430" t="s">
        <v>11720</v>
      </c>
      <c r="W430" t="s">
        <v>12142</v>
      </c>
      <c r="X430">
        <v>2</v>
      </c>
      <c r="Y430" t="s">
        <v>17940</v>
      </c>
      <c r="Z430" t="s">
        <v>23637</v>
      </c>
      <c r="AA430">
        <v>0.41522706621009497</v>
      </c>
      <c r="AB430" t="str">
        <f>HYPERLINK("Melting_Curves/meltCurve_E7ER60_SYNJ2.pdf", "Melting_Curves/meltCurve_E7ER60_SYNJ2.pdf")</f>
        <v>Melting_Curves/meltCurve_E7ER60_SYNJ2.pdf</v>
      </c>
    </row>
    <row r="431" spans="1:28" x14ac:dyDescent="0.25">
      <c r="A431" t="s">
        <v>435</v>
      </c>
      <c r="B431">
        <v>0.99334974765950101</v>
      </c>
      <c r="C431">
        <v>0.99148680526581601</v>
      </c>
      <c r="D431">
        <v>1.0401295545987901</v>
      </c>
      <c r="E431">
        <v>0.92557588740319596</v>
      </c>
      <c r="F431">
        <v>0.54645395169569</v>
      </c>
      <c r="G431">
        <v>0.17153607671826701</v>
      </c>
      <c r="H431">
        <v>0.108728040440828</v>
      </c>
      <c r="I431">
        <v>8.6905746620440302E-2</v>
      </c>
      <c r="J431">
        <v>8.3974135738918806E-2</v>
      </c>
      <c r="K431">
        <v>6.3198963090176405E-2</v>
      </c>
      <c r="L431">
        <v>1926.33012478457</v>
      </c>
      <c r="M431">
        <v>36.285221344643404</v>
      </c>
      <c r="N431">
        <v>53.365276252226003</v>
      </c>
      <c r="O431">
        <v>52.928083947284897</v>
      </c>
      <c r="P431">
        <v>-0.156692165309125</v>
      </c>
      <c r="Q431">
        <v>8.57555369582709E-2</v>
      </c>
      <c r="R431">
        <v>0.99812991897644499</v>
      </c>
      <c r="S431" t="s">
        <v>6292</v>
      </c>
      <c r="T431" t="s">
        <v>11720</v>
      </c>
      <c r="U431" t="s">
        <v>11720</v>
      </c>
      <c r="V431" t="s">
        <v>11720</v>
      </c>
      <c r="W431" t="s">
        <v>12143</v>
      </c>
      <c r="X431">
        <v>44</v>
      </c>
      <c r="Y431" t="s">
        <v>17941</v>
      </c>
      <c r="Z431" t="s">
        <v>23638</v>
      </c>
      <c r="AA431">
        <v>0.48870013897601822</v>
      </c>
      <c r="AB431" t="str">
        <f>HYPERLINK("Melting_Curves/meltCurve_E7ER89_PAPSS2.pdf", "Melting_Curves/meltCurve_E7ER89_PAPSS2.pdf")</f>
        <v>Melting_Curves/meltCurve_E7ER89_PAPSS2.pdf</v>
      </c>
    </row>
    <row r="432" spans="1:28" x14ac:dyDescent="0.25">
      <c r="A432" t="s">
        <v>436</v>
      </c>
      <c r="B432">
        <v>0.99334974765950101</v>
      </c>
      <c r="C432">
        <v>0.91228223740238301</v>
      </c>
      <c r="D432">
        <v>0.89591899571838696</v>
      </c>
      <c r="E432">
        <v>0.58952341434045297</v>
      </c>
      <c r="F432">
        <v>0.33006257629036501</v>
      </c>
      <c r="G432">
        <v>0.228072547528166</v>
      </c>
      <c r="H432">
        <v>0.20296274037114601</v>
      </c>
      <c r="I432">
        <v>0.20132346153648201</v>
      </c>
      <c r="J432">
        <v>0.164550717592057</v>
      </c>
      <c r="K432">
        <v>0.137702667930265</v>
      </c>
      <c r="L432">
        <v>1040.7952025142599</v>
      </c>
      <c r="M432">
        <v>20.854489281516699</v>
      </c>
      <c r="N432">
        <v>50.892622238999998</v>
      </c>
      <c r="O432">
        <v>49.455376228950598</v>
      </c>
      <c r="P432">
        <v>-8.7915590657841394E-2</v>
      </c>
      <c r="Q432">
        <v>0.16607312214820699</v>
      </c>
      <c r="R432">
        <v>0.99360754668367501</v>
      </c>
      <c r="S432" t="s">
        <v>6293</v>
      </c>
      <c r="T432" t="s">
        <v>11720</v>
      </c>
      <c r="U432" t="s">
        <v>11720</v>
      </c>
      <c r="V432" t="s">
        <v>11720</v>
      </c>
      <c r="W432" t="s">
        <v>12144</v>
      </c>
      <c r="X432">
        <v>7</v>
      </c>
      <c r="Y432" t="s">
        <v>17942</v>
      </c>
      <c r="Z432" t="s">
        <v>23639</v>
      </c>
      <c r="AA432">
        <v>0.45217377905079731</v>
      </c>
      <c r="AB432" t="str">
        <f>HYPERLINK("Melting_Curves/meltCurve_E7ERB7_GMIP.pdf", "Melting_Curves/meltCurve_E7ERB7_GMIP.pdf")</f>
        <v>Melting_Curves/meltCurve_E7ERB7_GMIP.pdf</v>
      </c>
    </row>
    <row r="433" spans="1:28" x14ac:dyDescent="0.25">
      <c r="A433" t="s">
        <v>437</v>
      </c>
      <c r="B433">
        <v>0.99334974765950101</v>
      </c>
      <c r="C433">
        <v>0.99206735594999396</v>
      </c>
      <c r="D433">
        <v>0.97117103157889795</v>
      </c>
      <c r="E433">
        <v>1.1628759243523299</v>
      </c>
      <c r="F433">
        <v>0.67168404706356799</v>
      </c>
      <c r="G433">
        <v>0.28041955815638397</v>
      </c>
      <c r="H433">
        <v>0.159234817998439</v>
      </c>
      <c r="I433">
        <v>0.14488304543514499</v>
      </c>
      <c r="J433">
        <v>0.13376943177532799</v>
      </c>
      <c r="K433">
        <v>0.110816865724106</v>
      </c>
      <c r="L433">
        <v>2449.7761876558702</v>
      </c>
      <c r="M433">
        <v>45.523839681264</v>
      </c>
      <c r="N433">
        <v>54.236607910892801</v>
      </c>
      <c r="O433">
        <v>53.709509244107203</v>
      </c>
      <c r="P433">
        <v>-0.18020003119668901</v>
      </c>
      <c r="Q433">
        <v>0.14959344313973</v>
      </c>
      <c r="R433">
        <v>0.97367244521790297</v>
      </c>
      <c r="S433" t="s">
        <v>6294</v>
      </c>
      <c r="T433" t="s">
        <v>11720</v>
      </c>
      <c r="U433" t="s">
        <v>11720</v>
      </c>
      <c r="V433" t="s">
        <v>11720</v>
      </c>
      <c r="W433" t="s">
        <v>12145</v>
      </c>
      <c r="X433">
        <v>14</v>
      </c>
      <c r="Y433" t="s">
        <v>17943</v>
      </c>
      <c r="Z433" t="s">
        <v>23640</v>
      </c>
      <c r="AA433">
        <v>0.5435864253993975</v>
      </c>
      <c r="AB433" t="str">
        <f>HYPERLINK("Melting_Curves/meltCurve_E7ERC6_ATP2C1.pdf", "Melting_Curves/meltCurve_E7ERC6_ATP2C1.pdf")</f>
        <v>Melting_Curves/meltCurve_E7ERC6_ATP2C1.pdf</v>
      </c>
    </row>
    <row r="434" spans="1:28" x14ac:dyDescent="0.25">
      <c r="A434" t="s">
        <v>438</v>
      </c>
      <c r="B434">
        <v>0.99334974765950101</v>
      </c>
      <c r="C434">
        <v>1.3288386156446199</v>
      </c>
      <c r="D434">
        <v>1.1758971096650901</v>
      </c>
      <c r="E434">
        <v>0.75323383737726901</v>
      </c>
      <c r="F434">
        <v>0.69671969439134696</v>
      </c>
      <c r="G434">
        <v>0.29563239448470502</v>
      </c>
      <c r="H434">
        <v>0.31095103604702001</v>
      </c>
      <c r="I434">
        <v>0.132229599118381</v>
      </c>
      <c r="J434">
        <v>0.40997813770875002</v>
      </c>
      <c r="K434">
        <v>0.29978863934424799</v>
      </c>
      <c r="L434">
        <v>1477.8178840466701</v>
      </c>
      <c r="M434">
        <v>28.002855285434499</v>
      </c>
      <c r="N434">
        <v>54.324565697059299</v>
      </c>
      <c r="O434">
        <v>52.506898243372397</v>
      </c>
      <c r="P434">
        <v>-9.6639001143897604E-2</v>
      </c>
      <c r="Q434">
        <v>0.27519241531792898</v>
      </c>
      <c r="R434">
        <v>0.865497483158155</v>
      </c>
      <c r="S434" t="s">
        <v>6295</v>
      </c>
      <c r="T434" t="s">
        <v>11720</v>
      </c>
      <c r="U434" t="s">
        <v>11720</v>
      </c>
      <c r="V434" t="s">
        <v>11720</v>
      </c>
      <c r="W434" t="s">
        <v>12146</v>
      </c>
      <c r="X434">
        <v>20</v>
      </c>
      <c r="Y434" t="s">
        <v>17944</v>
      </c>
      <c r="Z434" t="s">
        <v>23641</v>
      </c>
      <c r="AA434">
        <v>0.58917167705761009</v>
      </c>
      <c r="AB434" t="str">
        <f>HYPERLINK("Melting_Curves/meltCurve_E7ERH1_TNS1.pdf", "Melting_Curves/meltCurve_E7ERH1_TNS1.pdf")</f>
        <v>Melting_Curves/meltCurve_E7ERH1_TNS1.pdf</v>
      </c>
    </row>
    <row r="435" spans="1:28" x14ac:dyDescent="0.25">
      <c r="A435" t="s">
        <v>439</v>
      </c>
      <c r="B435">
        <v>0.99334974765950101</v>
      </c>
      <c r="C435">
        <v>0.91261151759236803</v>
      </c>
      <c r="D435">
        <v>0.86584197317101796</v>
      </c>
      <c r="E435">
        <v>0.530394161619409</v>
      </c>
      <c r="F435">
        <v>0.31343145309677301</v>
      </c>
      <c r="G435">
        <v>0.21041578246366999</v>
      </c>
      <c r="H435">
        <v>0.169417813811131</v>
      </c>
      <c r="I435">
        <v>0.138394305036107</v>
      </c>
      <c r="J435">
        <v>0.12529620467090999</v>
      </c>
      <c r="K435">
        <v>0.132656838143033</v>
      </c>
      <c r="L435">
        <v>944.01157172751903</v>
      </c>
      <c r="M435">
        <v>19.0336933498909</v>
      </c>
      <c r="N435">
        <v>50.397175237141496</v>
      </c>
      <c r="O435">
        <v>49.059129846266799</v>
      </c>
      <c r="P435">
        <v>-8.43466253439243E-2</v>
      </c>
      <c r="Q435">
        <v>0.130424519775446</v>
      </c>
      <c r="R435">
        <v>0.996990803463914</v>
      </c>
      <c r="S435" t="s">
        <v>6296</v>
      </c>
      <c r="T435" t="s">
        <v>11720</v>
      </c>
      <c r="U435" t="s">
        <v>11720</v>
      </c>
      <c r="V435" t="s">
        <v>11720</v>
      </c>
      <c r="W435" t="s">
        <v>12147</v>
      </c>
      <c r="X435">
        <v>26</v>
      </c>
      <c r="Y435" t="s">
        <v>17945</v>
      </c>
      <c r="Z435" t="s">
        <v>23642</v>
      </c>
      <c r="AA435">
        <v>0.42197133421324401</v>
      </c>
      <c r="AB435" t="str">
        <f>HYPERLINK("Melting_Curves/meltCurve_E7ERJ0_ITSN1.pdf", "Melting_Curves/meltCurve_E7ERJ0_ITSN1.pdf")</f>
        <v>Melting_Curves/meltCurve_E7ERJ0_ITSN1.pdf</v>
      </c>
    </row>
    <row r="436" spans="1:28" x14ac:dyDescent="0.25">
      <c r="A436" t="s">
        <v>440</v>
      </c>
      <c r="B436">
        <v>0.99334974765950101</v>
      </c>
      <c r="C436">
        <v>0.92919627283327899</v>
      </c>
      <c r="D436">
        <v>0.85075421352341496</v>
      </c>
      <c r="E436">
        <v>0.99809832662480102</v>
      </c>
      <c r="F436">
        <v>0.49119323618759703</v>
      </c>
      <c r="G436">
        <v>0.36237637203328799</v>
      </c>
      <c r="H436">
        <v>0.29508976791855501</v>
      </c>
      <c r="I436">
        <v>0.29843962542820401</v>
      </c>
      <c r="J436">
        <v>0.31749306085998302</v>
      </c>
      <c r="K436">
        <v>0.27616414329886402</v>
      </c>
      <c r="L436">
        <v>5293.2537771627804</v>
      </c>
      <c r="M436">
        <v>100.902921323342</v>
      </c>
      <c r="N436">
        <v>52.966341889875103</v>
      </c>
      <c r="O436">
        <v>52.438273691969897</v>
      </c>
      <c r="P436">
        <v>-0.33200506215516901</v>
      </c>
      <c r="Q436">
        <v>0.30984066585554598</v>
      </c>
      <c r="R436">
        <v>0.96555213366729598</v>
      </c>
      <c r="S436" t="s">
        <v>6297</v>
      </c>
      <c r="T436" t="s">
        <v>11720</v>
      </c>
      <c r="U436" t="s">
        <v>11720</v>
      </c>
      <c r="V436" t="s">
        <v>11720</v>
      </c>
      <c r="W436" t="s">
        <v>12148</v>
      </c>
      <c r="X436">
        <v>3</v>
      </c>
      <c r="Y436" t="s">
        <v>17946</v>
      </c>
      <c r="Z436" t="s">
        <v>23643</v>
      </c>
      <c r="AA436">
        <v>0.59685145994714073</v>
      </c>
      <c r="AB436" t="str">
        <f>HYPERLINK("Melting_Curves/meltCurve_E7ERK9_EIF2B4.pdf", "Melting_Curves/meltCurve_E7ERK9_EIF2B4.pdf")</f>
        <v>Melting_Curves/meltCurve_E7ERK9_EIF2B4.pdf</v>
      </c>
    </row>
    <row r="437" spans="1:28" x14ac:dyDescent="0.25">
      <c r="A437" t="s">
        <v>441</v>
      </c>
      <c r="B437">
        <v>0.99334974765950101</v>
      </c>
      <c r="C437">
        <v>0.95630685294790896</v>
      </c>
      <c r="D437">
        <v>0.84745207561027103</v>
      </c>
      <c r="E437">
        <v>0.62194131276196796</v>
      </c>
      <c r="F437">
        <v>0.56638804952138899</v>
      </c>
      <c r="G437">
        <v>0.39346914065749</v>
      </c>
      <c r="H437">
        <v>0.34976455702206599</v>
      </c>
      <c r="I437">
        <v>0.349937000392475</v>
      </c>
      <c r="J437">
        <v>0.374453404839517</v>
      </c>
      <c r="K437">
        <v>0.339246605381816</v>
      </c>
      <c r="L437">
        <v>765.30330641686396</v>
      </c>
      <c r="M437">
        <v>15.407683591659699</v>
      </c>
      <c r="N437">
        <v>53.518362960423502</v>
      </c>
      <c r="O437">
        <v>48.856090173965903</v>
      </c>
      <c r="P437">
        <v>-5.2445312668449297E-2</v>
      </c>
      <c r="Q437">
        <v>0.33486694793829003</v>
      </c>
      <c r="R437">
        <v>0.99191253249735301</v>
      </c>
      <c r="S437" t="s">
        <v>6298</v>
      </c>
      <c r="T437" t="s">
        <v>11720</v>
      </c>
      <c r="U437" t="s">
        <v>11720</v>
      </c>
      <c r="V437" t="s">
        <v>11720</v>
      </c>
      <c r="W437" t="s">
        <v>12149</v>
      </c>
      <c r="X437">
        <v>5</v>
      </c>
      <c r="Y437" t="s">
        <v>17947</v>
      </c>
      <c r="Z437" t="s">
        <v>23644</v>
      </c>
      <c r="AA437">
        <v>0.56453690384083888</v>
      </c>
      <c r="AB437" t="str">
        <f>HYPERLINK("Melting_Curves/meltCurve_E7ERL6_MAST2.pdf", "Melting_Curves/meltCurve_E7ERL6_MAST2.pdf")</f>
        <v>Melting_Curves/meltCurve_E7ERL6_MAST2.pdf</v>
      </c>
    </row>
    <row r="438" spans="1:28" x14ac:dyDescent="0.25">
      <c r="A438" t="s">
        <v>442</v>
      </c>
      <c r="B438">
        <v>0.99334974765950101</v>
      </c>
      <c r="C438">
        <v>0.92206603584513003</v>
      </c>
      <c r="D438">
        <v>0.81742267741968599</v>
      </c>
      <c r="E438">
        <v>0.61962790546809199</v>
      </c>
      <c r="F438">
        <v>0.68295823773944198</v>
      </c>
      <c r="G438">
        <v>0.43990483181061202</v>
      </c>
      <c r="H438">
        <v>0.44558089507937798</v>
      </c>
      <c r="I438">
        <v>0.59111535877133703</v>
      </c>
      <c r="J438">
        <v>0.80778495555876095</v>
      </c>
      <c r="K438">
        <v>1.1987537817945799</v>
      </c>
      <c r="L438">
        <v>1491.5251511566701</v>
      </c>
      <c r="M438">
        <v>33.139666481027596</v>
      </c>
      <c r="O438">
        <v>44.844307043413899</v>
      </c>
      <c r="P438">
        <v>-5.8314894482790203E-2</v>
      </c>
      <c r="Q438">
        <v>0.68435654279337499</v>
      </c>
      <c r="R438">
        <v>0.22643905927125699</v>
      </c>
      <c r="S438" t="s">
        <v>6299</v>
      </c>
      <c r="T438" t="s">
        <v>11720</v>
      </c>
      <c r="U438" t="s">
        <v>11720</v>
      </c>
      <c r="V438" t="s">
        <v>11720</v>
      </c>
      <c r="W438" t="s">
        <v>12150</v>
      </c>
      <c r="X438">
        <v>3</v>
      </c>
      <c r="Y438" t="s">
        <v>17948</v>
      </c>
      <c r="Z438" t="s">
        <v>23645</v>
      </c>
      <c r="AA438">
        <v>0.73864465634279519</v>
      </c>
      <c r="AB438" t="str">
        <f>HYPERLINK("Melting_Curves/meltCurve_E7ERS3_ZC3H18.pdf", "Melting_Curves/meltCurve_E7ERS3_ZC3H18.pdf")</f>
        <v>Melting_Curves/meltCurve_E7ERS3_ZC3H18.pdf</v>
      </c>
    </row>
    <row r="439" spans="1:28" x14ac:dyDescent="0.25">
      <c r="A439" t="s">
        <v>443</v>
      </c>
      <c r="B439">
        <v>0.99334974765950101</v>
      </c>
      <c r="C439">
        <v>0.88917912611880001</v>
      </c>
      <c r="D439">
        <v>0.95420842334590705</v>
      </c>
      <c r="E439">
        <v>0.79817026398073698</v>
      </c>
      <c r="F439">
        <v>0.74545507731472505</v>
      </c>
      <c r="G439">
        <v>0.59504679493398605</v>
      </c>
      <c r="H439">
        <v>0.40081750045316</v>
      </c>
      <c r="I439">
        <v>0.42127291580161003</v>
      </c>
      <c r="J439">
        <v>0.247054232508123</v>
      </c>
      <c r="K439">
        <v>0.152787553951305</v>
      </c>
      <c r="L439">
        <v>512.97898647328998</v>
      </c>
      <c r="M439">
        <v>8.6778515533148308</v>
      </c>
      <c r="N439">
        <v>59.113593025469399</v>
      </c>
      <c r="O439">
        <v>56.226046859595499</v>
      </c>
      <c r="P439">
        <v>-3.8616819152983997E-2</v>
      </c>
      <c r="Q439">
        <v>0</v>
      </c>
      <c r="R439">
        <v>0.97692564876122301</v>
      </c>
      <c r="S439" t="s">
        <v>6300</v>
      </c>
      <c r="T439" t="s">
        <v>11720</v>
      </c>
      <c r="U439" t="s">
        <v>11720</v>
      </c>
      <c r="V439" t="s">
        <v>11720</v>
      </c>
      <c r="W439" t="s">
        <v>12151</v>
      </c>
      <c r="X439">
        <v>2</v>
      </c>
      <c r="Y439" t="s">
        <v>17949</v>
      </c>
      <c r="Z439" t="s">
        <v>23646</v>
      </c>
      <c r="AA439">
        <v>0.63431327655713943</v>
      </c>
      <c r="AB439" t="str">
        <f>HYPERLINK("Melting_Curves/meltCurve_E7ES21_HEPH.pdf", "Melting_Curves/meltCurve_E7ES21_HEPH.pdf")</f>
        <v>Melting_Curves/meltCurve_E7ES21_HEPH.pdf</v>
      </c>
    </row>
    <row r="440" spans="1:28" x14ac:dyDescent="0.25">
      <c r="A440" t="s">
        <v>444</v>
      </c>
      <c r="B440">
        <v>0.99334974765950101</v>
      </c>
      <c r="C440">
        <v>0.942559513640845</v>
      </c>
      <c r="D440">
        <v>0.97123574702720405</v>
      </c>
      <c r="E440">
        <v>0.82144079987140595</v>
      </c>
      <c r="F440">
        <v>0.57248683519573595</v>
      </c>
      <c r="G440">
        <v>0.25480466587293399</v>
      </c>
      <c r="H440">
        <v>0.14062949179221701</v>
      </c>
      <c r="I440">
        <v>0.113381490055073</v>
      </c>
      <c r="J440">
        <v>7.6967666692918504E-2</v>
      </c>
      <c r="K440">
        <v>6.9521100217319207E-2</v>
      </c>
      <c r="L440">
        <v>1114.3335932888599</v>
      </c>
      <c r="M440">
        <v>20.876134905944198</v>
      </c>
      <c r="N440">
        <v>53.769141761999101</v>
      </c>
      <c r="O440">
        <v>52.895792964877202</v>
      </c>
      <c r="P440">
        <v>-9.1723693829133299E-2</v>
      </c>
      <c r="Q440">
        <v>7.03903295395263E-2</v>
      </c>
      <c r="R440">
        <v>0.997816147035679</v>
      </c>
      <c r="S440" t="s">
        <v>6301</v>
      </c>
      <c r="T440" t="s">
        <v>11720</v>
      </c>
      <c r="U440" t="s">
        <v>11720</v>
      </c>
      <c r="V440" t="s">
        <v>11720</v>
      </c>
      <c r="W440" t="s">
        <v>12152</v>
      </c>
      <c r="X440">
        <v>6</v>
      </c>
      <c r="Y440" t="s">
        <v>17950</v>
      </c>
      <c r="Z440" t="s">
        <v>23647</v>
      </c>
      <c r="AA440">
        <v>0.49679201338524598</v>
      </c>
      <c r="AB440" t="str">
        <f>HYPERLINK("Melting_Curves/meltCurve_E7ES35_TTC38.pdf", "Melting_Curves/meltCurve_E7ES35_TTC38.pdf")</f>
        <v>Melting_Curves/meltCurve_E7ES35_TTC38.pdf</v>
      </c>
    </row>
    <row r="441" spans="1:28" x14ac:dyDescent="0.25">
      <c r="A441" t="s">
        <v>445</v>
      </c>
      <c r="B441">
        <v>0.99334974765950101</v>
      </c>
      <c r="C441">
        <v>1.03210828566602</v>
      </c>
      <c r="D441">
        <v>1.12074069463537</v>
      </c>
      <c r="E441">
        <v>0.67105003625910797</v>
      </c>
      <c r="F441">
        <v>0.32717441745649201</v>
      </c>
      <c r="G441">
        <v>0.18617370350575299</v>
      </c>
      <c r="H441">
        <v>0.14677070416701499</v>
      </c>
      <c r="I441">
        <v>0.11620274811497</v>
      </c>
      <c r="J441">
        <v>0.13127029309569099</v>
      </c>
      <c r="K441">
        <v>9.9387115996394396E-2</v>
      </c>
      <c r="L441">
        <v>1793.2222598135199</v>
      </c>
      <c r="M441">
        <v>35.214032370572703</v>
      </c>
      <c r="N441">
        <v>51.373920390098199</v>
      </c>
      <c r="O441">
        <v>50.760131195717904</v>
      </c>
      <c r="P441">
        <v>-0.150400045511452</v>
      </c>
      <c r="Q441">
        <v>0.132811731233441</v>
      </c>
      <c r="R441">
        <v>0.98476400631433603</v>
      </c>
      <c r="S441" t="s">
        <v>6302</v>
      </c>
      <c r="T441" t="s">
        <v>11720</v>
      </c>
      <c r="U441" t="s">
        <v>11720</v>
      </c>
      <c r="V441" t="s">
        <v>11720</v>
      </c>
      <c r="W441" t="s">
        <v>12153</v>
      </c>
      <c r="X441">
        <v>30</v>
      </c>
      <c r="Y441" t="s">
        <v>17951</v>
      </c>
      <c r="Z441" t="s">
        <v>23648</v>
      </c>
      <c r="AA441">
        <v>0.4525156233797179</v>
      </c>
      <c r="AB441" t="str">
        <f>HYPERLINK("Melting_Curves/meltCurve_E7ES43_HSPA4L.pdf", "Melting_Curves/meltCurve_E7ES43_HSPA4L.pdf")</f>
        <v>Melting_Curves/meltCurve_E7ES43_HSPA4L.pdf</v>
      </c>
    </row>
    <row r="442" spans="1:28" x14ac:dyDescent="0.25">
      <c r="A442" t="s">
        <v>446</v>
      </c>
      <c r="B442">
        <v>0.99334974765950101</v>
      </c>
      <c r="C442">
        <v>0.81084901483465899</v>
      </c>
      <c r="D442">
        <v>0.86619038077523403</v>
      </c>
      <c r="E442">
        <v>1.0166632993324101</v>
      </c>
      <c r="F442">
        <v>1.5098654912637</v>
      </c>
      <c r="G442">
        <v>1.0857162933475799</v>
      </c>
      <c r="H442">
        <v>0.981870896282936</v>
      </c>
      <c r="I442">
        <v>1.2419928428457701</v>
      </c>
      <c r="J442">
        <v>1.1487902591581101</v>
      </c>
      <c r="K442">
        <v>0.90201523575418496</v>
      </c>
      <c r="L442">
        <v>12602.0323567051</v>
      </c>
      <c r="M442">
        <v>250</v>
      </c>
      <c r="O442">
        <v>50.404879661834201</v>
      </c>
      <c r="P442">
        <v>0.17984527305304801</v>
      </c>
      <c r="Q442">
        <v>1.1450413388795</v>
      </c>
      <c r="R442">
        <v>0.25057747498071598</v>
      </c>
      <c r="S442" t="s">
        <v>6303</v>
      </c>
      <c r="T442" t="s">
        <v>11720</v>
      </c>
      <c r="U442" t="s">
        <v>11720</v>
      </c>
      <c r="V442" t="s">
        <v>11720</v>
      </c>
      <c r="W442" t="s">
        <v>12154</v>
      </c>
      <c r="X442">
        <v>1</v>
      </c>
      <c r="Y442" t="s">
        <v>17952</v>
      </c>
      <c r="Z442" t="s">
        <v>23649</v>
      </c>
      <c r="AA442">
        <v>1.0947082068175511</v>
      </c>
      <c r="AB442" t="str">
        <f>HYPERLINK("Melting_Curves/meltCurve_E7ES96_PSEN1.pdf", "Melting_Curves/meltCurve_E7ES96_PSEN1.pdf")</f>
        <v>Melting_Curves/meltCurve_E7ES96_PSEN1.pdf</v>
      </c>
    </row>
    <row r="443" spans="1:28" x14ac:dyDescent="0.25">
      <c r="A443" t="s">
        <v>447</v>
      </c>
      <c r="B443">
        <v>0.99334974765950101</v>
      </c>
      <c r="C443">
        <v>1.1182490022151399</v>
      </c>
      <c r="D443">
        <v>1.01193234366373</v>
      </c>
      <c r="E443">
        <v>0.95100696256823503</v>
      </c>
      <c r="F443">
        <v>1.2115004067866899</v>
      </c>
      <c r="G443">
        <v>1.04194726257152</v>
      </c>
      <c r="H443">
        <v>1.0839295075145701</v>
      </c>
      <c r="I443">
        <v>1.3613726525847201</v>
      </c>
      <c r="J443">
        <v>1.2718071771280699</v>
      </c>
      <c r="K443">
        <v>1.29118593150951</v>
      </c>
      <c r="L443">
        <v>517.33831654719302</v>
      </c>
      <c r="M443">
        <v>7.9299664423755098</v>
      </c>
      <c r="O443">
        <v>61.481049167621599</v>
      </c>
      <c r="P443">
        <v>1.6141629833043101E-2</v>
      </c>
      <c r="Q443">
        <v>1.5</v>
      </c>
      <c r="R443">
        <v>0.58900046135776896</v>
      </c>
      <c r="S443" t="s">
        <v>6304</v>
      </c>
      <c r="T443" t="s">
        <v>11720</v>
      </c>
      <c r="U443" t="s">
        <v>11720</v>
      </c>
      <c r="V443" t="s">
        <v>11720</v>
      </c>
      <c r="W443" t="s">
        <v>11906</v>
      </c>
      <c r="X443">
        <v>1</v>
      </c>
      <c r="Y443" t="s">
        <v>17953</v>
      </c>
      <c r="Z443" t="s">
        <v>23650</v>
      </c>
      <c r="AA443">
        <v>1.1192861762640389</v>
      </c>
      <c r="AB443" t="str">
        <f>HYPERLINK("Melting_Curves/meltCurve_E7ESK6_SDC2.pdf", "Melting_Curves/meltCurve_E7ESK6_SDC2.pdf")</f>
        <v>Melting_Curves/meltCurve_E7ESK6_SDC2.pdf</v>
      </c>
    </row>
    <row r="444" spans="1:28" x14ac:dyDescent="0.25">
      <c r="A444" t="s">
        <v>448</v>
      </c>
      <c r="B444">
        <v>0.99334974765950101</v>
      </c>
      <c r="C444">
        <v>1.00195128704665</v>
      </c>
      <c r="D444">
        <v>0.99493809203756201</v>
      </c>
      <c r="E444">
        <v>1.07374529487496</v>
      </c>
      <c r="F444">
        <v>1.20386362349828</v>
      </c>
      <c r="G444">
        <v>1.0608550974037101</v>
      </c>
      <c r="H444">
        <v>0.83220880704740896</v>
      </c>
      <c r="I444">
        <v>0.76526965499864796</v>
      </c>
      <c r="J444">
        <v>0.66805536869898596</v>
      </c>
      <c r="K444">
        <v>0.55470506827653898</v>
      </c>
      <c r="L444">
        <v>1710.51438086857</v>
      </c>
      <c r="M444">
        <v>26.883661174510401</v>
      </c>
      <c r="O444">
        <v>63.277613648027099</v>
      </c>
      <c r="P444">
        <v>-4.8611790541982898E-2</v>
      </c>
      <c r="Q444">
        <v>0.54232320713578197</v>
      </c>
      <c r="R444">
        <v>0.83915523092188105</v>
      </c>
      <c r="S444" t="s">
        <v>6305</v>
      </c>
      <c r="T444" t="s">
        <v>11720</v>
      </c>
      <c r="U444" t="s">
        <v>11720</v>
      </c>
      <c r="V444" t="s">
        <v>11720</v>
      </c>
      <c r="W444" t="s">
        <v>12155</v>
      </c>
      <c r="X444">
        <v>28</v>
      </c>
      <c r="Y444" t="s">
        <v>17954</v>
      </c>
      <c r="Z444" t="s">
        <v>23651</v>
      </c>
      <c r="AA444">
        <v>0.90330060252318656</v>
      </c>
      <c r="AB444" t="str">
        <f>HYPERLINK("Melting_Curves/meltCurve_E7ESP4_ITGA2.pdf", "Melting_Curves/meltCurve_E7ESP4_ITGA2.pdf")</f>
        <v>Melting_Curves/meltCurve_E7ESP4_ITGA2.pdf</v>
      </c>
    </row>
    <row r="445" spans="1:28" x14ac:dyDescent="0.25">
      <c r="A445" t="s">
        <v>449</v>
      </c>
      <c r="B445">
        <v>0.99334974765950101</v>
      </c>
      <c r="C445">
        <v>1.2510154001129501</v>
      </c>
      <c r="D445">
        <v>1.0516074005418701</v>
      </c>
      <c r="E445">
        <v>0.939817621070554</v>
      </c>
      <c r="F445">
        <v>1.0264335627569501</v>
      </c>
      <c r="G445">
        <v>0.41378337513365498</v>
      </c>
      <c r="H445">
        <v>0.454752782739406</v>
      </c>
      <c r="I445">
        <v>0.81849183667897596</v>
      </c>
      <c r="J445">
        <v>0.66116017516720504</v>
      </c>
      <c r="K445">
        <v>1.19906281420691</v>
      </c>
      <c r="L445">
        <v>6780.5655974565398</v>
      </c>
      <c r="M445">
        <v>124.500622360902</v>
      </c>
      <c r="O445">
        <v>54.448053729260401</v>
      </c>
      <c r="P445">
        <v>-0.165962194606739</v>
      </c>
      <c r="Q445">
        <v>0.709677972292727</v>
      </c>
      <c r="R445">
        <v>0.36890991794204198</v>
      </c>
      <c r="S445" t="s">
        <v>6306</v>
      </c>
      <c r="T445" t="s">
        <v>11720</v>
      </c>
      <c r="U445" t="s">
        <v>11720</v>
      </c>
      <c r="V445" t="s">
        <v>11720</v>
      </c>
      <c r="W445" t="s">
        <v>12156</v>
      </c>
      <c r="X445">
        <v>1</v>
      </c>
      <c r="Y445" t="s">
        <v>17955</v>
      </c>
      <c r="Z445" t="s">
        <v>23652</v>
      </c>
      <c r="AA445">
        <v>0.84974549527133791</v>
      </c>
      <c r="AB445" t="str">
        <f>HYPERLINK("Melting_Curves/meltCurve_E7ESY6_AMOTL1.pdf", "Melting_Curves/meltCurve_E7ESY6_AMOTL1.pdf")</f>
        <v>Melting_Curves/meltCurve_E7ESY6_AMOTL1.pdf</v>
      </c>
    </row>
    <row r="446" spans="1:28" x14ac:dyDescent="0.25">
      <c r="A446" t="s">
        <v>450</v>
      </c>
      <c r="B446">
        <v>0.99334974765950101</v>
      </c>
      <c r="C446">
        <v>0.92675950950492503</v>
      </c>
      <c r="D446">
        <v>0.76439475949185098</v>
      </c>
      <c r="E446">
        <v>0.62132301895159703</v>
      </c>
      <c r="F446">
        <v>0.23151495938300401</v>
      </c>
      <c r="G446">
        <v>0.197944511260287</v>
      </c>
      <c r="H446">
        <v>0.161985925444701</v>
      </c>
      <c r="I446">
        <v>9.9593610883855002E-2</v>
      </c>
      <c r="J446">
        <v>0.116906872887153</v>
      </c>
      <c r="K446">
        <v>7.4098517256745405E-2</v>
      </c>
      <c r="L446">
        <v>817.42688709043296</v>
      </c>
      <c r="M446">
        <v>16.438443251066602</v>
      </c>
      <c r="N446">
        <v>50.3077251596984</v>
      </c>
      <c r="O446">
        <v>49.008113675094499</v>
      </c>
      <c r="P446">
        <v>-7.6609116514216299E-2</v>
      </c>
      <c r="Q446">
        <v>8.6481964625192004E-2</v>
      </c>
      <c r="R446">
        <v>0.98049402233613903</v>
      </c>
      <c r="S446" t="s">
        <v>6307</v>
      </c>
      <c r="T446" t="s">
        <v>11720</v>
      </c>
      <c r="U446" t="s">
        <v>11720</v>
      </c>
      <c r="V446" t="s">
        <v>11720</v>
      </c>
      <c r="W446" t="s">
        <v>12157</v>
      </c>
      <c r="X446">
        <v>4</v>
      </c>
      <c r="Y446" t="s">
        <v>17956</v>
      </c>
      <c r="Z446" t="s">
        <v>23653</v>
      </c>
      <c r="AA446">
        <v>0.40123747422643818</v>
      </c>
      <c r="AB446" t="str">
        <f>HYPERLINK("Melting_Curves/meltCurve_E7ESZ7_NDUFA10.pdf", "Melting_Curves/meltCurve_E7ESZ7_NDUFA10.pdf")</f>
        <v>Melting_Curves/meltCurve_E7ESZ7_NDUFA10.pdf</v>
      </c>
    </row>
    <row r="447" spans="1:28" x14ac:dyDescent="0.25">
      <c r="A447" t="s">
        <v>451</v>
      </c>
      <c r="B447">
        <v>0.99334974765950101</v>
      </c>
      <c r="C447">
        <v>0.962798558157684</v>
      </c>
      <c r="D447">
        <v>0.52147632831348401</v>
      </c>
      <c r="E447">
        <v>0.87120993237691402</v>
      </c>
      <c r="F447">
        <v>0.93104806174981303</v>
      </c>
      <c r="G447">
        <v>0.615026117124157</v>
      </c>
      <c r="H447">
        <v>0.66720465765708603</v>
      </c>
      <c r="I447">
        <v>0.82874904313642295</v>
      </c>
      <c r="J447">
        <v>0.73612308367870205</v>
      </c>
      <c r="K447">
        <v>0.49309026150355201</v>
      </c>
      <c r="L447">
        <v>156.35737540856101</v>
      </c>
      <c r="M447">
        <v>1.69846916947334</v>
      </c>
      <c r="O447">
        <v>49.1899262468797</v>
      </c>
      <c r="P447">
        <v>-9.7593609179967202E-3</v>
      </c>
      <c r="Q447">
        <v>0</v>
      </c>
      <c r="R447">
        <v>0.28614913660225</v>
      </c>
      <c r="S447" t="s">
        <v>6308</v>
      </c>
      <c r="T447" t="s">
        <v>11720</v>
      </c>
      <c r="U447" t="s">
        <v>11720</v>
      </c>
      <c r="V447" t="s">
        <v>11720</v>
      </c>
      <c r="W447" t="s">
        <v>12158</v>
      </c>
      <c r="X447">
        <v>2</v>
      </c>
      <c r="Y447" t="s">
        <v>17957</v>
      </c>
      <c r="Z447" t="s">
        <v>23654</v>
      </c>
      <c r="AA447">
        <v>0.7613393875656167</v>
      </c>
      <c r="AB447" t="str">
        <f>HYPERLINK("Melting_Curves/meltCurve_E7ET40_PLAU.pdf", "Melting_Curves/meltCurve_E7ET40_PLAU.pdf")</f>
        <v>Melting_Curves/meltCurve_E7ET40_PLAU.pdf</v>
      </c>
    </row>
    <row r="448" spans="1:28" x14ac:dyDescent="0.25">
      <c r="A448" t="s">
        <v>452</v>
      </c>
      <c r="B448">
        <v>0.99334974765950101</v>
      </c>
      <c r="C448">
        <v>1.0492657110536401</v>
      </c>
      <c r="D448">
        <v>0.76778076671154005</v>
      </c>
      <c r="E448">
        <v>0.826984778023789</v>
      </c>
      <c r="F448">
        <v>0.66016333972150398</v>
      </c>
      <c r="G448">
        <v>0.46067687760256898</v>
      </c>
      <c r="H448">
        <v>0.33916652273074199</v>
      </c>
      <c r="I448">
        <v>0.34526065915391402</v>
      </c>
      <c r="J448">
        <v>0.37687402226210298</v>
      </c>
      <c r="K448">
        <v>0.32493103717527499</v>
      </c>
      <c r="L448">
        <v>697.83402558587898</v>
      </c>
      <c r="M448">
        <v>13.253729654902999</v>
      </c>
      <c r="N448">
        <v>56.406501336854703</v>
      </c>
      <c r="O448">
        <v>51.496558409713401</v>
      </c>
      <c r="P448">
        <v>-4.5493510376306598E-2</v>
      </c>
      <c r="Q448">
        <v>0.29306679197056901</v>
      </c>
      <c r="R448">
        <v>0.94858310809258295</v>
      </c>
      <c r="S448" t="s">
        <v>6309</v>
      </c>
      <c r="T448" t="s">
        <v>11720</v>
      </c>
      <c r="U448" t="s">
        <v>11720</v>
      </c>
      <c r="V448" t="s">
        <v>11720</v>
      </c>
      <c r="W448" t="s">
        <v>12159</v>
      </c>
      <c r="X448">
        <v>9</v>
      </c>
      <c r="Y448" t="s">
        <v>17958</v>
      </c>
      <c r="Z448" t="s">
        <v>23655</v>
      </c>
      <c r="AA448">
        <v>0.60947848393216952</v>
      </c>
      <c r="AB448" t="str">
        <f>HYPERLINK("Melting_Curves/meltCurve_E7ETA6_PCM1.pdf", "Melting_Curves/meltCurve_E7ETA6_PCM1.pdf")</f>
        <v>Melting_Curves/meltCurve_E7ETA6_PCM1.pdf</v>
      </c>
    </row>
    <row r="449" spans="1:28" x14ac:dyDescent="0.25">
      <c r="A449" t="s">
        <v>453</v>
      </c>
      <c r="B449">
        <v>0.99334974765950101</v>
      </c>
      <c r="C449">
        <v>1.08910000960255</v>
      </c>
      <c r="D449">
        <v>1.0139538751494701</v>
      </c>
      <c r="E449">
        <v>0.93955860706347705</v>
      </c>
      <c r="F449">
        <v>0.73334209171031095</v>
      </c>
      <c r="G449">
        <v>0.45321731492624501</v>
      </c>
      <c r="H449">
        <v>0.30636287339343898</v>
      </c>
      <c r="I449">
        <v>0.25466300002928099</v>
      </c>
      <c r="J449">
        <v>0.21374370432746501</v>
      </c>
      <c r="K449">
        <v>0.17598864898623101</v>
      </c>
      <c r="L449">
        <v>1164.27512065065</v>
      </c>
      <c r="M449">
        <v>21.150416916709101</v>
      </c>
      <c r="N449">
        <v>56.3745481182793</v>
      </c>
      <c r="O449">
        <v>54.562376519768101</v>
      </c>
      <c r="P449">
        <v>-7.79071203178891E-2</v>
      </c>
      <c r="Q449">
        <v>0.19610346669855699</v>
      </c>
      <c r="R449">
        <v>0.990687699502936</v>
      </c>
      <c r="S449" t="s">
        <v>6310</v>
      </c>
      <c r="T449" t="s">
        <v>11720</v>
      </c>
      <c r="U449" t="s">
        <v>11720</v>
      </c>
      <c r="V449" t="s">
        <v>11720</v>
      </c>
      <c r="W449" t="s">
        <v>12160</v>
      </c>
      <c r="X449">
        <v>3</v>
      </c>
      <c r="Y449" t="s">
        <v>17959</v>
      </c>
      <c r="Z449" t="s">
        <v>23656</v>
      </c>
      <c r="AA449">
        <v>0.6091362179552231</v>
      </c>
      <c r="AB449" t="str">
        <f>HYPERLINK("Melting_Curves/meltCurve_E7ETK0_RPS24.pdf", "Melting_Curves/meltCurve_E7ETK0_RPS24.pdf")</f>
        <v>Melting_Curves/meltCurve_E7ETK0_RPS24.pdf</v>
      </c>
    </row>
    <row r="450" spans="1:28" x14ac:dyDescent="0.25">
      <c r="A450" t="s">
        <v>454</v>
      </c>
      <c r="B450">
        <v>0.99334974765950101</v>
      </c>
      <c r="C450">
        <v>0.92732854738471904</v>
      </c>
      <c r="D450">
        <v>0.948908079074543</v>
      </c>
      <c r="E450">
        <v>0.77857863782020797</v>
      </c>
      <c r="F450">
        <v>0.61025364885802302</v>
      </c>
      <c r="G450">
        <v>0.39676733097769501</v>
      </c>
      <c r="H450">
        <v>0.35787826434708198</v>
      </c>
      <c r="I450">
        <v>0.33018746835058999</v>
      </c>
      <c r="J450">
        <v>0.352616530260565</v>
      </c>
      <c r="K450">
        <v>0.36685751073067002</v>
      </c>
      <c r="L450">
        <v>1051.8571975223999</v>
      </c>
      <c r="M450">
        <v>20.332678111161801</v>
      </c>
      <c r="N450">
        <v>54.733613862728298</v>
      </c>
      <c r="O450">
        <v>51.239739898450303</v>
      </c>
      <c r="P450">
        <v>-6.5870288022340504E-2</v>
      </c>
      <c r="Q450">
        <v>0.33602971801681097</v>
      </c>
      <c r="R450">
        <v>0.99084058915592099</v>
      </c>
      <c r="S450" t="s">
        <v>6311</v>
      </c>
      <c r="T450" t="s">
        <v>11720</v>
      </c>
      <c r="U450" t="s">
        <v>11720</v>
      </c>
      <c r="V450" t="s">
        <v>11720</v>
      </c>
      <c r="W450" t="s">
        <v>12161</v>
      </c>
      <c r="X450">
        <v>4</v>
      </c>
      <c r="Y450" t="s">
        <v>17960</v>
      </c>
      <c r="Z450" t="s">
        <v>23657</v>
      </c>
      <c r="AA450">
        <v>0.60461996053949163</v>
      </c>
      <c r="AB450" t="str">
        <f>HYPERLINK("Melting_Curves/meltCurve_E7ETU5_RBMS1.pdf", "Melting_Curves/meltCurve_E7ETU5_RBMS1.pdf")</f>
        <v>Melting_Curves/meltCurve_E7ETU5_RBMS1.pdf</v>
      </c>
    </row>
    <row r="451" spans="1:28" x14ac:dyDescent="0.25">
      <c r="A451" t="s">
        <v>455</v>
      </c>
      <c r="B451">
        <v>0.99334974765950101</v>
      </c>
      <c r="C451">
        <v>0.95733283298321203</v>
      </c>
      <c r="D451">
        <v>0.79405999114805403</v>
      </c>
      <c r="E451">
        <v>0.60419408949114095</v>
      </c>
      <c r="F451">
        <v>0.376300203803144</v>
      </c>
      <c r="G451">
        <v>0.27303748610655898</v>
      </c>
      <c r="H451">
        <v>0.22006886930938099</v>
      </c>
      <c r="I451">
        <v>0.20806677970535201</v>
      </c>
      <c r="J451">
        <v>0.21593371205946801</v>
      </c>
      <c r="K451">
        <v>0.222529263331285</v>
      </c>
      <c r="L451">
        <v>837.81270404560996</v>
      </c>
      <c r="M451">
        <v>16.9226414086734</v>
      </c>
      <c r="N451">
        <v>51.043262324658897</v>
      </c>
      <c r="O451">
        <v>48.832550495145</v>
      </c>
      <c r="P451">
        <v>-6.9364381083444102E-2</v>
      </c>
      <c r="Q451">
        <v>0.199409489363263</v>
      </c>
      <c r="R451">
        <v>0.99601050024246396</v>
      </c>
      <c r="S451" t="s">
        <v>6312</v>
      </c>
      <c r="T451" t="s">
        <v>11720</v>
      </c>
      <c r="U451" t="s">
        <v>11720</v>
      </c>
      <c r="V451" t="s">
        <v>11720</v>
      </c>
      <c r="W451" t="s">
        <v>12162</v>
      </c>
      <c r="X451">
        <v>5</v>
      </c>
      <c r="Y451" t="s">
        <v>17961</v>
      </c>
      <c r="Z451" t="s">
        <v>23658</v>
      </c>
      <c r="AA451">
        <v>0.46863944609419222</v>
      </c>
      <c r="AB451" t="str">
        <f>HYPERLINK("Melting_Curves/meltCurve_E7ETW5_RCHY1.pdf", "Melting_Curves/meltCurve_E7ETW5_RCHY1.pdf")</f>
        <v>Melting_Curves/meltCurve_E7ETW5_RCHY1.pdf</v>
      </c>
    </row>
    <row r="452" spans="1:28" x14ac:dyDescent="0.25">
      <c r="A452" t="s">
        <v>456</v>
      </c>
      <c r="B452">
        <v>0.99334974765950101</v>
      </c>
      <c r="C452">
        <v>0.99193928466525105</v>
      </c>
      <c r="D452">
        <v>0.94729839931795501</v>
      </c>
      <c r="E452">
        <v>0.70514626289773397</v>
      </c>
      <c r="F452">
        <v>0.20394092327268501</v>
      </c>
      <c r="G452">
        <v>0.13225647645916699</v>
      </c>
      <c r="H452">
        <v>8.7738788443392404E-2</v>
      </c>
      <c r="I452">
        <v>7.6569035042094599E-2</v>
      </c>
      <c r="J452">
        <v>8.21997913813272E-2</v>
      </c>
      <c r="K452">
        <v>7.4884961164242494E-2</v>
      </c>
      <c r="L452">
        <v>2227.8808978218499</v>
      </c>
      <c r="M452">
        <v>43.851238234146003</v>
      </c>
      <c r="N452">
        <v>51.029021473423803</v>
      </c>
      <c r="O452">
        <v>50.700084303726499</v>
      </c>
      <c r="P452">
        <v>-0.19732874319035901</v>
      </c>
      <c r="Q452">
        <v>8.7407806089701903E-2</v>
      </c>
      <c r="R452">
        <v>0.99760461003588097</v>
      </c>
      <c r="S452" t="s">
        <v>6313</v>
      </c>
      <c r="T452" t="s">
        <v>11720</v>
      </c>
      <c r="U452" t="s">
        <v>11720</v>
      </c>
      <c r="V452" t="s">
        <v>11720</v>
      </c>
      <c r="W452" t="s">
        <v>12163</v>
      </c>
      <c r="X452">
        <v>20</v>
      </c>
      <c r="Y452" t="s">
        <v>17962</v>
      </c>
      <c r="Z452" t="s">
        <v>23659</v>
      </c>
      <c r="AA452">
        <v>0.41876924908257951</v>
      </c>
      <c r="AB452" t="str">
        <f>HYPERLINK("Melting_Curves/meltCurve_E7ETZ4_BZW2.pdf", "Melting_Curves/meltCurve_E7ETZ4_BZW2.pdf")</f>
        <v>Melting_Curves/meltCurve_E7ETZ4_BZW2.pdf</v>
      </c>
    </row>
    <row r="453" spans="1:28" x14ac:dyDescent="0.25">
      <c r="A453" t="s">
        <v>457</v>
      </c>
      <c r="B453">
        <v>0.99334974765950101</v>
      </c>
      <c r="C453">
        <v>0.95931762840527102</v>
      </c>
      <c r="D453">
        <v>0.93548105439509499</v>
      </c>
      <c r="E453">
        <v>0.92367327589119697</v>
      </c>
      <c r="F453">
        <v>0.84139740243697003</v>
      </c>
      <c r="G453">
        <v>0.73313005698552602</v>
      </c>
      <c r="H453">
        <v>0.519373480965034</v>
      </c>
      <c r="I453">
        <v>0.53082151141954104</v>
      </c>
      <c r="J453">
        <v>0.36129150825094503</v>
      </c>
      <c r="K453">
        <v>0.27944715930259201</v>
      </c>
      <c r="L453">
        <v>552.34750893891896</v>
      </c>
      <c r="M453">
        <v>8.7612196508780507</v>
      </c>
      <c r="N453">
        <v>63.044583977475902</v>
      </c>
      <c r="O453">
        <v>60.018799841852903</v>
      </c>
      <c r="P453">
        <v>-3.65229850524064E-2</v>
      </c>
      <c r="Q453">
        <v>0</v>
      </c>
      <c r="R453">
        <v>0.98553036213062795</v>
      </c>
      <c r="S453" t="s">
        <v>6314</v>
      </c>
      <c r="T453" t="s">
        <v>11720</v>
      </c>
      <c r="U453" t="s">
        <v>11720</v>
      </c>
      <c r="V453" t="s">
        <v>11720</v>
      </c>
      <c r="W453" t="s">
        <v>12164</v>
      </c>
      <c r="X453">
        <v>5</v>
      </c>
      <c r="Y453" t="s">
        <v>17963</v>
      </c>
      <c r="Z453" t="s">
        <v>23660</v>
      </c>
      <c r="AA453">
        <v>0.7264226687911296</v>
      </c>
      <c r="AB453" t="str">
        <f>HYPERLINK("Melting_Curves/meltCurve_E7EU05_CD36.pdf", "Melting_Curves/meltCurve_E7EU05_CD36.pdf")</f>
        <v>Melting_Curves/meltCurve_E7EU05_CD36.pdf</v>
      </c>
    </row>
    <row r="454" spans="1:28" x14ac:dyDescent="0.25">
      <c r="A454" t="s">
        <v>458</v>
      </c>
      <c r="B454">
        <v>0.99334974765950101</v>
      </c>
      <c r="C454">
        <v>0.99010274961789302</v>
      </c>
      <c r="D454">
        <v>0.99653824159609194</v>
      </c>
      <c r="E454">
        <v>0.90321700625607504</v>
      </c>
      <c r="F454">
        <v>0.77187400295932895</v>
      </c>
      <c r="G454">
        <v>0.349473977331895</v>
      </c>
      <c r="H454">
        <v>0.101790790247529</v>
      </c>
      <c r="I454">
        <v>8.29816333020926E-2</v>
      </c>
      <c r="J454">
        <v>8.0998468803421098E-2</v>
      </c>
      <c r="K454">
        <v>6.8057376038198905E-2</v>
      </c>
      <c r="L454">
        <v>1433.11975353761</v>
      </c>
      <c r="M454">
        <v>25.976984946810902</v>
      </c>
      <c r="N454">
        <v>55.429892880212002</v>
      </c>
      <c r="O454">
        <v>54.844982192410399</v>
      </c>
      <c r="P454">
        <v>-0.111594121299793</v>
      </c>
      <c r="Q454">
        <v>5.7579812582125703E-2</v>
      </c>
      <c r="R454">
        <v>0.99835294929829199</v>
      </c>
      <c r="S454" t="s">
        <v>6315</v>
      </c>
      <c r="T454" t="s">
        <v>11720</v>
      </c>
      <c r="U454" t="s">
        <v>11720</v>
      </c>
      <c r="V454" t="s">
        <v>11720</v>
      </c>
      <c r="W454" t="s">
        <v>12165</v>
      </c>
      <c r="X454">
        <v>51</v>
      </c>
      <c r="Y454" t="s">
        <v>17964</v>
      </c>
      <c r="Z454" t="s">
        <v>23661</v>
      </c>
      <c r="AA454">
        <v>0.54223922687508608</v>
      </c>
      <c r="AB454" t="str">
        <f>HYPERLINK("Melting_Curves/meltCurve_E7EU23_GDI2.pdf", "Melting_Curves/meltCurve_E7EU23_GDI2.pdf")</f>
        <v>Melting_Curves/meltCurve_E7EU23_GDI2.pdf</v>
      </c>
    </row>
    <row r="455" spans="1:28" x14ac:dyDescent="0.25">
      <c r="A455" t="s">
        <v>459</v>
      </c>
      <c r="B455">
        <v>0.99334974765950101</v>
      </c>
      <c r="C455">
        <v>1.0650276086610699</v>
      </c>
      <c r="D455">
        <v>1.24100381918267</v>
      </c>
      <c r="E455">
        <v>1.33969642891963</v>
      </c>
      <c r="F455">
        <v>1.2416290461161299</v>
      </c>
      <c r="G455">
        <v>0.63015229781253201</v>
      </c>
      <c r="H455">
        <v>0.37292702473740302</v>
      </c>
      <c r="I455">
        <v>0.25182733166172899</v>
      </c>
      <c r="J455">
        <v>0.26211076788309901</v>
      </c>
      <c r="K455">
        <v>0.23494071752609999</v>
      </c>
      <c r="L455">
        <v>6998.2013249142801</v>
      </c>
      <c r="M455">
        <v>122.83009004460099</v>
      </c>
      <c r="N455">
        <v>57.358803039107997</v>
      </c>
      <c r="O455">
        <v>56.959551206691302</v>
      </c>
      <c r="P455">
        <v>-0.38796121809235601</v>
      </c>
      <c r="Q455">
        <v>0.28036864046853799</v>
      </c>
      <c r="R455">
        <v>0.86919701723424103</v>
      </c>
      <c r="S455" t="s">
        <v>6316</v>
      </c>
      <c r="T455" t="s">
        <v>11720</v>
      </c>
      <c r="U455" t="s">
        <v>11720</v>
      </c>
      <c r="V455" t="s">
        <v>11720</v>
      </c>
      <c r="W455" t="s">
        <v>12166</v>
      </c>
      <c r="X455">
        <v>13</v>
      </c>
      <c r="Y455" t="s">
        <v>17965</v>
      </c>
      <c r="Z455" t="s">
        <v>23662</v>
      </c>
      <c r="AA455">
        <v>0.68784993244096426</v>
      </c>
      <c r="AB455" t="str">
        <f>HYPERLINK("Melting_Curves/meltCurve_E7EU96_CSNK2A1.pdf", "Melting_Curves/meltCurve_E7EU96_CSNK2A1.pdf")</f>
        <v>Melting_Curves/meltCurve_E7EU96_CSNK2A1.pdf</v>
      </c>
    </row>
    <row r="456" spans="1:28" x14ac:dyDescent="0.25">
      <c r="A456" t="s">
        <v>460</v>
      </c>
      <c r="B456">
        <v>0.99334974765950101</v>
      </c>
      <c r="C456">
        <v>1.0090088115006199</v>
      </c>
      <c r="D456">
        <v>0.80877482895583497</v>
      </c>
      <c r="E456">
        <v>0.66338270444492498</v>
      </c>
      <c r="F456">
        <v>0.53150660553587803</v>
      </c>
      <c r="G456">
        <v>0.42444340369583899</v>
      </c>
      <c r="H456">
        <v>0.35515875103373401</v>
      </c>
      <c r="I456">
        <v>0.37841588433513901</v>
      </c>
      <c r="J456">
        <v>0.37752438361912899</v>
      </c>
      <c r="K456">
        <v>0.37522632200707001</v>
      </c>
      <c r="L456">
        <v>816.45393219197103</v>
      </c>
      <c r="M456">
        <v>16.5115215577868</v>
      </c>
      <c r="N456">
        <v>53.588642013643003</v>
      </c>
      <c r="O456">
        <v>48.739295792316497</v>
      </c>
      <c r="P456">
        <v>-5.4172073271432399E-2</v>
      </c>
      <c r="Q456">
        <v>0.36041613285577501</v>
      </c>
      <c r="R456">
        <v>0.98858017979482105</v>
      </c>
      <c r="S456" t="s">
        <v>6317</v>
      </c>
      <c r="T456" t="s">
        <v>11720</v>
      </c>
      <c r="U456" t="s">
        <v>11720</v>
      </c>
      <c r="V456" t="s">
        <v>11720</v>
      </c>
      <c r="W456" t="s">
        <v>12167</v>
      </c>
      <c r="X456">
        <v>13</v>
      </c>
      <c r="Y456" t="s">
        <v>17966</v>
      </c>
      <c r="Z456" t="s">
        <v>23663</v>
      </c>
      <c r="AA456">
        <v>0.57481566527338879</v>
      </c>
      <c r="AB456" t="str">
        <f>HYPERLINK("Melting_Curves/meltCurve_E7EUC6_NAV3.pdf", "Melting_Curves/meltCurve_E7EUC6_NAV3.pdf")</f>
        <v>Melting_Curves/meltCurve_E7EUC6_NAV3.pdf</v>
      </c>
    </row>
    <row r="457" spans="1:28" x14ac:dyDescent="0.25">
      <c r="A457" t="s">
        <v>461</v>
      </c>
      <c r="B457">
        <v>0.99334974765950101</v>
      </c>
      <c r="C457">
        <v>1.0129216604881801</v>
      </c>
      <c r="D457">
        <v>0.93454340321881502</v>
      </c>
      <c r="E457">
        <v>0.98898373758594005</v>
      </c>
      <c r="F457">
        <v>0.93800420257021599</v>
      </c>
      <c r="G457">
        <v>1.1596694455235901</v>
      </c>
      <c r="H457">
        <v>1.01087187000715</v>
      </c>
      <c r="I457">
        <v>1.24193307950542</v>
      </c>
      <c r="J457">
        <v>1.16098278336042</v>
      </c>
      <c r="K457">
        <v>1.1358951839870199</v>
      </c>
      <c r="L457">
        <v>13768.0612524352</v>
      </c>
      <c r="M457">
        <v>250</v>
      </c>
      <c r="O457">
        <v>55.068709277248601</v>
      </c>
      <c r="P457">
        <v>0.16102045351849101</v>
      </c>
      <c r="Q457">
        <v>1.14187504617117</v>
      </c>
      <c r="R457">
        <v>0.64935658839759303</v>
      </c>
      <c r="S457" t="s">
        <v>6318</v>
      </c>
      <c r="T457" t="s">
        <v>11720</v>
      </c>
      <c r="U457" t="s">
        <v>11720</v>
      </c>
      <c r="V457" t="s">
        <v>11720</v>
      </c>
      <c r="W457" t="s">
        <v>12168</v>
      </c>
      <c r="X457">
        <v>6</v>
      </c>
      <c r="Y457" t="s">
        <v>17967</v>
      </c>
      <c r="Z457" t="s">
        <v>23664</v>
      </c>
      <c r="AA457">
        <v>1.070582151926933</v>
      </c>
      <c r="AB457" t="str">
        <f>HYPERLINK("Melting_Curves/meltCurve_E7EUD0_DKK3.pdf", "Melting_Curves/meltCurve_E7EUD0_DKK3.pdf")</f>
        <v>Melting_Curves/meltCurve_E7EUD0_DKK3.pdf</v>
      </c>
    </row>
    <row r="458" spans="1:28" x14ac:dyDescent="0.25">
      <c r="A458" t="s">
        <v>462</v>
      </c>
      <c r="B458">
        <v>0.99334974765950101</v>
      </c>
      <c r="C458">
        <v>1.0081370501701801</v>
      </c>
      <c r="D458">
        <v>1.0317211368146999</v>
      </c>
      <c r="E458">
        <v>0.61982744684316504</v>
      </c>
      <c r="F458">
        <v>0.345386399917475</v>
      </c>
      <c r="G458">
        <v>0.21074227660244599</v>
      </c>
      <c r="H458">
        <v>0.18739772448782099</v>
      </c>
      <c r="I458">
        <v>0.16598076220019101</v>
      </c>
      <c r="J458">
        <v>0.132336944503332</v>
      </c>
      <c r="K458">
        <v>0.126619380729245</v>
      </c>
      <c r="L458">
        <v>1531.4844912590499</v>
      </c>
      <c r="M458">
        <v>30.2926461701283</v>
      </c>
      <c r="N458">
        <v>51.2036965926577</v>
      </c>
      <c r="O458">
        <v>50.337526890433097</v>
      </c>
      <c r="P458">
        <v>-0.12651325551591699</v>
      </c>
      <c r="Q458">
        <v>0.15909302231648101</v>
      </c>
      <c r="R458">
        <v>0.99307103135250996</v>
      </c>
      <c r="S458" t="s">
        <v>6319</v>
      </c>
      <c r="T458" t="s">
        <v>11720</v>
      </c>
      <c r="U458" t="s">
        <v>11720</v>
      </c>
      <c r="V458" t="s">
        <v>11720</v>
      </c>
      <c r="W458" t="s">
        <v>12169</v>
      </c>
      <c r="X458">
        <v>6</v>
      </c>
      <c r="Y458" t="s">
        <v>17968</v>
      </c>
      <c r="Z458" t="s">
        <v>23665</v>
      </c>
      <c r="AA458">
        <v>0.46013609196036309</v>
      </c>
      <c r="AB458" t="str">
        <f>HYPERLINK("Melting_Curves/meltCurve_E7EUM5_NUP54.pdf", "Melting_Curves/meltCurve_E7EUM5_NUP54.pdf")</f>
        <v>Melting_Curves/meltCurve_E7EUM5_NUP54.pdf</v>
      </c>
    </row>
    <row r="459" spans="1:28" x14ac:dyDescent="0.25">
      <c r="A459" t="s">
        <v>463</v>
      </c>
      <c r="B459">
        <v>0.99334974765950101</v>
      </c>
      <c r="C459">
        <v>0.86544637656150403</v>
      </c>
      <c r="D459">
        <v>1.14091304025616</v>
      </c>
      <c r="E459">
        <v>0.93727945506203503</v>
      </c>
      <c r="F459">
        <v>1.18823647078721</v>
      </c>
      <c r="G459">
        <v>0.81262262479658398</v>
      </c>
      <c r="H459">
        <v>0.83524047390309097</v>
      </c>
      <c r="I459">
        <v>1.0016547928241799</v>
      </c>
      <c r="J459">
        <v>0.87588326015073104</v>
      </c>
      <c r="K459">
        <v>0.77689552434655496</v>
      </c>
      <c r="L459">
        <v>564.39850690412504</v>
      </c>
      <c r="M459">
        <v>6.6533287822216103</v>
      </c>
      <c r="Q459">
        <v>0</v>
      </c>
      <c r="R459">
        <v>0.257445856601695</v>
      </c>
      <c r="S459" t="s">
        <v>6320</v>
      </c>
      <c r="T459" t="s">
        <v>11720</v>
      </c>
      <c r="U459" t="s">
        <v>11720</v>
      </c>
      <c r="V459" t="s">
        <v>11720</v>
      </c>
      <c r="W459" t="s">
        <v>12170</v>
      </c>
      <c r="X459">
        <v>1</v>
      </c>
      <c r="Y459" t="s">
        <v>17969</v>
      </c>
      <c r="Z459" t="s">
        <v>23666</v>
      </c>
      <c r="AA459">
        <v>0.94904730960752581</v>
      </c>
      <c r="AB459" t="str">
        <f>HYPERLINK("Melting_Curves/meltCurve_E7EUU1_LTBP4.pdf", "Melting_Curves/meltCurve_E7EUU1_LTBP4.pdf")</f>
        <v>Melting_Curves/meltCurve_E7EUU1_LTBP4.pdf</v>
      </c>
    </row>
    <row r="460" spans="1:28" x14ac:dyDescent="0.25">
      <c r="A460" t="s">
        <v>464</v>
      </c>
      <c r="B460">
        <v>0.99334974765950101</v>
      </c>
      <c r="C460">
        <v>1.1176705017387301</v>
      </c>
      <c r="D460">
        <v>1.14419869259005</v>
      </c>
      <c r="E460">
        <v>0.97814598329035296</v>
      </c>
      <c r="F460">
        <v>0.306685633339007</v>
      </c>
      <c r="G460">
        <v>0.201117545410232</v>
      </c>
      <c r="H460">
        <v>0.135652415990413</v>
      </c>
      <c r="I460">
        <v>0.127232682294633</v>
      </c>
      <c r="J460">
        <v>0.14020473153538299</v>
      </c>
      <c r="K460">
        <v>0.13002830864586201</v>
      </c>
      <c r="L460">
        <v>4451.9432662873796</v>
      </c>
      <c r="M460">
        <v>85.461485928229806</v>
      </c>
      <c r="N460">
        <v>52.305466899614601</v>
      </c>
      <c r="O460">
        <v>52.064474598455597</v>
      </c>
      <c r="P460">
        <v>-0.35017890424312598</v>
      </c>
      <c r="Q460">
        <v>0.14666222531270401</v>
      </c>
      <c r="R460">
        <v>0.98005314464595195</v>
      </c>
      <c r="S460" t="s">
        <v>6321</v>
      </c>
      <c r="T460" t="s">
        <v>11720</v>
      </c>
      <c r="U460" t="s">
        <v>11720</v>
      </c>
      <c r="V460" t="s">
        <v>11720</v>
      </c>
      <c r="W460" t="s">
        <v>12171</v>
      </c>
      <c r="X460">
        <v>5</v>
      </c>
      <c r="Y460" t="s">
        <v>17970</v>
      </c>
      <c r="Z460" t="s">
        <v>23667</v>
      </c>
      <c r="AA460">
        <v>0.49131075790280848</v>
      </c>
      <c r="AB460" t="str">
        <f>HYPERLINK("Melting_Curves/meltCurve_E7EUY0_PRKDC.pdf", "Melting_Curves/meltCurve_E7EUY0_PRKDC.pdf")</f>
        <v>Melting_Curves/meltCurve_E7EUY0_PRKDC.pdf</v>
      </c>
    </row>
    <row r="461" spans="1:28" x14ac:dyDescent="0.25">
      <c r="A461" t="s">
        <v>465</v>
      </c>
      <c r="B461">
        <v>0.99334974765950101</v>
      </c>
      <c r="C461">
        <v>0.86058435322072202</v>
      </c>
      <c r="D461">
        <v>0.81914533075831797</v>
      </c>
      <c r="E461">
        <v>0.82634996325842802</v>
      </c>
      <c r="F461">
        <v>1.39030994169949</v>
      </c>
      <c r="G461">
        <v>2.25657976088646</v>
      </c>
      <c r="H461">
        <v>1.0205859657279099</v>
      </c>
      <c r="I461">
        <v>0.78521433590989098</v>
      </c>
      <c r="J461">
        <v>0.43225263651270401</v>
      </c>
      <c r="K461">
        <v>0.17541534137060499</v>
      </c>
      <c r="L461">
        <v>3024.4493180989198</v>
      </c>
      <c r="M461">
        <v>45.885146904899102</v>
      </c>
      <c r="N461">
        <v>66.346749670324201</v>
      </c>
      <c r="O461">
        <v>65.788641879222695</v>
      </c>
      <c r="P461">
        <v>-0.15179212819915999</v>
      </c>
      <c r="Q461">
        <v>0.12946243723020001</v>
      </c>
      <c r="R461">
        <v>0.360145128656994</v>
      </c>
      <c r="S461" t="s">
        <v>6322</v>
      </c>
      <c r="T461" t="s">
        <v>11720</v>
      </c>
      <c r="U461" t="s">
        <v>11720</v>
      </c>
      <c r="V461" t="s">
        <v>11720</v>
      </c>
      <c r="W461" t="s">
        <v>12172</v>
      </c>
      <c r="X461">
        <v>3</v>
      </c>
      <c r="Y461" t="s">
        <v>17971</v>
      </c>
      <c r="Z461" t="s">
        <v>23668</v>
      </c>
      <c r="AA461">
        <v>0.88114623791665947</v>
      </c>
      <c r="AB461" t="str">
        <f>HYPERLINK("Melting_Curves/meltCurve_E7EUY3_PCCB.pdf", "Melting_Curves/meltCurve_E7EUY3_PCCB.pdf")</f>
        <v>Melting_Curves/meltCurve_E7EUY3_PCCB.pdf</v>
      </c>
    </row>
    <row r="462" spans="1:28" x14ac:dyDescent="0.25">
      <c r="A462" t="s">
        <v>466</v>
      </c>
      <c r="B462">
        <v>0.99334974765950101</v>
      </c>
      <c r="C462">
        <v>0.99728910960262296</v>
      </c>
      <c r="D462">
        <v>0.99878581363241903</v>
      </c>
      <c r="E462">
        <v>1.0322740976281599</v>
      </c>
      <c r="F462">
        <v>0.98132113379720898</v>
      </c>
      <c r="G462">
        <v>0.84134731768284798</v>
      </c>
      <c r="H462">
        <v>0.28845333691775099</v>
      </c>
      <c r="I462">
        <v>0.18015146394075299</v>
      </c>
      <c r="J462">
        <v>0.15937857169925801</v>
      </c>
      <c r="K462">
        <v>0.13566782707179001</v>
      </c>
      <c r="L462">
        <v>2654.6624199692601</v>
      </c>
      <c r="M462">
        <v>45.115961422754701</v>
      </c>
      <c r="N462">
        <v>59.305049878824697</v>
      </c>
      <c r="O462">
        <v>58.725617006977799</v>
      </c>
      <c r="P462">
        <v>-0.16349320102018999</v>
      </c>
      <c r="Q462">
        <v>0.148751245144528</v>
      </c>
      <c r="R462">
        <v>0.99892141630439302</v>
      </c>
      <c r="S462" t="s">
        <v>6323</v>
      </c>
      <c r="T462" t="s">
        <v>11720</v>
      </c>
      <c r="U462" t="s">
        <v>11720</v>
      </c>
      <c r="V462" t="s">
        <v>11720</v>
      </c>
      <c r="W462" t="s">
        <v>12173</v>
      </c>
      <c r="X462">
        <v>15</v>
      </c>
      <c r="Y462" t="s">
        <v>17972</v>
      </c>
      <c r="Z462" t="s">
        <v>23669</v>
      </c>
      <c r="AA462">
        <v>0.68603566323538046</v>
      </c>
      <c r="AB462" t="str">
        <f>HYPERLINK("Melting_Curves/meltCurve_E7EV01_CAPN5.pdf", "Melting_Curves/meltCurve_E7EV01_CAPN5.pdf")</f>
        <v>Melting_Curves/meltCurve_E7EV01_CAPN5.pdf</v>
      </c>
    </row>
    <row r="463" spans="1:28" x14ac:dyDescent="0.25">
      <c r="A463" t="s">
        <v>467</v>
      </c>
      <c r="B463">
        <v>0.99334974765950101</v>
      </c>
      <c r="C463">
        <v>0.98148930070305196</v>
      </c>
      <c r="D463">
        <v>1.04616990665323</v>
      </c>
      <c r="E463">
        <v>0.784977711186572</v>
      </c>
      <c r="F463">
        <v>0.60920870047480802</v>
      </c>
      <c r="G463">
        <v>0.51012123792124897</v>
      </c>
      <c r="H463">
        <v>0.42692904822411598</v>
      </c>
      <c r="I463">
        <v>0.43864674949857801</v>
      </c>
      <c r="J463">
        <v>0.40570511543840299</v>
      </c>
      <c r="K463">
        <v>0.25679483245138801</v>
      </c>
      <c r="L463">
        <v>946.03985441687303</v>
      </c>
      <c r="M463">
        <v>18.069558522526101</v>
      </c>
      <c r="N463">
        <v>56.336099229842802</v>
      </c>
      <c r="O463">
        <v>51.726847670049402</v>
      </c>
      <c r="P463">
        <v>-5.5848461897852003E-2</v>
      </c>
      <c r="Q463">
        <v>0.36053235267311501</v>
      </c>
      <c r="R463">
        <v>0.96099697186713495</v>
      </c>
      <c r="S463" t="s">
        <v>6324</v>
      </c>
      <c r="T463" t="s">
        <v>11720</v>
      </c>
      <c r="U463" t="s">
        <v>11720</v>
      </c>
      <c r="V463" t="s">
        <v>11720</v>
      </c>
      <c r="W463" t="s">
        <v>12174</v>
      </c>
      <c r="X463">
        <v>3</v>
      </c>
      <c r="Y463" t="s">
        <v>17973</v>
      </c>
      <c r="Z463" t="s">
        <v>23670</v>
      </c>
      <c r="AA463">
        <v>0.6344145462054086</v>
      </c>
      <c r="AB463" t="str">
        <f>HYPERLINK("Melting_Curves/meltCurve_E7EV05_ZFAND2B.pdf", "Melting_Curves/meltCurve_E7EV05_ZFAND2B.pdf")</f>
        <v>Melting_Curves/meltCurve_E7EV05_ZFAND2B.pdf</v>
      </c>
    </row>
    <row r="464" spans="1:28" x14ac:dyDescent="0.25">
      <c r="A464" t="s">
        <v>468</v>
      </c>
      <c r="B464">
        <v>0.99334974765950101</v>
      </c>
      <c r="C464">
        <v>0.99716504436433895</v>
      </c>
      <c r="D464">
        <v>0.86339998887773495</v>
      </c>
      <c r="E464">
        <v>0.737069192385157</v>
      </c>
      <c r="F464">
        <v>0.65212303187846199</v>
      </c>
      <c r="G464">
        <v>0.56987118776961199</v>
      </c>
      <c r="H464">
        <v>0.52029391278748705</v>
      </c>
      <c r="I464">
        <v>0.52757216050781097</v>
      </c>
      <c r="J464">
        <v>0.43445428791093799</v>
      </c>
      <c r="K464">
        <v>0.38719628211277302</v>
      </c>
      <c r="L464">
        <v>557.989959650944</v>
      </c>
      <c r="M464">
        <v>10.7556226369291</v>
      </c>
      <c r="N464">
        <v>61.001577694407203</v>
      </c>
      <c r="O464">
        <v>50.182059509952403</v>
      </c>
      <c r="P464">
        <v>-3.2166758624813198E-2</v>
      </c>
      <c r="Q464">
        <v>0.39990443851242302</v>
      </c>
      <c r="R464">
        <v>0.97624379631692804</v>
      </c>
      <c r="S464" t="s">
        <v>6325</v>
      </c>
      <c r="T464" t="s">
        <v>11720</v>
      </c>
      <c r="U464" t="s">
        <v>11720</v>
      </c>
      <c r="V464" t="s">
        <v>11720</v>
      </c>
      <c r="W464" t="s">
        <v>12175</v>
      </c>
      <c r="X464">
        <v>88</v>
      </c>
      <c r="Y464" t="s">
        <v>17974</v>
      </c>
      <c r="Z464" t="s">
        <v>23671</v>
      </c>
      <c r="AA464">
        <v>0.65873041848798208</v>
      </c>
      <c r="AB464" t="str">
        <f>HYPERLINK("Melting_Curves/meltCurve_E7EVA0_MAP4.pdf", "Melting_Curves/meltCurve_E7EVA0_MAP4.pdf")</f>
        <v>Melting_Curves/meltCurve_E7EVA0_MAP4.pdf</v>
      </c>
    </row>
    <row r="465" spans="1:28" x14ac:dyDescent="0.25">
      <c r="A465" t="s">
        <v>469</v>
      </c>
      <c r="B465">
        <v>0.99334974765950101</v>
      </c>
      <c r="C465">
        <v>1.0088119777492499</v>
      </c>
      <c r="D465">
        <v>1.03250939555689</v>
      </c>
      <c r="E465">
        <v>1.00391828691068</v>
      </c>
      <c r="F465">
        <v>0.81926390385481296</v>
      </c>
      <c r="G465">
        <v>0.32254663824173702</v>
      </c>
      <c r="H465">
        <v>0.21958443532833</v>
      </c>
      <c r="I465">
        <v>0.170921855078562</v>
      </c>
      <c r="J465">
        <v>0.121066149395334</v>
      </c>
      <c r="K465">
        <v>0.104611621800489</v>
      </c>
      <c r="L465">
        <v>1939.7598177514899</v>
      </c>
      <c r="M465">
        <v>35.271159757641399</v>
      </c>
      <c r="N465">
        <v>55.5254701396805</v>
      </c>
      <c r="O465">
        <v>54.819749682366897</v>
      </c>
      <c r="P465">
        <v>-0.137866666020206</v>
      </c>
      <c r="Q465">
        <v>0.142892914033418</v>
      </c>
      <c r="R465">
        <v>0.99540930222010204</v>
      </c>
      <c r="S465" t="s">
        <v>6326</v>
      </c>
      <c r="T465" t="s">
        <v>11720</v>
      </c>
      <c r="U465" t="s">
        <v>11720</v>
      </c>
      <c r="V465" t="s">
        <v>11720</v>
      </c>
      <c r="W465" t="s">
        <v>12176</v>
      </c>
      <c r="X465">
        <v>16</v>
      </c>
      <c r="Y465" t="s">
        <v>17975</v>
      </c>
      <c r="Z465" t="s">
        <v>23672</v>
      </c>
      <c r="AA465">
        <v>0.575483612779772</v>
      </c>
      <c r="AB465" t="str">
        <f>HYPERLINK("Melting_Curves/meltCurve_E7EVC7_ATG16L1.pdf", "Melting_Curves/meltCurve_E7EVC7_ATG16L1.pdf")</f>
        <v>Melting_Curves/meltCurve_E7EVC7_ATG16L1.pdf</v>
      </c>
    </row>
    <row r="466" spans="1:28" x14ac:dyDescent="0.25">
      <c r="A466" t="s">
        <v>470</v>
      </c>
      <c r="B466">
        <v>0.99334974765950101</v>
      </c>
      <c r="C466">
        <v>0.96794785235742098</v>
      </c>
      <c r="D466">
        <v>0.81343399268999905</v>
      </c>
      <c r="E466">
        <v>0.75853429457131505</v>
      </c>
      <c r="F466">
        <v>0.59265185561399603</v>
      </c>
      <c r="G466">
        <v>0.38030330340820701</v>
      </c>
      <c r="H466">
        <v>0.14036904892541699</v>
      </c>
      <c r="I466">
        <v>9.5768327720745006E-2</v>
      </c>
      <c r="J466">
        <v>7.9549648069054901E-2</v>
      </c>
      <c r="K466">
        <v>5.9895346648257401E-2</v>
      </c>
      <c r="L466">
        <v>686.37413486554306</v>
      </c>
      <c r="M466">
        <v>12.6859001273156</v>
      </c>
      <c r="N466">
        <v>54.105276360710803</v>
      </c>
      <c r="O466">
        <v>52.813658434464799</v>
      </c>
      <c r="P466">
        <v>-6.0061949555525997E-2</v>
      </c>
      <c r="Q466">
        <v>0</v>
      </c>
      <c r="R466">
        <v>0.98930108439139897</v>
      </c>
      <c r="S466" t="s">
        <v>6327</v>
      </c>
      <c r="T466" t="s">
        <v>11720</v>
      </c>
      <c r="U466" t="s">
        <v>11720</v>
      </c>
      <c r="V466" t="s">
        <v>11720</v>
      </c>
      <c r="W466" t="s">
        <v>12177</v>
      </c>
      <c r="X466">
        <v>6</v>
      </c>
      <c r="Y466" t="s">
        <v>17976</v>
      </c>
      <c r="Z466" t="s">
        <v>23673</v>
      </c>
      <c r="AA466">
        <v>0.49471176953563079</v>
      </c>
      <c r="AB466" t="str">
        <f>HYPERLINK("Melting_Curves/meltCurve_E7EVH9_HDHD1.pdf", "Melting_Curves/meltCurve_E7EVH9_HDHD1.pdf")</f>
        <v>Melting_Curves/meltCurve_E7EVH9_HDHD1.pdf</v>
      </c>
    </row>
    <row r="467" spans="1:28" x14ac:dyDescent="0.25">
      <c r="A467" t="s">
        <v>471</v>
      </c>
      <c r="B467">
        <v>0.99334974765950101</v>
      </c>
      <c r="C467">
        <v>1.17410724951834</v>
      </c>
      <c r="D467">
        <v>1.06529285776806</v>
      </c>
      <c r="E467">
        <v>1.02047850203035</v>
      </c>
      <c r="F467">
        <v>1.12413395363989</v>
      </c>
      <c r="G467">
        <v>1.50550262376774</v>
      </c>
      <c r="H467">
        <v>0.58579651085278095</v>
      </c>
      <c r="I467">
        <v>0.24762365833518299</v>
      </c>
      <c r="J467">
        <v>0.167637429017609</v>
      </c>
      <c r="K467">
        <v>0.215399125389971</v>
      </c>
      <c r="L467">
        <v>8440.3335453760792</v>
      </c>
      <c r="M467">
        <v>138.46115440246601</v>
      </c>
      <c r="N467">
        <v>61.198598701301101</v>
      </c>
      <c r="O467">
        <v>60.945419521904803</v>
      </c>
      <c r="P467">
        <v>-0.44881738898906498</v>
      </c>
      <c r="Q467">
        <v>0.209789524770993</v>
      </c>
      <c r="R467">
        <v>0.84468740505611295</v>
      </c>
      <c r="S467" t="s">
        <v>6328</v>
      </c>
      <c r="T467" t="s">
        <v>11720</v>
      </c>
      <c r="U467" t="s">
        <v>11720</v>
      </c>
      <c r="V467" t="s">
        <v>11720</v>
      </c>
      <c r="W467" t="s">
        <v>12178</v>
      </c>
      <c r="X467">
        <v>16</v>
      </c>
      <c r="Y467" t="s">
        <v>17977</v>
      </c>
      <c r="Z467" t="s">
        <v>23674</v>
      </c>
      <c r="AA467">
        <v>0.76210981426314384</v>
      </c>
      <c r="AB467" t="str">
        <f>HYPERLINK("Melting_Curves/meltCurve_E7EVZ2_YWHAZ.pdf", "Melting_Curves/meltCurve_E7EVZ2_YWHAZ.pdf")</f>
        <v>Melting_Curves/meltCurve_E7EVZ2_YWHAZ.pdf</v>
      </c>
    </row>
    <row r="468" spans="1:28" x14ac:dyDescent="0.25">
      <c r="A468" t="s">
        <v>472</v>
      </c>
      <c r="B468">
        <v>0.99334974765950101</v>
      </c>
      <c r="C468">
        <v>0.88327851447021399</v>
      </c>
      <c r="D468">
        <v>1.1833758263023699</v>
      </c>
      <c r="E468">
        <v>1.1813996621655101</v>
      </c>
      <c r="F468">
        <v>0.18686209850590499</v>
      </c>
      <c r="G468">
        <v>0.29437147629993998</v>
      </c>
      <c r="H468">
        <v>0.28921963648516202</v>
      </c>
      <c r="I468">
        <v>0.175758556663384</v>
      </c>
      <c r="J468">
        <v>6.4086862190738697E-2</v>
      </c>
      <c r="K468">
        <v>5.5285481786981699E-2</v>
      </c>
      <c r="L468">
        <v>13024.6775079749</v>
      </c>
      <c r="M468">
        <v>250</v>
      </c>
      <c r="N468">
        <v>52.189070510751101</v>
      </c>
      <c r="O468">
        <v>52.095366073721898</v>
      </c>
      <c r="P468">
        <v>-0.98896791048527299</v>
      </c>
      <c r="Q468">
        <v>0.17566951716354801</v>
      </c>
      <c r="R468">
        <v>0.93259065154123599</v>
      </c>
      <c r="S468" t="s">
        <v>6329</v>
      </c>
      <c r="T468" t="s">
        <v>11720</v>
      </c>
      <c r="U468" t="s">
        <v>11720</v>
      </c>
      <c r="V468" t="s">
        <v>11720</v>
      </c>
      <c r="W468" t="s">
        <v>12179</v>
      </c>
      <c r="X468">
        <v>42</v>
      </c>
      <c r="Y468" t="s">
        <v>17978</v>
      </c>
      <c r="Z468" t="s">
        <v>23675</v>
      </c>
      <c r="AA468">
        <v>0.50818940377528599</v>
      </c>
      <c r="AB468" t="str">
        <f>HYPERLINK("Melting_Curves/meltCurve_E7EW20_MYO6.pdf", "Melting_Curves/meltCurve_E7EW20_MYO6.pdf")</f>
        <v>Melting_Curves/meltCurve_E7EW20_MYO6.pdf</v>
      </c>
    </row>
    <row r="469" spans="1:28" x14ac:dyDescent="0.25">
      <c r="A469" t="s">
        <v>473</v>
      </c>
      <c r="B469">
        <v>0.99334974765950101</v>
      </c>
      <c r="C469">
        <v>1.0610843036172</v>
      </c>
      <c r="D469">
        <v>0.934630275609169</v>
      </c>
      <c r="E469">
        <v>0.68660270492502096</v>
      </c>
      <c r="F469">
        <v>0.59766467997524297</v>
      </c>
      <c r="G469">
        <v>0.35125471886190701</v>
      </c>
      <c r="H469">
        <v>0.15026762743123601</v>
      </c>
      <c r="I469">
        <v>0.12234305641035099</v>
      </c>
      <c r="J469">
        <v>0.13974309331197601</v>
      </c>
      <c r="K469">
        <v>9.5138257095554707E-2</v>
      </c>
      <c r="L469">
        <v>807.40397630106804</v>
      </c>
      <c r="M469">
        <v>15.1301701882486</v>
      </c>
      <c r="N469">
        <v>53.895985963983598</v>
      </c>
      <c r="O469">
        <v>52.457691373768697</v>
      </c>
      <c r="P469">
        <v>-6.71101451023913E-2</v>
      </c>
      <c r="Q469">
        <v>6.9382953391644603E-2</v>
      </c>
      <c r="R469">
        <v>0.98797159326908102</v>
      </c>
      <c r="S469" t="s">
        <v>6330</v>
      </c>
      <c r="T469" t="s">
        <v>11720</v>
      </c>
      <c r="U469" t="s">
        <v>11720</v>
      </c>
      <c r="V469" t="s">
        <v>11720</v>
      </c>
      <c r="W469" t="s">
        <v>12180</v>
      </c>
      <c r="X469">
        <v>4</v>
      </c>
      <c r="Y469" t="s">
        <v>17979</v>
      </c>
      <c r="Z469" t="s">
        <v>23676</v>
      </c>
      <c r="AA469">
        <v>0.50341703899337054</v>
      </c>
      <c r="AB469" t="str">
        <f>HYPERLINK("Melting_Curves/meltCurve_E7EW32_MON1B.pdf", "Melting_Curves/meltCurve_E7EW32_MON1B.pdf")</f>
        <v>Melting_Curves/meltCurve_E7EW32_MON1B.pdf</v>
      </c>
    </row>
    <row r="470" spans="1:28" x14ac:dyDescent="0.25">
      <c r="A470" t="s">
        <v>474</v>
      </c>
      <c r="B470">
        <v>0.99334974765950101</v>
      </c>
      <c r="C470">
        <v>0.84203300653417601</v>
      </c>
      <c r="D470">
        <v>0.87836590094629197</v>
      </c>
      <c r="E470">
        <v>1.0557609948303801</v>
      </c>
      <c r="F470">
        <v>1.21027153444354</v>
      </c>
      <c r="G470">
        <v>0.463563858259124</v>
      </c>
      <c r="H470">
        <v>0.120342477379175</v>
      </c>
      <c r="I470">
        <v>8.5877083866472401E-2</v>
      </c>
      <c r="J470">
        <v>9.7597218795635099E-2</v>
      </c>
      <c r="K470">
        <v>8.0171021120420405E-2</v>
      </c>
      <c r="L470">
        <v>14228.451601987999</v>
      </c>
      <c r="M470">
        <v>250</v>
      </c>
      <c r="N470">
        <v>56.962380865071303</v>
      </c>
      <c r="O470">
        <v>56.9101642525847</v>
      </c>
      <c r="P470">
        <v>-0.99279613779272702</v>
      </c>
      <c r="Q470">
        <v>9.5996939939293396E-2</v>
      </c>
      <c r="R470">
        <v>0.95373804961012398</v>
      </c>
      <c r="S470" t="s">
        <v>6331</v>
      </c>
      <c r="T470" t="s">
        <v>11720</v>
      </c>
      <c r="U470" t="s">
        <v>11720</v>
      </c>
      <c r="V470" t="s">
        <v>11720</v>
      </c>
      <c r="W470" t="s">
        <v>12181</v>
      </c>
      <c r="X470">
        <v>8</v>
      </c>
      <c r="Y470" t="s">
        <v>17980</v>
      </c>
      <c r="Z470" t="s">
        <v>23677</v>
      </c>
      <c r="AA470">
        <v>0.60575832600510959</v>
      </c>
      <c r="AB470" t="str">
        <f>HYPERLINK("Melting_Curves/meltCurve_E7EW69_SEPT10.pdf", "Melting_Curves/meltCurve_E7EW69_SEPT10.pdf")</f>
        <v>Melting_Curves/meltCurve_E7EW69_SEPT10.pdf</v>
      </c>
    </row>
    <row r="471" spans="1:28" x14ac:dyDescent="0.25">
      <c r="A471" t="s">
        <v>475</v>
      </c>
      <c r="B471">
        <v>0.99334974765950101</v>
      </c>
      <c r="C471">
        <v>1.0137822688962601</v>
      </c>
      <c r="D471">
        <v>0.88263179791588597</v>
      </c>
      <c r="E471">
        <v>0.74469934906418001</v>
      </c>
      <c r="F471">
        <v>0.64698140595436704</v>
      </c>
      <c r="G471">
        <v>0.37612302383796398</v>
      </c>
      <c r="H471">
        <v>0.30497929943629298</v>
      </c>
      <c r="I471">
        <v>0.35084191935112202</v>
      </c>
      <c r="J471">
        <v>0.34690646226368899</v>
      </c>
      <c r="K471">
        <v>0.241034049702472</v>
      </c>
      <c r="L471">
        <v>823.90275200431302</v>
      </c>
      <c r="M471">
        <v>15.789239745145499</v>
      </c>
      <c r="N471">
        <v>54.922888820156302</v>
      </c>
      <c r="O471">
        <v>51.365758635134199</v>
      </c>
      <c r="P471">
        <v>-5.5898739556706802E-2</v>
      </c>
      <c r="Q471">
        <v>0.27265810362746501</v>
      </c>
      <c r="R471">
        <v>0.98044207754303803</v>
      </c>
      <c r="S471" t="s">
        <v>6332</v>
      </c>
      <c r="T471" t="s">
        <v>11720</v>
      </c>
      <c r="U471" t="s">
        <v>11720</v>
      </c>
      <c r="V471" t="s">
        <v>11720</v>
      </c>
      <c r="W471" t="s">
        <v>12182</v>
      </c>
      <c r="X471">
        <v>3</v>
      </c>
      <c r="Y471" t="s">
        <v>17981</v>
      </c>
      <c r="Z471" t="s">
        <v>23678</v>
      </c>
      <c r="AA471">
        <v>0.58292643132926825</v>
      </c>
      <c r="AB471" t="str">
        <f>HYPERLINK("Melting_Curves/meltCurve_E7EW77_ABI2.pdf", "Melting_Curves/meltCurve_E7EW77_ABI2.pdf")</f>
        <v>Melting_Curves/meltCurve_E7EW77_ABI2.pdf</v>
      </c>
    </row>
    <row r="472" spans="1:28" x14ac:dyDescent="0.25">
      <c r="A472" t="s">
        <v>476</v>
      </c>
      <c r="B472">
        <v>0.99334974765950101</v>
      </c>
      <c r="C472">
        <v>1.08575652592415</v>
      </c>
      <c r="D472">
        <v>1.41391402209768</v>
      </c>
      <c r="E472">
        <v>1.2646230119811499</v>
      </c>
      <c r="F472">
        <v>0.106799881544183</v>
      </c>
      <c r="G472">
        <v>0.119007318729416</v>
      </c>
      <c r="H472">
        <v>5.3627351336446999E-2</v>
      </c>
      <c r="I472">
        <v>4.0847822617565803E-2</v>
      </c>
      <c r="J472">
        <v>3.9895432604036302E-2</v>
      </c>
      <c r="K472">
        <v>2.6682083363209701E-2</v>
      </c>
      <c r="L472">
        <v>13098.0862351428</v>
      </c>
      <c r="M472">
        <v>250</v>
      </c>
      <c r="N472">
        <v>52.417256441299202</v>
      </c>
      <c r="O472">
        <v>52.3889927153378</v>
      </c>
      <c r="P472">
        <v>-1.1261839966140099</v>
      </c>
      <c r="Q472">
        <v>5.6005687671289203E-2</v>
      </c>
      <c r="R472">
        <v>0.91933745509081199</v>
      </c>
      <c r="S472" t="s">
        <v>6333</v>
      </c>
      <c r="T472" t="s">
        <v>11720</v>
      </c>
      <c r="U472" t="s">
        <v>11720</v>
      </c>
      <c r="V472" t="s">
        <v>11720</v>
      </c>
      <c r="W472" t="s">
        <v>12183</v>
      </c>
      <c r="X472">
        <v>3</v>
      </c>
      <c r="Y472" t="s">
        <v>17982</v>
      </c>
      <c r="Z472" t="s">
        <v>23679</v>
      </c>
      <c r="AA472">
        <v>0.44603592383477791</v>
      </c>
      <c r="AB472" t="str">
        <f>HYPERLINK("Melting_Curves/meltCurve_E7EWC2_IQGAP2.pdf", "Melting_Curves/meltCurve_E7EWC2_IQGAP2.pdf")</f>
        <v>Melting_Curves/meltCurve_E7EWC2_IQGAP2.pdf</v>
      </c>
    </row>
    <row r="473" spans="1:28" x14ac:dyDescent="0.25">
      <c r="A473" t="s">
        <v>477</v>
      </c>
      <c r="B473">
        <v>0.99334974765950101</v>
      </c>
      <c r="C473">
        <v>0.90952056025814099</v>
      </c>
      <c r="D473">
        <v>0.89680560328726799</v>
      </c>
      <c r="E473">
        <v>0.67516240988350695</v>
      </c>
      <c r="F473">
        <v>0.59314626132705806</v>
      </c>
      <c r="G473">
        <v>0.47842577829333599</v>
      </c>
      <c r="H473">
        <v>0.269196736826607</v>
      </c>
      <c r="I473">
        <v>0.11507021116803499</v>
      </c>
      <c r="J473">
        <v>0.114296741362865</v>
      </c>
      <c r="K473">
        <v>0.113118840406411</v>
      </c>
      <c r="L473">
        <v>559.526582791838</v>
      </c>
      <c r="M473">
        <v>10.210849606763301</v>
      </c>
      <c r="N473">
        <v>54.797260170867602</v>
      </c>
      <c r="O473">
        <v>52.820219045727796</v>
      </c>
      <c r="P473">
        <v>-4.83500367154217E-2</v>
      </c>
      <c r="Q473">
        <v>0</v>
      </c>
      <c r="R473">
        <v>0.985255254348117</v>
      </c>
      <c r="S473" t="s">
        <v>6334</v>
      </c>
      <c r="T473" t="s">
        <v>11720</v>
      </c>
      <c r="U473" t="s">
        <v>11720</v>
      </c>
      <c r="V473" t="s">
        <v>11720</v>
      </c>
      <c r="W473" t="s">
        <v>12184</v>
      </c>
      <c r="X473">
        <v>4</v>
      </c>
      <c r="Y473" t="s">
        <v>17983</v>
      </c>
      <c r="Z473" t="s">
        <v>23680</v>
      </c>
      <c r="AA473">
        <v>0.51976330067486742</v>
      </c>
      <c r="AB473" t="str">
        <f>HYPERLINK("Melting_Curves/meltCurve_E7EWM3_ZMIZ2.pdf", "Melting_Curves/meltCurve_E7EWM3_ZMIZ2.pdf")</f>
        <v>Melting_Curves/meltCurve_E7EWM3_ZMIZ2.pdf</v>
      </c>
    </row>
    <row r="474" spans="1:28" x14ac:dyDescent="0.25">
      <c r="A474" t="s">
        <v>478</v>
      </c>
      <c r="B474">
        <v>0.99334974765950101</v>
      </c>
      <c r="C474">
        <v>0.99657648581618097</v>
      </c>
      <c r="D474">
        <v>0.96021986705050599</v>
      </c>
      <c r="E474">
        <v>0.68060905418557005</v>
      </c>
      <c r="F474">
        <v>0.58107676705099798</v>
      </c>
      <c r="G474">
        <v>0.42871622520920499</v>
      </c>
      <c r="H474">
        <v>0.43859739230911299</v>
      </c>
      <c r="I474">
        <v>0.26984246738288997</v>
      </c>
      <c r="J474">
        <v>0.22396281621675901</v>
      </c>
      <c r="K474">
        <v>0.16601193640336601</v>
      </c>
      <c r="L474">
        <v>595.14390868376699</v>
      </c>
      <c r="M474">
        <v>11.0562316594745</v>
      </c>
      <c r="N474">
        <v>55.5918926468675</v>
      </c>
      <c r="O474">
        <v>52.157816290451102</v>
      </c>
      <c r="P474">
        <v>-4.5172168140019703E-2</v>
      </c>
      <c r="Q474">
        <v>0.147882376460791</v>
      </c>
      <c r="R474">
        <v>0.97178091432119496</v>
      </c>
      <c r="S474" t="s">
        <v>6335</v>
      </c>
      <c r="T474" t="s">
        <v>11720</v>
      </c>
      <c r="U474" t="s">
        <v>11720</v>
      </c>
      <c r="V474" t="s">
        <v>11720</v>
      </c>
      <c r="W474" t="s">
        <v>12185</v>
      </c>
      <c r="X474">
        <v>2</v>
      </c>
      <c r="Y474" t="s">
        <v>17984</v>
      </c>
      <c r="Z474" t="s">
        <v>23681</v>
      </c>
      <c r="AA474">
        <v>0.56502739853556749</v>
      </c>
      <c r="AB474" t="str">
        <f>HYPERLINK("Melting_Curves/meltCurve_E7EWP0_NDUFB5.pdf", "Melting_Curves/meltCurve_E7EWP0_NDUFB5.pdf")</f>
        <v>Melting_Curves/meltCurve_E7EWP0_NDUFB5.pdf</v>
      </c>
    </row>
    <row r="475" spans="1:28" x14ac:dyDescent="0.25">
      <c r="A475" t="s">
        <v>479</v>
      </c>
      <c r="B475">
        <v>0.99334974765950101</v>
      </c>
      <c r="C475">
        <v>0.90794988402845</v>
      </c>
      <c r="D475">
        <v>0.67984248753907806</v>
      </c>
      <c r="E475">
        <v>0.33185463169415902</v>
      </c>
      <c r="F475">
        <v>0.28081993410653899</v>
      </c>
      <c r="G475">
        <v>0.153584095108593</v>
      </c>
      <c r="H475">
        <v>0.10489554762569001</v>
      </c>
      <c r="I475">
        <v>6.3274913627956397E-2</v>
      </c>
      <c r="J475">
        <v>6.2233996304031397E-2</v>
      </c>
      <c r="K475">
        <v>6.3183288240024602E-2</v>
      </c>
      <c r="L475">
        <v>793.207730621927</v>
      </c>
      <c r="M475">
        <v>16.5556012046892</v>
      </c>
      <c r="N475">
        <v>48.345043469949502</v>
      </c>
      <c r="O475">
        <v>47.229068418498798</v>
      </c>
      <c r="P475">
        <v>-8.1597753411113597E-2</v>
      </c>
      <c r="Q475">
        <v>6.8950312174961795E-2</v>
      </c>
      <c r="R475">
        <v>0.99321027843404397</v>
      </c>
      <c r="S475" t="s">
        <v>6336</v>
      </c>
      <c r="T475" t="s">
        <v>11720</v>
      </c>
      <c r="U475" t="s">
        <v>11720</v>
      </c>
      <c r="V475" t="s">
        <v>11720</v>
      </c>
      <c r="W475" t="s">
        <v>12186</v>
      </c>
      <c r="X475">
        <v>3</v>
      </c>
      <c r="Y475" t="s">
        <v>17985</v>
      </c>
      <c r="Z475" t="s">
        <v>23682</v>
      </c>
      <c r="AA475">
        <v>0.3341985015067605</v>
      </c>
      <c r="AB475" t="str">
        <f>HYPERLINK("Melting_Curves/meltCurve_E7EX01_MPP2.pdf", "Melting_Curves/meltCurve_E7EX01_MPP2.pdf")</f>
        <v>Melting_Curves/meltCurve_E7EX01_MPP2.pdf</v>
      </c>
    </row>
    <row r="476" spans="1:28" x14ac:dyDescent="0.25">
      <c r="A476" t="s">
        <v>480</v>
      </c>
      <c r="B476">
        <v>0.99334974765950101</v>
      </c>
      <c r="C476">
        <v>1.02462368698897</v>
      </c>
      <c r="D476">
        <v>0.93390829709273304</v>
      </c>
      <c r="E476">
        <v>1.0232873876236099</v>
      </c>
      <c r="F476">
        <v>1.04285106219528</v>
      </c>
      <c r="G476">
        <v>0.94614566599964001</v>
      </c>
      <c r="H476">
        <v>0.93018979377255795</v>
      </c>
      <c r="I476">
        <v>1.39673846406473</v>
      </c>
      <c r="J476">
        <v>1.3379235504959299</v>
      </c>
      <c r="K476">
        <v>1.2531159801586</v>
      </c>
      <c r="L476">
        <v>15000</v>
      </c>
      <c r="M476">
        <v>240.12020874714199</v>
      </c>
      <c r="O476">
        <v>62.464377969680797</v>
      </c>
      <c r="P476">
        <v>0.31662455415983398</v>
      </c>
      <c r="Q476">
        <v>1.3294642449635901</v>
      </c>
      <c r="R476">
        <v>0.90519888294786</v>
      </c>
      <c r="S476" t="s">
        <v>6337</v>
      </c>
      <c r="T476" t="s">
        <v>11720</v>
      </c>
      <c r="U476" t="s">
        <v>11720</v>
      </c>
      <c r="V476" t="s">
        <v>11720</v>
      </c>
      <c r="W476" t="s">
        <v>12187</v>
      </c>
      <c r="X476">
        <v>52</v>
      </c>
      <c r="Y476" t="s">
        <v>17986</v>
      </c>
      <c r="Z476" t="s">
        <v>23683</v>
      </c>
      <c r="AA476">
        <v>1.0826705241815391</v>
      </c>
      <c r="AB476" t="str">
        <f>HYPERLINK("Melting_Curves/meltCurve_E7EX17_EIF4B.pdf", "Melting_Curves/meltCurve_E7EX17_EIF4B.pdf")</f>
        <v>Melting_Curves/meltCurve_E7EX17_EIF4B.pdf</v>
      </c>
    </row>
    <row r="477" spans="1:28" x14ac:dyDescent="0.25">
      <c r="A477" t="s">
        <v>481</v>
      </c>
      <c r="B477">
        <v>0.99334974765950101</v>
      </c>
      <c r="C477">
        <v>1.08043018175637</v>
      </c>
      <c r="D477">
        <v>1.3219140543605801</v>
      </c>
      <c r="E477">
        <v>1.0947137348937099</v>
      </c>
      <c r="F477">
        <v>0.52799982260928902</v>
      </c>
      <c r="G477">
        <v>0.363428563329045</v>
      </c>
      <c r="H477">
        <v>0.291349534885739</v>
      </c>
      <c r="I477">
        <v>0.27612746082060602</v>
      </c>
      <c r="J477">
        <v>0.252672413098397</v>
      </c>
      <c r="K477">
        <v>0.20914326811624001</v>
      </c>
      <c r="L477">
        <v>13216.202072367199</v>
      </c>
      <c r="M477">
        <v>250</v>
      </c>
      <c r="N477">
        <v>53.037580352506197</v>
      </c>
      <c r="O477">
        <v>52.861420850552904</v>
      </c>
      <c r="P477">
        <v>-0.85300360300286804</v>
      </c>
      <c r="Q477">
        <v>0.27854422101736698</v>
      </c>
      <c r="R477">
        <v>0.92093834212956305</v>
      </c>
      <c r="S477" t="s">
        <v>6338</v>
      </c>
      <c r="T477" t="s">
        <v>11720</v>
      </c>
      <c r="U477" t="s">
        <v>11720</v>
      </c>
      <c r="V477" t="s">
        <v>11720</v>
      </c>
      <c r="W477" t="s">
        <v>12188</v>
      </c>
      <c r="X477">
        <v>24</v>
      </c>
      <c r="Y477" t="s">
        <v>17987</v>
      </c>
      <c r="Z477" t="s">
        <v>23684</v>
      </c>
      <c r="AA477">
        <v>0.58799083165744948</v>
      </c>
      <c r="AB477" t="str">
        <f>HYPERLINK("Melting_Curves/meltCurve_E7EX90_DCTN1.pdf", "Melting_Curves/meltCurve_E7EX90_DCTN1.pdf")</f>
        <v>Melting_Curves/meltCurve_E7EX90_DCTN1.pdf</v>
      </c>
    </row>
    <row r="478" spans="1:28" x14ac:dyDescent="0.25">
      <c r="A478" t="s">
        <v>482</v>
      </c>
      <c r="B478">
        <v>0.99334974765950101</v>
      </c>
      <c r="C478">
        <v>1.04675020762132</v>
      </c>
      <c r="D478">
        <v>0.80306093457146299</v>
      </c>
      <c r="E478">
        <v>0.64949042093520903</v>
      </c>
      <c r="F478">
        <v>0.41720400771424598</v>
      </c>
      <c r="G478">
        <v>0.16666279353781899</v>
      </c>
      <c r="H478">
        <v>0.10269428783871801</v>
      </c>
      <c r="I478">
        <v>0.104751831371132</v>
      </c>
      <c r="J478">
        <v>0.11997427452732699</v>
      </c>
      <c r="K478">
        <v>0.10837538392262</v>
      </c>
      <c r="L478">
        <v>908.41748208254398</v>
      </c>
      <c r="M478">
        <v>17.809640475356002</v>
      </c>
      <c r="N478">
        <v>51.531169952739802</v>
      </c>
      <c r="O478">
        <v>50.377018559002401</v>
      </c>
      <c r="P478">
        <v>-8.1064502496513494E-2</v>
      </c>
      <c r="Q478">
        <v>8.2838854523011596E-2</v>
      </c>
      <c r="R478">
        <v>0.98748031820687399</v>
      </c>
      <c r="S478" t="s">
        <v>6339</v>
      </c>
      <c r="T478" t="s">
        <v>11720</v>
      </c>
      <c r="U478" t="s">
        <v>11720</v>
      </c>
      <c r="V478" t="s">
        <v>11720</v>
      </c>
      <c r="W478" t="s">
        <v>12189</v>
      </c>
      <c r="X478">
        <v>3</v>
      </c>
      <c r="Y478" t="s">
        <v>17988</v>
      </c>
      <c r="Z478" t="s">
        <v>23685</v>
      </c>
      <c r="AA478">
        <v>0.43509797685569662</v>
      </c>
      <c r="AB478" t="str">
        <f>HYPERLINK("Melting_Curves/meltCurve_E9PAR5_NCBP2.pdf", "Melting_Curves/meltCurve_E9PAR5_NCBP2.pdf")</f>
        <v>Melting_Curves/meltCurve_E9PAR5_NCBP2.pdf</v>
      </c>
    </row>
    <row r="479" spans="1:28" x14ac:dyDescent="0.25">
      <c r="A479" t="s">
        <v>483</v>
      </c>
      <c r="B479">
        <v>0.99334974765950101</v>
      </c>
      <c r="C479">
        <v>0.96038201576043403</v>
      </c>
      <c r="D479">
        <v>0.49598016710721998</v>
      </c>
      <c r="E479">
        <v>0.247575746694988</v>
      </c>
      <c r="F479">
        <v>0.21435723327548201</v>
      </c>
      <c r="G479">
        <v>0.145445748012066</v>
      </c>
      <c r="H479">
        <v>0.14628664553824899</v>
      </c>
      <c r="I479">
        <v>8.3223098511437998E-2</v>
      </c>
      <c r="J479">
        <v>0.122365848387604</v>
      </c>
      <c r="K479">
        <v>9.4917418775571499E-2</v>
      </c>
      <c r="L479">
        <v>1457.6714804107201</v>
      </c>
      <c r="M479">
        <v>31.858105275245698</v>
      </c>
      <c r="N479">
        <v>46.225244300067899</v>
      </c>
      <c r="O479">
        <v>45.575973032308603</v>
      </c>
      <c r="P479">
        <v>-0.15057238936217701</v>
      </c>
      <c r="Q479">
        <v>0.13837341805430001</v>
      </c>
      <c r="R479">
        <v>0.98493081066867705</v>
      </c>
      <c r="S479" t="s">
        <v>6340</v>
      </c>
      <c r="T479" t="s">
        <v>11720</v>
      </c>
      <c r="U479" t="s">
        <v>11720</v>
      </c>
      <c r="V479" t="s">
        <v>11720</v>
      </c>
      <c r="W479" t="s">
        <v>12190</v>
      </c>
      <c r="X479">
        <v>8</v>
      </c>
      <c r="Y479" t="s">
        <v>17989</v>
      </c>
      <c r="Z479" t="s">
        <v>23686</v>
      </c>
      <c r="AA479">
        <v>0.30828757701422399</v>
      </c>
      <c r="AB479" t="str">
        <f>HYPERLINK("Melting_Curves/meltCurve_E9PAU2_RAVER1.pdf", "Melting_Curves/meltCurve_E9PAU2_RAVER1.pdf")</f>
        <v>Melting_Curves/meltCurve_E9PAU2_RAVER1.pdf</v>
      </c>
    </row>
    <row r="480" spans="1:28" x14ac:dyDescent="0.25">
      <c r="A480" t="s">
        <v>484</v>
      </c>
      <c r="B480">
        <v>0.99334974765950101</v>
      </c>
      <c r="C480">
        <v>1.01415428061741</v>
      </c>
      <c r="D480">
        <v>1.01404674610135</v>
      </c>
      <c r="E480">
        <v>1.04285012422965</v>
      </c>
      <c r="F480">
        <v>0.60994314776999603</v>
      </c>
      <c r="G480">
        <v>0.53732961035927995</v>
      </c>
      <c r="H480">
        <v>0.45150578192257701</v>
      </c>
      <c r="I480">
        <v>0.35597461008501402</v>
      </c>
      <c r="J480">
        <v>0.28557468323752699</v>
      </c>
      <c r="K480">
        <v>0.26383440700355898</v>
      </c>
      <c r="L480">
        <v>1065.45259351712</v>
      </c>
      <c r="M480">
        <v>19.5369799691819</v>
      </c>
      <c r="N480">
        <v>57.2114072180728</v>
      </c>
      <c r="O480">
        <v>53.973451558990597</v>
      </c>
      <c r="P480">
        <v>-6.3391011990057797E-2</v>
      </c>
      <c r="Q480">
        <v>0.29952130760926099</v>
      </c>
      <c r="R480">
        <v>0.94737291412158398</v>
      </c>
      <c r="S480" t="s">
        <v>6341</v>
      </c>
      <c r="T480" t="s">
        <v>11720</v>
      </c>
      <c r="U480" t="s">
        <v>11720</v>
      </c>
      <c r="V480" t="s">
        <v>11720</v>
      </c>
      <c r="W480" t="s">
        <v>12191</v>
      </c>
      <c r="X480">
        <v>4</v>
      </c>
      <c r="Y480" t="s">
        <v>17990</v>
      </c>
      <c r="Z480" t="s">
        <v>23687</v>
      </c>
      <c r="AA480">
        <v>0.64868148505201217</v>
      </c>
      <c r="AB480" t="str">
        <f>HYPERLINK("Melting_Curves/meltCurve_E9PB09_HEATR5A.pdf", "Melting_Curves/meltCurve_E9PB09_HEATR5A.pdf")</f>
        <v>Melting_Curves/meltCurve_E9PB09_HEATR5A.pdf</v>
      </c>
    </row>
    <row r="481" spans="1:28" x14ac:dyDescent="0.25">
      <c r="A481" t="s">
        <v>485</v>
      </c>
      <c r="B481">
        <v>0.99334974765950101</v>
      </c>
      <c r="C481">
        <v>1.08589667636469</v>
      </c>
      <c r="D481">
        <v>1.0020308009241501</v>
      </c>
      <c r="E481">
        <v>0.90135089641114696</v>
      </c>
      <c r="F481">
        <v>0.81689112540595599</v>
      </c>
      <c r="G481">
        <v>0.52961531091008096</v>
      </c>
      <c r="H481">
        <v>0.497722084169542</v>
      </c>
      <c r="I481">
        <v>0.44361492958759802</v>
      </c>
      <c r="J481">
        <v>0.43744138874634902</v>
      </c>
      <c r="K481">
        <v>0.41260290269294803</v>
      </c>
      <c r="L481">
        <v>1309.9598880875601</v>
      </c>
      <c r="M481">
        <v>24.184439210540901</v>
      </c>
      <c r="N481">
        <v>58.914533417896301</v>
      </c>
      <c r="O481">
        <v>53.799112370727002</v>
      </c>
      <c r="P481">
        <v>-6.4190932101696893E-2</v>
      </c>
      <c r="Q481">
        <v>0.428828801077344</v>
      </c>
      <c r="R481">
        <v>0.98212121687002596</v>
      </c>
      <c r="S481" t="s">
        <v>6342</v>
      </c>
      <c r="T481" t="s">
        <v>11720</v>
      </c>
      <c r="U481" t="s">
        <v>11720</v>
      </c>
      <c r="V481" t="s">
        <v>11720</v>
      </c>
      <c r="W481" t="s">
        <v>12192</v>
      </c>
      <c r="X481">
        <v>4</v>
      </c>
      <c r="Y481" t="s">
        <v>17991</v>
      </c>
      <c r="Z481" t="s">
        <v>23688</v>
      </c>
      <c r="AA481">
        <v>0.70413672296084473</v>
      </c>
      <c r="AB481" t="str">
        <f>HYPERLINK("Melting_Curves/meltCurve_E9PB61_ALYREF.pdf", "Melting_Curves/meltCurve_E9PB61_ALYREF.pdf")</f>
        <v>Melting_Curves/meltCurve_E9PB61_ALYREF.pdf</v>
      </c>
    </row>
    <row r="482" spans="1:28" x14ac:dyDescent="0.25">
      <c r="A482" t="s">
        <v>486</v>
      </c>
      <c r="B482">
        <v>0.99334974765950101</v>
      </c>
      <c r="C482">
        <v>0.89889623716210598</v>
      </c>
      <c r="D482">
        <v>0.91005783581484201</v>
      </c>
      <c r="E482">
        <v>1.0767348038409099</v>
      </c>
      <c r="F482">
        <v>1.2725052538816599</v>
      </c>
      <c r="G482">
        <v>1.0098045143252601</v>
      </c>
      <c r="H482">
        <v>0.71900296491127302</v>
      </c>
      <c r="I482">
        <v>0.27234213976306698</v>
      </c>
      <c r="J482">
        <v>0.21057812334786499</v>
      </c>
      <c r="K482">
        <v>0.146177762994875</v>
      </c>
      <c r="L482">
        <v>3415.7227630071902</v>
      </c>
      <c r="M482">
        <v>55.320632648015099</v>
      </c>
      <c r="N482">
        <v>62.215582049797199</v>
      </c>
      <c r="O482">
        <v>61.663578460501</v>
      </c>
      <c r="P482">
        <v>-0.185881564620169</v>
      </c>
      <c r="Q482">
        <v>0.17122311541435101</v>
      </c>
      <c r="R482">
        <v>0.93023022594306903</v>
      </c>
      <c r="S482" t="s">
        <v>6343</v>
      </c>
      <c r="T482" t="s">
        <v>11720</v>
      </c>
      <c r="U482" t="s">
        <v>11720</v>
      </c>
      <c r="V482" t="s">
        <v>11720</v>
      </c>
      <c r="W482" t="s">
        <v>12193</v>
      </c>
      <c r="X482">
        <v>26</v>
      </c>
      <c r="Y482" t="s">
        <v>17992</v>
      </c>
      <c r="Z482" t="s">
        <v>23689</v>
      </c>
      <c r="AA482">
        <v>0.7737047877563632</v>
      </c>
      <c r="AB482" t="str">
        <f>HYPERLINK("Melting_Curves/meltCurve_E9PBJ5_SDHA.pdf", "Melting_Curves/meltCurve_E9PBJ5_SDHA.pdf")</f>
        <v>Melting_Curves/meltCurve_E9PBJ5_SDHA.pdf</v>
      </c>
    </row>
    <row r="483" spans="1:28" x14ac:dyDescent="0.25">
      <c r="A483" t="s">
        <v>487</v>
      </c>
      <c r="B483">
        <v>0.99334974765950101</v>
      </c>
      <c r="C483">
        <v>1.12092066212754</v>
      </c>
      <c r="D483">
        <v>0.93921404786607798</v>
      </c>
      <c r="E483">
        <v>0.55243657085680797</v>
      </c>
      <c r="F483">
        <v>0.37262042388440603</v>
      </c>
      <c r="G483">
        <v>0.24474818822939001</v>
      </c>
      <c r="H483">
        <v>0.25373351134365602</v>
      </c>
      <c r="I483">
        <v>0.31987782966570799</v>
      </c>
      <c r="J483">
        <v>0.28114120786093399</v>
      </c>
      <c r="K483">
        <v>0.17144176695854399</v>
      </c>
      <c r="L483">
        <v>1568.4873032579101</v>
      </c>
      <c r="M483">
        <v>31.687718355441501</v>
      </c>
      <c r="N483">
        <v>50.644439989368699</v>
      </c>
      <c r="O483">
        <v>49.302388765878703</v>
      </c>
      <c r="P483">
        <v>-0.119557856948216</v>
      </c>
      <c r="Q483">
        <v>0.25593165053154798</v>
      </c>
      <c r="R483">
        <v>0.97398098808125</v>
      </c>
      <c r="S483" t="s">
        <v>6344</v>
      </c>
      <c r="T483" t="s">
        <v>11720</v>
      </c>
      <c r="U483" t="s">
        <v>11720</v>
      </c>
      <c r="V483" t="s">
        <v>11720</v>
      </c>
      <c r="W483" t="s">
        <v>12194</v>
      </c>
      <c r="X483">
        <v>2</v>
      </c>
      <c r="Y483" t="s">
        <v>17993</v>
      </c>
      <c r="Z483" t="s">
        <v>23690</v>
      </c>
      <c r="AA483">
        <v>0.49559498165925231</v>
      </c>
      <c r="AB483" t="str">
        <f>HYPERLINK("Melting_Curves/meltCurve_E9PBL8_COG1.pdf", "Melting_Curves/meltCurve_E9PBL8_COG1.pdf")</f>
        <v>Melting_Curves/meltCurve_E9PBL8_COG1.pdf</v>
      </c>
    </row>
    <row r="484" spans="1:28" x14ac:dyDescent="0.25">
      <c r="A484" t="s">
        <v>488</v>
      </c>
      <c r="B484">
        <v>0.99334974765950101</v>
      </c>
      <c r="C484">
        <v>1.04716552750393</v>
      </c>
      <c r="D484">
        <v>1.0552863441753</v>
      </c>
      <c r="E484">
        <v>1.3090277651398801</v>
      </c>
      <c r="F484">
        <v>1.3482538293406601</v>
      </c>
      <c r="G484">
        <v>2.0976107200115899</v>
      </c>
      <c r="H484">
        <v>1.9818045160930999</v>
      </c>
      <c r="I484">
        <v>3.0508321759638002</v>
      </c>
      <c r="J484">
        <v>2.1977272746625398</v>
      </c>
      <c r="K484">
        <v>1.4544375292752401</v>
      </c>
      <c r="L484">
        <v>1893.7896657853701</v>
      </c>
      <c r="M484">
        <v>38.294750940946599</v>
      </c>
      <c r="O484">
        <v>49.318703774859898</v>
      </c>
      <c r="P484">
        <v>9.7059638620644803E-2</v>
      </c>
      <c r="Q484">
        <v>1.5</v>
      </c>
      <c r="R484">
        <v>0.116581956817485</v>
      </c>
      <c r="S484" t="s">
        <v>6345</v>
      </c>
      <c r="T484" t="s">
        <v>11720</v>
      </c>
      <c r="U484" t="s">
        <v>11720</v>
      </c>
      <c r="V484" t="s">
        <v>11720</v>
      </c>
      <c r="W484" t="s">
        <v>12195</v>
      </c>
      <c r="X484">
        <v>27</v>
      </c>
      <c r="Y484" t="s">
        <v>17994</v>
      </c>
      <c r="Z484" t="s">
        <v>23691</v>
      </c>
      <c r="AA484">
        <v>1.340582484075022</v>
      </c>
      <c r="AB484" t="str">
        <f>HYPERLINK("Melting_Curves/meltCurve_E9PBS1_PAICS.pdf", "Melting_Curves/meltCurve_E9PBS1_PAICS.pdf")</f>
        <v>Melting_Curves/meltCurve_E9PBS1_PAICS.pdf</v>
      </c>
    </row>
    <row r="485" spans="1:28" x14ac:dyDescent="0.25">
      <c r="A485" t="s">
        <v>489</v>
      </c>
      <c r="B485">
        <v>0.99334974765950101</v>
      </c>
      <c r="C485">
        <v>0.8984139598616</v>
      </c>
      <c r="D485">
        <v>0.82484422206755803</v>
      </c>
      <c r="E485">
        <v>0.95867729875691199</v>
      </c>
      <c r="F485">
        <v>0.82201039175221702</v>
      </c>
      <c r="G485">
        <v>0.55503240599872905</v>
      </c>
      <c r="H485">
        <v>0.39706378747918403</v>
      </c>
      <c r="I485">
        <v>0.329434194605771</v>
      </c>
      <c r="J485">
        <v>0.33007895905996099</v>
      </c>
      <c r="K485">
        <v>0.24060603782065701</v>
      </c>
      <c r="L485">
        <v>833.33696909391199</v>
      </c>
      <c r="M485">
        <v>14.752391802270999</v>
      </c>
      <c r="N485">
        <v>58.758246115290099</v>
      </c>
      <c r="O485">
        <v>55.4807544359509</v>
      </c>
      <c r="P485">
        <v>-5.2041451729083997E-2</v>
      </c>
      <c r="Q485">
        <v>0.21721501821231301</v>
      </c>
      <c r="R485">
        <v>0.94955895091548204</v>
      </c>
      <c r="S485" t="s">
        <v>6346</v>
      </c>
      <c r="T485" t="s">
        <v>11720</v>
      </c>
      <c r="U485" t="s">
        <v>11720</v>
      </c>
      <c r="V485" t="s">
        <v>11720</v>
      </c>
      <c r="W485" t="s">
        <v>12196</v>
      </c>
      <c r="X485">
        <v>12</v>
      </c>
      <c r="Y485" t="s">
        <v>17995</v>
      </c>
      <c r="Z485" t="s">
        <v>23692</v>
      </c>
      <c r="AA485">
        <v>0.66079090854728373</v>
      </c>
      <c r="AB485" t="str">
        <f>HYPERLINK("Melting_Curves/meltCurve_E9PC15_AGK.pdf", "Melting_Curves/meltCurve_E9PC15_AGK.pdf")</f>
        <v>Melting_Curves/meltCurve_E9PC15_AGK.pdf</v>
      </c>
    </row>
    <row r="486" spans="1:28" x14ac:dyDescent="0.25">
      <c r="A486" t="s">
        <v>490</v>
      </c>
      <c r="B486">
        <v>0.99334974765950101</v>
      </c>
      <c r="C486">
        <v>0.92933526739652905</v>
      </c>
      <c r="D486">
        <v>0.83229627380639404</v>
      </c>
      <c r="E486">
        <v>0.44712645818016999</v>
      </c>
      <c r="F486">
        <v>0.20214179010987901</v>
      </c>
      <c r="G486">
        <v>0.11863640616945299</v>
      </c>
      <c r="H486">
        <v>8.9323388659355296E-2</v>
      </c>
      <c r="I486">
        <v>7.7206594628024497E-2</v>
      </c>
      <c r="J486">
        <v>7.3010687374989905E-2</v>
      </c>
      <c r="K486">
        <v>6.55869127459415E-2</v>
      </c>
      <c r="L486">
        <v>1076.20652609785</v>
      </c>
      <c r="M486">
        <v>21.945475733457599</v>
      </c>
      <c r="N486">
        <v>49.379212073461602</v>
      </c>
      <c r="O486">
        <v>48.638262169327902</v>
      </c>
      <c r="P486">
        <v>-0.104909538978101</v>
      </c>
      <c r="Q486">
        <v>6.9967281797982103E-2</v>
      </c>
      <c r="R486">
        <v>0.99875959172585305</v>
      </c>
      <c r="S486" t="s">
        <v>6347</v>
      </c>
      <c r="T486" t="s">
        <v>11720</v>
      </c>
      <c r="U486" t="s">
        <v>11720</v>
      </c>
      <c r="V486" t="s">
        <v>11720</v>
      </c>
      <c r="W486" t="s">
        <v>12197</v>
      </c>
      <c r="X486">
        <v>16</v>
      </c>
      <c r="Y486" t="s">
        <v>17996</v>
      </c>
      <c r="Z486" t="s">
        <v>23693</v>
      </c>
      <c r="AA486">
        <v>0.36099334233769481</v>
      </c>
      <c r="AB486" t="str">
        <f>HYPERLINK("Melting_Curves/meltCurve_E9PC47_LIMK1.pdf", "Melting_Curves/meltCurve_E9PC47_LIMK1.pdf")</f>
        <v>Melting_Curves/meltCurve_E9PC47_LIMK1.pdf</v>
      </c>
    </row>
    <row r="487" spans="1:28" x14ac:dyDescent="0.25">
      <c r="A487" t="s">
        <v>491</v>
      </c>
      <c r="B487">
        <v>0.99334974765950101</v>
      </c>
      <c r="C487">
        <v>0.99427798159442005</v>
      </c>
      <c r="D487">
        <v>1.05504536251667</v>
      </c>
      <c r="E487">
        <v>1.0221684735730301</v>
      </c>
      <c r="F487">
        <v>0.35367809911674197</v>
      </c>
      <c r="G487">
        <v>0.28299878653730198</v>
      </c>
      <c r="H487">
        <v>0.191902879923986</v>
      </c>
      <c r="I487">
        <v>0.150948736743476</v>
      </c>
      <c r="J487">
        <v>0.13590333200912699</v>
      </c>
      <c r="K487">
        <v>0.119350681376675</v>
      </c>
      <c r="L487">
        <v>13181.4939608976</v>
      </c>
      <c r="M487">
        <v>250</v>
      </c>
      <c r="N487">
        <v>52.817783575600501</v>
      </c>
      <c r="O487">
        <v>52.7226017479733</v>
      </c>
      <c r="P487">
        <v>-0.97654885344499098</v>
      </c>
      <c r="Q487">
        <v>0.176220860631047</v>
      </c>
      <c r="R487">
        <v>0.98721211198445202</v>
      </c>
      <c r="S487" t="s">
        <v>6348</v>
      </c>
      <c r="T487" t="s">
        <v>11720</v>
      </c>
      <c r="U487" t="s">
        <v>11720</v>
      </c>
      <c r="V487" t="s">
        <v>11720</v>
      </c>
      <c r="W487" t="s">
        <v>12198</v>
      </c>
      <c r="X487">
        <v>3</v>
      </c>
      <c r="Y487" t="s">
        <v>17997</v>
      </c>
      <c r="Z487" t="s">
        <v>23694</v>
      </c>
      <c r="AA487">
        <v>0.52574353520820538</v>
      </c>
      <c r="AB487" t="str">
        <f>HYPERLINK("Melting_Curves/meltCurve_E9PC74_EIF2B5.pdf", "Melting_Curves/meltCurve_E9PC74_EIF2B5.pdf")</f>
        <v>Melting_Curves/meltCurve_E9PC74_EIF2B5.pdf</v>
      </c>
    </row>
    <row r="488" spans="1:28" x14ac:dyDescent="0.25">
      <c r="A488" t="s">
        <v>492</v>
      </c>
      <c r="B488">
        <v>0.99334974765950101</v>
      </c>
      <c r="C488">
        <v>0.95250856887275104</v>
      </c>
      <c r="D488">
        <v>0.57935159936523095</v>
      </c>
      <c r="E488">
        <v>0.35672394042192102</v>
      </c>
      <c r="F488">
        <v>1.52225164489314</v>
      </c>
      <c r="G488">
        <v>0.43690502804161602</v>
      </c>
      <c r="H488">
        <v>0.382385152832247</v>
      </c>
      <c r="I488">
        <v>0.252190715945175</v>
      </c>
      <c r="J488">
        <v>0.48520483669818998</v>
      </c>
      <c r="K488">
        <v>0.34587057102516</v>
      </c>
      <c r="L488">
        <v>323.98588922434698</v>
      </c>
      <c r="M488">
        <v>5.3349654979684002</v>
      </c>
      <c r="N488">
        <v>60.728774644856401</v>
      </c>
      <c r="O488">
        <v>53.773580842115003</v>
      </c>
      <c r="P488">
        <v>-2.49244259278034E-2</v>
      </c>
      <c r="Q488">
        <v>0</v>
      </c>
      <c r="R488">
        <v>0.299206891387512</v>
      </c>
      <c r="S488" t="s">
        <v>6349</v>
      </c>
      <c r="T488" t="s">
        <v>11720</v>
      </c>
      <c r="U488" t="s">
        <v>11720</v>
      </c>
      <c r="V488" t="s">
        <v>11720</v>
      </c>
      <c r="W488" t="s">
        <v>12199</v>
      </c>
      <c r="X488">
        <v>2</v>
      </c>
      <c r="Y488" t="s">
        <v>17998</v>
      </c>
      <c r="Z488" t="s">
        <v>23695</v>
      </c>
      <c r="AA488">
        <v>0.63770497185882924</v>
      </c>
      <c r="AB488" t="str">
        <f>HYPERLINK("Melting_Curves/meltCurve_E9PCH4_FNIP1.pdf", "Melting_Curves/meltCurve_E9PCH4_FNIP1.pdf")</f>
        <v>Melting_Curves/meltCurve_E9PCH4_FNIP1.pdf</v>
      </c>
    </row>
    <row r="489" spans="1:28" x14ac:dyDescent="0.25">
      <c r="A489" t="s">
        <v>493</v>
      </c>
      <c r="B489">
        <v>0.99334974765950101</v>
      </c>
      <c r="C489">
        <v>0.93733794362827405</v>
      </c>
      <c r="D489">
        <v>0.68515275338649995</v>
      </c>
      <c r="E489">
        <v>0.58159672978536503</v>
      </c>
      <c r="F489">
        <v>0.100321633494331</v>
      </c>
      <c r="G489">
        <v>6.92205595145855E-2</v>
      </c>
      <c r="H489">
        <v>6.7529521488736199E-2</v>
      </c>
      <c r="I489">
        <v>8.3231267324817601E-2</v>
      </c>
      <c r="J489">
        <v>7.7519122418032702E-2</v>
      </c>
      <c r="K489">
        <v>0.100387786488878</v>
      </c>
      <c r="L489">
        <v>918.85748054712701</v>
      </c>
      <c r="M489">
        <v>18.8194533737895</v>
      </c>
      <c r="N489">
        <v>49.122872484448202</v>
      </c>
      <c r="O489">
        <v>48.283612424370098</v>
      </c>
      <c r="P489">
        <v>-9.2189563857566895E-2</v>
      </c>
      <c r="Q489">
        <v>5.3944743796905302E-2</v>
      </c>
      <c r="R489">
        <v>0.96012197137808997</v>
      </c>
      <c r="S489" t="s">
        <v>6350</v>
      </c>
      <c r="T489" t="s">
        <v>11720</v>
      </c>
      <c r="U489" t="s">
        <v>11720</v>
      </c>
      <c r="V489" t="s">
        <v>11720</v>
      </c>
      <c r="W489" t="s">
        <v>12200</v>
      </c>
      <c r="X489">
        <v>4</v>
      </c>
      <c r="Y489" t="s">
        <v>17999</v>
      </c>
      <c r="Z489" t="s">
        <v>23696</v>
      </c>
      <c r="AA489">
        <v>0.34726746450330359</v>
      </c>
      <c r="AB489" t="str">
        <f>HYPERLINK("Melting_Curves/meltCurve_E9PCJ7_UBR7.pdf", "Melting_Curves/meltCurve_E9PCJ7_UBR7.pdf")</f>
        <v>Melting_Curves/meltCurve_E9PCJ7_UBR7.pdf</v>
      </c>
    </row>
    <row r="490" spans="1:28" x14ac:dyDescent="0.25">
      <c r="A490" t="s">
        <v>494</v>
      </c>
      <c r="B490">
        <v>0.99334974765950101</v>
      </c>
      <c r="C490">
        <v>1.0233999434402199</v>
      </c>
      <c r="D490">
        <v>0.890801813516505</v>
      </c>
      <c r="E490">
        <v>0.72934711492833904</v>
      </c>
      <c r="F490">
        <v>0.83948805076160704</v>
      </c>
      <c r="G490">
        <v>0.64710507268047601</v>
      </c>
      <c r="H490">
        <v>0.53725249540441999</v>
      </c>
      <c r="I490">
        <v>0.39981271467088703</v>
      </c>
      <c r="J490">
        <v>0.31791674432862499</v>
      </c>
      <c r="K490">
        <v>0.17850510189646501</v>
      </c>
      <c r="L490">
        <v>506.41250171354199</v>
      </c>
      <c r="M490">
        <v>8.3421512431405205</v>
      </c>
      <c r="N490">
        <v>60.705263629709997</v>
      </c>
      <c r="O490">
        <v>57.5172716182378</v>
      </c>
      <c r="P490">
        <v>-3.6294383362789701E-2</v>
      </c>
      <c r="Q490">
        <v>0</v>
      </c>
      <c r="R490">
        <v>0.956674631679581</v>
      </c>
      <c r="S490" t="s">
        <v>6351</v>
      </c>
      <c r="T490" t="s">
        <v>11720</v>
      </c>
      <c r="U490" t="s">
        <v>11720</v>
      </c>
      <c r="V490" t="s">
        <v>11720</v>
      </c>
      <c r="W490" t="s">
        <v>12201</v>
      </c>
      <c r="X490">
        <v>14</v>
      </c>
      <c r="Y490" t="s">
        <v>18000</v>
      </c>
      <c r="Z490" t="s">
        <v>23697</v>
      </c>
      <c r="AA490">
        <v>0.67044032423575217</v>
      </c>
      <c r="AB490" t="str">
        <f>HYPERLINK("Melting_Curves/meltCurve_E9PCW1_GOSR1.pdf", "Melting_Curves/meltCurve_E9PCW1_GOSR1.pdf")</f>
        <v>Melting_Curves/meltCurve_E9PCW1_GOSR1.pdf</v>
      </c>
    </row>
    <row r="491" spans="1:28" x14ac:dyDescent="0.25">
      <c r="A491" t="s">
        <v>495</v>
      </c>
      <c r="B491">
        <v>0.99334974765950101</v>
      </c>
      <c r="C491">
        <v>0.96132480449403401</v>
      </c>
      <c r="D491">
        <v>0.87309644198329095</v>
      </c>
      <c r="E491">
        <v>0.42854486800547198</v>
      </c>
      <c r="F491">
        <v>0.23070164988247199</v>
      </c>
      <c r="G491">
        <v>0.114203255648317</v>
      </c>
      <c r="H491">
        <v>9.1725542908003305E-2</v>
      </c>
      <c r="I491">
        <v>9.79531940725476E-2</v>
      </c>
      <c r="J491">
        <v>8.3714135914033302E-2</v>
      </c>
      <c r="K491">
        <v>6.7777187229636104E-2</v>
      </c>
      <c r="L491">
        <v>1215.51575170823</v>
      </c>
      <c r="M491">
        <v>24.740706429175699</v>
      </c>
      <c r="N491">
        <v>49.499267381413198</v>
      </c>
      <c r="O491">
        <v>48.812601728347303</v>
      </c>
      <c r="P491">
        <v>-0.116041770561174</v>
      </c>
      <c r="Q491">
        <v>8.4226622713989494E-2</v>
      </c>
      <c r="R491">
        <v>0.99895034712068398</v>
      </c>
      <c r="S491" t="s">
        <v>6352</v>
      </c>
      <c r="T491" t="s">
        <v>11720</v>
      </c>
      <c r="U491" t="s">
        <v>11720</v>
      </c>
      <c r="V491" t="s">
        <v>11720</v>
      </c>
      <c r="W491" t="s">
        <v>12202</v>
      </c>
      <c r="X491">
        <v>8</v>
      </c>
      <c r="Y491" t="s">
        <v>18001</v>
      </c>
      <c r="Z491" t="s">
        <v>23698</v>
      </c>
      <c r="AA491">
        <v>0.37123092610064218</v>
      </c>
      <c r="AB491" t="str">
        <f>HYPERLINK("Melting_Curves/meltCurve_E9PCY7_HNRNPH1.pdf", "Melting_Curves/meltCurve_E9PCY7_HNRNPH1.pdf")</f>
        <v>Melting_Curves/meltCurve_E9PCY7_HNRNPH1.pdf</v>
      </c>
    </row>
    <row r="492" spans="1:28" x14ac:dyDescent="0.25">
      <c r="A492" t="s">
        <v>496</v>
      </c>
      <c r="B492">
        <v>0.99334974765950101</v>
      </c>
      <c r="C492">
        <v>0.84823744614563901</v>
      </c>
      <c r="D492">
        <v>0.85738020448949304</v>
      </c>
      <c r="E492">
        <v>0.41829269694497301</v>
      </c>
      <c r="F492">
        <v>0.204601867148962</v>
      </c>
      <c r="G492">
        <v>0.12561145247624</v>
      </c>
      <c r="H492">
        <v>0.101816476082616</v>
      </c>
      <c r="I492">
        <v>8.78876750895973E-2</v>
      </c>
      <c r="J492">
        <v>8.0791571934149098E-2</v>
      </c>
      <c r="K492">
        <v>7.3572413928091704E-2</v>
      </c>
      <c r="L492">
        <v>1047.3334162085</v>
      </c>
      <c r="M492">
        <v>21.449121463973601</v>
      </c>
      <c r="N492">
        <v>49.220406021912503</v>
      </c>
      <c r="O492">
        <v>48.410252106579698</v>
      </c>
      <c r="P492">
        <v>-0.10207970273512899</v>
      </c>
      <c r="Q492">
        <v>7.8455212397771701E-2</v>
      </c>
      <c r="R492">
        <v>0.988457181678147</v>
      </c>
      <c r="S492" t="s">
        <v>6353</v>
      </c>
      <c r="T492" t="s">
        <v>11720</v>
      </c>
      <c r="U492" t="s">
        <v>11720</v>
      </c>
      <c r="V492" t="s">
        <v>11720</v>
      </c>
      <c r="W492" t="s">
        <v>12203</v>
      </c>
      <c r="X492">
        <v>24</v>
      </c>
      <c r="Y492" t="s">
        <v>18002</v>
      </c>
      <c r="Z492" t="s">
        <v>23699</v>
      </c>
      <c r="AA492">
        <v>0.3608569559582307</v>
      </c>
      <c r="AB492" t="str">
        <f>HYPERLINK("Melting_Curves/meltCurve_E9PDF6_MYO1B.pdf", "Melting_Curves/meltCurve_E9PDF6_MYO1B.pdf")</f>
        <v>Melting_Curves/meltCurve_E9PDF6_MYO1B.pdf</v>
      </c>
    </row>
    <row r="493" spans="1:28" x14ac:dyDescent="0.25">
      <c r="A493" t="s">
        <v>497</v>
      </c>
      <c r="B493">
        <v>0.99334974765950101</v>
      </c>
      <c r="C493">
        <v>0.99542520738338902</v>
      </c>
      <c r="D493">
        <v>1.0461503286693601</v>
      </c>
      <c r="E493">
        <v>0.861565161898601</v>
      </c>
      <c r="F493">
        <v>0.54404258863211896</v>
      </c>
      <c r="G493">
        <v>0.34178339540810199</v>
      </c>
      <c r="H493">
        <v>0.215434618425274</v>
      </c>
      <c r="I493">
        <v>0.19439974135579599</v>
      </c>
      <c r="J493">
        <v>0.19803232527470699</v>
      </c>
      <c r="K493">
        <v>0.15816385049238399</v>
      </c>
      <c r="L493">
        <v>1340.6444108687699</v>
      </c>
      <c r="M493">
        <v>25.3613323882036</v>
      </c>
      <c r="N493">
        <v>53.855750746719899</v>
      </c>
      <c r="O493">
        <v>52.5363731969219</v>
      </c>
      <c r="P493">
        <v>-9.8129850358618098E-2</v>
      </c>
      <c r="Q493">
        <v>0.18690060797310901</v>
      </c>
      <c r="R493">
        <v>0.99337000118135599</v>
      </c>
      <c r="S493" t="s">
        <v>6354</v>
      </c>
      <c r="T493" t="s">
        <v>11720</v>
      </c>
      <c r="U493" t="s">
        <v>11720</v>
      </c>
      <c r="V493" t="s">
        <v>11720</v>
      </c>
      <c r="W493" t="s">
        <v>12204</v>
      </c>
      <c r="X493">
        <v>7</v>
      </c>
      <c r="Y493" t="s">
        <v>18003</v>
      </c>
      <c r="Z493" t="s">
        <v>23700</v>
      </c>
      <c r="AA493">
        <v>0.54277552544215368</v>
      </c>
      <c r="AB493" t="str">
        <f>HYPERLINK("Melting_Curves/meltCurve_E9PDN5_DMD.pdf", "Melting_Curves/meltCurve_E9PDN5_DMD.pdf")</f>
        <v>Melting_Curves/meltCurve_E9PDN5_DMD.pdf</v>
      </c>
    </row>
    <row r="494" spans="1:28" x14ac:dyDescent="0.25">
      <c r="A494" t="s">
        <v>498</v>
      </c>
      <c r="B494">
        <v>0.99334974765950101</v>
      </c>
      <c r="C494">
        <v>0.95116969003104301</v>
      </c>
      <c r="D494">
        <v>1.0729253180426701</v>
      </c>
      <c r="E494">
        <v>0.88773266346633195</v>
      </c>
      <c r="F494">
        <v>0.27201528320888801</v>
      </c>
      <c r="G494">
        <v>0.21033612934658999</v>
      </c>
      <c r="H494">
        <v>0.144317950761884</v>
      </c>
      <c r="I494">
        <v>0.12414996099603801</v>
      </c>
      <c r="J494">
        <v>0.117885358529161</v>
      </c>
      <c r="K494">
        <v>0.116139801841371</v>
      </c>
      <c r="L494">
        <v>3164.5337893247101</v>
      </c>
      <c r="M494">
        <v>61.405625392554199</v>
      </c>
      <c r="N494">
        <v>51.8159928511676</v>
      </c>
      <c r="O494">
        <v>51.480343647445999</v>
      </c>
      <c r="P494">
        <v>-0.255959859239765</v>
      </c>
      <c r="Q494">
        <v>0.141648896365481</v>
      </c>
      <c r="R494">
        <v>0.99151495996706496</v>
      </c>
      <c r="S494" t="s">
        <v>6355</v>
      </c>
      <c r="T494" t="s">
        <v>11720</v>
      </c>
      <c r="U494" t="s">
        <v>11720</v>
      </c>
      <c r="V494" t="s">
        <v>11720</v>
      </c>
      <c r="W494" t="s">
        <v>12205</v>
      </c>
      <c r="X494">
        <v>15</v>
      </c>
      <c r="Y494" t="s">
        <v>18004</v>
      </c>
      <c r="Z494" t="s">
        <v>23701</v>
      </c>
      <c r="AA494">
        <v>0.47297375534058922</v>
      </c>
      <c r="AB494" t="str">
        <f>HYPERLINK("Melting_Curves/meltCurve_E9PDX3_KIF13A.pdf", "Melting_Curves/meltCurve_E9PDX3_KIF13A.pdf")</f>
        <v>Melting_Curves/meltCurve_E9PDX3_KIF13A.pdf</v>
      </c>
    </row>
    <row r="495" spans="1:28" x14ac:dyDescent="0.25">
      <c r="A495" t="s">
        <v>499</v>
      </c>
      <c r="B495">
        <v>0.99334974765950101</v>
      </c>
      <c r="C495">
        <v>0.992187365579136</v>
      </c>
      <c r="D495">
        <v>1.14532246895876</v>
      </c>
      <c r="E495">
        <v>0.96889915815996497</v>
      </c>
      <c r="F495">
        <v>0.68278196482491904</v>
      </c>
      <c r="G495">
        <v>0.70159001089709305</v>
      </c>
      <c r="H495">
        <v>0.63086123942449801</v>
      </c>
      <c r="I495">
        <v>0.72953850403841303</v>
      </c>
      <c r="J495">
        <v>0.717808147010494</v>
      </c>
      <c r="K495">
        <v>0.68316189348465095</v>
      </c>
      <c r="L495">
        <v>12609.508103730001</v>
      </c>
      <c r="M495">
        <v>250</v>
      </c>
      <c r="O495">
        <v>50.434821415608901</v>
      </c>
      <c r="P495">
        <v>-0.38297376758798601</v>
      </c>
      <c r="Q495">
        <v>0.69095668496264695</v>
      </c>
      <c r="R495">
        <v>0.90702477857625297</v>
      </c>
      <c r="S495" t="s">
        <v>6356</v>
      </c>
      <c r="T495" t="s">
        <v>11720</v>
      </c>
      <c r="U495" t="s">
        <v>11720</v>
      </c>
      <c r="V495" t="s">
        <v>11720</v>
      </c>
      <c r="W495" t="s">
        <v>12206</v>
      </c>
      <c r="X495">
        <v>1</v>
      </c>
      <c r="Y495" t="s">
        <v>18005</v>
      </c>
      <c r="Z495" t="s">
        <v>23702</v>
      </c>
      <c r="AA495">
        <v>0.79851084551284013</v>
      </c>
      <c r="AB495" t="str">
        <f>HYPERLINK("Melting_Curves/meltCurve_E9PEE8_ITGB6.pdf", "Melting_Curves/meltCurve_E9PEE8_ITGB6.pdf")</f>
        <v>Melting_Curves/meltCurve_E9PEE8_ITGB6.pdf</v>
      </c>
    </row>
    <row r="496" spans="1:28" x14ac:dyDescent="0.25">
      <c r="A496" t="s">
        <v>500</v>
      </c>
      <c r="B496">
        <v>0.99334974765950101</v>
      </c>
      <c r="C496">
        <v>0.87867287842016795</v>
      </c>
      <c r="D496">
        <v>0.81577543011562104</v>
      </c>
      <c r="E496">
        <v>0.82475187083846202</v>
      </c>
      <c r="F496">
        <v>0.97142661737808</v>
      </c>
      <c r="G496">
        <v>0.75516256448213004</v>
      </c>
      <c r="H496">
        <v>0.79543912224964897</v>
      </c>
      <c r="I496">
        <v>1.46908983684207</v>
      </c>
      <c r="J496">
        <v>1.01878830684542</v>
      </c>
      <c r="K496">
        <v>0.78508093849945704</v>
      </c>
      <c r="L496">
        <v>15000</v>
      </c>
      <c r="M496">
        <v>212.99017664735399</v>
      </c>
      <c r="Q496">
        <v>0</v>
      </c>
      <c r="R496">
        <v>-4.3951355372175999E-3</v>
      </c>
      <c r="S496" t="s">
        <v>6357</v>
      </c>
      <c r="T496" t="s">
        <v>11720</v>
      </c>
      <c r="U496" t="s">
        <v>11720</v>
      </c>
      <c r="V496" t="s">
        <v>11720</v>
      </c>
      <c r="W496" t="s">
        <v>12207</v>
      </c>
      <c r="X496">
        <v>3</v>
      </c>
      <c r="Y496" t="s">
        <v>18006</v>
      </c>
      <c r="Z496" t="s">
        <v>23703</v>
      </c>
      <c r="AA496">
        <v>0.99739100940437631</v>
      </c>
      <c r="AB496" t="str">
        <f>HYPERLINK("Melting_Curves/meltCurve_E9PEH6_SGCE.pdf", "Melting_Curves/meltCurve_E9PEH6_SGCE.pdf")</f>
        <v>Melting_Curves/meltCurve_E9PEH6_SGCE.pdf</v>
      </c>
    </row>
    <row r="497" spans="1:28" x14ac:dyDescent="0.25">
      <c r="A497" t="s">
        <v>501</v>
      </c>
      <c r="B497">
        <v>0.99334974765950101</v>
      </c>
      <c r="C497">
        <v>0.971000971354958</v>
      </c>
      <c r="D497">
        <v>1.0824965010002701</v>
      </c>
      <c r="E497">
        <v>1.02874994681313</v>
      </c>
      <c r="F497">
        <v>0.43304467851425099</v>
      </c>
      <c r="G497">
        <v>0.203675467561789</v>
      </c>
      <c r="H497">
        <v>0.14256689319402799</v>
      </c>
      <c r="I497">
        <v>0.121185601551879</v>
      </c>
      <c r="J497">
        <v>8.88570814707067E-2</v>
      </c>
      <c r="K497">
        <v>6.7203422760579695E-2</v>
      </c>
      <c r="L497">
        <v>13217.720120284701</v>
      </c>
      <c r="M497">
        <v>250</v>
      </c>
      <c r="N497">
        <v>52.931635757814298</v>
      </c>
      <c r="O497">
        <v>52.8675177186268</v>
      </c>
      <c r="P497">
        <v>-1.0347831413192301</v>
      </c>
      <c r="Q497">
        <v>0.124697683456371</v>
      </c>
      <c r="R497">
        <v>0.98908226829896995</v>
      </c>
      <c r="S497" t="s">
        <v>6358</v>
      </c>
      <c r="T497" t="s">
        <v>11720</v>
      </c>
      <c r="U497" t="s">
        <v>11720</v>
      </c>
      <c r="V497" t="s">
        <v>11720</v>
      </c>
      <c r="W497" t="s">
        <v>12208</v>
      </c>
      <c r="X497">
        <v>17</v>
      </c>
      <c r="Y497" t="s">
        <v>18007</v>
      </c>
      <c r="Z497" t="s">
        <v>23704</v>
      </c>
      <c r="AA497">
        <v>0.50030928400332964</v>
      </c>
      <c r="AB497" t="str">
        <f>HYPERLINK("Melting_Curves/meltCurve_E9PEN8_XPO7.pdf", "Melting_Curves/meltCurve_E9PEN8_XPO7.pdf")</f>
        <v>Melting_Curves/meltCurve_E9PEN8_XPO7.pdf</v>
      </c>
    </row>
    <row r="498" spans="1:28" x14ac:dyDescent="0.25">
      <c r="A498" t="s">
        <v>502</v>
      </c>
      <c r="B498">
        <v>0.99334974765950101</v>
      </c>
      <c r="C498">
        <v>0.97976902525097498</v>
      </c>
      <c r="D498">
        <v>0.99126963076706198</v>
      </c>
      <c r="E498">
        <v>0.85220916351385101</v>
      </c>
      <c r="F498">
        <v>0.827847745270063</v>
      </c>
      <c r="G498">
        <v>0.61529963718414904</v>
      </c>
      <c r="H498">
        <v>0.564369464106249</v>
      </c>
      <c r="I498">
        <v>0.71562533725655797</v>
      </c>
      <c r="J498">
        <v>0.64377907940085</v>
      </c>
      <c r="K498">
        <v>0.548479744288075</v>
      </c>
      <c r="L498">
        <v>1112.9523900970401</v>
      </c>
      <c r="M498">
        <v>21.310552171510899</v>
      </c>
      <c r="O498">
        <v>51.772061274408102</v>
      </c>
      <c r="P498">
        <v>-4.05527775485039E-2</v>
      </c>
      <c r="Q498">
        <v>0.60593275711130601</v>
      </c>
      <c r="R498">
        <v>0.91025006151096399</v>
      </c>
      <c r="S498" t="s">
        <v>6359</v>
      </c>
      <c r="T498" t="s">
        <v>11720</v>
      </c>
      <c r="U498" t="s">
        <v>11720</v>
      </c>
      <c r="V498" t="s">
        <v>11720</v>
      </c>
      <c r="W498" t="s">
        <v>12209</v>
      </c>
      <c r="X498">
        <v>4</v>
      </c>
      <c r="Y498" t="s">
        <v>18008</v>
      </c>
      <c r="Z498" t="s">
        <v>23705</v>
      </c>
      <c r="AA498">
        <v>0.77138093841656119</v>
      </c>
      <c r="AB498" t="str">
        <f>HYPERLINK("Melting_Curves/meltCurve_E9PEP6_NRP1.pdf", "Melting_Curves/meltCurve_E9PEP6_NRP1.pdf")</f>
        <v>Melting_Curves/meltCurve_E9PEP6_NRP1.pdf</v>
      </c>
    </row>
    <row r="499" spans="1:28" x14ac:dyDescent="0.25">
      <c r="A499" t="s">
        <v>503</v>
      </c>
      <c r="B499">
        <v>0.99334974765950101</v>
      </c>
      <c r="C499">
        <v>0.91345136576469699</v>
      </c>
      <c r="D499">
        <v>0.931341477464671</v>
      </c>
      <c r="E499">
        <v>0.86344359536742499</v>
      </c>
      <c r="F499">
        <v>0.36466963988171502</v>
      </c>
      <c r="G499">
        <v>0.26070898526750402</v>
      </c>
      <c r="H499">
        <v>0.21608232208898501</v>
      </c>
      <c r="I499">
        <v>0.245466726574146</v>
      </c>
      <c r="J499">
        <v>0.18676205846365801</v>
      </c>
      <c r="K499">
        <v>0.13828136854645301</v>
      </c>
      <c r="L499">
        <v>2512.5865786518898</v>
      </c>
      <c r="M499">
        <v>48.740394550530098</v>
      </c>
      <c r="N499">
        <v>52.121133833288503</v>
      </c>
      <c r="O499">
        <v>51.4638391988899</v>
      </c>
      <c r="P499">
        <v>-0.18780904023755299</v>
      </c>
      <c r="Q499">
        <v>0.20678811533765701</v>
      </c>
      <c r="R499">
        <v>0.98232767314852798</v>
      </c>
      <c r="S499" t="s">
        <v>6360</v>
      </c>
      <c r="T499" t="s">
        <v>11720</v>
      </c>
      <c r="U499" t="s">
        <v>11720</v>
      </c>
      <c r="V499" t="s">
        <v>11720</v>
      </c>
      <c r="W499" t="s">
        <v>12210</v>
      </c>
      <c r="X499">
        <v>2</v>
      </c>
      <c r="Y499" t="s">
        <v>18009</v>
      </c>
      <c r="Z499" t="s">
        <v>23706</v>
      </c>
      <c r="AA499">
        <v>0.51408368108553149</v>
      </c>
      <c r="AB499" t="str">
        <f>HYPERLINK("Melting_Curves/meltCurve_E9PER1_DIP2A.pdf", "Melting_Curves/meltCurve_E9PER1_DIP2A.pdf")</f>
        <v>Melting_Curves/meltCurve_E9PER1_DIP2A.pdf</v>
      </c>
    </row>
    <row r="500" spans="1:28" x14ac:dyDescent="0.25">
      <c r="A500" t="s">
        <v>504</v>
      </c>
      <c r="B500">
        <v>0.99334974765950101</v>
      </c>
      <c r="C500">
        <v>0.96814281299397098</v>
      </c>
      <c r="D500">
        <v>0.92256598849425697</v>
      </c>
      <c r="E500">
        <v>0.55712251000111601</v>
      </c>
      <c r="F500">
        <v>0.222963098215958</v>
      </c>
      <c r="G500">
        <v>0.122670473933332</v>
      </c>
      <c r="H500">
        <v>0.10051088498669</v>
      </c>
      <c r="I500">
        <v>8.4937674766457E-2</v>
      </c>
      <c r="J500">
        <v>8.5849504004717206E-2</v>
      </c>
      <c r="K500">
        <v>6.9865441632909503E-2</v>
      </c>
      <c r="L500">
        <v>1418.61465276179</v>
      </c>
      <c r="M500">
        <v>28.351609978771499</v>
      </c>
      <c r="N500">
        <v>50.361458454875503</v>
      </c>
      <c r="O500">
        <v>49.789525787584601</v>
      </c>
      <c r="P500">
        <v>-0.13045806458144599</v>
      </c>
      <c r="Q500">
        <v>8.3594582155545702E-2</v>
      </c>
      <c r="R500">
        <v>0.99899305800922999</v>
      </c>
      <c r="S500" t="s">
        <v>6361</v>
      </c>
      <c r="T500" t="s">
        <v>11720</v>
      </c>
      <c r="U500" t="s">
        <v>11720</v>
      </c>
      <c r="V500" t="s">
        <v>11720</v>
      </c>
      <c r="W500" t="s">
        <v>12211</v>
      </c>
      <c r="X500">
        <v>12</v>
      </c>
      <c r="Y500" t="s">
        <v>18010</v>
      </c>
      <c r="Z500" t="s">
        <v>23707</v>
      </c>
      <c r="AA500">
        <v>0.39653530622412669</v>
      </c>
      <c r="AB500" t="str">
        <f>HYPERLINK("Melting_Curves/meltCurve_E9PER6_PDPK1.pdf", "Melting_Curves/meltCurve_E9PER6_PDPK1.pdf")</f>
        <v>Melting_Curves/meltCurve_E9PER6_PDPK1.pdf</v>
      </c>
    </row>
    <row r="501" spans="1:28" x14ac:dyDescent="0.25">
      <c r="A501" t="s">
        <v>505</v>
      </c>
      <c r="B501">
        <v>0.99334974765950101</v>
      </c>
      <c r="C501">
        <v>1.01963659401118</v>
      </c>
      <c r="D501">
        <v>1.1879207266441301</v>
      </c>
      <c r="E501">
        <v>0.45507097062513402</v>
      </c>
      <c r="F501">
        <v>0.28553947832565602</v>
      </c>
      <c r="G501">
        <v>0.170286558209681</v>
      </c>
      <c r="H501">
        <v>0.14239282600449901</v>
      </c>
      <c r="I501">
        <v>0.12176429678262</v>
      </c>
      <c r="J501">
        <v>0.12704020638044899</v>
      </c>
      <c r="K501">
        <v>9.9777614579590598E-2</v>
      </c>
      <c r="L501">
        <v>3284.2296593031301</v>
      </c>
      <c r="M501">
        <v>66.219522793892807</v>
      </c>
      <c r="N501">
        <v>49.874406559042697</v>
      </c>
      <c r="O501">
        <v>49.5509208589461</v>
      </c>
      <c r="P501">
        <v>-0.28249091001208698</v>
      </c>
      <c r="Q501">
        <v>0.15446802888109901</v>
      </c>
      <c r="R501">
        <v>0.96636555877142905</v>
      </c>
      <c r="S501" t="s">
        <v>6362</v>
      </c>
      <c r="T501" t="s">
        <v>11720</v>
      </c>
      <c r="U501" t="s">
        <v>11720</v>
      </c>
      <c r="V501" t="s">
        <v>11720</v>
      </c>
      <c r="W501" t="s">
        <v>12212</v>
      </c>
      <c r="X501">
        <v>25</v>
      </c>
      <c r="Y501" t="s">
        <v>18011</v>
      </c>
      <c r="Z501" t="s">
        <v>23708</v>
      </c>
      <c r="AA501">
        <v>0.42598022121576828</v>
      </c>
      <c r="AB501" t="str">
        <f>HYPERLINK("Melting_Curves/meltCurve_E9PEZ3_DIAPH1.pdf", "Melting_Curves/meltCurve_E9PEZ3_DIAPH1.pdf")</f>
        <v>Melting_Curves/meltCurve_E9PEZ3_DIAPH1.pdf</v>
      </c>
    </row>
    <row r="502" spans="1:28" x14ac:dyDescent="0.25">
      <c r="A502" t="s">
        <v>506</v>
      </c>
      <c r="B502">
        <v>0.99334974765950101</v>
      </c>
      <c r="C502">
        <v>1.0360195240569099</v>
      </c>
      <c r="D502">
        <v>0.974098458132858</v>
      </c>
      <c r="E502">
        <v>0.81808214506253696</v>
      </c>
      <c r="F502">
        <v>0.30853098883326202</v>
      </c>
      <c r="G502">
        <v>0.191669618219767</v>
      </c>
      <c r="H502">
        <v>0.16202432462865801</v>
      </c>
      <c r="I502">
        <v>0.13623052619578399</v>
      </c>
      <c r="J502">
        <v>0.116073947709411</v>
      </c>
      <c r="K502">
        <v>9.1766343637209896E-2</v>
      </c>
      <c r="L502">
        <v>2306.5805721204101</v>
      </c>
      <c r="M502">
        <v>44.848130064940399</v>
      </c>
      <c r="N502">
        <v>51.797555389614601</v>
      </c>
      <c r="O502">
        <v>51.328976786600599</v>
      </c>
      <c r="P502">
        <v>-0.188728948869477</v>
      </c>
      <c r="Q502">
        <v>0.135995101888014</v>
      </c>
      <c r="R502">
        <v>0.99551266794495297</v>
      </c>
      <c r="S502" t="s">
        <v>6363</v>
      </c>
      <c r="T502" t="s">
        <v>11720</v>
      </c>
      <c r="U502" t="s">
        <v>11720</v>
      </c>
      <c r="V502" t="s">
        <v>11720</v>
      </c>
      <c r="W502" t="s">
        <v>12213</v>
      </c>
      <c r="X502">
        <v>15</v>
      </c>
      <c r="Y502" t="s">
        <v>18012</v>
      </c>
      <c r="Z502" t="s">
        <v>23709</v>
      </c>
      <c r="AA502">
        <v>0.46764672297792848</v>
      </c>
      <c r="AB502" t="str">
        <f>HYPERLINK("Melting_Curves/meltCurve_E9PF10_NUP155.pdf", "Melting_Curves/meltCurve_E9PF10_NUP155.pdf")</f>
        <v>Melting_Curves/meltCurve_E9PF10_NUP155.pdf</v>
      </c>
    </row>
    <row r="503" spans="1:28" x14ac:dyDescent="0.25">
      <c r="A503" t="s">
        <v>507</v>
      </c>
      <c r="B503">
        <v>0.99334974765950101</v>
      </c>
      <c r="C503">
        <v>0.97155269002446398</v>
      </c>
      <c r="D503">
        <v>0.86318171575191405</v>
      </c>
      <c r="E503">
        <v>0.51118463488791899</v>
      </c>
      <c r="F503">
        <v>0.25583548894295399</v>
      </c>
      <c r="G503">
        <v>0.20116431215664399</v>
      </c>
      <c r="H503">
        <v>0.14307939302651401</v>
      </c>
      <c r="I503">
        <v>0.120182082956868</v>
      </c>
      <c r="J503">
        <v>0.120431657752667</v>
      </c>
      <c r="K503">
        <v>9.4973822224518806E-2</v>
      </c>
      <c r="L503">
        <v>1103.5527554847799</v>
      </c>
      <c r="M503">
        <v>22.318752870719901</v>
      </c>
      <c r="N503">
        <v>50.0560376118802</v>
      </c>
      <c r="O503">
        <v>49.053251407955798</v>
      </c>
      <c r="P503">
        <v>-0.100187936023634</v>
      </c>
      <c r="Q503">
        <v>0.11922627142325801</v>
      </c>
      <c r="R503">
        <v>0.99770679129324003</v>
      </c>
      <c r="S503" t="s">
        <v>6364</v>
      </c>
      <c r="T503" t="s">
        <v>11720</v>
      </c>
      <c r="U503" t="s">
        <v>11720</v>
      </c>
      <c r="V503" t="s">
        <v>11720</v>
      </c>
      <c r="W503" t="s">
        <v>12214</v>
      </c>
      <c r="X503">
        <v>17</v>
      </c>
      <c r="Y503" t="s">
        <v>18013</v>
      </c>
      <c r="Z503" t="s">
        <v>23710</v>
      </c>
      <c r="AA503">
        <v>0.40638696281822068</v>
      </c>
      <c r="AB503" t="str">
        <f>HYPERLINK("Melting_Curves/meltCurve_E9PF16_ACSF2.pdf", "Melting_Curves/meltCurve_E9PF16_ACSF2.pdf")</f>
        <v>Melting_Curves/meltCurve_E9PF16_ACSF2.pdf</v>
      </c>
    </row>
    <row r="504" spans="1:28" x14ac:dyDescent="0.25">
      <c r="A504" t="s">
        <v>508</v>
      </c>
      <c r="B504">
        <v>0.99334974765950101</v>
      </c>
      <c r="C504">
        <v>1.0349614295184399</v>
      </c>
      <c r="D504">
        <v>0.98743824915724099</v>
      </c>
      <c r="E504">
        <v>0.88538467485341099</v>
      </c>
      <c r="F504">
        <v>0.67777862308572701</v>
      </c>
      <c r="G504">
        <v>0.16164261707733299</v>
      </c>
      <c r="H504">
        <v>0.10964954573905999</v>
      </c>
      <c r="I504">
        <v>8.6215072736476606E-2</v>
      </c>
      <c r="J504">
        <v>8.6524013740727101E-2</v>
      </c>
      <c r="K504">
        <v>6.5963741024077593E-2</v>
      </c>
      <c r="L504">
        <v>1838.4985830333101</v>
      </c>
      <c r="M504">
        <v>34.192060133066498</v>
      </c>
      <c r="N504">
        <v>54.032550609716701</v>
      </c>
      <c r="O504">
        <v>53.586825071369802</v>
      </c>
      <c r="P504">
        <v>-0.147297800466234</v>
      </c>
      <c r="Q504">
        <v>7.6605423895410502E-2</v>
      </c>
      <c r="R504">
        <v>0.99652642633492705</v>
      </c>
      <c r="S504" t="s">
        <v>6365</v>
      </c>
      <c r="T504" t="s">
        <v>11720</v>
      </c>
      <c r="U504" t="s">
        <v>11720</v>
      </c>
      <c r="V504" t="s">
        <v>11720</v>
      </c>
      <c r="W504" t="s">
        <v>12215</v>
      </c>
      <c r="X504">
        <v>16</v>
      </c>
      <c r="Y504" t="s">
        <v>18014</v>
      </c>
      <c r="Z504" t="s">
        <v>23711</v>
      </c>
      <c r="AA504">
        <v>0.50511782444153319</v>
      </c>
      <c r="AB504" t="str">
        <f>HYPERLINK("Melting_Curves/meltCurve_E9PF18_HADH.pdf", "Melting_Curves/meltCurve_E9PF18_HADH.pdf")</f>
        <v>Melting_Curves/meltCurve_E9PF18_HADH.pdf</v>
      </c>
    </row>
    <row r="505" spans="1:28" x14ac:dyDescent="0.25">
      <c r="A505" t="s">
        <v>509</v>
      </c>
      <c r="B505">
        <v>0.99334974765950101</v>
      </c>
      <c r="C505">
        <v>1.05819101281892</v>
      </c>
      <c r="D505">
        <v>0.79754682233177498</v>
      </c>
      <c r="E505">
        <v>0.62703936705779795</v>
      </c>
      <c r="F505">
        <v>0.42256458155044502</v>
      </c>
      <c r="G505">
        <v>0.23486816530665799</v>
      </c>
      <c r="H505">
        <v>0.18672500006450701</v>
      </c>
      <c r="I505">
        <v>0.16508029664095</v>
      </c>
      <c r="J505">
        <v>0.177905995115715</v>
      </c>
      <c r="K505">
        <v>0.15963948065536901</v>
      </c>
      <c r="L505">
        <v>873.77845246838001</v>
      </c>
      <c r="M505">
        <v>17.313781721385102</v>
      </c>
      <c r="N505">
        <v>51.536512349875203</v>
      </c>
      <c r="O505">
        <v>49.808408286456299</v>
      </c>
      <c r="P505">
        <v>-7.3793373251936203E-2</v>
      </c>
      <c r="Q505">
        <v>0.150891716539587</v>
      </c>
      <c r="R505">
        <v>0.98689502219609004</v>
      </c>
      <c r="S505" t="s">
        <v>6366</v>
      </c>
      <c r="T505" t="s">
        <v>11720</v>
      </c>
      <c r="U505" t="s">
        <v>11720</v>
      </c>
      <c r="V505" t="s">
        <v>11720</v>
      </c>
      <c r="W505" t="s">
        <v>12216</v>
      </c>
      <c r="X505">
        <v>2</v>
      </c>
      <c r="Y505" t="s">
        <v>18015</v>
      </c>
      <c r="Z505" t="s">
        <v>23712</v>
      </c>
      <c r="AA505">
        <v>0.46261674407377229</v>
      </c>
      <c r="AB505" t="str">
        <f>HYPERLINK("Melting_Curves/meltCurve_E9PF19_TBL2.pdf", "Melting_Curves/meltCurve_E9PF19_TBL2.pdf")</f>
        <v>Melting_Curves/meltCurve_E9PF19_TBL2.pdf</v>
      </c>
    </row>
    <row r="506" spans="1:28" x14ac:dyDescent="0.25">
      <c r="A506" t="s">
        <v>510</v>
      </c>
      <c r="B506">
        <v>0.99334974765950101</v>
      </c>
      <c r="C506">
        <v>0.98998731240492699</v>
      </c>
      <c r="D506">
        <v>0.80552566413026905</v>
      </c>
      <c r="E506">
        <v>0.43012961614290501</v>
      </c>
      <c r="F506">
        <v>0.32449695641635101</v>
      </c>
      <c r="G506">
        <v>0.23645041489409199</v>
      </c>
      <c r="H506">
        <v>0.16573373486860399</v>
      </c>
      <c r="I506">
        <v>0.14276774873939399</v>
      </c>
      <c r="J506">
        <v>0.17619140890941501</v>
      </c>
      <c r="K506">
        <v>0</v>
      </c>
      <c r="L506">
        <v>885.342735239479</v>
      </c>
      <c r="M506">
        <v>18.049492078206399</v>
      </c>
      <c r="N506">
        <v>49.800635123297099</v>
      </c>
      <c r="O506">
        <v>48.460635786715301</v>
      </c>
      <c r="P506">
        <v>-8.2039635452049897E-2</v>
      </c>
      <c r="Q506">
        <v>0.11897832944067099</v>
      </c>
      <c r="R506">
        <v>0.97769215757874695</v>
      </c>
      <c r="S506" t="s">
        <v>6367</v>
      </c>
      <c r="T506" t="s">
        <v>11720</v>
      </c>
      <c r="U506" t="s">
        <v>11720</v>
      </c>
      <c r="V506" t="s">
        <v>11720</v>
      </c>
      <c r="W506" t="s">
        <v>12217</v>
      </c>
      <c r="X506">
        <v>56</v>
      </c>
      <c r="Y506" t="s">
        <v>17944</v>
      </c>
      <c r="Z506" t="s">
        <v>23713</v>
      </c>
      <c r="AA506">
        <v>0.39994032713791522</v>
      </c>
      <c r="AB506" t="str">
        <f>HYPERLINK("Melting_Curves/meltCurve_E9PF55_TNS1.pdf", "Melting_Curves/meltCurve_E9PF55_TNS1.pdf")</f>
        <v>Melting_Curves/meltCurve_E9PF55_TNS1.pdf</v>
      </c>
    </row>
    <row r="507" spans="1:28" x14ac:dyDescent="0.25">
      <c r="A507" t="s">
        <v>511</v>
      </c>
      <c r="B507">
        <v>0.99334974765950101</v>
      </c>
      <c r="C507">
        <v>0.91233396365771902</v>
      </c>
      <c r="D507">
        <v>1.2148235905426401</v>
      </c>
      <c r="E507">
        <v>0.91094081113665704</v>
      </c>
      <c r="F507">
        <v>0.34809512358521699</v>
      </c>
      <c r="G507">
        <v>0.182740938184135</v>
      </c>
      <c r="H507">
        <v>0.113935315952645</v>
      </c>
      <c r="I507">
        <v>0.13534990141337799</v>
      </c>
      <c r="J507">
        <v>0.122488430673101</v>
      </c>
      <c r="K507">
        <v>8.7217600524090597E-2</v>
      </c>
      <c r="L507">
        <v>2857.6744294001501</v>
      </c>
      <c r="M507">
        <v>54.979495090482402</v>
      </c>
      <c r="N507">
        <v>52.254193282032801</v>
      </c>
      <c r="O507">
        <v>51.908465240349898</v>
      </c>
      <c r="P507">
        <v>-0.23130857303952801</v>
      </c>
      <c r="Q507">
        <v>0.126447711574245</v>
      </c>
      <c r="R507">
        <v>0.967753158636248</v>
      </c>
      <c r="S507" t="s">
        <v>6368</v>
      </c>
      <c r="T507" t="s">
        <v>11720</v>
      </c>
      <c r="U507" t="s">
        <v>11720</v>
      </c>
      <c r="V507" t="s">
        <v>11720</v>
      </c>
      <c r="W507" t="s">
        <v>12218</v>
      </c>
      <c r="X507">
        <v>6</v>
      </c>
      <c r="Y507" t="s">
        <v>18016</v>
      </c>
      <c r="Z507" t="s">
        <v>23714</v>
      </c>
      <c r="AA507">
        <v>0.47685647638676282</v>
      </c>
      <c r="AB507" t="str">
        <f>HYPERLINK("Melting_Curves/meltCurve_E9PFH7_MAPK8IP3.pdf", "Melting_Curves/meltCurve_E9PFH7_MAPK8IP3.pdf")</f>
        <v>Melting_Curves/meltCurve_E9PFH7_MAPK8IP3.pdf</v>
      </c>
    </row>
    <row r="508" spans="1:28" x14ac:dyDescent="0.25">
      <c r="A508" t="s">
        <v>512</v>
      </c>
      <c r="B508">
        <v>0.99334974765950101</v>
      </c>
      <c r="C508">
        <v>1.00000369162883</v>
      </c>
      <c r="D508">
        <v>0.91870919474673096</v>
      </c>
      <c r="E508">
        <v>0.75381065936687397</v>
      </c>
      <c r="F508">
        <v>0.465629123326677</v>
      </c>
      <c r="G508">
        <v>0.30193230036731999</v>
      </c>
      <c r="H508">
        <v>0.14257734949505299</v>
      </c>
      <c r="I508">
        <v>0.121651985983349</v>
      </c>
      <c r="J508">
        <v>0.140636093081491</v>
      </c>
      <c r="K508">
        <v>0.119571793283775</v>
      </c>
      <c r="L508">
        <v>976.95394019156095</v>
      </c>
      <c r="M508">
        <v>18.697956188513601</v>
      </c>
      <c r="N508">
        <v>52.950477125640496</v>
      </c>
      <c r="O508">
        <v>51.662596944567703</v>
      </c>
      <c r="P508">
        <v>-8.05613034377054E-2</v>
      </c>
      <c r="Q508">
        <v>0.109671798623656</v>
      </c>
      <c r="R508">
        <v>0.99663154596422798</v>
      </c>
      <c r="S508" t="s">
        <v>6369</v>
      </c>
      <c r="T508" t="s">
        <v>11720</v>
      </c>
      <c r="U508" t="s">
        <v>11720</v>
      </c>
      <c r="V508" t="s">
        <v>11720</v>
      </c>
      <c r="W508" t="s">
        <v>12219</v>
      </c>
      <c r="X508">
        <v>20</v>
      </c>
      <c r="Y508" t="s">
        <v>18017</v>
      </c>
      <c r="Z508" t="s">
        <v>23715</v>
      </c>
      <c r="AA508">
        <v>0.487039613469535</v>
      </c>
      <c r="AB508" t="str">
        <f>HYPERLINK("Melting_Curves/meltCurve_E9PFK9_RABGEF1.pdf", "Melting_Curves/meltCurve_E9PFK9_RABGEF1.pdf")</f>
        <v>Melting_Curves/meltCurve_E9PFK9_RABGEF1.pdf</v>
      </c>
    </row>
    <row r="509" spans="1:28" x14ac:dyDescent="0.25">
      <c r="A509" t="s">
        <v>513</v>
      </c>
      <c r="B509">
        <v>0.99334974765950101</v>
      </c>
      <c r="C509">
        <v>0.96550339062221602</v>
      </c>
      <c r="D509">
        <v>0.94400579382494498</v>
      </c>
      <c r="E509">
        <v>0.48607480488541699</v>
      </c>
      <c r="F509">
        <v>0.17144347872004501</v>
      </c>
      <c r="G509">
        <v>0.106509741559387</v>
      </c>
      <c r="H509">
        <v>9.0935014386031604E-2</v>
      </c>
      <c r="I509">
        <v>9.6029835452705506E-2</v>
      </c>
      <c r="J509">
        <v>0.11786656613076101</v>
      </c>
      <c r="K509">
        <v>0.17525437229615501</v>
      </c>
      <c r="L509">
        <v>1883.42884773372</v>
      </c>
      <c r="M509">
        <v>38.022027721221399</v>
      </c>
      <c r="N509">
        <v>49.876373470161703</v>
      </c>
      <c r="O509">
        <v>49.398775223776902</v>
      </c>
      <c r="P509">
        <v>-0.17039135384693599</v>
      </c>
      <c r="Q509">
        <v>0.114502504245035</v>
      </c>
      <c r="R509">
        <v>0.99567570987432796</v>
      </c>
      <c r="S509" t="s">
        <v>6370</v>
      </c>
      <c r="T509" t="s">
        <v>11720</v>
      </c>
      <c r="U509" t="s">
        <v>11720</v>
      </c>
      <c r="V509" t="s">
        <v>11720</v>
      </c>
      <c r="W509" t="s">
        <v>12220</v>
      </c>
      <c r="X509">
        <v>24</v>
      </c>
      <c r="Y509" t="s">
        <v>18018</v>
      </c>
      <c r="Z509" t="s">
        <v>23716</v>
      </c>
      <c r="AA509">
        <v>0.39931044128998072</v>
      </c>
      <c r="AB509" t="str">
        <f>HYPERLINK("Melting_Curves/meltCurve_E9PFR3_PPP2R5D.pdf", "Melting_Curves/meltCurve_E9PFR3_PPP2R5D.pdf")</f>
        <v>Melting_Curves/meltCurve_E9PFR3_PPP2R5D.pdf</v>
      </c>
    </row>
    <row r="510" spans="1:28" x14ac:dyDescent="0.25">
      <c r="A510" t="s">
        <v>514</v>
      </c>
      <c r="B510">
        <v>0.99334974765950101</v>
      </c>
      <c r="C510">
        <v>0.862568919142223</v>
      </c>
      <c r="D510">
        <v>0.64464495320402104</v>
      </c>
      <c r="E510">
        <v>0.45133458680466798</v>
      </c>
      <c r="F510">
        <v>0.452073353881014</v>
      </c>
      <c r="G510">
        <v>0.28302048025920001</v>
      </c>
      <c r="H510">
        <v>0.198995744831619</v>
      </c>
      <c r="I510">
        <v>0.20578034361105399</v>
      </c>
      <c r="J510">
        <v>0.22386113218183601</v>
      </c>
      <c r="K510">
        <v>9.9841447135292805E-2</v>
      </c>
      <c r="L510">
        <v>546.09520921445505</v>
      </c>
      <c r="M510">
        <v>11.2583240814729</v>
      </c>
      <c r="N510">
        <v>49.959884153110302</v>
      </c>
      <c r="O510">
        <v>47.051077469125303</v>
      </c>
      <c r="P510">
        <v>-5.1479213690622597E-2</v>
      </c>
      <c r="Q510">
        <v>0.13969240443678299</v>
      </c>
      <c r="R510">
        <v>0.97292509192362797</v>
      </c>
      <c r="S510" t="s">
        <v>6371</v>
      </c>
      <c r="T510" t="s">
        <v>11720</v>
      </c>
      <c r="U510" t="s">
        <v>11720</v>
      </c>
      <c r="V510" t="s">
        <v>11720</v>
      </c>
      <c r="W510" t="s">
        <v>12221</v>
      </c>
      <c r="X510">
        <v>2</v>
      </c>
      <c r="Y510" t="s">
        <v>18019</v>
      </c>
      <c r="Z510" t="s">
        <v>23717</v>
      </c>
      <c r="AA510">
        <v>0.41990432580865839</v>
      </c>
      <c r="AB510" t="str">
        <f>HYPERLINK("Melting_Curves/meltCurve_E9PG19_FCHSD2.pdf", "Melting_Curves/meltCurve_E9PG19_FCHSD2.pdf")</f>
        <v>Melting_Curves/meltCurve_E9PG19_FCHSD2.pdf</v>
      </c>
    </row>
    <row r="511" spans="1:28" x14ac:dyDescent="0.25">
      <c r="A511" t="s">
        <v>515</v>
      </c>
      <c r="B511">
        <v>0.99334974765950101</v>
      </c>
      <c r="C511">
        <v>0.90484919926261997</v>
      </c>
      <c r="D511">
        <v>0.76457837878093304</v>
      </c>
      <c r="E511">
        <v>0.54011425329809903</v>
      </c>
      <c r="F511">
        <v>0.21539032377998199</v>
      </c>
      <c r="G511">
        <v>0.17712867610335101</v>
      </c>
      <c r="H511">
        <v>0.12675495108981299</v>
      </c>
      <c r="I511">
        <v>0.15907896402374699</v>
      </c>
      <c r="J511">
        <v>0.170100769801449</v>
      </c>
      <c r="K511">
        <v>0.121552060288836</v>
      </c>
      <c r="L511">
        <v>906.02960186628798</v>
      </c>
      <c r="M511">
        <v>18.5739429855204</v>
      </c>
      <c r="N511">
        <v>49.564121530767999</v>
      </c>
      <c r="O511">
        <v>48.224719920752001</v>
      </c>
      <c r="P511">
        <v>-8.4028899186760098E-2</v>
      </c>
      <c r="Q511">
        <v>0.12735951980413099</v>
      </c>
      <c r="R511">
        <v>0.98657619325688095</v>
      </c>
      <c r="S511" t="s">
        <v>6372</v>
      </c>
      <c r="T511" t="s">
        <v>11720</v>
      </c>
      <c r="U511" t="s">
        <v>11720</v>
      </c>
      <c r="V511" t="s">
        <v>11720</v>
      </c>
      <c r="W511" t="s">
        <v>12222</v>
      </c>
      <c r="X511">
        <v>2</v>
      </c>
      <c r="Y511" t="s">
        <v>18020</v>
      </c>
      <c r="Z511" t="s">
        <v>23718</v>
      </c>
      <c r="AA511">
        <v>0.39698846805687737</v>
      </c>
      <c r="AB511" t="str">
        <f>HYPERLINK("Melting_Curves/meltCurve_E9PG22_CEP97.pdf", "Melting_Curves/meltCurve_E9PG22_CEP97.pdf")</f>
        <v>Melting_Curves/meltCurve_E9PG22_CEP97.pdf</v>
      </c>
    </row>
    <row r="512" spans="1:28" x14ac:dyDescent="0.25">
      <c r="A512" t="s">
        <v>516</v>
      </c>
      <c r="B512">
        <v>0.99334974765950101</v>
      </c>
      <c r="C512">
        <v>1.0000559129486799</v>
      </c>
      <c r="D512">
        <v>0.96580305497162</v>
      </c>
      <c r="E512">
        <v>0.971953276624551</v>
      </c>
      <c r="F512">
        <v>0.720015775173388</v>
      </c>
      <c r="G512">
        <v>0.46386812905070701</v>
      </c>
      <c r="H512">
        <v>0.305603895112871</v>
      </c>
      <c r="I512">
        <v>0.23701527710996501</v>
      </c>
      <c r="J512">
        <v>0.17363050868060501</v>
      </c>
      <c r="K512">
        <v>0.114195135323994</v>
      </c>
      <c r="L512">
        <v>1002.11589348296</v>
      </c>
      <c r="M512">
        <v>17.965432655029101</v>
      </c>
      <c r="N512">
        <v>56.720702874459697</v>
      </c>
      <c r="O512">
        <v>55.102882587100503</v>
      </c>
      <c r="P512">
        <v>-7.1013380302050899E-2</v>
      </c>
      <c r="Q512">
        <v>0.12880540012005601</v>
      </c>
      <c r="R512">
        <v>0.99253390002899899</v>
      </c>
      <c r="S512" t="s">
        <v>6373</v>
      </c>
      <c r="T512" t="s">
        <v>11720</v>
      </c>
      <c r="U512" t="s">
        <v>11720</v>
      </c>
      <c r="V512" t="s">
        <v>11720</v>
      </c>
      <c r="W512" t="s">
        <v>12223</v>
      </c>
      <c r="X512">
        <v>10</v>
      </c>
      <c r="Y512" t="s">
        <v>18021</v>
      </c>
      <c r="Z512" t="s">
        <v>23719</v>
      </c>
      <c r="AA512">
        <v>0.60008434630338814</v>
      </c>
      <c r="AB512" t="str">
        <f>HYPERLINK("Melting_Curves/meltCurve_E9PG71_EPHA4.pdf", "Melting_Curves/meltCurve_E9PG71_EPHA4.pdf")</f>
        <v>Melting_Curves/meltCurve_E9PG71_EPHA4.pdf</v>
      </c>
    </row>
    <row r="513" spans="1:28" x14ac:dyDescent="0.25">
      <c r="A513" t="s">
        <v>517</v>
      </c>
      <c r="B513">
        <v>0.99334974765950101</v>
      </c>
      <c r="C513">
        <v>0.872550673528806</v>
      </c>
      <c r="D513">
        <v>0.82888840678925302</v>
      </c>
      <c r="E513">
        <v>0.85854606441644399</v>
      </c>
      <c r="F513">
        <v>1.0407042729760301</v>
      </c>
      <c r="G513">
        <v>0.73706657984908697</v>
      </c>
      <c r="H513">
        <v>0.50526099819235004</v>
      </c>
      <c r="I513">
        <v>0.388427360867386</v>
      </c>
      <c r="J513">
        <v>0.54928214690482502</v>
      </c>
      <c r="K513">
        <v>0.53617569830867495</v>
      </c>
      <c r="L513">
        <v>9630.3309042525507</v>
      </c>
      <c r="M513">
        <v>169.03496359762801</v>
      </c>
      <c r="N513">
        <v>58.553020828727199</v>
      </c>
      <c r="O513">
        <v>56.964445914176501</v>
      </c>
      <c r="P513">
        <v>-0.37479108759359397</v>
      </c>
      <c r="Q513">
        <v>0.49478460463181201</v>
      </c>
      <c r="R513">
        <v>0.81478874833414705</v>
      </c>
      <c r="S513" t="s">
        <v>6374</v>
      </c>
      <c r="T513" t="s">
        <v>11720</v>
      </c>
      <c r="U513" t="s">
        <v>11720</v>
      </c>
      <c r="V513" t="s">
        <v>11720</v>
      </c>
      <c r="W513" t="s">
        <v>12224</v>
      </c>
      <c r="X513">
        <v>3</v>
      </c>
      <c r="Y513" t="s">
        <v>18022</v>
      </c>
      <c r="Z513" t="s">
        <v>23720</v>
      </c>
      <c r="AA513">
        <v>0.7807193874260403</v>
      </c>
      <c r="AB513" t="str">
        <f>HYPERLINK("Melting_Curves/meltCurve_E9PGB5_SFXN4.pdf", "Melting_Curves/meltCurve_E9PGB5_SFXN4.pdf")</f>
        <v>Melting_Curves/meltCurve_E9PGB5_SFXN4.pdf</v>
      </c>
    </row>
    <row r="514" spans="1:28" x14ac:dyDescent="0.25">
      <c r="A514" t="s">
        <v>518</v>
      </c>
      <c r="B514">
        <v>0.99334974765950101</v>
      </c>
      <c r="C514">
        <v>0.99752468171081399</v>
      </c>
      <c r="D514">
        <v>0.94644874287953595</v>
      </c>
      <c r="E514">
        <v>0.44506333745542198</v>
      </c>
      <c r="F514">
        <v>0.17225168330354701</v>
      </c>
      <c r="G514">
        <v>0.120867533419751</v>
      </c>
      <c r="H514">
        <v>9.0242806923174698E-2</v>
      </c>
      <c r="I514">
        <v>7.3701766926004594E-2</v>
      </c>
      <c r="J514">
        <v>7.2540878625848806E-2</v>
      </c>
      <c r="K514">
        <v>6.0487423052608097E-2</v>
      </c>
      <c r="L514">
        <v>1697.02152916249</v>
      </c>
      <c r="M514">
        <v>34.3312905076371</v>
      </c>
      <c r="N514">
        <v>49.6897132174389</v>
      </c>
      <c r="O514">
        <v>49.263939445434502</v>
      </c>
      <c r="P514">
        <v>-0.15995066888471701</v>
      </c>
      <c r="Q514">
        <v>8.1913904268851007E-2</v>
      </c>
      <c r="R514">
        <v>0.99881852338802601</v>
      </c>
      <c r="S514" t="s">
        <v>6375</v>
      </c>
      <c r="T514" t="s">
        <v>11720</v>
      </c>
      <c r="U514" t="s">
        <v>11720</v>
      </c>
      <c r="V514" t="s">
        <v>11720</v>
      </c>
      <c r="W514" t="s">
        <v>12225</v>
      </c>
      <c r="X514">
        <v>24</v>
      </c>
      <c r="Y514" t="s">
        <v>18023</v>
      </c>
      <c r="Z514" t="s">
        <v>23721</v>
      </c>
      <c r="AA514">
        <v>0.37479965997578518</v>
      </c>
      <c r="AB514" t="str">
        <f>HYPERLINK("Melting_Curves/meltCurve_E9PGC0_RASA1.pdf", "Melting_Curves/meltCurve_E9PGC0_RASA1.pdf")</f>
        <v>Melting_Curves/meltCurve_E9PGC0_RASA1.pdf</v>
      </c>
    </row>
    <row r="515" spans="1:28" x14ac:dyDescent="0.25">
      <c r="A515" t="s">
        <v>519</v>
      </c>
      <c r="B515">
        <v>0.99334974765950101</v>
      </c>
      <c r="C515">
        <v>0.92357165462673296</v>
      </c>
      <c r="D515">
        <v>0.64528255270131496</v>
      </c>
      <c r="E515">
        <v>0.38562163127666399</v>
      </c>
      <c r="F515">
        <v>0.26387919937147802</v>
      </c>
      <c r="G515">
        <v>0.20522468767009</v>
      </c>
      <c r="H515">
        <v>0.138130574422447</v>
      </c>
      <c r="I515">
        <v>0.105007506623896</v>
      </c>
      <c r="J515">
        <v>0.121514464499082</v>
      </c>
      <c r="K515">
        <v>0.115453160102531</v>
      </c>
      <c r="L515">
        <v>816.24765546986998</v>
      </c>
      <c r="M515">
        <v>17.161760721809699</v>
      </c>
      <c r="N515">
        <v>48.335229109131802</v>
      </c>
      <c r="O515">
        <v>46.930321724235299</v>
      </c>
      <c r="P515">
        <v>-8.0451955084236207E-2</v>
      </c>
      <c r="Q515">
        <v>0.12004136494138901</v>
      </c>
      <c r="R515">
        <v>0.99404387324464905</v>
      </c>
      <c r="S515" t="s">
        <v>6376</v>
      </c>
      <c r="T515" t="s">
        <v>11720</v>
      </c>
      <c r="U515" t="s">
        <v>11720</v>
      </c>
      <c r="V515" t="s">
        <v>11720</v>
      </c>
      <c r="W515" t="s">
        <v>12217</v>
      </c>
      <c r="X515">
        <v>56</v>
      </c>
      <c r="Y515" t="s">
        <v>17944</v>
      </c>
      <c r="Z515" t="s">
        <v>23722</v>
      </c>
      <c r="AA515">
        <v>0.35937920354833708</v>
      </c>
      <c r="AB515" t="str">
        <f>HYPERLINK("Melting_Curves/meltCurve_E9PGF5_TNS1.pdf", "Melting_Curves/meltCurve_E9PGF5_TNS1.pdf")</f>
        <v>Melting_Curves/meltCurve_E9PGF5_TNS1.pdf</v>
      </c>
    </row>
    <row r="516" spans="1:28" x14ac:dyDescent="0.25">
      <c r="A516" t="s">
        <v>520</v>
      </c>
      <c r="B516">
        <v>0.99334974765950101</v>
      </c>
      <c r="C516">
        <v>0.97595559747589</v>
      </c>
      <c r="D516">
        <v>0.80605334521924099</v>
      </c>
      <c r="E516">
        <v>0.85832901500806702</v>
      </c>
      <c r="F516">
        <v>0.48661597396727002</v>
      </c>
      <c r="G516">
        <v>0.33474923619957903</v>
      </c>
      <c r="H516">
        <v>0.20557167735347201</v>
      </c>
      <c r="I516">
        <v>0.16943030624716801</v>
      </c>
      <c r="J516">
        <v>0.17458676811441001</v>
      </c>
      <c r="K516">
        <v>0.133689934214445</v>
      </c>
      <c r="L516">
        <v>829.16244997942795</v>
      </c>
      <c r="M516">
        <v>15.7077029241525</v>
      </c>
      <c r="N516">
        <v>53.7355792278967</v>
      </c>
      <c r="O516">
        <v>51.953643878586497</v>
      </c>
      <c r="P516">
        <v>-6.6438896793823699E-2</v>
      </c>
      <c r="Q516">
        <v>0.12108046800425</v>
      </c>
      <c r="R516">
        <v>0.97294022267032598</v>
      </c>
      <c r="S516" t="s">
        <v>6377</v>
      </c>
      <c r="T516" t="s">
        <v>11720</v>
      </c>
      <c r="U516" t="s">
        <v>11720</v>
      </c>
      <c r="V516" t="s">
        <v>11720</v>
      </c>
      <c r="W516" t="s">
        <v>12226</v>
      </c>
      <c r="X516">
        <v>4</v>
      </c>
      <c r="Y516" t="s">
        <v>18024</v>
      </c>
      <c r="Z516" t="s">
        <v>23723</v>
      </c>
      <c r="AA516">
        <v>0.51355236224135037</v>
      </c>
      <c r="AB516" t="str">
        <f>HYPERLINK("Melting_Curves/meltCurve_E9PGN7_SERPING1.pdf", "Melting_Curves/meltCurve_E9PGN7_SERPING1.pdf")</f>
        <v>Melting_Curves/meltCurve_E9PGN7_SERPING1.pdf</v>
      </c>
    </row>
    <row r="517" spans="1:28" x14ac:dyDescent="0.25">
      <c r="A517" t="s">
        <v>521</v>
      </c>
      <c r="B517">
        <v>0.99334974765950101</v>
      </c>
      <c r="C517">
        <v>1.0525344377011201</v>
      </c>
      <c r="D517">
        <v>1.10484337215213</v>
      </c>
      <c r="E517">
        <v>1.33580561011328</v>
      </c>
      <c r="F517">
        <v>1.4103370549985801</v>
      </c>
      <c r="G517">
        <v>1.7194862487353699</v>
      </c>
      <c r="H517">
        <v>1.58350169389048</v>
      </c>
      <c r="I517">
        <v>1.4540268488383501</v>
      </c>
      <c r="J517">
        <v>0.41189266771907501</v>
      </c>
      <c r="K517">
        <v>0.16397144041460401</v>
      </c>
      <c r="L517">
        <v>15000</v>
      </c>
      <c r="M517">
        <v>224.74319583184999</v>
      </c>
      <c r="N517">
        <v>66.861001523918404</v>
      </c>
      <c r="O517">
        <v>66.7375816290552</v>
      </c>
      <c r="P517">
        <v>-0.70392518959789596</v>
      </c>
      <c r="Q517">
        <v>0.16387682261338299</v>
      </c>
      <c r="R517">
        <v>0.39663365376466297</v>
      </c>
      <c r="S517" t="s">
        <v>6378</v>
      </c>
      <c r="T517" t="s">
        <v>11720</v>
      </c>
      <c r="U517" t="s">
        <v>11720</v>
      </c>
      <c r="V517" t="s">
        <v>11720</v>
      </c>
      <c r="W517" t="s">
        <v>12227</v>
      </c>
      <c r="X517">
        <v>15</v>
      </c>
      <c r="Y517" t="s">
        <v>18025</v>
      </c>
      <c r="Z517" t="s">
        <v>23724</v>
      </c>
      <c r="AA517">
        <v>0.90934146754643719</v>
      </c>
      <c r="AB517" t="str">
        <f>HYPERLINK("Melting_Curves/meltCurve_E9PGT1_TSN.pdf", "Melting_Curves/meltCurve_E9PGT1_TSN.pdf")</f>
        <v>Melting_Curves/meltCurve_E9PGT1_TSN.pdf</v>
      </c>
    </row>
    <row r="518" spans="1:28" x14ac:dyDescent="0.25">
      <c r="A518" t="s">
        <v>522</v>
      </c>
      <c r="B518">
        <v>0.99334974765950101</v>
      </c>
      <c r="C518">
        <v>0.99895533232718003</v>
      </c>
      <c r="D518">
        <v>1.0306612003214799</v>
      </c>
      <c r="E518">
        <v>1.17307863251439</v>
      </c>
      <c r="F518">
        <v>1.43331760995831</v>
      </c>
      <c r="G518">
        <v>1.14455748746693</v>
      </c>
      <c r="H518">
        <v>2.80120283246035</v>
      </c>
      <c r="I518">
        <v>2.4354443566405899</v>
      </c>
      <c r="J518">
        <v>0.79969749934683698</v>
      </c>
      <c r="K518">
        <v>0.39607149578481898</v>
      </c>
      <c r="L518">
        <v>1842.4596954513199</v>
      </c>
      <c r="M518">
        <v>36.254991187840403</v>
      </c>
      <c r="O518">
        <v>50.6656120399823</v>
      </c>
      <c r="P518">
        <v>8.9447027422386999E-2</v>
      </c>
      <c r="Q518">
        <v>1.5</v>
      </c>
      <c r="R518">
        <v>0.105633361957119</v>
      </c>
      <c r="S518" t="s">
        <v>6379</v>
      </c>
      <c r="T518" t="s">
        <v>11720</v>
      </c>
      <c r="U518" t="s">
        <v>11720</v>
      </c>
      <c r="V518" t="s">
        <v>11720</v>
      </c>
      <c r="W518" t="s">
        <v>12228</v>
      </c>
      <c r="X518">
        <v>5</v>
      </c>
      <c r="Y518" t="s">
        <v>18026</v>
      </c>
      <c r="Z518" t="s">
        <v>23725</v>
      </c>
      <c r="AA518">
        <v>1.3175341807341741</v>
      </c>
      <c r="AB518" t="str">
        <f>HYPERLINK("Melting_Curves/meltCurve_E9PGT6_COPS8.pdf", "Melting_Curves/meltCurve_E9PGT6_COPS8.pdf")</f>
        <v>Melting_Curves/meltCurve_E9PGT6_COPS8.pdf</v>
      </c>
    </row>
    <row r="519" spans="1:28" x14ac:dyDescent="0.25">
      <c r="A519" t="s">
        <v>523</v>
      </c>
      <c r="B519">
        <v>0.99334974765950101</v>
      </c>
      <c r="C519">
        <v>0.87054682465281197</v>
      </c>
      <c r="D519">
        <v>1.0074459339286801</v>
      </c>
      <c r="E519">
        <v>1.0442001265326</v>
      </c>
      <c r="F519">
        <v>1.2930839043015301</v>
      </c>
      <c r="G519">
        <v>1.81609478264666</v>
      </c>
      <c r="H519">
        <v>1.4668284537473499</v>
      </c>
      <c r="I519">
        <v>1.1848142658513601</v>
      </c>
      <c r="J519">
        <v>0.36227738442582702</v>
      </c>
      <c r="K519">
        <v>0.14251561350809699</v>
      </c>
      <c r="L519">
        <v>15000</v>
      </c>
      <c r="M519">
        <v>224.94519276145701</v>
      </c>
      <c r="N519">
        <v>66.782469840724104</v>
      </c>
      <c r="O519">
        <v>66.677620459372207</v>
      </c>
      <c r="P519">
        <v>-0.72326046600565397</v>
      </c>
      <c r="Q519">
        <v>0.14245243962679699</v>
      </c>
      <c r="R519">
        <v>0.52679431549808298</v>
      </c>
      <c r="S519" t="s">
        <v>6380</v>
      </c>
      <c r="T519" t="s">
        <v>11720</v>
      </c>
      <c r="U519" t="s">
        <v>11720</v>
      </c>
      <c r="V519" t="s">
        <v>11720</v>
      </c>
      <c r="W519" t="s">
        <v>12229</v>
      </c>
      <c r="X519">
        <v>13</v>
      </c>
      <c r="Y519" t="s">
        <v>18027</v>
      </c>
      <c r="Z519" t="s">
        <v>23726</v>
      </c>
      <c r="AA519">
        <v>0.90530498912433133</v>
      </c>
      <c r="AB519" t="str">
        <f>HYPERLINK("Melting_Curves/meltCurve_E9PH29_PRDX3.pdf", "Melting_Curves/meltCurve_E9PH29_PRDX3.pdf")</f>
        <v>Melting_Curves/meltCurve_E9PH29_PRDX3.pdf</v>
      </c>
    </row>
    <row r="520" spans="1:28" x14ac:dyDescent="0.25">
      <c r="A520" t="s">
        <v>524</v>
      </c>
      <c r="B520">
        <v>0.99334974765950101</v>
      </c>
      <c r="C520">
        <v>0.93750370028108998</v>
      </c>
      <c r="D520">
        <v>0.94313917059239805</v>
      </c>
      <c r="E520">
        <v>0.827985360747862</v>
      </c>
      <c r="F520">
        <v>0.74929837819120804</v>
      </c>
      <c r="G520">
        <v>0.39706410342989001</v>
      </c>
      <c r="H520">
        <v>0.15628383808745</v>
      </c>
      <c r="I520">
        <v>0.105243361607084</v>
      </c>
      <c r="J520">
        <v>8.5866042320167396E-2</v>
      </c>
      <c r="K520">
        <v>8.0353560989486802E-2</v>
      </c>
      <c r="L520">
        <v>990.57354363974196</v>
      </c>
      <c r="M520">
        <v>17.8994361092427</v>
      </c>
      <c r="N520">
        <v>55.577793858397598</v>
      </c>
      <c r="O520">
        <v>54.6641671778413</v>
      </c>
      <c r="P520">
        <v>-7.8860015977814807E-2</v>
      </c>
      <c r="Q520">
        <v>3.6707168652095702E-2</v>
      </c>
      <c r="R520">
        <v>0.99233633957494005</v>
      </c>
      <c r="S520" t="s">
        <v>6381</v>
      </c>
      <c r="T520" t="s">
        <v>11720</v>
      </c>
      <c r="U520" t="s">
        <v>11720</v>
      </c>
      <c r="V520" t="s">
        <v>11720</v>
      </c>
      <c r="W520" t="s">
        <v>12230</v>
      </c>
      <c r="X520">
        <v>15</v>
      </c>
      <c r="Y520" t="s">
        <v>18028</v>
      </c>
      <c r="Z520" t="s">
        <v>23727</v>
      </c>
      <c r="AA520">
        <v>0.54409613517390387</v>
      </c>
      <c r="AB520" t="str">
        <f>HYPERLINK("Melting_Curves/meltCurve_E9PHG5_CYP20A1.pdf", "Melting_Curves/meltCurve_E9PHG5_CYP20A1.pdf")</f>
        <v>Melting_Curves/meltCurve_E9PHG5_CYP20A1.pdf</v>
      </c>
    </row>
    <row r="521" spans="1:28" x14ac:dyDescent="0.25">
      <c r="A521" t="s">
        <v>525</v>
      </c>
      <c r="B521">
        <v>0.99334974765950101</v>
      </c>
      <c r="C521">
        <v>1.0288829278332201</v>
      </c>
      <c r="D521">
        <v>0.87933885111899102</v>
      </c>
      <c r="E521">
        <v>0.89039096260980699</v>
      </c>
      <c r="F521">
        <v>0.764393104581231</v>
      </c>
      <c r="G521">
        <v>0.49678527601248901</v>
      </c>
      <c r="H521">
        <v>0.37496131452634801</v>
      </c>
      <c r="I521">
        <v>0.435256324816653</v>
      </c>
      <c r="J521">
        <v>0.40259394819341998</v>
      </c>
      <c r="K521">
        <v>0.34319475906626301</v>
      </c>
      <c r="L521">
        <v>1082.13301728686</v>
      </c>
      <c r="M521">
        <v>20.105455850397899</v>
      </c>
      <c r="N521">
        <v>57.538751955971499</v>
      </c>
      <c r="O521">
        <v>53.298879992370999</v>
      </c>
      <c r="P521">
        <v>-6.0025393260277997E-2</v>
      </c>
      <c r="Q521">
        <v>0.36351921804783899</v>
      </c>
      <c r="R521">
        <v>0.97319447494366895</v>
      </c>
      <c r="S521" t="s">
        <v>6382</v>
      </c>
      <c r="T521" t="s">
        <v>11720</v>
      </c>
      <c r="U521" t="s">
        <v>11720</v>
      </c>
      <c r="V521" t="s">
        <v>11720</v>
      </c>
      <c r="W521" t="s">
        <v>12231</v>
      </c>
      <c r="X521">
        <v>18</v>
      </c>
      <c r="Y521" t="s">
        <v>18029</v>
      </c>
      <c r="Z521" t="s">
        <v>23728</v>
      </c>
      <c r="AA521">
        <v>0.66538473198132841</v>
      </c>
      <c r="AB521" t="str">
        <f>HYPERLINK("Melting_Curves/meltCurve_E9PHK9_TCOF1.pdf", "Melting_Curves/meltCurve_E9PHK9_TCOF1.pdf")</f>
        <v>Melting_Curves/meltCurve_E9PHK9_TCOF1.pdf</v>
      </c>
    </row>
    <row r="522" spans="1:28" x14ac:dyDescent="0.25">
      <c r="A522" t="s">
        <v>526</v>
      </c>
      <c r="B522">
        <v>0.99334974765950101</v>
      </c>
      <c r="C522">
        <v>0.88489661302606004</v>
      </c>
      <c r="D522">
        <v>0.66477618902256796</v>
      </c>
      <c r="E522">
        <v>0.44795608584654401</v>
      </c>
      <c r="F522">
        <v>0.28260346744050902</v>
      </c>
      <c r="G522">
        <v>0.23347097792309901</v>
      </c>
      <c r="H522">
        <v>0.198730690616712</v>
      </c>
      <c r="I522">
        <v>0.21280469784990499</v>
      </c>
      <c r="J522">
        <v>0.219507436449867</v>
      </c>
      <c r="K522">
        <v>0.182369124795246</v>
      </c>
      <c r="L522">
        <v>819.03907395988199</v>
      </c>
      <c r="M522">
        <v>17.345206276035</v>
      </c>
      <c r="N522">
        <v>48.605846965739097</v>
      </c>
      <c r="O522">
        <v>46.605663155835202</v>
      </c>
      <c r="P522">
        <v>-7.4895394979831206E-2</v>
      </c>
      <c r="Q522">
        <v>0.19508581109534801</v>
      </c>
      <c r="R522">
        <v>0.99593559924802999</v>
      </c>
      <c r="S522" t="s">
        <v>6383</v>
      </c>
      <c r="T522" t="s">
        <v>11720</v>
      </c>
      <c r="U522" t="s">
        <v>11720</v>
      </c>
      <c r="V522" t="s">
        <v>11720</v>
      </c>
      <c r="W522" t="s">
        <v>12232</v>
      </c>
      <c r="X522">
        <v>7</v>
      </c>
      <c r="Y522" t="s">
        <v>18030</v>
      </c>
      <c r="Z522" t="s">
        <v>23729</v>
      </c>
      <c r="AA522">
        <v>0.40471662876201903</v>
      </c>
      <c r="AB522" t="str">
        <f>HYPERLINK("Melting_Curves/meltCurve_E9PHV5_SSFA2.pdf", "Melting_Curves/meltCurve_E9PHV5_SSFA2.pdf")</f>
        <v>Melting_Curves/meltCurve_E9PHV5_SSFA2.pdf</v>
      </c>
    </row>
    <row r="523" spans="1:28" x14ac:dyDescent="0.25">
      <c r="A523" t="s">
        <v>527</v>
      </c>
      <c r="B523">
        <v>0.99334974765950101</v>
      </c>
      <c r="C523">
        <v>0.96065130514947805</v>
      </c>
      <c r="D523">
        <v>1.05442083392266</v>
      </c>
      <c r="E523">
        <v>1.05691989878488</v>
      </c>
      <c r="F523">
        <v>0.42872202393932102</v>
      </c>
      <c r="G523">
        <v>0.31139302308151801</v>
      </c>
      <c r="H523">
        <v>0.21342201644005801</v>
      </c>
      <c r="I523">
        <v>0.145118192950554</v>
      </c>
      <c r="J523">
        <v>0.191737541110101</v>
      </c>
      <c r="K523">
        <v>0.125165729663126</v>
      </c>
      <c r="L523">
        <v>13202.092122895099</v>
      </c>
      <c r="M523">
        <v>250</v>
      </c>
      <c r="N523">
        <v>52.914628573246198</v>
      </c>
      <c r="O523">
        <v>52.804987191251499</v>
      </c>
      <c r="P523">
        <v>-0.949996322392614</v>
      </c>
      <c r="Q523">
        <v>0.19736727364515</v>
      </c>
      <c r="R523">
        <v>0.98107978735113999</v>
      </c>
      <c r="S523" t="s">
        <v>6384</v>
      </c>
      <c r="T523" t="s">
        <v>11720</v>
      </c>
      <c r="U523" t="s">
        <v>11720</v>
      </c>
      <c r="V523" t="s">
        <v>11720</v>
      </c>
      <c r="W523" t="s">
        <v>12233</v>
      </c>
      <c r="X523">
        <v>3</v>
      </c>
      <c r="Y523" t="s">
        <v>18031</v>
      </c>
      <c r="Z523" t="s">
        <v>23730</v>
      </c>
      <c r="AA523">
        <v>0.54012218401762324</v>
      </c>
      <c r="AB523" t="str">
        <f>HYPERLINK("Melting_Curves/meltCurve_E9PHY8_MROH1.pdf", "Melting_Curves/meltCurve_E9PHY8_MROH1.pdf")</f>
        <v>Melting_Curves/meltCurve_E9PHY8_MROH1.pdf</v>
      </c>
    </row>
    <row r="524" spans="1:28" x14ac:dyDescent="0.25">
      <c r="A524" t="s">
        <v>528</v>
      </c>
      <c r="B524">
        <v>0.99334974765950101</v>
      </c>
      <c r="C524">
        <v>0.99718317422112202</v>
      </c>
      <c r="D524">
        <v>0.83910444053962696</v>
      </c>
      <c r="E524">
        <v>0.80612070188029805</v>
      </c>
      <c r="F524">
        <v>0.723017057385271</v>
      </c>
      <c r="G524">
        <v>0.66506521574738098</v>
      </c>
      <c r="H524">
        <v>0.51975159893701595</v>
      </c>
      <c r="I524">
        <v>0.37917661577374201</v>
      </c>
      <c r="J524">
        <v>0.32391136666429798</v>
      </c>
      <c r="K524">
        <v>0.29050671149903401</v>
      </c>
      <c r="L524">
        <v>426.13600475915001</v>
      </c>
      <c r="M524">
        <v>7.0111403461852202</v>
      </c>
      <c r="N524">
        <v>60.779842324206598</v>
      </c>
      <c r="O524">
        <v>56.414871557540799</v>
      </c>
      <c r="P524">
        <v>-3.1126824137307E-2</v>
      </c>
      <c r="Q524">
        <v>0</v>
      </c>
      <c r="R524">
        <v>0.98068964633291</v>
      </c>
      <c r="S524" t="s">
        <v>6385</v>
      </c>
      <c r="T524" t="s">
        <v>11720</v>
      </c>
      <c r="U524" t="s">
        <v>11720</v>
      </c>
      <c r="V524" t="s">
        <v>11720</v>
      </c>
      <c r="W524" t="s">
        <v>12234</v>
      </c>
      <c r="X524">
        <v>7</v>
      </c>
      <c r="Y524" t="s">
        <v>18032</v>
      </c>
      <c r="Z524" t="s">
        <v>23731</v>
      </c>
      <c r="AA524">
        <v>0.66027653011732024</v>
      </c>
      <c r="AB524" t="str">
        <f>HYPERLINK("Melting_Curves/meltCurve_E9PIE3_PRKCDBP.pdf", "Melting_Curves/meltCurve_E9PIE3_PRKCDBP.pdf")</f>
        <v>Melting_Curves/meltCurve_E9PIE3_PRKCDBP.pdf</v>
      </c>
    </row>
    <row r="525" spans="1:28" x14ac:dyDescent="0.25">
      <c r="A525" t="s">
        <v>529</v>
      </c>
      <c r="B525">
        <v>0.99334974765950101</v>
      </c>
      <c r="C525">
        <v>1.0113063514151699</v>
      </c>
      <c r="D525">
        <v>0.99030594114140502</v>
      </c>
      <c r="E525">
        <v>0.98647576882766097</v>
      </c>
      <c r="F525">
        <v>0.95132647160226003</v>
      </c>
      <c r="G525">
        <v>0.902360446970774</v>
      </c>
      <c r="H525">
        <v>0.87313220559138804</v>
      </c>
      <c r="I525">
        <v>0.86824800590999796</v>
      </c>
      <c r="J525">
        <v>0.69664811706124896</v>
      </c>
      <c r="K525">
        <v>0.48533913725092998</v>
      </c>
      <c r="L525">
        <v>1052.2853837366599</v>
      </c>
      <c r="M525">
        <v>14.9692384802741</v>
      </c>
      <c r="O525">
        <v>69.077762800417403</v>
      </c>
      <c r="P525">
        <v>-5.4180833333163203E-2</v>
      </c>
      <c r="Q525">
        <v>0</v>
      </c>
      <c r="R525">
        <v>0.95077505420598896</v>
      </c>
      <c r="S525" t="s">
        <v>6386</v>
      </c>
      <c r="T525" t="s">
        <v>11720</v>
      </c>
      <c r="U525" t="s">
        <v>11720</v>
      </c>
      <c r="V525" t="s">
        <v>11720</v>
      </c>
      <c r="W525" t="s">
        <v>12235</v>
      </c>
      <c r="X525">
        <v>4</v>
      </c>
      <c r="Y525" t="s">
        <v>18033</v>
      </c>
      <c r="Z525" t="s">
        <v>23732</v>
      </c>
      <c r="AA525">
        <v>0.91058359788896559</v>
      </c>
      <c r="AB525" t="str">
        <f>HYPERLINK("Melting_Curves/meltCurve_E9PIM6_THY1.pdf", "Melting_Curves/meltCurve_E9PIM6_THY1.pdf")</f>
        <v>Melting_Curves/meltCurve_E9PIM6_THY1.pdf</v>
      </c>
    </row>
    <row r="526" spans="1:28" x14ac:dyDescent="0.25">
      <c r="A526" t="s">
        <v>530</v>
      </c>
      <c r="B526">
        <v>0.99334974765950101</v>
      </c>
      <c r="C526">
        <v>1.0074161368921299</v>
      </c>
      <c r="D526">
        <v>0.99579635873165795</v>
      </c>
      <c r="E526">
        <v>0.66188279722896404</v>
      </c>
      <c r="F526">
        <v>0.345974302566745</v>
      </c>
      <c r="G526">
        <v>0.27529507263814401</v>
      </c>
      <c r="H526">
        <v>0.16239057610281299</v>
      </c>
      <c r="I526">
        <v>0.132333101698978</v>
      </c>
      <c r="J526">
        <v>0.110943111563036</v>
      </c>
      <c r="K526">
        <v>0.11060960110601099</v>
      </c>
      <c r="L526">
        <v>1279.4908109662399</v>
      </c>
      <c r="M526">
        <v>25.105689819949099</v>
      </c>
      <c r="N526">
        <v>51.624073622779598</v>
      </c>
      <c r="O526">
        <v>50.644126594842703</v>
      </c>
      <c r="P526">
        <v>-0.10692218522157999</v>
      </c>
      <c r="Q526">
        <v>0.13726186006862201</v>
      </c>
      <c r="R526">
        <v>0.99130687335091505</v>
      </c>
      <c r="S526" t="s">
        <v>6387</v>
      </c>
      <c r="T526" t="s">
        <v>11720</v>
      </c>
      <c r="U526" t="s">
        <v>11720</v>
      </c>
      <c r="V526" t="s">
        <v>11720</v>
      </c>
      <c r="W526" t="s">
        <v>12236</v>
      </c>
      <c r="X526">
        <v>3</v>
      </c>
      <c r="Y526" t="s">
        <v>18034</v>
      </c>
      <c r="Z526" t="s">
        <v>23733</v>
      </c>
      <c r="AA526">
        <v>0.46029539789019819</v>
      </c>
      <c r="AB526" t="str">
        <f>HYPERLINK("Melting_Curves/meltCurve_E9PJ55_TCP11L1.pdf", "Melting_Curves/meltCurve_E9PJ55_TCP11L1.pdf")</f>
        <v>Melting_Curves/meltCurve_E9PJ55_TCP11L1.pdf</v>
      </c>
    </row>
    <row r="527" spans="1:28" x14ac:dyDescent="0.25">
      <c r="A527" t="s">
        <v>531</v>
      </c>
      <c r="B527">
        <v>0.99334974765950101</v>
      </c>
      <c r="C527">
        <v>0.95727756687441201</v>
      </c>
      <c r="D527">
        <v>0.687639607443715</v>
      </c>
      <c r="E527">
        <v>0.45207530789043798</v>
      </c>
      <c r="F527">
        <v>0.37842743764643699</v>
      </c>
      <c r="G527">
        <v>0.237120728361081</v>
      </c>
      <c r="H527">
        <v>0.20667460871547499</v>
      </c>
      <c r="I527">
        <v>0.257477109220831</v>
      </c>
      <c r="J527">
        <v>0.30243177173494601</v>
      </c>
      <c r="K527">
        <v>0.276745813890098</v>
      </c>
      <c r="L527">
        <v>951.20360847139398</v>
      </c>
      <c r="M527">
        <v>20.134829358524101</v>
      </c>
      <c r="N527">
        <v>48.9984445993978</v>
      </c>
      <c r="O527">
        <v>46.783113211867303</v>
      </c>
      <c r="P527">
        <v>-7.9937693956275396E-2</v>
      </c>
      <c r="Q527">
        <v>0.25708520631020898</v>
      </c>
      <c r="R527">
        <v>0.98341008502607397</v>
      </c>
      <c r="S527" t="s">
        <v>6388</v>
      </c>
      <c r="T527" t="s">
        <v>11720</v>
      </c>
      <c r="U527" t="s">
        <v>11720</v>
      </c>
      <c r="V527" t="s">
        <v>11720</v>
      </c>
      <c r="W527" t="s">
        <v>12237</v>
      </c>
      <c r="X527">
        <v>3</v>
      </c>
      <c r="Y527" t="s">
        <v>18035</v>
      </c>
      <c r="Z527" t="s">
        <v>23734</v>
      </c>
      <c r="AA527">
        <v>0.44703802641551732</v>
      </c>
      <c r="AB527" t="str">
        <f>HYPERLINK("Melting_Curves/meltCurve_E9PJ64_PDE4DIP.pdf", "Melting_Curves/meltCurve_E9PJ64_PDE4DIP.pdf")</f>
        <v>Melting_Curves/meltCurve_E9PJ64_PDE4DIP.pdf</v>
      </c>
    </row>
    <row r="528" spans="1:28" x14ac:dyDescent="0.25">
      <c r="A528" t="s">
        <v>532</v>
      </c>
      <c r="B528">
        <v>0.99334974765950101</v>
      </c>
      <c r="C528">
        <v>0.94913570293620897</v>
      </c>
      <c r="D528">
        <v>0.85561083124728599</v>
      </c>
      <c r="E528">
        <v>0.60462390411587197</v>
      </c>
      <c r="F528">
        <v>0.344530535349511</v>
      </c>
      <c r="G528">
        <v>0.242164445526594</v>
      </c>
      <c r="H528">
        <v>0.178586918289632</v>
      </c>
      <c r="I528">
        <v>0.17553816043585699</v>
      </c>
      <c r="J528">
        <v>0.161298840130638</v>
      </c>
      <c r="K528">
        <v>0.15967624850961501</v>
      </c>
      <c r="L528">
        <v>945.40217073659505</v>
      </c>
      <c r="M528">
        <v>18.900816773622001</v>
      </c>
      <c r="N528">
        <v>51.026961742617502</v>
      </c>
      <c r="O528">
        <v>49.469299209073498</v>
      </c>
      <c r="P528">
        <v>-8.0642087343010593E-2</v>
      </c>
      <c r="Q528">
        <v>0.15577312485768799</v>
      </c>
      <c r="R528">
        <v>0.99826406948778301</v>
      </c>
      <c r="S528" t="s">
        <v>6389</v>
      </c>
      <c r="T528" t="s">
        <v>11720</v>
      </c>
      <c r="U528" t="s">
        <v>11720</v>
      </c>
      <c r="V528" t="s">
        <v>11720</v>
      </c>
      <c r="W528" t="s">
        <v>12238</v>
      </c>
      <c r="X528">
        <v>16</v>
      </c>
      <c r="Y528" t="s">
        <v>18036</v>
      </c>
      <c r="Z528" t="s">
        <v>23735</v>
      </c>
      <c r="AA528">
        <v>0.45083147869833801</v>
      </c>
      <c r="AB528" t="str">
        <f>HYPERLINK("Melting_Curves/meltCurve_E9PJ81_UBXN1.pdf", "Melting_Curves/meltCurve_E9PJ81_UBXN1.pdf")</f>
        <v>Melting_Curves/meltCurve_E9PJ81_UBXN1.pdf</v>
      </c>
    </row>
    <row r="529" spans="1:28" x14ac:dyDescent="0.25">
      <c r="A529" t="s">
        <v>533</v>
      </c>
      <c r="B529">
        <v>0.99334974765950101</v>
      </c>
      <c r="C529">
        <v>1.1406553614418899</v>
      </c>
      <c r="D529">
        <v>0.74964919453752599</v>
      </c>
      <c r="E529">
        <v>0.79125772228573799</v>
      </c>
      <c r="F529">
        <v>0.98127296614637305</v>
      </c>
      <c r="G529">
        <v>0.65324858107710504</v>
      </c>
      <c r="H529">
        <v>0.72591243432597796</v>
      </c>
      <c r="I529">
        <v>0.80328973935829795</v>
      </c>
      <c r="J529">
        <v>0.88354799972620102</v>
      </c>
      <c r="K529">
        <v>0.63342634159616595</v>
      </c>
      <c r="L529">
        <v>11136.220327880301</v>
      </c>
      <c r="M529">
        <v>250</v>
      </c>
      <c r="O529">
        <v>44.542030850189199</v>
      </c>
      <c r="P529">
        <v>-0.31193443559946399</v>
      </c>
      <c r="Q529">
        <v>0.77769290877824704</v>
      </c>
      <c r="R529">
        <v>0.52485543287554004</v>
      </c>
      <c r="S529" t="s">
        <v>6390</v>
      </c>
      <c r="T529" t="s">
        <v>11720</v>
      </c>
      <c r="U529" t="s">
        <v>11720</v>
      </c>
      <c r="V529" t="s">
        <v>11720</v>
      </c>
      <c r="W529" t="s">
        <v>12239</v>
      </c>
      <c r="X529">
        <v>3</v>
      </c>
      <c r="Y529" t="s">
        <v>18037</v>
      </c>
      <c r="Z529" t="s">
        <v>23736</v>
      </c>
      <c r="AA529">
        <v>0.81138893257299405</v>
      </c>
      <c r="AB529" t="str">
        <f>HYPERLINK("Melting_Curves/meltCurve_E9PJA2_CSF1.pdf", "Melting_Curves/meltCurve_E9PJA2_CSF1.pdf")</f>
        <v>Melting_Curves/meltCurve_E9PJA2_CSF1.pdf</v>
      </c>
    </row>
    <row r="530" spans="1:28" x14ac:dyDescent="0.25">
      <c r="A530" t="s">
        <v>534</v>
      </c>
      <c r="B530">
        <v>0.99334974765950101</v>
      </c>
      <c r="C530">
        <v>0.98910438607866402</v>
      </c>
      <c r="D530">
        <v>0.95249025947298904</v>
      </c>
      <c r="E530">
        <v>0.78067981764558103</v>
      </c>
      <c r="F530">
        <v>0.69744714203982106</v>
      </c>
      <c r="G530">
        <v>0.47661658555571901</v>
      </c>
      <c r="H530">
        <v>0.205119541346103</v>
      </c>
      <c r="I530">
        <v>0.13616061032357901</v>
      </c>
      <c r="J530">
        <v>0.116071691282271</v>
      </c>
      <c r="K530">
        <v>0.142242864234397</v>
      </c>
      <c r="L530">
        <v>793.80300938459902</v>
      </c>
      <c r="M530">
        <v>14.337679274359401</v>
      </c>
      <c r="N530">
        <v>55.781157766335902</v>
      </c>
      <c r="O530">
        <v>54.321202538511898</v>
      </c>
      <c r="P530">
        <v>-6.2644875497645899E-2</v>
      </c>
      <c r="Q530">
        <v>5.0743253012243299E-2</v>
      </c>
      <c r="R530">
        <v>0.99139197725640305</v>
      </c>
      <c r="S530" t="s">
        <v>6391</v>
      </c>
      <c r="T530" t="s">
        <v>11720</v>
      </c>
      <c r="U530" t="s">
        <v>11720</v>
      </c>
      <c r="V530" t="s">
        <v>11720</v>
      </c>
      <c r="W530" t="s">
        <v>12240</v>
      </c>
      <c r="X530">
        <v>10</v>
      </c>
      <c r="Y530" t="s">
        <v>18038</v>
      </c>
      <c r="Z530" t="s">
        <v>23737</v>
      </c>
      <c r="AA530">
        <v>0.55550409392750266</v>
      </c>
      <c r="AB530" t="str">
        <f>HYPERLINK("Melting_Curves/meltCurve_E9PJD7_CYHR1.pdf", "Melting_Curves/meltCurve_E9PJD7_CYHR1.pdf")</f>
        <v>Melting_Curves/meltCurve_E9PJD7_CYHR1.pdf</v>
      </c>
    </row>
    <row r="531" spans="1:28" x14ac:dyDescent="0.25">
      <c r="A531" t="s">
        <v>535</v>
      </c>
      <c r="B531">
        <v>0.99334974765950101</v>
      </c>
      <c r="C531">
        <v>0.981052528581283</v>
      </c>
      <c r="D531">
        <v>0.97890996580317002</v>
      </c>
      <c r="E531">
        <v>0.91213130289198896</v>
      </c>
      <c r="F531">
        <v>1.09177432710551</v>
      </c>
      <c r="G531">
        <v>0.90431968920385597</v>
      </c>
      <c r="H531">
        <v>0.89894448331951404</v>
      </c>
      <c r="I531">
        <v>1.1623802012581199</v>
      </c>
      <c r="J531">
        <v>1.0458870232953099</v>
      </c>
      <c r="K531">
        <v>0.72848764758733198</v>
      </c>
      <c r="L531">
        <v>15000</v>
      </c>
      <c r="M531">
        <v>213.29872147411601</v>
      </c>
      <c r="Q531">
        <v>0</v>
      </c>
      <c r="R531">
        <v>0.49890405605064198</v>
      </c>
      <c r="S531" t="s">
        <v>6392</v>
      </c>
      <c r="T531" t="s">
        <v>11720</v>
      </c>
      <c r="U531" t="s">
        <v>11720</v>
      </c>
      <c r="V531" t="s">
        <v>11720</v>
      </c>
      <c r="W531" t="s">
        <v>12241</v>
      </c>
      <c r="X531">
        <v>6</v>
      </c>
      <c r="Y531" t="s">
        <v>18039</v>
      </c>
      <c r="Z531" t="s">
        <v>23738</v>
      </c>
      <c r="AA531">
        <v>0.99658499023757696</v>
      </c>
      <c r="AB531" t="str">
        <f>HYPERLINK("Melting_Curves/meltCurve_E9PJK1_CD81.pdf", "Melting_Curves/meltCurve_E9PJK1_CD81.pdf")</f>
        <v>Melting_Curves/meltCurve_E9PJK1_CD81.pdf</v>
      </c>
    </row>
    <row r="532" spans="1:28" x14ac:dyDescent="0.25">
      <c r="A532" t="s">
        <v>536</v>
      </c>
      <c r="B532">
        <v>0.99334974765950101</v>
      </c>
      <c r="C532">
        <v>1.1938955775845499</v>
      </c>
      <c r="D532">
        <v>1.39055757095635</v>
      </c>
      <c r="E532">
        <v>1.2028666742357399</v>
      </c>
      <c r="F532">
        <v>0.934904690820482</v>
      </c>
      <c r="G532">
        <v>0.43275672929399001</v>
      </c>
      <c r="H532">
        <v>0.37660584781620798</v>
      </c>
      <c r="I532">
        <v>0.26468785384939397</v>
      </c>
      <c r="J532">
        <v>0.25979679209197198</v>
      </c>
      <c r="K532">
        <v>0.18167082575794899</v>
      </c>
      <c r="L532">
        <v>2701.4270028517999</v>
      </c>
      <c r="M532">
        <v>48.539957330390102</v>
      </c>
      <c r="N532">
        <v>56.536056824745202</v>
      </c>
      <c r="O532">
        <v>55.559458042635001</v>
      </c>
      <c r="P532">
        <v>-0.160403534739195</v>
      </c>
      <c r="Q532">
        <v>0.265600926005024</v>
      </c>
      <c r="R532">
        <v>0.87099248050521205</v>
      </c>
      <c r="S532" t="s">
        <v>6393</v>
      </c>
      <c r="T532" t="s">
        <v>11720</v>
      </c>
      <c r="U532" t="s">
        <v>11720</v>
      </c>
      <c r="V532" t="s">
        <v>11720</v>
      </c>
      <c r="W532" t="s">
        <v>12242</v>
      </c>
      <c r="X532">
        <v>1</v>
      </c>
      <c r="Y532" t="s">
        <v>18040</v>
      </c>
      <c r="Z532" t="s">
        <v>23739</v>
      </c>
      <c r="AA532">
        <v>0.65071379202190827</v>
      </c>
      <c r="AB532" t="str">
        <f>HYPERLINK("Melting_Curves/meltCurve_E9PJK5_FAM160A2.pdf", "Melting_Curves/meltCurve_E9PJK5_FAM160A2.pdf")</f>
        <v>Melting_Curves/meltCurve_E9PJK5_FAM160A2.pdf</v>
      </c>
    </row>
    <row r="533" spans="1:28" x14ac:dyDescent="0.25">
      <c r="A533" t="s">
        <v>537</v>
      </c>
      <c r="B533">
        <v>0.99334974765950101</v>
      </c>
      <c r="C533">
        <v>1.03105119635751</v>
      </c>
      <c r="D533">
        <v>1.0635221507252199</v>
      </c>
      <c r="E533">
        <v>1.1346656277343501</v>
      </c>
      <c r="F533">
        <v>0.801990971764728</v>
      </c>
      <c r="G533">
        <v>0.73742680876377198</v>
      </c>
      <c r="H533">
        <v>0.68524273565460903</v>
      </c>
      <c r="I533">
        <v>0.81898356102791603</v>
      </c>
      <c r="J533">
        <v>0.778502695151435</v>
      </c>
      <c r="K533">
        <v>0.86307109513692803</v>
      </c>
      <c r="L533">
        <v>13141.057797601799</v>
      </c>
      <c r="M533">
        <v>250</v>
      </c>
      <c r="O533">
        <v>52.560868559248703</v>
      </c>
      <c r="P533">
        <v>-0.265591160178348</v>
      </c>
      <c r="Q533">
        <v>0.77664477209617799</v>
      </c>
      <c r="R533">
        <v>0.80000916402359401</v>
      </c>
      <c r="S533" t="s">
        <v>6394</v>
      </c>
      <c r="T533" t="s">
        <v>11720</v>
      </c>
      <c r="U533" t="s">
        <v>11720</v>
      </c>
      <c r="V533" t="s">
        <v>11720</v>
      </c>
      <c r="W533" t="s">
        <v>12243</v>
      </c>
      <c r="X533">
        <v>12</v>
      </c>
      <c r="Y533" t="s">
        <v>18041</v>
      </c>
      <c r="Z533" t="s">
        <v>23740</v>
      </c>
      <c r="AA533">
        <v>0.87020826718263988</v>
      </c>
      <c r="AB533" t="str">
        <f>HYPERLINK("Melting_Curves/meltCurve_E9PK01_EEF1D.pdf", "Melting_Curves/meltCurve_E9PK01_EEF1D.pdf")</f>
        <v>Melting_Curves/meltCurve_E9PK01_EEF1D.pdf</v>
      </c>
    </row>
    <row r="534" spans="1:28" x14ac:dyDescent="0.25">
      <c r="A534" t="s">
        <v>538</v>
      </c>
      <c r="B534">
        <v>0.99334974765950101</v>
      </c>
      <c r="C534">
        <v>0.66617399435670299</v>
      </c>
      <c r="D534">
        <v>0.24008803666388401</v>
      </c>
      <c r="E534">
        <v>0.139310345839539</v>
      </c>
      <c r="F534">
        <v>0.184052905965502</v>
      </c>
      <c r="G534">
        <v>8.5097944849604507E-2</v>
      </c>
      <c r="H534">
        <v>5.5558762537264599E-2</v>
      </c>
      <c r="I534">
        <v>4.57618781509391E-2</v>
      </c>
      <c r="J534">
        <v>4.5428337270821399E-2</v>
      </c>
      <c r="K534">
        <v>2.61429591397952E-2</v>
      </c>
      <c r="L534">
        <v>1350.63192159816</v>
      </c>
      <c r="M534">
        <v>30.866055709735701</v>
      </c>
      <c r="N534">
        <v>44.001194179302999</v>
      </c>
      <c r="O534">
        <v>43.575396645304203</v>
      </c>
      <c r="P534">
        <v>-0.163189962379303</v>
      </c>
      <c r="Q534">
        <v>7.8466521539641607E-2</v>
      </c>
      <c r="R534">
        <v>0.97943286610316005</v>
      </c>
      <c r="S534" t="s">
        <v>6395</v>
      </c>
      <c r="T534" t="s">
        <v>11720</v>
      </c>
      <c r="U534" t="s">
        <v>11720</v>
      </c>
      <c r="V534" t="s">
        <v>11720</v>
      </c>
      <c r="W534" t="s">
        <v>12244</v>
      </c>
      <c r="X534">
        <v>5</v>
      </c>
      <c r="Y534" t="s">
        <v>18042</v>
      </c>
      <c r="Z534" t="s">
        <v>23741</v>
      </c>
      <c r="AA534">
        <v>0.20045099861952551</v>
      </c>
      <c r="AB534" t="str">
        <f>HYPERLINK("Melting_Curves/meltCurve_E9PK67_PARP10.pdf", "Melting_Curves/meltCurve_E9PK67_PARP10.pdf")</f>
        <v>Melting_Curves/meltCurve_E9PK67_PARP10.pdf</v>
      </c>
    </row>
    <row r="535" spans="1:28" x14ac:dyDescent="0.25">
      <c r="A535" t="s">
        <v>539</v>
      </c>
      <c r="B535">
        <v>0.99334974765950101</v>
      </c>
      <c r="C535">
        <v>0.92679432941220097</v>
      </c>
      <c r="D535">
        <v>0.82038227031765298</v>
      </c>
      <c r="E535">
        <v>0.61876780273896603</v>
      </c>
      <c r="F535">
        <v>0.33806401798973101</v>
      </c>
      <c r="G535">
        <v>0.23037483287746199</v>
      </c>
      <c r="H535">
        <v>0.17930202541912299</v>
      </c>
      <c r="I535">
        <v>0.11689721288341599</v>
      </c>
      <c r="J535">
        <v>6.5480468455416094E-2</v>
      </c>
      <c r="K535">
        <v>6.3034542399435303E-2</v>
      </c>
      <c r="L535">
        <v>727.55727538235203</v>
      </c>
      <c r="M535">
        <v>14.335056674393901</v>
      </c>
      <c r="N535">
        <v>51.210643127396203</v>
      </c>
      <c r="O535">
        <v>49.796670280048502</v>
      </c>
      <c r="P535">
        <v>-6.7655704004227796E-2</v>
      </c>
      <c r="Q535">
        <v>6.0032354962380803E-2</v>
      </c>
      <c r="R535">
        <v>0.99408600132194902</v>
      </c>
      <c r="S535" t="s">
        <v>6396</v>
      </c>
      <c r="T535" t="s">
        <v>11720</v>
      </c>
      <c r="U535" t="s">
        <v>11720</v>
      </c>
      <c r="V535" t="s">
        <v>11720</v>
      </c>
      <c r="W535" t="s">
        <v>12245</v>
      </c>
      <c r="X535">
        <v>3</v>
      </c>
      <c r="Y535" t="s">
        <v>18043</v>
      </c>
      <c r="Z535" t="s">
        <v>23742</v>
      </c>
      <c r="AA535">
        <v>0.42057092297309512</v>
      </c>
      <c r="AB535" t="str">
        <f>HYPERLINK("Melting_Curves/meltCurve_E9PKB9_SNX19.pdf", "Melting_Curves/meltCurve_E9PKB9_SNX19.pdf")</f>
        <v>Melting_Curves/meltCurve_E9PKB9_SNX19.pdf</v>
      </c>
    </row>
    <row r="536" spans="1:28" x14ac:dyDescent="0.25">
      <c r="A536" t="s">
        <v>540</v>
      </c>
      <c r="B536">
        <v>0.99334974765950101</v>
      </c>
      <c r="C536">
        <v>1.02165206669333</v>
      </c>
      <c r="D536">
        <v>0.96087465604239597</v>
      </c>
      <c r="E536">
        <v>1.1521080867976701</v>
      </c>
      <c r="F536">
        <v>1.0444924707380701</v>
      </c>
      <c r="G536">
        <v>0.53755347461819003</v>
      </c>
      <c r="H536">
        <v>0.38144140474673499</v>
      </c>
      <c r="I536">
        <v>0.387779656810813</v>
      </c>
      <c r="J536">
        <v>0.38480074623259503</v>
      </c>
      <c r="K536">
        <v>0.34793608887321498</v>
      </c>
      <c r="L536">
        <v>14190.2332473112</v>
      </c>
      <c r="M536">
        <v>250</v>
      </c>
      <c r="N536">
        <v>57.078338257254003</v>
      </c>
      <c r="O536">
        <v>56.757300686192899</v>
      </c>
      <c r="P536">
        <v>-0.68769846076147301</v>
      </c>
      <c r="Q536">
        <v>0.37548946785203502</v>
      </c>
      <c r="R536">
        <v>0.97248967114068996</v>
      </c>
      <c r="S536" t="s">
        <v>6397</v>
      </c>
      <c r="T536" t="s">
        <v>11720</v>
      </c>
      <c r="U536" t="s">
        <v>11720</v>
      </c>
      <c r="V536" t="s">
        <v>11720</v>
      </c>
      <c r="W536" t="s">
        <v>12246</v>
      </c>
      <c r="X536">
        <v>2</v>
      </c>
      <c r="Y536" t="s">
        <v>18044</v>
      </c>
      <c r="Z536" t="s">
        <v>23743</v>
      </c>
      <c r="AA536">
        <v>0.72446431753715212</v>
      </c>
      <c r="AB536" t="str">
        <f>HYPERLINK("Melting_Curves/meltCurve_E9PKC5_AMPD3.pdf", "Melting_Curves/meltCurve_E9PKC5_AMPD3.pdf")</f>
        <v>Melting_Curves/meltCurve_E9PKC5_AMPD3.pdf</v>
      </c>
    </row>
    <row r="537" spans="1:28" x14ac:dyDescent="0.25">
      <c r="A537" t="s">
        <v>541</v>
      </c>
      <c r="B537">
        <v>0.99334974765950101</v>
      </c>
      <c r="C537">
        <v>1.0391216121657001</v>
      </c>
      <c r="D537">
        <v>1.5225608255994501</v>
      </c>
      <c r="E537">
        <v>1.7840301904817599</v>
      </c>
      <c r="F537">
        <v>1.65741704114636</v>
      </c>
      <c r="G537">
        <v>0.64257135232411899</v>
      </c>
      <c r="H537">
        <v>0.20023569706896899</v>
      </c>
      <c r="I537">
        <v>9.6820036608360999E-2</v>
      </c>
      <c r="J537">
        <v>4.5657796398406301E-2</v>
      </c>
      <c r="K537">
        <v>3.82052559725818E-2</v>
      </c>
      <c r="L537">
        <v>6470.5804995285098</v>
      </c>
      <c r="M537">
        <v>113.088901153165</v>
      </c>
      <c r="N537">
        <v>57.3235082542299</v>
      </c>
      <c r="O537">
        <v>57.198873140008999</v>
      </c>
      <c r="P537">
        <v>-0.44734806173788999</v>
      </c>
      <c r="Q537">
        <v>9.4949046673992302E-2</v>
      </c>
      <c r="R537">
        <v>0.69224234529382001</v>
      </c>
      <c r="S537" t="s">
        <v>6398</v>
      </c>
      <c r="T537" t="s">
        <v>11720</v>
      </c>
      <c r="U537" t="s">
        <v>11720</v>
      </c>
      <c r="V537" t="s">
        <v>11720</v>
      </c>
      <c r="W537" t="s">
        <v>11775</v>
      </c>
      <c r="X537">
        <v>64</v>
      </c>
      <c r="Y537" t="s">
        <v>17569</v>
      </c>
      <c r="Z537" t="s">
        <v>23744</v>
      </c>
      <c r="AA537">
        <v>0.61479505615982732</v>
      </c>
      <c r="AB537" t="str">
        <f>HYPERLINK("Melting_Curves/meltCurve_E9PKE3_HSPA8.pdf", "Melting_Curves/meltCurve_E9PKE3_HSPA8.pdf")</f>
        <v>Melting_Curves/meltCurve_E9PKE3_HSPA8.pdf</v>
      </c>
    </row>
    <row r="538" spans="1:28" x14ac:dyDescent="0.25">
      <c r="A538" t="s">
        <v>542</v>
      </c>
      <c r="B538">
        <v>0.99334974765950101</v>
      </c>
      <c r="C538">
        <v>1.0671855571312401</v>
      </c>
      <c r="D538">
        <v>1.2564074382632899</v>
      </c>
      <c r="E538">
        <v>1.6706578449895699</v>
      </c>
      <c r="F538">
        <v>0.59376718373781401</v>
      </c>
      <c r="G538">
        <v>0.22373086661698999</v>
      </c>
      <c r="H538">
        <v>0.15209472939580401</v>
      </c>
      <c r="I538">
        <v>0.102542755716092</v>
      </c>
      <c r="J538">
        <v>8.2772094374612804E-2</v>
      </c>
      <c r="K538">
        <v>5.3054502054031401E-2</v>
      </c>
      <c r="L538">
        <v>13257.832486351401</v>
      </c>
      <c r="M538">
        <v>250</v>
      </c>
      <c r="N538">
        <v>53.0912140273212</v>
      </c>
      <c r="O538">
        <v>53.027936278252596</v>
      </c>
      <c r="P538">
        <v>-1.03384309727488</v>
      </c>
      <c r="Q538">
        <v>0.12283894665605399</v>
      </c>
      <c r="R538">
        <v>0.82660109873302101</v>
      </c>
      <c r="S538" t="s">
        <v>6399</v>
      </c>
      <c r="T538" t="s">
        <v>11720</v>
      </c>
      <c r="U538" t="s">
        <v>11720</v>
      </c>
      <c r="V538" t="s">
        <v>11720</v>
      </c>
      <c r="W538" t="s">
        <v>12247</v>
      </c>
      <c r="X538">
        <v>5</v>
      </c>
      <c r="Y538" t="s">
        <v>18045</v>
      </c>
      <c r="Z538" t="s">
        <v>23745</v>
      </c>
      <c r="AA538">
        <v>0.50393975334348595</v>
      </c>
      <c r="AB538" t="str">
        <f>HYPERLINK("Melting_Curves/meltCurve_E9PKG1_PRMT1.pdf", "Melting_Curves/meltCurve_E9PKG1_PRMT1.pdf")</f>
        <v>Melting_Curves/meltCurve_E9PKG1_PRMT1.pdf</v>
      </c>
    </row>
    <row r="539" spans="1:28" x14ac:dyDescent="0.25">
      <c r="A539" t="s">
        <v>543</v>
      </c>
      <c r="B539">
        <v>0.99334974765950101</v>
      </c>
      <c r="C539">
        <v>1.2455158693872499</v>
      </c>
      <c r="D539">
        <v>1.42862335653051</v>
      </c>
      <c r="E539">
        <v>1.7268138482065301</v>
      </c>
      <c r="F539">
        <v>1.0614822392685299</v>
      </c>
      <c r="G539">
        <v>0.46182552866056997</v>
      </c>
      <c r="H539">
        <v>0.30823785197472398</v>
      </c>
      <c r="I539">
        <v>0.19470866343024401</v>
      </c>
      <c r="J539">
        <v>0.14472220721798101</v>
      </c>
      <c r="K539">
        <v>8.77479382506237E-2</v>
      </c>
      <c r="L539">
        <v>4898.82886962265</v>
      </c>
      <c r="M539">
        <v>86.592292846577706</v>
      </c>
      <c r="N539">
        <v>56.873107334320501</v>
      </c>
      <c r="O539">
        <v>56.543345860518201</v>
      </c>
      <c r="P539">
        <v>-0.31273857422601498</v>
      </c>
      <c r="Q539">
        <v>0.18314747191493</v>
      </c>
      <c r="R539">
        <v>0.74969772331378404</v>
      </c>
      <c r="S539" t="s">
        <v>6400</v>
      </c>
      <c r="T539" t="s">
        <v>11720</v>
      </c>
      <c r="U539" t="s">
        <v>11720</v>
      </c>
      <c r="V539" t="s">
        <v>11720</v>
      </c>
      <c r="W539" t="s">
        <v>12248</v>
      </c>
      <c r="X539">
        <v>16</v>
      </c>
      <c r="Y539" t="s">
        <v>18046</v>
      </c>
      <c r="Z539" t="s">
        <v>23746</v>
      </c>
      <c r="AA539">
        <v>0.63509469203722169</v>
      </c>
      <c r="AB539" t="str">
        <f>HYPERLINK("Melting_Curves/meltCurve_E9PKH2_SERPINH1.pdf", "Melting_Curves/meltCurve_E9PKH2_SERPINH1.pdf")</f>
        <v>Melting_Curves/meltCurve_E9PKH2_SERPINH1.pdf</v>
      </c>
    </row>
    <row r="540" spans="1:28" x14ac:dyDescent="0.25">
      <c r="A540" t="s">
        <v>544</v>
      </c>
      <c r="B540">
        <v>0.99334974765950101</v>
      </c>
      <c r="C540">
        <v>1.0137770303561</v>
      </c>
      <c r="D540">
        <v>0.87362185500059297</v>
      </c>
      <c r="E540">
        <v>0.73324792217697499</v>
      </c>
      <c r="F540">
        <v>0.67634154164499305</v>
      </c>
      <c r="G540">
        <v>0.47469570712329001</v>
      </c>
      <c r="H540">
        <v>0.45579605727473599</v>
      </c>
      <c r="I540">
        <v>0.434104853170169</v>
      </c>
      <c r="J540">
        <v>0.46175012503989998</v>
      </c>
      <c r="K540">
        <v>0.30992990555991401</v>
      </c>
      <c r="L540">
        <v>668.67692938954394</v>
      </c>
      <c r="M540">
        <v>12.889739247257101</v>
      </c>
      <c r="N540">
        <v>57.672373654330897</v>
      </c>
      <c r="O540">
        <v>50.675644131526703</v>
      </c>
      <c r="P540">
        <v>-4.0507710241690503E-2</v>
      </c>
      <c r="Q540">
        <v>0.36309665672695701</v>
      </c>
      <c r="R540">
        <v>0.96919323241722399</v>
      </c>
      <c r="S540" t="s">
        <v>6401</v>
      </c>
      <c r="T540" t="s">
        <v>11720</v>
      </c>
      <c r="U540" t="s">
        <v>11720</v>
      </c>
      <c r="V540" t="s">
        <v>11720</v>
      </c>
      <c r="W540" t="s">
        <v>12249</v>
      </c>
      <c r="X540">
        <v>5</v>
      </c>
      <c r="Y540" t="s">
        <v>18047</v>
      </c>
      <c r="Z540" t="s">
        <v>23747</v>
      </c>
      <c r="AA540">
        <v>0.63309316405048477</v>
      </c>
      <c r="AB540" t="str">
        <f>HYPERLINK("Melting_Curves/meltCurve_E9PKN9_TP53I11.pdf", "Melting_Curves/meltCurve_E9PKN9_TP53I11.pdf")</f>
        <v>Melting_Curves/meltCurve_E9PKN9_TP53I11.pdf</v>
      </c>
    </row>
    <row r="541" spans="1:28" x14ac:dyDescent="0.25">
      <c r="A541" t="s">
        <v>545</v>
      </c>
      <c r="B541">
        <v>0.99334974765950101</v>
      </c>
      <c r="C541">
        <v>1.01734962687687</v>
      </c>
      <c r="D541">
        <v>1.1446151780315099</v>
      </c>
      <c r="E541">
        <v>1.2186943669635799</v>
      </c>
      <c r="F541">
        <v>1.2243211839798001</v>
      </c>
      <c r="G541">
        <v>0.932914386799089</v>
      </c>
      <c r="H541">
        <v>0.758304530000246</v>
      </c>
      <c r="I541">
        <v>0.54239742498249</v>
      </c>
      <c r="J541">
        <v>0.53060504724111701</v>
      </c>
      <c r="K541">
        <v>0.515220810441823</v>
      </c>
      <c r="L541">
        <v>2600.2584592693102</v>
      </c>
      <c r="M541">
        <v>42.717459828974597</v>
      </c>
      <c r="O541">
        <v>60.738148335073703</v>
      </c>
      <c r="P541">
        <v>-8.6119533257209099E-2</v>
      </c>
      <c r="Q541">
        <v>0.51020191923926905</v>
      </c>
      <c r="R541">
        <v>0.83034344942584004</v>
      </c>
      <c r="S541" t="s">
        <v>6402</v>
      </c>
      <c r="T541" t="s">
        <v>11720</v>
      </c>
      <c r="U541" t="s">
        <v>11720</v>
      </c>
      <c r="V541" t="s">
        <v>11720</v>
      </c>
      <c r="W541" t="s">
        <v>12250</v>
      </c>
      <c r="X541">
        <v>2</v>
      </c>
      <c r="Y541" t="s">
        <v>18048</v>
      </c>
      <c r="Z541" t="s">
        <v>23748</v>
      </c>
      <c r="AA541">
        <v>0.85263772519046843</v>
      </c>
      <c r="AB541" t="str">
        <f>HYPERLINK("Melting_Curves/meltCurve_E9PKT4_TMEM123.pdf", "Melting_Curves/meltCurve_E9PKT4_TMEM123.pdf")</f>
        <v>Melting_Curves/meltCurve_E9PKT4_TMEM123.pdf</v>
      </c>
    </row>
    <row r="542" spans="1:28" x14ac:dyDescent="0.25">
      <c r="A542" t="s">
        <v>546</v>
      </c>
      <c r="B542">
        <v>0.99334974765950101</v>
      </c>
      <c r="C542">
        <v>1.0474146127656001</v>
      </c>
      <c r="D542">
        <v>0.97398229468529296</v>
      </c>
      <c r="E542">
        <v>0.66569709153966405</v>
      </c>
      <c r="F542">
        <v>0.27362496021614302</v>
      </c>
      <c r="G542">
        <v>0.136401976607508</v>
      </c>
      <c r="H542">
        <v>9.2823781267937999E-2</v>
      </c>
      <c r="I542">
        <v>7.2052545525416303E-2</v>
      </c>
      <c r="J542">
        <v>8.8520305999839594E-2</v>
      </c>
      <c r="K542">
        <v>6.7565555914201894E-2</v>
      </c>
      <c r="L542">
        <v>1636.60365159712</v>
      </c>
      <c r="M542">
        <v>32.179182511110398</v>
      </c>
      <c r="N542">
        <v>51.150058577939902</v>
      </c>
      <c r="O542">
        <v>50.663878190655801</v>
      </c>
      <c r="P542">
        <v>-0.14550759822991399</v>
      </c>
      <c r="Q542">
        <v>8.3638326633204502E-2</v>
      </c>
      <c r="R542">
        <v>0.99777653770944297</v>
      </c>
      <c r="S542" t="s">
        <v>6403</v>
      </c>
      <c r="T542" t="s">
        <v>11720</v>
      </c>
      <c r="U542" t="s">
        <v>11720</v>
      </c>
      <c r="V542" t="s">
        <v>11720</v>
      </c>
      <c r="W542" t="s">
        <v>12251</v>
      </c>
      <c r="X542">
        <v>6</v>
      </c>
      <c r="Y542" t="s">
        <v>18049</v>
      </c>
      <c r="Z542" t="s">
        <v>23749</v>
      </c>
      <c r="AA542">
        <v>0.420326197159682</v>
      </c>
      <c r="AB542" t="str">
        <f>HYPERLINK("Melting_Curves/meltCurve_E9PKV8_TTC9C.pdf", "Melting_Curves/meltCurve_E9PKV8_TTC9C.pdf")</f>
        <v>Melting_Curves/meltCurve_E9PKV8_TTC9C.pdf</v>
      </c>
    </row>
    <row r="543" spans="1:28" x14ac:dyDescent="0.25">
      <c r="A543" t="s">
        <v>547</v>
      </c>
      <c r="B543">
        <v>0.99334974765950101</v>
      </c>
      <c r="C543">
        <v>1.12183078434604</v>
      </c>
      <c r="D543">
        <v>1.02632771676005</v>
      </c>
      <c r="E543">
        <v>1.1918366824328499</v>
      </c>
      <c r="F543">
        <v>0.84912044474103199</v>
      </c>
      <c r="G543">
        <v>0.72572815367658805</v>
      </c>
      <c r="H543">
        <v>0.56167144417357295</v>
      </c>
      <c r="I543">
        <v>0.65334796911959603</v>
      </c>
      <c r="J543">
        <v>0.466630035816545</v>
      </c>
      <c r="K543">
        <v>0.44796892729414101</v>
      </c>
      <c r="L543">
        <v>1372.92308841719</v>
      </c>
      <c r="M543">
        <v>24.2183841434953</v>
      </c>
      <c r="O543">
        <v>56.307028587895999</v>
      </c>
      <c r="P543">
        <v>-5.3877154197716499E-2</v>
      </c>
      <c r="Q543">
        <v>0.49895651458285101</v>
      </c>
      <c r="R543">
        <v>0.87062269950958504</v>
      </c>
      <c r="S543" t="s">
        <v>6404</v>
      </c>
      <c r="T543" t="s">
        <v>11720</v>
      </c>
      <c r="U543" t="s">
        <v>11720</v>
      </c>
      <c r="V543" t="s">
        <v>11720</v>
      </c>
      <c r="W543" t="s">
        <v>12252</v>
      </c>
      <c r="X543">
        <v>7</v>
      </c>
      <c r="Y543" t="s">
        <v>18050</v>
      </c>
      <c r="Z543" t="s">
        <v>23750</v>
      </c>
      <c r="AA543">
        <v>0.78247015927454122</v>
      </c>
      <c r="AB543" t="str">
        <f>HYPERLINK("Melting_Curves/meltCurve_E9PKZ0_RPL8.pdf", "Melting_Curves/meltCurve_E9PKZ0_RPL8.pdf")</f>
        <v>Melting_Curves/meltCurve_E9PKZ0_RPL8.pdf</v>
      </c>
    </row>
    <row r="544" spans="1:28" x14ac:dyDescent="0.25">
      <c r="A544" t="s">
        <v>548</v>
      </c>
      <c r="B544">
        <v>0.99334974765950101</v>
      </c>
      <c r="C544">
        <v>0.93563162274519995</v>
      </c>
      <c r="D544">
        <v>0.834972751867464</v>
      </c>
      <c r="E544">
        <v>0.99624370141889096</v>
      </c>
      <c r="F544">
        <v>0.37042349330902602</v>
      </c>
      <c r="G544">
        <v>0.21632388792868601</v>
      </c>
      <c r="H544">
        <v>0.159293615696633</v>
      </c>
      <c r="I544">
        <v>0.181319591633997</v>
      </c>
      <c r="J544">
        <v>0.17025528943562701</v>
      </c>
      <c r="K544">
        <v>0.15350972851780101</v>
      </c>
      <c r="L544">
        <v>5478.5839042115103</v>
      </c>
      <c r="M544">
        <v>104.544259153082</v>
      </c>
      <c r="N544">
        <v>52.622971468700001</v>
      </c>
      <c r="O544">
        <v>52.385277859575702</v>
      </c>
      <c r="P544">
        <v>-0.41106596380973298</v>
      </c>
      <c r="Q544">
        <v>0.176088521952636</v>
      </c>
      <c r="R544">
        <v>0.97462631304843705</v>
      </c>
      <c r="S544" t="s">
        <v>6405</v>
      </c>
      <c r="T544" t="s">
        <v>11720</v>
      </c>
      <c r="U544" t="s">
        <v>11720</v>
      </c>
      <c r="V544" t="s">
        <v>11720</v>
      </c>
      <c r="W544" t="s">
        <v>12253</v>
      </c>
      <c r="X544">
        <v>7</v>
      </c>
      <c r="Y544" t="s">
        <v>18051</v>
      </c>
      <c r="Z544" t="s">
        <v>23751</v>
      </c>
      <c r="AA544">
        <v>0.51719444873215115</v>
      </c>
      <c r="AB544" t="str">
        <f>HYPERLINK("Melting_Curves/meltCurve_E9PL01_SPCS2.pdf", "Melting_Curves/meltCurve_E9PL01_SPCS2.pdf")</f>
        <v>Melting_Curves/meltCurve_E9PL01_SPCS2.pdf</v>
      </c>
    </row>
    <row r="545" spans="1:28" x14ac:dyDescent="0.25">
      <c r="A545" t="s">
        <v>549</v>
      </c>
      <c r="B545">
        <v>0.99334974765950101</v>
      </c>
      <c r="C545">
        <v>0.93382674992416703</v>
      </c>
      <c r="D545">
        <v>0.81559584718964395</v>
      </c>
      <c r="E545">
        <v>0.35370224921376298</v>
      </c>
      <c r="F545">
        <v>0.164961077007271</v>
      </c>
      <c r="G545">
        <v>0.125013941708949</v>
      </c>
      <c r="H545">
        <v>9.7784586551773495E-2</v>
      </c>
      <c r="I545">
        <v>9.66879782248347E-2</v>
      </c>
      <c r="J545">
        <v>7.2563492161369494E-2</v>
      </c>
      <c r="K545">
        <v>6.0870880464118503E-2</v>
      </c>
      <c r="L545">
        <v>1220.99188146908</v>
      </c>
      <c r="M545">
        <v>25.261497710347399</v>
      </c>
      <c r="N545">
        <v>48.685116377611799</v>
      </c>
      <c r="O545">
        <v>48.034265366307302</v>
      </c>
      <c r="P545">
        <v>-0.12053206198278001</v>
      </c>
      <c r="Q545">
        <v>8.3253984142986598E-2</v>
      </c>
      <c r="R545">
        <v>0.99805025070576103</v>
      </c>
      <c r="S545" t="s">
        <v>6406</v>
      </c>
      <c r="T545" t="s">
        <v>11720</v>
      </c>
      <c r="U545" t="s">
        <v>11720</v>
      </c>
      <c r="V545" t="s">
        <v>11720</v>
      </c>
      <c r="W545" t="s">
        <v>12254</v>
      </c>
      <c r="X545">
        <v>48</v>
      </c>
      <c r="Y545" t="s">
        <v>18052</v>
      </c>
      <c r="Z545" t="s">
        <v>23752</v>
      </c>
      <c r="AA545">
        <v>0.34585570573076591</v>
      </c>
      <c r="AB545" t="str">
        <f>HYPERLINK("Melting_Curves/meltCurve_E9PL22_HYOU1.pdf", "Melting_Curves/meltCurve_E9PL22_HYOU1.pdf")</f>
        <v>Melting_Curves/meltCurve_E9PL22_HYOU1.pdf</v>
      </c>
    </row>
    <row r="546" spans="1:28" x14ac:dyDescent="0.25">
      <c r="A546" t="s">
        <v>550</v>
      </c>
      <c r="B546">
        <v>0.99334974765950101</v>
      </c>
      <c r="C546">
        <v>1.00534962515139</v>
      </c>
      <c r="D546">
        <v>1.03859349976212</v>
      </c>
      <c r="E546">
        <v>0.87844234365039398</v>
      </c>
      <c r="F546">
        <v>0.48766200363244</v>
      </c>
      <c r="G546">
        <v>0.31622732161294997</v>
      </c>
      <c r="H546">
        <v>0.19452806270471901</v>
      </c>
      <c r="I546">
        <v>0.217995087775327</v>
      </c>
      <c r="J546">
        <v>0.19851328673422799</v>
      </c>
      <c r="K546">
        <v>0.17953557507460499</v>
      </c>
      <c r="L546">
        <v>1772.39306393945</v>
      </c>
      <c r="M546">
        <v>33.901465315087499</v>
      </c>
      <c r="N546">
        <v>53.120393395869897</v>
      </c>
      <c r="O546">
        <v>52.099816179655797</v>
      </c>
      <c r="P546">
        <v>-0.12893347693975499</v>
      </c>
      <c r="Q546">
        <v>0.207422654471803</v>
      </c>
      <c r="R546">
        <v>0.99341706044080302</v>
      </c>
      <c r="S546" t="s">
        <v>6407</v>
      </c>
      <c r="T546" t="s">
        <v>11720</v>
      </c>
      <c r="U546" t="s">
        <v>11720</v>
      </c>
      <c r="V546" t="s">
        <v>11720</v>
      </c>
      <c r="W546" t="s">
        <v>12255</v>
      </c>
      <c r="X546">
        <v>2</v>
      </c>
      <c r="Y546" t="s">
        <v>18053</v>
      </c>
      <c r="Z546" t="s">
        <v>23753</v>
      </c>
      <c r="AA546">
        <v>0.53585839007038494</v>
      </c>
      <c r="AB546" t="str">
        <f>HYPERLINK("Melting_Curves/meltCurve_E9PL33_EI24.pdf", "Melting_Curves/meltCurve_E9PL33_EI24.pdf")</f>
        <v>Melting_Curves/meltCurve_E9PL33_EI24.pdf</v>
      </c>
    </row>
    <row r="547" spans="1:28" x14ac:dyDescent="0.25">
      <c r="A547" t="s">
        <v>551</v>
      </c>
      <c r="B547">
        <v>0.99334974765950101</v>
      </c>
      <c r="C547">
        <v>1.0101998955287099</v>
      </c>
      <c r="D547">
        <v>1.10110313215745</v>
      </c>
      <c r="E547">
        <v>1.6281347346588599</v>
      </c>
      <c r="F547">
        <v>0.67593513945234096</v>
      </c>
      <c r="G547">
        <v>0.42323282255079497</v>
      </c>
      <c r="H547">
        <v>0.243300736746595</v>
      </c>
      <c r="I547">
        <v>0.20312678699557199</v>
      </c>
      <c r="J547">
        <v>0.16529299785621199</v>
      </c>
      <c r="K547">
        <v>0</v>
      </c>
      <c r="L547">
        <v>1879.72054023787</v>
      </c>
      <c r="M547">
        <v>33.875599857968602</v>
      </c>
      <c r="N547">
        <v>56.0393325215937</v>
      </c>
      <c r="O547">
        <v>55.296623078748503</v>
      </c>
      <c r="P547">
        <v>-0.131480807790954</v>
      </c>
      <c r="Q547">
        <v>0.14151596159646099</v>
      </c>
      <c r="R547">
        <v>0.80197452514967005</v>
      </c>
      <c r="S547" t="s">
        <v>6408</v>
      </c>
      <c r="T547" t="s">
        <v>11720</v>
      </c>
      <c r="U547" t="s">
        <v>11720</v>
      </c>
      <c r="V547" t="s">
        <v>11720</v>
      </c>
      <c r="W547" t="s">
        <v>12256</v>
      </c>
      <c r="X547">
        <v>1</v>
      </c>
      <c r="Y547" t="s">
        <v>18054</v>
      </c>
      <c r="Z547" t="s">
        <v>23754</v>
      </c>
      <c r="AA547">
        <v>0.58928560064333624</v>
      </c>
      <c r="AB547" t="str">
        <f>HYPERLINK("Melting_Curves/meltCurve_E9PLG8_GPAA1.pdf", "Melting_Curves/meltCurve_E9PLG8_GPAA1.pdf")</f>
        <v>Melting_Curves/meltCurve_E9PLG8_GPAA1.pdf</v>
      </c>
    </row>
    <row r="548" spans="1:28" x14ac:dyDescent="0.25">
      <c r="A548" t="s">
        <v>552</v>
      </c>
      <c r="B548">
        <v>0.99334974765950101</v>
      </c>
      <c r="C548">
        <v>0.96524241824615398</v>
      </c>
      <c r="D548">
        <v>1.02606048640695</v>
      </c>
      <c r="E548">
        <v>0.86478582516945901</v>
      </c>
      <c r="F548">
        <v>0.60975501514410901</v>
      </c>
      <c r="G548">
        <v>0.45139772492138103</v>
      </c>
      <c r="H548">
        <v>0.29535553331217401</v>
      </c>
      <c r="I548">
        <v>0.154864793404215</v>
      </c>
      <c r="J548">
        <v>7.80387185820135E-2</v>
      </c>
      <c r="K548">
        <v>6.3029938050391504E-2</v>
      </c>
      <c r="L548">
        <v>752.93814549491503</v>
      </c>
      <c r="M548">
        <v>13.443294702272199</v>
      </c>
      <c r="N548">
        <v>56.016963911794598</v>
      </c>
      <c r="O548">
        <v>54.812666612703303</v>
      </c>
      <c r="P548">
        <v>-6.1261587158570302E-2</v>
      </c>
      <c r="Q548">
        <v>1.02156604618955E-3</v>
      </c>
      <c r="R548">
        <v>0.98915314329715798</v>
      </c>
      <c r="S548" t="s">
        <v>6409</v>
      </c>
      <c r="T548" t="s">
        <v>11720</v>
      </c>
      <c r="U548" t="s">
        <v>11720</v>
      </c>
      <c r="V548" t="s">
        <v>11720</v>
      </c>
      <c r="W548" t="s">
        <v>11931</v>
      </c>
      <c r="X548">
        <v>54</v>
      </c>
      <c r="Y548" t="s">
        <v>17728</v>
      </c>
      <c r="Z548" t="s">
        <v>23755</v>
      </c>
      <c r="AA548">
        <v>0.55329000426028141</v>
      </c>
      <c r="AB548" t="str">
        <f>HYPERLINK("Melting_Curves/meltCurve_E9PLK3_NPEPPS.pdf", "Melting_Curves/meltCurve_E9PLK3_NPEPPS.pdf")</f>
        <v>Melting_Curves/meltCurve_E9PLK3_NPEPPS.pdf</v>
      </c>
    </row>
    <row r="549" spans="1:28" x14ac:dyDescent="0.25">
      <c r="A549" t="s">
        <v>553</v>
      </c>
      <c r="B549">
        <v>0.99334974765950101</v>
      </c>
      <c r="C549">
        <v>1.13650871890177</v>
      </c>
      <c r="D549">
        <v>1.1108291647697599</v>
      </c>
      <c r="E549">
        <v>0.91486331289579703</v>
      </c>
      <c r="F549">
        <v>0.50481310441493399</v>
      </c>
      <c r="G549">
        <v>0.29022182369218402</v>
      </c>
      <c r="H549">
        <v>0.21308315654808099</v>
      </c>
      <c r="I549">
        <v>0.17134342112423401</v>
      </c>
      <c r="J549">
        <v>0.14174595310249599</v>
      </c>
      <c r="K549">
        <v>0.12906779338096</v>
      </c>
      <c r="L549">
        <v>1865.7626506085601</v>
      </c>
      <c r="M549">
        <v>35.449282462312297</v>
      </c>
      <c r="N549">
        <v>53.272905861949603</v>
      </c>
      <c r="O549">
        <v>52.465240518984999</v>
      </c>
      <c r="P549">
        <v>-0.13959056748502</v>
      </c>
      <c r="Q549">
        <v>0.173621847416842</v>
      </c>
      <c r="R549">
        <v>0.97452528730221599</v>
      </c>
      <c r="S549" t="s">
        <v>6410</v>
      </c>
      <c r="T549" t="s">
        <v>11720</v>
      </c>
      <c r="U549" t="s">
        <v>11720</v>
      </c>
      <c r="V549" t="s">
        <v>11720</v>
      </c>
      <c r="W549" t="s">
        <v>12257</v>
      </c>
      <c r="X549">
        <v>4</v>
      </c>
      <c r="Y549" t="s">
        <v>18055</v>
      </c>
      <c r="Z549" t="s">
        <v>23756</v>
      </c>
      <c r="AA549">
        <v>0.52540580357498035</v>
      </c>
      <c r="AB549" t="str">
        <f>HYPERLINK("Melting_Curves/meltCurve_E9PLL6_RPL27A.pdf", "Melting_Curves/meltCurve_E9PLL6_RPL27A.pdf")</f>
        <v>Melting_Curves/meltCurve_E9PLL6_RPL27A.pdf</v>
      </c>
    </row>
    <row r="550" spans="1:28" x14ac:dyDescent="0.25">
      <c r="A550" t="s">
        <v>554</v>
      </c>
      <c r="B550">
        <v>0.99334974765950101</v>
      </c>
      <c r="C550">
        <v>0.79232618542799604</v>
      </c>
      <c r="D550">
        <v>0.27520662337655299</v>
      </c>
      <c r="E550">
        <v>0.15736331562998099</v>
      </c>
      <c r="F550">
        <v>0.109425919707505</v>
      </c>
      <c r="G550">
        <v>0.115273075732575</v>
      </c>
      <c r="H550">
        <v>8.6852668411494E-2</v>
      </c>
      <c r="I550">
        <v>7.7560952244500894E-2</v>
      </c>
      <c r="J550">
        <v>5.6708897431506901E-2</v>
      </c>
      <c r="K550">
        <v>4.2217359803926303E-2</v>
      </c>
      <c r="L550">
        <v>1580.1751590415199</v>
      </c>
      <c r="M550">
        <v>35.6351011148043</v>
      </c>
      <c r="N550">
        <v>44.586281193625503</v>
      </c>
      <c r="O550">
        <v>44.204272269048701</v>
      </c>
      <c r="P550">
        <v>-0.183745594820138</v>
      </c>
      <c r="Q550">
        <v>8.8279465983261696E-2</v>
      </c>
      <c r="R550">
        <v>0.99279927117282096</v>
      </c>
      <c r="S550" t="s">
        <v>6411</v>
      </c>
      <c r="T550" t="s">
        <v>11720</v>
      </c>
      <c r="U550" t="s">
        <v>11720</v>
      </c>
      <c r="V550" t="s">
        <v>11720</v>
      </c>
      <c r="W550" t="s">
        <v>12258</v>
      </c>
      <c r="X550">
        <v>1</v>
      </c>
      <c r="Y550" t="s">
        <v>18056</v>
      </c>
      <c r="Z550" t="s">
        <v>23757</v>
      </c>
      <c r="AA550">
        <v>0.22440858759086271</v>
      </c>
      <c r="AB550" t="str">
        <f>HYPERLINK("Melting_Curves/meltCurve_E9PM04_DCUN1D5.pdf", "Melting_Curves/meltCurve_E9PM04_DCUN1D5.pdf")</f>
        <v>Melting_Curves/meltCurve_E9PM04_DCUN1D5.pdf</v>
      </c>
    </row>
    <row r="551" spans="1:28" x14ac:dyDescent="0.25">
      <c r="A551" t="s">
        <v>555</v>
      </c>
      <c r="B551">
        <v>0.99334974765950101</v>
      </c>
      <c r="C551">
        <v>0.88674956385162995</v>
      </c>
      <c r="D551">
        <v>0.70634196325238696</v>
      </c>
      <c r="E551">
        <v>0.29586692794133801</v>
      </c>
      <c r="F551">
        <v>0.250526103635279</v>
      </c>
      <c r="G551">
        <v>0.166381793272596</v>
      </c>
      <c r="H551">
        <v>0.15313372057980201</v>
      </c>
      <c r="I551">
        <v>0.13525096640372</v>
      </c>
      <c r="J551">
        <v>0.13685899899001899</v>
      </c>
      <c r="K551">
        <v>0.120700842829079</v>
      </c>
      <c r="L551">
        <v>1012.17801598547</v>
      </c>
      <c r="M551">
        <v>21.463229642210901</v>
      </c>
      <c r="N551">
        <v>47.880654146388203</v>
      </c>
      <c r="O551">
        <v>46.755050080387498</v>
      </c>
      <c r="P551">
        <v>-9.8901684433548395E-2</v>
      </c>
      <c r="Q551">
        <v>0.13823977910341201</v>
      </c>
      <c r="R551">
        <v>0.995565822776732</v>
      </c>
      <c r="S551" t="s">
        <v>6412</v>
      </c>
      <c r="T551" t="s">
        <v>11720</v>
      </c>
      <c r="U551" t="s">
        <v>11720</v>
      </c>
      <c r="V551" t="s">
        <v>11720</v>
      </c>
      <c r="W551" t="s">
        <v>11944</v>
      </c>
      <c r="X551">
        <v>21</v>
      </c>
      <c r="Y551" t="s">
        <v>18057</v>
      </c>
      <c r="Z551" t="s">
        <v>23758</v>
      </c>
      <c r="AA551">
        <v>0.35460972164693738</v>
      </c>
      <c r="AB551" t="str">
        <f>HYPERLINK("Melting_Curves/meltCurve_E9PM46_USP47.pdf", "Melting_Curves/meltCurve_E9PM46_USP47.pdf")</f>
        <v>Melting_Curves/meltCurve_E9PM46_USP47.pdf</v>
      </c>
    </row>
    <row r="552" spans="1:28" x14ac:dyDescent="0.25">
      <c r="A552" t="s">
        <v>556</v>
      </c>
      <c r="B552">
        <v>0.99334974765950101</v>
      </c>
      <c r="C552">
        <v>1.0762059378569899</v>
      </c>
      <c r="D552">
        <v>0.98072718029614103</v>
      </c>
      <c r="E552">
        <v>0.87603059273763495</v>
      </c>
      <c r="F552">
        <v>1.31232064690848</v>
      </c>
      <c r="G552">
        <v>0.89362207457354004</v>
      </c>
      <c r="H552">
        <v>1.2310937388235601</v>
      </c>
      <c r="I552">
        <v>1.32066407815394</v>
      </c>
      <c r="J552">
        <v>2.2004235494103801</v>
      </c>
      <c r="K552">
        <v>1.8294824782630399</v>
      </c>
      <c r="L552">
        <v>3739.6559342076498</v>
      </c>
      <c r="M552">
        <v>60.933098162332797</v>
      </c>
      <c r="O552">
        <v>61.307146255316802</v>
      </c>
      <c r="P552">
        <v>0.12423739919018199</v>
      </c>
      <c r="Q552">
        <v>1.5</v>
      </c>
      <c r="R552">
        <v>0.54997010384730904</v>
      </c>
      <c r="S552" t="s">
        <v>6413</v>
      </c>
      <c r="T552" t="s">
        <v>11720</v>
      </c>
      <c r="U552" t="s">
        <v>11720</v>
      </c>
      <c r="V552" t="s">
        <v>11720</v>
      </c>
      <c r="W552" t="s">
        <v>12259</v>
      </c>
      <c r="X552">
        <v>5</v>
      </c>
      <c r="Y552" t="s">
        <v>18058</v>
      </c>
      <c r="Z552" t="s">
        <v>23759</v>
      </c>
      <c r="AA552">
        <v>1.14288357690988</v>
      </c>
      <c r="AB552" t="str">
        <f>HYPERLINK("Melting_Curves/meltCurve_E9PM92_C11orf58.pdf", "Melting_Curves/meltCurve_E9PM92_C11orf58.pdf")</f>
        <v>Melting_Curves/meltCurve_E9PM92_C11orf58.pdf</v>
      </c>
    </row>
    <row r="553" spans="1:28" x14ac:dyDescent="0.25">
      <c r="A553" t="s">
        <v>557</v>
      </c>
      <c r="B553">
        <v>0.99334974765950101</v>
      </c>
      <c r="C553">
        <v>1.0379583696315999</v>
      </c>
      <c r="D553">
        <v>1.1606600508759699</v>
      </c>
      <c r="E553">
        <v>1.56915288429106</v>
      </c>
      <c r="F553">
        <v>1.59451927970624</v>
      </c>
      <c r="G553">
        <v>1.8837485486519101</v>
      </c>
      <c r="H553">
        <v>1.50874618961753</v>
      </c>
      <c r="I553">
        <v>1.9092490098144399</v>
      </c>
      <c r="J553">
        <v>1.1703216130907099</v>
      </c>
      <c r="K553">
        <v>0.69130187373198304</v>
      </c>
      <c r="L553">
        <v>11530.9170957898</v>
      </c>
      <c r="M553">
        <v>250</v>
      </c>
      <c r="O553">
        <v>46.120718373999701</v>
      </c>
      <c r="P553">
        <v>0.64408602106929103</v>
      </c>
      <c r="Q553">
        <v>1.4752913427482399</v>
      </c>
      <c r="R553">
        <v>0.25307394465126098</v>
      </c>
      <c r="S553" t="s">
        <v>6414</v>
      </c>
      <c r="T553" t="s">
        <v>11720</v>
      </c>
      <c r="U553" t="s">
        <v>11720</v>
      </c>
      <c r="V553" t="s">
        <v>11720</v>
      </c>
      <c r="W553" t="s">
        <v>12260</v>
      </c>
      <c r="X553">
        <v>5</v>
      </c>
      <c r="Y553" t="s">
        <v>18059</v>
      </c>
      <c r="Z553" t="s">
        <v>23760</v>
      </c>
      <c r="AA553">
        <v>1.3782353173838131</v>
      </c>
      <c r="AB553" t="str">
        <f>HYPERLINK("Melting_Curves/meltCurve_E9PMB9_ME3.pdf", "Melting_Curves/meltCurve_E9PMB9_ME3.pdf")</f>
        <v>Melting_Curves/meltCurve_E9PMB9_ME3.pdf</v>
      </c>
    </row>
    <row r="554" spans="1:28" x14ac:dyDescent="0.25">
      <c r="A554" t="s">
        <v>558</v>
      </c>
      <c r="B554">
        <v>0.99334974765950101</v>
      </c>
      <c r="C554">
        <v>0.95554380611043599</v>
      </c>
      <c r="D554">
        <v>0.99691288028309599</v>
      </c>
      <c r="E554">
        <v>0.86588904141120304</v>
      </c>
      <c r="F554">
        <v>0.87704047593065804</v>
      </c>
      <c r="G554">
        <v>0.58899273588107404</v>
      </c>
      <c r="H554">
        <v>0.55799177001504197</v>
      </c>
      <c r="I554">
        <v>0.433053422069333</v>
      </c>
      <c r="J554">
        <v>0.56803611266641696</v>
      </c>
      <c r="K554">
        <v>0.54741637756573402</v>
      </c>
      <c r="L554">
        <v>1319.5109865605</v>
      </c>
      <c r="M554">
        <v>24.388837559940502</v>
      </c>
      <c r="O554">
        <v>53.743264140806701</v>
      </c>
      <c r="P554">
        <v>-5.5343716836707697E-2</v>
      </c>
      <c r="Q554">
        <v>0.51218537498803796</v>
      </c>
      <c r="R554">
        <v>0.942522131137427</v>
      </c>
      <c r="S554" t="s">
        <v>6415</v>
      </c>
      <c r="T554" t="s">
        <v>11720</v>
      </c>
      <c r="U554" t="s">
        <v>11720</v>
      </c>
      <c r="V554" t="s">
        <v>11720</v>
      </c>
      <c r="W554" t="s">
        <v>12261</v>
      </c>
      <c r="X554">
        <v>2</v>
      </c>
      <c r="Y554" t="s">
        <v>18060</v>
      </c>
      <c r="Z554" t="s">
        <v>23761</v>
      </c>
      <c r="AA554">
        <v>0.74622970116980081</v>
      </c>
      <c r="AB554" t="str">
        <f>HYPERLINK("Melting_Curves/meltCurve_E9PME6_USF1.pdf", "Melting_Curves/meltCurve_E9PME6_USF1.pdf")</f>
        <v>Melting_Curves/meltCurve_E9PME6_USF1.pdf</v>
      </c>
    </row>
    <row r="555" spans="1:28" x14ac:dyDescent="0.25">
      <c r="A555" t="s">
        <v>559</v>
      </c>
      <c r="B555">
        <v>0.99334974765950101</v>
      </c>
      <c r="C555">
        <v>0.99240935384683704</v>
      </c>
      <c r="D555">
        <v>0.900448395290947</v>
      </c>
      <c r="E555">
        <v>0.72395712148304203</v>
      </c>
      <c r="F555">
        <v>0.51850195415685196</v>
      </c>
      <c r="G555">
        <v>0.43009431891192701</v>
      </c>
      <c r="H555">
        <v>0.34174299355578103</v>
      </c>
      <c r="I555">
        <v>0.26424470418444601</v>
      </c>
      <c r="J555">
        <v>0.39587113489425702</v>
      </c>
      <c r="K555">
        <v>0.36965072866368998</v>
      </c>
      <c r="L555">
        <v>992.98180922553297</v>
      </c>
      <c r="M555">
        <v>19.6120341924093</v>
      </c>
      <c r="N555">
        <v>53.705857709041901</v>
      </c>
      <c r="O555">
        <v>50.113655627519101</v>
      </c>
      <c r="P555">
        <v>-6.4838265838393E-2</v>
      </c>
      <c r="Q555">
        <v>0.33731132237974099</v>
      </c>
      <c r="R555">
        <v>0.98254343592022897</v>
      </c>
      <c r="S555" t="s">
        <v>6416</v>
      </c>
      <c r="T555" t="s">
        <v>11720</v>
      </c>
      <c r="U555" t="s">
        <v>11720</v>
      </c>
      <c r="V555" t="s">
        <v>11720</v>
      </c>
      <c r="W555" t="s">
        <v>12262</v>
      </c>
      <c r="X555">
        <v>5</v>
      </c>
      <c r="Y555" t="s">
        <v>18061</v>
      </c>
      <c r="Z555" t="s">
        <v>23762</v>
      </c>
      <c r="AA555">
        <v>0.58170752141474391</v>
      </c>
      <c r="AB555" t="str">
        <f>HYPERLINK("Melting_Curves/meltCurve_E9PMI6_CLNS1A.pdf", "Melting_Curves/meltCurve_E9PMI6_CLNS1A.pdf")</f>
        <v>Melting_Curves/meltCurve_E9PMI6_CLNS1A.pdf</v>
      </c>
    </row>
    <row r="556" spans="1:28" x14ac:dyDescent="0.25">
      <c r="A556" t="s">
        <v>560</v>
      </c>
      <c r="B556">
        <v>0.99334974765950101</v>
      </c>
      <c r="C556">
        <v>1.0562920519310499</v>
      </c>
      <c r="D556">
        <v>0.85689864058166199</v>
      </c>
      <c r="E556">
        <v>0.50289854567789605</v>
      </c>
      <c r="F556">
        <v>0.285350587091522</v>
      </c>
      <c r="G556">
        <v>0.18567875198780701</v>
      </c>
      <c r="H556">
        <v>0.16198179421513001</v>
      </c>
      <c r="I556">
        <v>0.104555962328998</v>
      </c>
      <c r="J556">
        <v>0.115680196394015</v>
      </c>
      <c r="K556">
        <v>9.6479299570291596E-2</v>
      </c>
      <c r="L556">
        <v>1136.3756796442101</v>
      </c>
      <c r="M556">
        <v>22.942404932337599</v>
      </c>
      <c r="N556">
        <v>50.131774746089903</v>
      </c>
      <c r="O556">
        <v>49.159956736705901</v>
      </c>
      <c r="P556">
        <v>-0.10266505369963801</v>
      </c>
      <c r="Q556">
        <v>0.12007231873964901</v>
      </c>
      <c r="R556">
        <v>0.99307672488916998</v>
      </c>
      <c r="S556" t="s">
        <v>6417</v>
      </c>
      <c r="T556" t="s">
        <v>11720</v>
      </c>
      <c r="U556" t="s">
        <v>11720</v>
      </c>
      <c r="V556" t="s">
        <v>11720</v>
      </c>
      <c r="W556" t="s">
        <v>12263</v>
      </c>
      <c r="X556">
        <v>8</v>
      </c>
      <c r="Y556" t="s">
        <v>18062</v>
      </c>
      <c r="Z556" t="s">
        <v>23763</v>
      </c>
      <c r="AA556">
        <v>0.40896477172573747</v>
      </c>
      <c r="AB556" t="str">
        <f>HYPERLINK("Melting_Curves/meltCurve_E9PMJ2_FAM118B.pdf", "Melting_Curves/meltCurve_E9PMJ2_FAM118B.pdf")</f>
        <v>Melting_Curves/meltCurve_E9PMJ2_FAM118B.pdf</v>
      </c>
    </row>
    <row r="557" spans="1:28" x14ac:dyDescent="0.25">
      <c r="A557" t="s">
        <v>561</v>
      </c>
      <c r="B557">
        <v>0.99334974765950101</v>
      </c>
      <c r="C557">
        <v>0.890797200717379</v>
      </c>
      <c r="D557">
        <v>0.594918741112059</v>
      </c>
      <c r="E557">
        <v>0.29308020206152202</v>
      </c>
      <c r="F557">
        <v>0.21059910524370101</v>
      </c>
      <c r="G557">
        <v>0.295062618051329</v>
      </c>
      <c r="H557">
        <v>0.29606897769329099</v>
      </c>
      <c r="I557">
        <v>0.25648619895955599</v>
      </c>
      <c r="J557">
        <v>0.17315289225668801</v>
      </c>
      <c r="K557">
        <v>7.1974709824852504E-2</v>
      </c>
      <c r="L557">
        <v>1205.6496815660601</v>
      </c>
      <c r="M557">
        <v>26.268539408611399</v>
      </c>
      <c r="N557">
        <v>46.883294091211397</v>
      </c>
      <c r="O557">
        <v>45.633582275191898</v>
      </c>
      <c r="P557">
        <v>-0.113364360629156</v>
      </c>
      <c r="Q557">
        <v>0.212264580640011</v>
      </c>
      <c r="R557">
        <v>0.95816924933932301</v>
      </c>
      <c r="S557" t="s">
        <v>6418</v>
      </c>
      <c r="T557" t="s">
        <v>11720</v>
      </c>
      <c r="U557" t="s">
        <v>11720</v>
      </c>
      <c r="V557" t="s">
        <v>11720</v>
      </c>
      <c r="W557" t="s">
        <v>12264</v>
      </c>
      <c r="X557">
        <v>76</v>
      </c>
      <c r="Y557" t="s">
        <v>18063</v>
      </c>
      <c r="Z557" t="s">
        <v>23764</v>
      </c>
      <c r="AA557">
        <v>0.37363562355492708</v>
      </c>
      <c r="AB557" t="str">
        <f>HYPERLINK("Melting_Curves/meltCurve_E9PMP7_LMO7.pdf", "Melting_Curves/meltCurve_E9PMP7_LMO7.pdf")</f>
        <v>Melting_Curves/meltCurve_E9PMP7_LMO7.pdf</v>
      </c>
    </row>
    <row r="558" spans="1:28" x14ac:dyDescent="0.25">
      <c r="A558" t="s">
        <v>562</v>
      </c>
      <c r="B558">
        <v>0.99334974765950101</v>
      </c>
      <c r="C558">
        <v>0.77316381723129102</v>
      </c>
      <c r="D558">
        <v>0.51762207678753502</v>
      </c>
      <c r="E558">
        <v>0.28285175438767901</v>
      </c>
      <c r="F558">
        <v>0.17911864256914101</v>
      </c>
      <c r="G558">
        <v>9.5699482104112193E-2</v>
      </c>
      <c r="H558">
        <v>6.8129432539135698E-2</v>
      </c>
      <c r="I558">
        <v>8.3026574357815894E-2</v>
      </c>
      <c r="J558">
        <v>7.7472984537637096E-2</v>
      </c>
      <c r="K558">
        <v>7.5591158163411998E-2</v>
      </c>
      <c r="L558">
        <v>785.16146270039803</v>
      </c>
      <c r="M558">
        <v>17.061506171010802</v>
      </c>
      <c r="N558">
        <v>46.444606538789003</v>
      </c>
      <c r="O558">
        <v>45.401217308552098</v>
      </c>
      <c r="P558">
        <v>-8.7161789772323403E-2</v>
      </c>
      <c r="Q558">
        <v>7.2295218431270805E-2</v>
      </c>
      <c r="R558">
        <v>0.99454774302596205</v>
      </c>
      <c r="S558" t="s">
        <v>6419</v>
      </c>
      <c r="T558" t="s">
        <v>11720</v>
      </c>
      <c r="U558" t="s">
        <v>11720</v>
      </c>
      <c r="V558" t="s">
        <v>11720</v>
      </c>
      <c r="W558" t="s">
        <v>12265</v>
      </c>
      <c r="X558">
        <v>3</v>
      </c>
      <c r="Y558" t="s">
        <v>18064</v>
      </c>
      <c r="Z558" t="s">
        <v>23765</v>
      </c>
      <c r="AA558">
        <v>0.27892538432914321</v>
      </c>
      <c r="AB558" t="str">
        <f>HYPERLINK("Melting_Curves/meltCurve_E9PMQ6_HSF1.pdf", "Melting_Curves/meltCurve_E9PMQ6_HSF1.pdf")</f>
        <v>Melting_Curves/meltCurve_E9PMQ6_HSF1.pdf</v>
      </c>
    </row>
    <row r="559" spans="1:28" x14ac:dyDescent="0.25">
      <c r="A559" t="s">
        <v>563</v>
      </c>
      <c r="B559">
        <v>0.99334974765950101</v>
      </c>
      <c r="C559">
        <v>0.94912541321256705</v>
      </c>
      <c r="D559">
        <v>0.97025501405177805</v>
      </c>
      <c r="E559">
        <v>0.81976186181311295</v>
      </c>
      <c r="F559">
        <v>0.87918073309365297</v>
      </c>
      <c r="G559">
        <v>0.56217019826677095</v>
      </c>
      <c r="H559">
        <v>0.55035794529482895</v>
      </c>
      <c r="I559">
        <v>0.29185965241845002</v>
      </c>
      <c r="J559">
        <v>0.37973594571024799</v>
      </c>
      <c r="K559">
        <v>0.25067139646311598</v>
      </c>
      <c r="L559">
        <v>624.85586348086804</v>
      </c>
      <c r="M559">
        <v>10.6767649305894</v>
      </c>
      <c r="N559">
        <v>60.362824713463901</v>
      </c>
      <c r="O559">
        <v>56.583760367392401</v>
      </c>
      <c r="P559">
        <v>-4.0641519944841997E-2</v>
      </c>
      <c r="Q559">
        <v>0.13877277904674801</v>
      </c>
      <c r="R559">
        <v>0.95246898120175605</v>
      </c>
      <c r="S559" t="s">
        <v>6420</v>
      </c>
      <c r="T559" t="s">
        <v>11720</v>
      </c>
      <c r="U559" t="s">
        <v>11720</v>
      </c>
      <c r="V559" t="s">
        <v>11720</v>
      </c>
      <c r="W559" t="s">
        <v>12266</v>
      </c>
      <c r="X559">
        <v>1</v>
      </c>
      <c r="Y559" t="s">
        <v>18065</v>
      </c>
      <c r="Z559" t="s">
        <v>23766</v>
      </c>
      <c r="AA559">
        <v>0.67759565783920706</v>
      </c>
      <c r="AB559" t="str">
        <f>HYPERLINK("Melting_Curves/meltCurve_E9PN41_TSPAN4.pdf", "Melting_Curves/meltCurve_E9PN41_TSPAN4.pdf")</f>
        <v>Melting_Curves/meltCurve_E9PN41_TSPAN4.pdf</v>
      </c>
    </row>
    <row r="560" spans="1:28" x14ac:dyDescent="0.25">
      <c r="A560" t="s">
        <v>564</v>
      </c>
      <c r="B560">
        <v>0.99334974765950101</v>
      </c>
      <c r="C560">
        <v>0.94150466140355205</v>
      </c>
      <c r="D560">
        <v>0.95566171521731502</v>
      </c>
      <c r="E560">
        <v>0.89464157232452701</v>
      </c>
      <c r="F560">
        <v>0.73907803298321795</v>
      </c>
      <c r="G560">
        <v>0.66579812200654098</v>
      </c>
      <c r="H560">
        <v>0.55052677475052803</v>
      </c>
      <c r="I560">
        <v>0.47332653854995899</v>
      </c>
      <c r="J560">
        <v>0.49676492137956302</v>
      </c>
      <c r="K560">
        <v>0.39259712732115498</v>
      </c>
      <c r="L560">
        <v>574.72655145246199</v>
      </c>
      <c r="M560">
        <v>10.1690082350494</v>
      </c>
      <c r="N560">
        <v>63.565754442580598</v>
      </c>
      <c r="O560">
        <v>54.462527051489403</v>
      </c>
      <c r="P560">
        <v>-3.0911431747071502E-2</v>
      </c>
      <c r="Q560">
        <v>0.338088033325745</v>
      </c>
      <c r="R560">
        <v>0.98411993798916098</v>
      </c>
      <c r="S560" t="s">
        <v>6421</v>
      </c>
      <c r="T560" t="s">
        <v>11720</v>
      </c>
      <c r="U560" t="s">
        <v>11720</v>
      </c>
      <c r="V560" t="s">
        <v>11720</v>
      </c>
      <c r="W560" t="s">
        <v>12267</v>
      </c>
      <c r="X560">
        <v>3</v>
      </c>
      <c r="Y560" t="s">
        <v>18066</v>
      </c>
      <c r="Z560" t="s">
        <v>23767</v>
      </c>
      <c r="AA560">
        <v>0.71478302078449107</v>
      </c>
      <c r="AB560" t="str">
        <f>HYPERLINK("Melting_Curves/meltCurve_E9PND3_EBAG9.pdf", "Melting_Curves/meltCurve_E9PND3_EBAG9.pdf")</f>
        <v>Melting_Curves/meltCurve_E9PND3_EBAG9.pdf</v>
      </c>
    </row>
    <row r="561" spans="1:28" x14ac:dyDescent="0.25">
      <c r="A561" t="s">
        <v>565</v>
      </c>
      <c r="B561">
        <v>0.99334974765950101</v>
      </c>
      <c r="C561">
        <v>1.1853752666144299</v>
      </c>
      <c r="D561">
        <v>1.1954455871265</v>
      </c>
      <c r="E561">
        <v>1.28258342316546</v>
      </c>
      <c r="F561">
        <v>1.68541959128321</v>
      </c>
      <c r="G561">
        <v>0.41243619179702801</v>
      </c>
      <c r="H561">
        <v>0.17011368139980601</v>
      </c>
      <c r="I561">
        <v>0.18648001353937399</v>
      </c>
      <c r="J561">
        <v>0.16019439500625299</v>
      </c>
      <c r="K561">
        <v>5.6564087316248103E-2</v>
      </c>
      <c r="L561">
        <v>14205.488222513</v>
      </c>
      <c r="M561">
        <v>250</v>
      </c>
      <c r="N561">
        <v>56.898858530334103</v>
      </c>
      <c r="O561">
        <v>56.818300685356299</v>
      </c>
      <c r="P561">
        <v>-0.94232593753824501</v>
      </c>
      <c r="Q561">
        <v>0.143338023659003</v>
      </c>
      <c r="R561">
        <v>0.80225798333161602</v>
      </c>
      <c r="S561" t="s">
        <v>6422</v>
      </c>
      <c r="T561" t="s">
        <v>11720</v>
      </c>
      <c r="U561" t="s">
        <v>11720</v>
      </c>
      <c r="V561" t="s">
        <v>11720</v>
      </c>
      <c r="W561" t="s">
        <v>12268</v>
      </c>
      <c r="X561">
        <v>9</v>
      </c>
      <c r="Y561" t="s">
        <v>18067</v>
      </c>
      <c r="Z561" t="s">
        <v>23768</v>
      </c>
      <c r="AA561">
        <v>0.62378103168899612</v>
      </c>
      <c r="AB561" t="str">
        <f>HYPERLINK("Melting_Curves/meltCurve_E9PNV3_RDX.pdf", "Melting_Curves/meltCurve_E9PNV3_RDX.pdf")</f>
        <v>Melting_Curves/meltCurve_E9PNV3_RDX.pdf</v>
      </c>
    </row>
    <row r="562" spans="1:28" x14ac:dyDescent="0.25">
      <c r="A562" t="s">
        <v>566</v>
      </c>
      <c r="B562">
        <v>0.99334974765950101</v>
      </c>
      <c r="C562">
        <v>0.97679773667376701</v>
      </c>
      <c r="D562">
        <v>0.96821939741672702</v>
      </c>
      <c r="E562">
        <v>0.69923938445650702</v>
      </c>
      <c r="F562">
        <v>0.66800093276592498</v>
      </c>
      <c r="G562">
        <v>0.398062224960681</v>
      </c>
      <c r="H562">
        <v>0.254566075090218</v>
      </c>
      <c r="I562">
        <v>0.24307825365693</v>
      </c>
      <c r="J562">
        <v>0.194460565556455</v>
      </c>
      <c r="K562">
        <v>0.12169488610040199</v>
      </c>
      <c r="L562">
        <v>699.67688113029203</v>
      </c>
      <c r="M562">
        <v>12.917019596060101</v>
      </c>
      <c r="N562">
        <v>55.170201921081997</v>
      </c>
      <c r="O562">
        <v>52.9180680310103</v>
      </c>
      <c r="P562">
        <v>-5.4646820977427603E-2</v>
      </c>
      <c r="Q562">
        <v>0.10466002171196</v>
      </c>
      <c r="R562">
        <v>0.98778659722015005</v>
      </c>
      <c r="S562" t="s">
        <v>6423</v>
      </c>
      <c r="T562" t="s">
        <v>11720</v>
      </c>
      <c r="U562" t="s">
        <v>11720</v>
      </c>
      <c r="V562" t="s">
        <v>11720</v>
      </c>
      <c r="W562" t="s">
        <v>12269</v>
      </c>
      <c r="X562">
        <v>11</v>
      </c>
      <c r="Y562" t="s">
        <v>18046</v>
      </c>
      <c r="Z562" t="s">
        <v>23769</v>
      </c>
      <c r="AA562">
        <v>0.54893766808608302</v>
      </c>
      <c r="AB562" t="str">
        <f>HYPERLINK("Melting_Curves/meltCurve_E9PNX1_SERPINH1.pdf", "Melting_Curves/meltCurve_E9PNX1_SERPINH1.pdf")</f>
        <v>Melting_Curves/meltCurve_E9PNX1_SERPINH1.pdf</v>
      </c>
    </row>
    <row r="563" spans="1:28" x14ac:dyDescent="0.25">
      <c r="A563" t="s">
        <v>567</v>
      </c>
      <c r="B563">
        <v>0.99334974765950101</v>
      </c>
      <c r="C563">
        <v>1.1849701090042599</v>
      </c>
      <c r="D563">
        <v>1.2296501306574701</v>
      </c>
      <c r="E563">
        <v>1.50463788480547</v>
      </c>
      <c r="F563">
        <v>1.78046456434935</v>
      </c>
      <c r="G563">
        <v>3.2136659312183098</v>
      </c>
      <c r="H563">
        <v>2.6226380442391299</v>
      </c>
      <c r="I563">
        <v>1.5300932616371601</v>
      </c>
      <c r="J563">
        <v>0.40847870362976302</v>
      </c>
      <c r="K563">
        <v>0.221618409847192</v>
      </c>
      <c r="L563">
        <v>15000</v>
      </c>
      <c r="M563">
        <v>225.030277120264</v>
      </c>
      <c r="N563">
        <v>66.831434704060797</v>
      </c>
      <c r="O563">
        <v>66.652443104521694</v>
      </c>
      <c r="P563">
        <v>-0.65712573366794802</v>
      </c>
      <c r="Q563">
        <v>0.22145537218736799</v>
      </c>
      <c r="R563">
        <v>-0.165323430654603</v>
      </c>
      <c r="S563" t="s">
        <v>6424</v>
      </c>
      <c r="T563" t="s">
        <v>11720</v>
      </c>
      <c r="U563" t="s">
        <v>11720</v>
      </c>
      <c r="V563" t="s">
        <v>11720</v>
      </c>
      <c r="W563" t="s">
        <v>12270</v>
      </c>
      <c r="X563">
        <v>1</v>
      </c>
      <c r="Y563" t="s">
        <v>18068</v>
      </c>
      <c r="Z563" t="s">
        <v>23770</v>
      </c>
      <c r="AA563">
        <v>0.91337449328636966</v>
      </c>
      <c r="AB563" t="str">
        <f>HYPERLINK("Melting_Curves/meltCurve_E9PPM8_DERA.pdf", "Melting_Curves/meltCurve_E9PPM8_DERA.pdf")</f>
        <v>Melting_Curves/meltCurve_E9PPM8_DERA.pdf</v>
      </c>
    </row>
    <row r="564" spans="1:28" x14ac:dyDescent="0.25">
      <c r="A564" t="s">
        <v>568</v>
      </c>
      <c r="B564">
        <v>0.99334974765950101</v>
      </c>
      <c r="C564">
        <v>1.01031233678115</v>
      </c>
      <c r="D564">
        <v>0.79509788085659705</v>
      </c>
      <c r="E564">
        <v>0.80664959755994203</v>
      </c>
      <c r="F564">
        <v>0.55447939818133696</v>
      </c>
      <c r="G564">
        <v>0.50507380754495002</v>
      </c>
      <c r="H564">
        <v>0.46907175760352798</v>
      </c>
      <c r="I564">
        <v>0.63882162673204501</v>
      </c>
      <c r="J564">
        <v>0.52056050309762603</v>
      </c>
      <c r="K564">
        <v>0.44506535908691403</v>
      </c>
      <c r="L564">
        <v>841.19614378534095</v>
      </c>
      <c r="M564">
        <v>17.146609868254998</v>
      </c>
      <c r="O564">
        <v>48.406309989018197</v>
      </c>
      <c r="P564">
        <v>-4.42444042215469E-2</v>
      </c>
      <c r="Q564">
        <v>0.50040706665189105</v>
      </c>
      <c r="R564">
        <v>0.88781943819601605</v>
      </c>
      <c r="S564" t="s">
        <v>6425</v>
      </c>
      <c r="T564" t="s">
        <v>11720</v>
      </c>
      <c r="U564" t="s">
        <v>11720</v>
      </c>
      <c r="V564" t="s">
        <v>11720</v>
      </c>
      <c r="W564" t="s">
        <v>12271</v>
      </c>
      <c r="X564">
        <v>3</v>
      </c>
      <c r="Y564" t="s">
        <v>18069</v>
      </c>
      <c r="Z564" t="s">
        <v>23771</v>
      </c>
      <c r="AA564">
        <v>0.66078278881917274</v>
      </c>
      <c r="AB564" t="str">
        <f>HYPERLINK("Melting_Curves/meltCurve_E9PPU0_EPPK1.pdf", "Melting_Curves/meltCurve_E9PPU0_EPPK1.pdf")</f>
        <v>Melting_Curves/meltCurve_E9PPU0_EPPK1.pdf</v>
      </c>
    </row>
    <row r="565" spans="1:28" x14ac:dyDescent="0.25">
      <c r="A565" t="s">
        <v>569</v>
      </c>
      <c r="B565">
        <v>0.99334974765950101</v>
      </c>
      <c r="C565">
        <v>0.93505502111557903</v>
      </c>
      <c r="D565">
        <v>0.92271980614358595</v>
      </c>
      <c r="E565">
        <v>0.82424725574296398</v>
      </c>
      <c r="F565">
        <v>0.81424942781989595</v>
      </c>
      <c r="G565">
        <v>0.47980575743641202</v>
      </c>
      <c r="H565">
        <v>0.30793084306266799</v>
      </c>
      <c r="I565">
        <v>0.23657419569744301</v>
      </c>
      <c r="J565">
        <v>0.25003387658299198</v>
      </c>
      <c r="K565">
        <v>0.15206217181785101</v>
      </c>
      <c r="L565">
        <v>795.05287522305503</v>
      </c>
      <c r="M565">
        <v>14.1840184313614</v>
      </c>
      <c r="N565">
        <v>57.167217638863796</v>
      </c>
      <c r="O565">
        <v>54.973878747108202</v>
      </c>
      <c r="P565">
        <v>-5.6719131953461101E-2</v>
      </c>
      <c r="Q565">
        <v>0.12079152564762</v>
      </c>
      <c r="R565">
        <v>0.98270934042167002</v>
      </c>
      <c r="S565" t="s">
        <v>6426</v>
      </c>
      <c r="T565" t="s">
        <v>11720</v>
      </c>
      <c r="U565" t="s">
        <v>11720</v>
      </c>
      <c r="V565" t="s">
        <v>11720</v>
      </c>
      <c r="W565" t="s">
        <v>12272</v>
      </c>
      <c r="X565">
        <v>6</v>
      </c>
      <c r="Y565" t="s">
        <v>18070</v>
      </c>
      <c r="Z565" t="s">
        <v>23772</v>
      </c>
      <c r="AA565">
        <v>0.60745844487451495</v>
      </c>
      <c r="AB565" t="str">
        <f>HYPERLINK("Melting_Curves/meltCurve_E9PPU6_NAGK.pdf", "Melting_Curves/meltCurve_E9PPU6_NAGK.pdf")</f>
        <v>Melting_Curves/meltCurve_E9PPU6_NAGK.pdf</v>
      </c>
    </row>
    <row r="566" spans="1:28" x14ac:dyDescent="0.25">
      <c r="A566" t="s">
        <v>570</v>
      </c>
      <c r="B566">
        <v>0.99334974765950101</v>
      </c>
      <c r="C566">
        <v>0.98419124529764801</v>
      </c>
      <c r="D566">
        <v>1.05175705055496</v>
      </c>
      <c r="E566">
        <v>1.1707389007489499</v>
      </c>
      <c r="F566">
        <v>0.87077328016975897</v>
      </c>
      <c r="G566">
        <v>0.44247534128515398</v>
      </c>
      <c r="H566">
        <v>0.29205012749994402</v>
      </c>
      <c r="I566">
        <v>0.24651469360707501</v>
      </c>
      <c r="J566">
        <v>0.30940990993377998</v>
      </c>
      <c r="K566">
        <v>0.26352047003756401</v>
      </c>
      <c r="L566">
        <v>2364.3990969431202</v>
      </c>
      <c r="M566">
        <v>42.764653173807901</v>
      </c>
      <c r="N566">
        <v>56.342809450207803</v>
      </c>
      <c r="O566">
        <v>55.168149583337701</v>
      </c>
      <c r="P566">
        <v>-0.140429565251979</v>
      </c>
      <c r="Q566">
        <v>0.27536175215867997</v>
      </c>
      <c r="R566">
        <v>0.97086307870407895</v>
      </c>
      <c r="S566" t="s">
        <v>6427</v>
      </c>
      <c r="T566" t="s">
        <v>11720</v>
      </c>
      <c r="U566" t="s">
        <v>11720</v>
      </c>
      <c r="V566" t="s">
        <v>11720</v>
      </c>
      <c r="W566" t="s">
        <v>12273</v>
      </c>
      <c r="X566">
        <v>3</v>
      </c>
      <c r="Y566" t="s">
        <v>18071</v>
      </c>
      <c r="Z566" t="s">
        <v>23773</v>
      </c>
      <c r="AA566">
        <v>0.64706683117560237</v>
      </c>
      <c r="AB566" t="str">
        <f>HYPERLINK("Melting_Curves/meltCurve_E9PPW7_NDUFS8.pdf", "Melting_Curves/meltCurve_E9PPW7_NDUFS8.pdf")</f>
        <v>Melting_Curves/meltCurve_E9PPW7_NDUFS8.pdf</v>
      </c>
    </row>
    <row r="567" spans="1:28" x14ac:dyDescent="0.25">
      <c r="A567" t="s">
        <v>571</v>
      </c>
      <c r="B567">
        <v>0.99334974765950101</v>
      </c>
      <c r="C567">
        <v>0.96527014309475201</v>
      </c>
      <c r="D567">
        <v>0.92699701892692998</v>
      </c>
      <c r="E567">
        <v>0.83950634081637299</v>
      </c>
      <c r="F567">
        <v>0.78405397967991897</v>
      </c>
      <c r="G567">
        <v>0.72960050315591696</v>
      </c>
      <c r="H567">
        <v>0.67492614971648701</v>
      </c>
      <c r="I567">
        <v>0.51126483124359701</v>
      </c>
      <c r="J567">
        <v>0.48934604705620999</v>
      </c>
      <c r="K567">
        <v>0.311260385331527</v>
      </c>
      <c r="L567">
        <v>426.15960466921899</v>
      </c>
      <c r="M567">
        <v>6.5607689119006398</v>
      </c>
      <c r="N567">
        <v>64.955740718633706</v>
      </c>
      <c r="O567">
        <v>59.714139462733897</v>
      </c>
      <c r="P567">
        <v>-2.7531894851333501E-2</v>
      </c>
      <c r="Q567">
        <v>0</v>
      </c>
      <c r="R567">
        <v>0.96822557637450202</v>
      </c>
      <c r="S567" t="s">
        <v>6428</v>
      </c>
      <c r="T567" t="s">
        <v>11720</v>
      </c>
      <c r="U567" t="s">
        <v>11720</v>
      </c>
      <c r="V567" t="s">
        <v>11720</v>
      </c>
      <c r="W567" t="s">
        <v>12274</v>
      </c>
      <c r="X567">
        <v>1</v>
      </c>
      <c r="Y567" t="s">
        <v>18072</v>
      </c>
      <c r="Z567" t="s">
        <v>23774</v>
      </c>
      <c r="AA567">
        <v>0.73552131552628952</v>
      </c>
      <c r="AB567" t="str">
        <f>HYPERLINK("Melting_Curves/meltCurve_E9PQ91_SC5D.pdf", "Melting_Curves/meltCurve_E9PQ91_SC5D.pdf")</f>
        <v>Melting_Curves/meltCurve_E9PQ91_SC5D.pdf</v>
      </c>
    </row>
    <row r="568" spans="1:28" x14ac:dyDescent="0.25">
      <c r="A568" t="s">
        <v>572</v>
      </c>
      <c r="B568">
        <v>0.99334974765950101</v>
      </c>
      <c r="C568">
        <v>0.99386870956898499</v>
      </c>
      <c r="D568">
        <v>1.0290075356303701</v>
      </c>
      <c r="E568">
        <v>0.774445928177528</v>
      </c>
      <c r="F568">
        <v>0.58958535786959798</v>
      </c>
      <c r="G568">
        <v>0.43546511681778199</v>
      </c>
      <c r="H568">
        <v>0.33088718997915401</v>
      </c>
      <c r="I568">
        <v>0.26089615292516499</v>
      </c>
      <c r="J568">
        <v>0.29970606402919903</v>
      </c>
      <c r="K568">
        <v>0.37817575992771502</v>
      </c>
      <c r="L568">
        <v>1163.79899790579</v>
      </c>
      <c r="M568">
        <v>22.361007810502599</v>
      </c>
      <c r="N568">
        <v>54.451559168198202</v>
      </c>
      <c r="O568">
        <v>51.635022214369997</v>
      </c>
      <c r="P568">
        <v>-7.4290495037158399E-2</v>
      </c>
      <c r="Q568">
        <v>0.31382143280695401</v>
      </c>
      <c r="R568">
        <v>0.98349980664960301</v>
      </c>
      <c r="S568" t="s">
        <v>6429</v>
      </c>
      <c r="T568" t="s">
        <v>11720</v>
      </c>
      <c r="U568" t="s">
        <v>11720</v>
      </c>
      <c r="V568" t="s">
        <v>11720</v>
      </c>
      <c r="W568" t="s">
        <v>12275</v>
      </c>
      <c r="X568">
        <v>1</v>
      </c>
      <c r="Y568" t="s">
        <v>18073</v>
      </c>
      <c r="Z568" t="s">
        <v>23775</v>
      </c>
      <c r="AA568">
        <v>0.59708521208866316</v>
      </c>
      <c r="AB568" t="str">
        <f>HYPERLINK("Melting_Curves/meltCurve_E9PQR4_TUB.pdf", "Melting_Curves/meltCurve_E9PQR4_TUB.pdf")</f>
        <v>Melting_Curves/meltCurve_E9PQR4_TUB.pdf</v>
      </c>
    </row>
    <row r="569" spans="1:28" x14ac:dyDescent="0.25">
      <c r="A569" t="s">
        <v>573</v>
      </c>
      <c r="B569">
        <v>0.99334974765950101</v>
      </c>
      <c r="C569">
        <v>1.00710404238023</v>
      </c>
      <c r="D569">
        <v>0.76828526193026503</v>
      </c>
      <c r="E569">
        <v>0.73470845613677105</v>
      </c>
      <c r="F569">
        <v>0.35169310190463998</v>
      </c>
      <c r="G569">
        <v>0.21812494823180301</v>
      </c>
      <c r="H569">
        <v>0.17551796711076401</v>
      </c>
      <c r="I569">
        <v>0.19666263102238801</v>
      </c>
      <c r="J569">
        <v>0.185308102545722</v>
      </c>
      <c r="K569">
        <v>0.16648105829707499</v>
      </c>
      <c r="L569">
        <v>941.24525351781097</v>
      </c>
      <c r="M569">
        <v>18.610406916395799</v>
      </c>
      <c r="N569">
        <v>51.620233484209002</v>
      </c>
      <c r="O569">
        <v>50.003174426986803</v>
      </c>
      <c r="P569">
        <v>-7.8457761644866397E-2</v>
      </c>
      <c r="Q569">
        <v>0.156822855710405</v>
      </c>
      <c r="R569">
        <v>0.97097100296476302</v>
      </c>
      <c r="S569" t="s">
        <v>6430</v>
      </c>
      <c r="T569" t="s">
        <v>11720</v>
      </c>
      <c r="U569" t="s">
        <v>11720</v>
      </c>
      <c r="V569" t="s">
        <v>11720</v>
      </c>
      <c r="W569" t="s">
        <v>12276</v>
      </c>
      <c r="X569">
        <v>5</v>
      </c>
      <c r="Y569" t="s">
        <v>18074</v>
      </c>
      <c r="Z569" t="s">
        <v>23776</v>
      </c>
      <c r="AA569">
        <v>0.46750002971420368</v>
      </c>
      <c r="AB569" t="str">
        <f>HYPERLINK("Melting_Curves/meltCurve_E9PQW1_CARD16.pdf", "Melting_Curves/meltCurve_E9PQW1_CARD16.pdf")</f>
        <v>Melting_Curves/meltCurve_E9PQW1_CARD16.pdf</v>
      </c>
    </row>
    <row r="570" spans="1:28" x14ac:dyDescent="0.25">
      <c r="A570" t="s">
        <v>574</v>
      </c>
      <c r="B570">
        <v>0.99334974765950101</v>
      </c>
      <c r="C570">
        <v>1.0348914102793301</v>
      </c>
      <c r="D570">
        <v>1.1133925884823299</v>
      </c>
      <c r="E570">
        <v>1.09726868321361</v>
      </c>
      <c r="F570">
        <v>1.5986635285300601</v>
      </c>
      <c r="G570">
        <v>1.12716368142794</v>
      </c>
      <c r="H570">
        <v>1.30114767466271</v>
      </c>
      <c r="I570">
        <v>1.45903817341194</v>
      </c>
      <c r="J570">
        <v>2.1102481966471598</v>
      </c>
      <c r="K570">
        <v>1.60126194509342</v>
      </c>
      <c r="L570">
        <v>800.85033262020704</v>
      </c>
      <c r="M570">
        <v>15.7721694336842</v>
      </c>
      <c r="O570">
        <v>49.980931959866098</v>
      </c>
      <c r="P570">
        <v>3.9448740094540802E-2</v>
      </c>
      <c r="Q570">
        <v>1.5</v>
      </c>
      <c r="R570">
        <v>0.45910178255864098</v>
      </c>
      <c r="S570" t="s">
        <v>6431</v>
      </c>
      <c r="T570" t="s">
        <v>11720</v>
      </c>
      <c r="U570" t="s">
        <v>11720</v>
      </c>
      <c r="V570" t="s">
        <v>11720</v>
      </c>
      <c r="W570" t="s">
        <v>12277</v>
      </c>
      <c r="X570">
        <v>7</v>
      </c>
      <c r="Y570" t="s">
        <v>18075</v>
      </c>
      <c r="Z570" t="s">
        <v>23777</v>
      </c>
      <c r="AA570">
        <v>1.3097161094242831</v>
      </c>
      <c r="AB570" t="str">
        <f>HYPERLINK("Melting_Curves/meltCurve_E9PQY2_PFDN4.pdf", "Melting_Curves/meltCurve_E9PQY2_PFDN4.pdf")</f>
        <v>Melting_Curves/meltCurve_E9PQY2_PFDN4.pdf</v>
      </c>
    </row>
    <row r="571" spans="1:28" x14ac:dyDescent="0.25">
      <c r="A571" t="s">
        <v>575</v>
      </c>
      <c r="B571">
        <v>0.99334974765950101</v>
      </c>
      <c r="C571">
        <v>0.98179235273875798</v>
      </c>
      <c r="D571">
        <v>0.85686395555307304</v>
      </c>
      <c r="E571">
        <v>0.92858970014937203</v>
      </c>
      <c r="F571">
        <v>1.0337824173735899</v>
      </c>
      <c r="G571">
        <v>0.94812720931333505</v>
      </c>
      <c r="H571">
        <v>1.0204467655838101</v>
      </c>
      <c r="I571">
        <v>1.0852047416641699</v>
      </c>
      <c r="J571">
        <v>1.4340432380482999</v>
      </c>
      <c r="K571">
        <v>1.0524634415368901</v>
      </c>
      <c r="L571">
        <v>15000</v>
      </c>
      <c r="M571">
        <v>233.757979377803</v>
      </c>
      <c r="O571">
        <v>64.164235810925902</v>
      </c>
      <c r="P571">
        <v>0.221544582142435</v>
      </c>
      <c r="Q571">
        <v>1.2432471192054499</v>
      </c>
      <c r="R571">
        <v>0.52617076753521397</v>
      </c>
      <c r="S571" t="s">
        <v>6432</v>
      </c>
      <c r="T571" t="s">
        <v>11720</v>
      </c>
      <c r="U571" t="s">
        <v>11720</v>
      </c>
      <c r="V571" t="s">
        <v>11720</v>
      </c>
      <c r="W571" t="s">
        <v>12278</v>
      </c>
      <c r="X571">
        <v>8</v>
      </c>
      <c r="Y571" t="s">
        <v>18076</v>
      </c>
      <c r="Z571" t="s">
        <v>23778</v>
      </c>
      <c r="AA571">
        <v>1.0472483457094759</v>
      </c>
      <c r="AB571" t="str">
        <f>HYPERLINK("Melting_Curves/meltCurve_E9PR17_CD59.pdf", "Melting_Curves/meltCurve_E9PR17_CD59.pdf")</f>
        <v>Melting_Curves/meltCurve_E9PR17_CD59.pdf</v>
      </c>
    </row>
    <row r="572" spans="1:28" x14ac:dyDescent="0.25">
      <c r="A572" t="s">
        <v>576</v>
      </c>
      <c r="B572">
        <v>0.99334974765950101</v>
      </c>
      <c r="C572">
        <v>1.11886241641762</v>
      </c>
      <c r="D572">
        <v>1.20701503002827</v>
      </c>
      <c r="E572">
        <v>1.2797655586458101</v>
      </c>
      <c r="F572">
        <v>1.10166134175233</v>
      </c>
      <c r="G572">
        <v>0.93137672255341697</v>
      </c>
      <c r="H572">
        <v>1.0819670478351899</v>
      </c>
      <c r="I572">
        <v>1.2648176002167999</v>
      </c>
      <c r="J572">
        <v>1.1872917325114001</v>
      </c>
      <c r="K572">
        <v>1.6093898967381901</v>
      </c>
      <c r="L572">
        <v>1836.04828952703</v>
      </c>
      <c r="M572">
        <v>28.250331315972002</v>
      </c>
      <c r="O572">
        <v>64.6690509732789</v>
      </c>
      <c r="P572">
        <v>5.4606037681150597E-2</v>
      </c>
      <c r="Q572">
        <v>1.5</v>
      </c>
      <c r="R572">
        <v>0.33716707744166702</v>
      </c>
      <c r="S572" t="s">
        <v>6433</v>
      </c>
      <c r="T572" t="s">
        <v>11720</v>
      </c>
      <c r="U572" t="s">
        <v>11720</v>
      </c>
      <c r="V572" t="s">
        <v>11720</v>
      </c>
      <c r="W572" t="s">
        <v>12279</v>
      </c>
      <c r="X572">
        <v>2</v>
      </c>
      <c r="Y572" t="s">
        <v>18077</v>
      </c>
      <c r="Z572" t="s">
        <v>23779</v>
      </c>
      <c r="AA572">
        <v>1.0849499733822849</v>
      </c>
      <c r="AB572" t="str">
        <f>HYPERLINK("Melting_Curves/meltCurve_E9PR30_FAU.pdf", "Melting_Curves/meltCurve_E9PR30_FAU.pdf")</f>
        <v>Melting_Curves/meltCurve_E9PR30_FAU.pdf</v>
      </c>
    </row>
    <row r="573" spans="1:28" x14ac:dyDescent="0.25">
      <c r="A573" t="s">
        <v>577</v>
      </c>
      <c r="B573">
        <v>0.99334974765950101</v>
      </c>
      <c r="C573">
        <v>0.90228071616783001</v>
      </c>
      <c r="D573">
        <v>0.52435948266153998</v>
      </c>
      <c r="E573">
        <v>0.32492064951731098</v>
      </c>
      <c r="F573">
        <v>0.24325173785102699</v>
      </c>
      <c r="G573">
        <v>0.175305008538853</v>
      </c>
      <c r="H573">
        <v>0.14300252906202801</v>
      </c>
      <c r="I573">
        <v>0.30555630669637401</v>
      </c>
      <c r="J573">
        <v>0.448103069879911</v>
      </c>
      <c r="K573">
        <v>1.0526360829649299</v>
      </c>
      <c r="L573">
        <v>1958.0383077699701</v>
      </c>
      <c r="M573">
        <v>43.886150084570801</v>
      </c>
      <c r="N573">
        <v>46.161044331991299</v>
      </c>
      <c r="O573">
        <v>44.523971671809498</v>
      </c>
      <c r="P573">
        <v>-0.15157813256414601</v>
      </c>
      <c r="Q573">
        <v>0.38487645259825698</v>
      </c>
      <c r="R573">
        <v>0.45986756638800502</v>
      </c>
      <c r="S573" t="s">
        <v>6434</v>
      </c>
      <c r="T573" t="s">
        <v>11720</v>
      </c>
      <c r="U573" t="s">
        <v>11720</v>
      </c>
      <c r="V573" t="s">
        <v>11720</v>
      </c>
      <c r="W573" t="s">
        <v>12280</v>
      </c>
      <c r="X573">
        <v>5</v>
      </c>
      <c r="Y573" t="s">
        <v>18078</v>
      </c>
      <c r="Z573" t="s">
        <v>23780</v>
      </c>
      <c r="AA573">
        <v>0.48120536049877899</v>
      </c>
      <c r="AB573" t="str">
        <f>HYPERLINK("Melting_Curves/meltCurve_E9PR44_CRYAB.pdf", "Melting_Curves/meltCurve_E9PR44_CRYAB.pdf")</f>
        <v>Melting_Curves/meltCurve_E9PR44_CRYAB.pdf</v>
      </c>
    </row>
    <row r="574" spans="1:28" x14ac:dyDescent="0.25">
      <c r="A574" t="s">
        <v>578</v>
      </c>
      <c r="B574">
        <v>0.99334974765950101</v>
      </c>
      <c r="C574">
        <v>1.10711158074398</v>
      </c>
      <c r="D574">
        <v>0.87891930855216904</v>
      </c>
      <c r="E574">
        <v>0.87934515941477598</v>
      </c>
      <c r="F574">
        <v>1.0119849732892301</v>
      </c>
      <c r="G574">
        <v>1.4709704158242001</v>
      </c>
      <c r="H574">
        <v>1.80704703585573</v>
      </c>
      <c r="I574">
        <v>2.19362053094537</v>
      </c>
      <c r="J574">
        <v>2.83226316005155</v>
      </c>
      <c r="K574">
        <v>2.7780382844279301</v>
      </c>
      <c r="L574">
        <v>5185.2722267401105</v>
      </c>
      <c r="M574">
        <v>93.825889003814595</v>
      </c>
      <c r="O574">
        <v>55.239763061615101</v>
      </c>
      <c r="P574">
        <v>0.212315199039872</v>
      </c>
      <c r="Q574">
        <v>1.5</v>
      </c>
      <c r="R574">
        <v>0.242654668104552</v>
      </c>
      <c r="S574" t="s">
        <v>6435</v>
      </c>
      <c r="T574" t="s">
        <v>11720</v>
      </c>
      <c r="U574" t="s">
        <v>11720</v>
      </c>
      <c r="V574" t="s">
        <v>11720</v>
      </c>
      <c r="W574" t="s">
        <v>12281</v>
      </c>
      <c r="X574">
        <v>7</v>
      </c>
      <c r="Y574" t="s">
        <v>18079</v>
      </c>
      <c r="Z574" t="s">
        <v>23781</v>
      </c>
      <c r="AA574">
        <v>1.245241333913077</v>
      </c>
      <c r="AB574" t="str">
        <f>HYPERLINK("Melting_Curves/meltCurve_E9PR54_CTSB.pdf", "Melting_Curves/meltCurve_E9PR54_CTSB.pdf")</f>
        <v>Melting_Curves/meltCurve_E9PR54_CTSB.pdf</v>
      </c>
    </row>
    <row r="575" spans="1:28" x14ac:dyDescent="0.25">
      <c r="A575" t="s">
        <v>579</v>
      </c>
      <c r="B575">
        <v>0.99334974765950101</v>
      </c>
      <c r="C575">
        <v>1.17070841804149</v>
      </c>
      <c r="D575">
        <v>0.90189943033078601</v>
      </c>
      <c r="E575">
        <v>0.80343636605930702</v>
      </c>
      <c r="F575">
        <v>0.91583092597744697</v>
      </c>
      <c r="G575">
        <v>0.83475603918836805</v>
      </c>
      <c r="H575">
        <v>0.72204575119614101</v>
      </c>
      <c r="I575">
        <v>0.86677515943294903</v>
      </c>
      <c r="J575">
        <v>0.79266346379621599</v>
      </c>
      <c r="K575">
        <v>0.89468373658842704</v>
      </c>
      <c r="L575">
        <v>11483.8231893068</v>
      </c>
      <c r="M575">
        <v>250</v>
      </c>
      <c r="O575">
        <v>45.932353889974202</v>
      </c>
      <c r="P575">
        <v>-0.227393516885733</v>
      </c>
      <c r="Q575">
        <v>0.83288449085600003</v>
      </c>
      <c r="R575">
        <v>0.59872748094586703</v>
      </c>
      <c r="S575" t="s">
        <v>6436</v>
      </c>
      <c r="T575" t="s">
        <v>11720</v>
      </c>
      <c r="U575" t="s">
        <v>11720</v>
      </c>
      <c r="V575" t="s">
        <v>11720</v>
      </c>
      <c r="W575" t="s">
        <v>12282</v>
      </c>
      <c r="X575">
        <v>2</v>
      </c>
      <c r="Y575" t="s">
        <v>18080</v>
      </c>
      <c r="Z575" t="s">
        <v>23782</v>
      </c>
      <c r="AA575">
        <v>0.86596061202849817</v>
      </c>
      <c r="AB575" t="str">
        <f>HYPERLINK("Melting_Curves/meltCurve_E9PR71_UVRAG.pdf", "Melting_Curves/meltCurve_E9PR71_UVRAG.pdf")</f>
        <v>Melting_Curves/meltCurve_E9PR71_UVRAG.pdf</v>
      </c>
    </row>
    <row r="576" spans="1:28" x14ac:dyDescent="0.25">
      <c r="A576" t="s">
        <v>580</v>
      </c>
      <c r="B576">
        <v>0.99334974765950101</v>
      </c>
      <c r="C576">
        <v>0.99893539819750898</v>
      </c>
      <c r="D576">
        <v>0.57977379398501805</v>
      </c>
      <c r="E576">
        <v>0.22206387906772801</v>
      </c>
      <c r="F576">
        <v>0.21496329917909199</v>
      </c>
      <c r="G576">
        <v>8.9723840252220702E-2</v>
      </c>
      <c r="H576">
        <v>8.6318225284626501E-2</v>
      </c>
      <c r="I576">
        <v>0.11076775100104699</v>
      </c>
      <c r="J576">
        <v>0.12500155791821499</v>
      </c>
      <c r="K576">
        <v>9.6894678426429598E-2</v>
      </c>
      <c r="L576">
        <v>1452.5027036368599</v>
      </c>
      <c r="M576">
        <v>31.340979975491699</v>
      </c>
      <c r="N576">
        <v>46.750197428318003</v>
      </c>
      <c r="O576">
        <v>46.1577006460981</v>
      </c>
      <c r="P576">
        <v>-0.14956783748029601</v>
      </c>
      <c r="Q576">
        <v>0.11889548932213199</v>
      </c>
      <c r="R576">
        <v>0.98813186716409096</v>
      </c>
      <c r="S576" t="s">
        <v>6437</v>
      </c>
      <c r="T576" t="s">
        <v>11720</v>
      </c>
      <c r="U576" t="s">
        <v>11720</v>
      </c>
      <c r="V576" t="s">
        <v>11720</v>
      </c>
      <c r="W576" t="s">
        <v>12283</v>
      </c>
      <c r="X576">
        <v>3</v>
      </c>
      <c r="Y576" t="s">
        <v>18081</v>
      </c>
      <c r="Z576" t="s">
        <v>23783</v>
      </c>
      <c r="AA576">
        <v>0.31008831920835678</v>
      </c>
      <c r="AB576" t="str">
        <f>HYPERLINK("Melting_Curves/meltCurve_E9PR76_MAF1.pdf", "Melting_Curves/meltCurve_E9PR76_MAF1.pdf")</f>
        <v>Melting_Curves/meltCurve_E9PR76_MAF1.pdf</v>
      </c>
    </row>
    <row r="577" spans="1:28" x14ac:dyDescent="0.25">
      <c r="A577" t="s">
        <v>581</v>
      </c>
      <c r="B577">
        <v>0.99334974765950101</v>
      </c>
      <c r="C577">
        <v>1.10270959152894</v>
      </c>
      <c r="D577">
        <v>1.1851160088001</v>
      </c>
      <c r="E577">
        <v>1.2159191263865401</v>
      </c>
      <c r="F577">
        <v>1.0373146417682499</v>
      </c>
      <c r="G577">
        <v>0.62020869291318304</v>
      </c>
      <c r="H577">
        <v>0.26194353735540299</v>
      </c>
      <c r="I577">
        <v>0.23110116243335899</v>
      </c>
      <c r="J577">
        <v>0.190706600494808</v>
      </c>
      <c r="K577">
        <v>0.14570876034487401</v>
      </c>
      <c r="L577">
        <v>2850.0874817028498</v>
      </c>
      <c r="M577">
        <v>49.840065921992696</v>
      </c>
      <c r="N577">
        <v>57.762998471444803</v>
      </c>
      <c r="O577">
        <v>57.092837500866601</v>
      </c>
      <c r="P577">
        <v>-0.17537159419402301</v>
      </c>
      <c r="Q577">
        <v>0.19643351631265099</v>
      </c>
      <c r="R577">
        <v>0.94633121876544102</v>
      </c>
      <c r="S577" t="s">
        <v>6438</v>
      </c>
      <c r="T577" t="s">
        <v>11720</v>
      </c>
      <c r="U577" t="s">
        <v>11720</v>
      </c>
      <c r="V577" t="s">
        <v>11720</v>
      </c>
      <c r="W577" t="s">
        <v>12284</v>
      </c>
      <c r="X577">
        <v>2</v>
      </c>
      <c r="Y577" t="s">
        <v>18082</v>
      </c>
      <c r="Z577" t="s">
        <v>23784</v>
      </c>
      <c r="AA577">
        <v>0.65876898370813919</v>
      </c>
      <c r="AB577" t="str">
        <f>HYPERLINK("Melting_Curves/meltCurve_E9PRM7_SLC22A18.pdf", "Melting_Curves/meltCurve_E9PRM7_SLC22A18.pdf")</f>
        <v>Melting_Curves/meltCurve_E9PRM7_SLC22A18.pdf</v>
      </c>
    </row>
    <row r="578" spans="1:28" x14ac:dyDescent="0.25">
      <c r="A578" t="s">
        <v>582</v>
      </c>
      <c r="B578">
        <v>0.99334974765950101</v>
      </c>
      <c r="C578">
        <v>0.93162992608509798</v>
      </c>
      <c r="D578">
        <v>0.83479532778493504</v>
      </c>
      <c r="E578">
        <v>0.65747891031461003</v>
      </c>
      <c r="F578">
        <v>0.49125987743006899</v>
      </c>
      <c r="G578">
        <v>0.36595040874892798</v>
      </c>
      <c r="H578">
        <v>0.26029582817493901</v>
      </c>
      <c r="I578">
        <v>0.37281190661121499</v>
      </c>
      <c r="J578">
        <v>0.375821032077572</v>
      </c>
      <c r="K578">
        <v>0.345775198490679</v>
      </c>
      <c r="L578">
        <v>846.05592792632899</v>
      </c>
      <c r="M578">
        <v>17.124090595359899</v>
      </c>
      <c r="N578">
        <v>52.640256077161098</v>
      </c>
      <c r="O578">
        <v>48.7483179634037</v>
      </c>
      <c r="P578">
        <v>-5.9252812250591799E-2</v>
      </c>
      <c r="Q578">
        <v>0.325324413217433</v>
      </c>
      <c r="R578">
        <v>0.97943646741524404</v>
      </c>
      <c r="S578" t="s">
        <v>6439</v>
      </c>
      <c r="T578" t="s">
        <v>11720</v>
      </c>
      <c r="U578" t="s">
        <v>11720</v>
      </c>
      <c r="V578" t="s">
        <v>11720</v>
      </c>
      <c r="W578" t="s">
        <v>12285</v>
      </c>
      <c r="X578">
        <v>7</v>
      </c>
      <c r="Y578" t="s">
        <v>18083</v>
      </c>
      <c r="Z578" t="s">
        <v>23785</v>
      </c>
      <c r="AA578">
        <v>0.5496723148598619</v>
      </c>
      <c r="AB578" t="str">
        <f>HYPERLINK("Melting_Curves/meltCurve_E9PRR8_EIF1AD.pdf", "Melting_Curves/meltCurve_E9PRR8_EIF1AD.pdf")</f>
        <v>Melting_Curves/meltCurve_E9PRR8_EIF1AD.pdf</v>
      </c>
    </row>
    <row r="579" spans="1:28" x14ac:dyDescent="0.25">
      <c r="A579" t="s">
        <v>583</v>
      </c>
      <c r="B579">
        <v>0.99334974765950101</v>
      </c>
      <c r="C579">
        <v>0.99566950014705602</v>
      </c>
      <c r="D579">
        <v>0.91740473400688605</v>
      </c>
      <c r="E579">
        <v>0.85198171907620301</v>
      </c>
      <c r="F579">
        <v>0.57983679416353195</v>
      </c>
      <c r="G579">
        <v>0.51773390046058099</v>
      </c>
      <c r="H579">
        <v>0.44941188471514298</v>
      </c>
      <c r="I579">
        <v>0.46385107660410801</v>
      </c>
      <c r="J579">
        <v>0.49879778030518801</v>
      </c>
      <c r="K579">
        <v>0.40890471847161503</v>
      </c>
      <c r="L579">
        <v>1373.2143360700099</v>
      </c>
      <c r="M579">
        <v>26.793773632098201</v>
      </c>
      <c r="N579">
        <v>56.327198042691599</v>
      </c>
      <c r="O579">
        <v>50.968312304590199</v>
      </c>
      <c r="P579">
        <v>-7.1587862727581303E-2</v>
      </c>
      <c r="Q579">
        <v>0.45529505094411399</v>
      </c>
      <c r="R579">
        <v>0.97913082419771602</v>
      </c>
      <c r="S579" t="s">
        <v>6440</v>
      </c>
      <c r="T579" t="s">
        <v>11720</v>
      </c>
      <c r="U579" t="s">
        <v>11720</v>
      </c>
      <c r="V579" t="s">
        <v>11720</v>
      </c>
      <c r="W579" t="s">
        <v>12286</v>
      </c>
      <c r="X579">
        <v>3</v>
      </c>
      <c r="Y579" t="s">
        <v>18084</v>
      </c>
      <c r="Z579" t="s">
        <v>23786</v>
      </c>
      <c r="AA579">
        <v>0.66388753919869903</v>
      </c>
      <c r="AB579" t="str">
        <f>HYPERLINK("Melting_Curves/meltCurve_E9PRU1_EFEMP2.pdf", "Melting_Curves/meltCurve_E9PRU1_EFEMP2.pdf")</f>
        <v>Melting_Curves/meltCurve_E9PRU1_EFEMP2.pdf</v>
      </c>
    </row>
    <row r="580" spans="1:28" x14ac:dyDescent="0.25">
      <c r="A580" t="s">
        <v>584</v>
      </c>
      <c r="B580">
        <v>0.99334974765950101</v>
      </c>
      <c r="C580">
        <v>1.04195957075479</v>
      </c>
      <c r="D580">
        <v>0.97661320812781305</v>
      </c>
      <c r="E580">
        <v>0.71271960235653897</v>
      </c>
      <c r="F580">
        <v>0.59227825271289203</v>
      </c>
      <c r="G580">
        <v>0.45381361601215098</v>
      </c>
      <c r="H580">
        <v>0.253107885853534</v>
      </c>
      <c r="I580">
        <v>0.12512029725055199</v>
      </c>
      <c r="J580">
        <v>0.14440711882757601</v>
      </c>
      <c r="K580">
        <v>0.10288550316626199</v>
      </c>
      <c r="L580">
        <v>700.92173335586904</v>
      </c>
      <c r="M580">
        <v>12.840893006213101</v>
      </c>
      <c r="N580">
        <v>55.018023176926903</v>
      </c>
      <c r="O580">
        <v>53.312128568647701</v>
      </c>
      <c r="P580">
        <v>-5.73329083927578E-2</v>
      </c>
      <c r="Q580">
        <v>4.8049923022073698E-2</v>
      </c>
      <c r="R580">
        <v>0.985823107940628</v>
      </c>
      <c r="S580" t="s">
        <v>6441</v>
      </c>
      <c r="T580" t="s">
        <v>11720</v>
      </c>
      <c r="U580" t="s">
        <v>11720</v>
      </c>
      <c r="V580" t="s">
        <v>11720</v>
      </c>
      <c r="W580" t="s">
        <v>12287</v>
      </c>
      <c r="X580">
        <v>7</v>
      </c>
      <c r="Y580" t="s">
        <v>18085</v>
      </c>
      <c r="Z580" t="s">
        <v>23787</v>
      </c>
      <c r="AA580">
        <v>0.53297585047889962</v>
      </c>
      <c r="AB580" t="str">
        <f>HYPERLINK("Melting_Curves/meltCurve_E9PS00_FADS3.pdf", "Melting_Curves/meltCurve_E9PS00_FADS3.pdf")</f>
        <v>Melting_Curves/meltCurve_E9PS00_FADS3.pdf</v>
      </c>
    </row>
    <row r="581" spans="1:28" x14ac:dyDescent="0.25">
      <c r="A581" t="s">
        <v>585</v>
      </c>
      <c r="B581">
        <v>0.99334974765950101</v>
      </c>
      <c r="C581">
        <v>0.92016876318654195</v>
      </c>
      <c r="D581">
        <v>1.0119760274740801</v>
      </c>
      <c r="E581">
        <v>0.64633064308079202</v>
      </c>
      <c r="F581">
        <v>0.24252124484735199</v>
      </c>
      <c r="G581">
        <v>0.15186362060594</v>
      </c>
      <c r="H581">
        <v>0.115092244090771</v>
      </c>
      <c r="I581">
        <v>0.10590079440681199</v>
      </c>
      <c r="J581">
        <v>0.104251377959445</v>
      </c>
      <c r="K581">
        <v>8.2480038307046297E-2</v>
      </c>
      <c r="L581">
        <v>1911.3595479069099</v>
      </c>
      <c r="M581">
        <v>37.789553535064996</v>
      </c>
      <c r="N581">
        <v>50.909125885856</v>
      </c>
      <c r="O581">
        <v>50.438030627890598</v>
      </c>
      <c r="P581">
        <v>-0.166955590028604</v>
      </c>
      <c r="Q581">
        <v>0.108654275747487</v>
      </c>
      <c r="R581">
        <v>0.99394680778941003</v>
      </c>
      <c r="S581" t="s">
        <v>6442</v>
      </c>
      <c r="T581" t="s">
        <v>11720</v>
      </c>
      <c r="U581" t="s">
        <v>11720</v>
      </c>
      <c r="V581" t="s">
        <v>11720</v>
      </c>
      <c r="W581" t="s">
        <v>12288</v>
      </c>
      <c r="X581">
        <v>17</v>
      </c>
      <c r="Y581" t="s">
        <v>18086</v>
      </c>
      <c r="Z581" t="s">
        <v>23788</v>
      </c>
      <c r="AA581">
        <v>0.42646891444202911</v>
      </c>
      <c r="AB581" t="str">
        <f>HYPERLINK("Melting_Curves/meltCurve_E9PS17_SCYL1.pdf", "Melting_Curves/meltCurve_E9PS17_SCYL1.pdf")</f>
        <v>Melting_Curves/meltCurve_E9PS17_SCYL1.pdf</v>
      </c>
    </row>
    <row r="582" spans="1:28" x14ac:dyDescent="0.25">
      <c r="A582" t="s">
        <v>586</v>
      </c>
      <c r="B582">
        <v>0.99334974765950101</v>
      </c>
      <c r="C582">
        <v>1.0415789182311599</v>
      </c>
      <c r="D582">
        <v>0.79528488886475701</v>
      </c>
      <c r="E582">
        <v>0.87348775627117603</v>
      </c>
      <c r="F582">
        <v>0.81166403164616596</v>
      </c>
      <c r="G582">
        <v>0.57308960620569105</v>
      </c>
      <c r="H582">
        <v>0.40310858785229903</v>
      </c>
      <c r="I582">
        <v>0.34189768904436701</v>
      </c>
      <c r="J582">
        <v>0.36686460066050303</v>
      </c>
      <c r="K582">
        <v>0.28946324010591401</v>
      </c>
      <c r="L582">
        <v>653.88921375511995</v>
      </c>
      <c r="M582">
        <v>11.6070334997789</v>
      </c>
      <c r="N582">
        <v>59.198799131613001</v>
      </c>
      <c r="O582">
        <v>54.741295587394298</v>
      </c>
      <c r="P582">
        <v>-4.1634262513673199E-2</v>
      </c>
      <c r="Q582">
        <v>0.21479043259093</v>
      </c>
      <c r="R582">
        <v>0.95127757668337098</v>
      </c>
      <c r="S582" t="s">
        <v>6443</v>
      </c>
      <c r="T582" t="s">
        <v>11720</v>
      </c>
      <c r="U582" t="s">
        <v>11720</v>
      </c>
      <c r="V582" t="s">
        <v>11720</v>
      </c>
      <c r="W582" t="s">
        <v>12289</v>
      </c>
      <c r="X582">
        <v>8</v>
      </c>
      <c r="Y582" t="s">
        <v>18087</v>
      </c>
      <c r="Z582" t="s">
        <v>23789</v>
      </c>
      <c r="AA582">
        <v>0.65758181886810452</v>
      </c>
      <c r="AB582" t="str">
        <f>HYPERLINK("Melting_Curves/meltCurve_E9PS38_NEDD8_MDP1.pdf", "Melting_Curves/meltCurve_E9PS38_NEDD8_MDP1.pdf")</f>
        <v>Melting_Curves/meltCurve_E9PS38_NEDD8_MDP1.pdf</v>
      </c>
    </row>
    <row r="583" spans="1:28" x14ac:dyDescent="0.25">
      <c r="A583" t="s">
        <v>587</v>
      </c>
      <c r="B583">
        <v>0.99334974765950101</v>
      </c>
      <c r="C583">
        <v>1.0377723441970601</v>
      </c>
      <c r="D583">
        <v>0.97368200881701295</v>
      </c>
      <c r="E583">
        <v>0.79131083477923503</v>
      </c>
      <c r="F583">
        <v>1.09967110201263</v>
      </c>
      <c r="G583">
        <v>0.90886646837413498</v>
      </c>
      <c r="H583">
        <v>1.2459716260832401</v>
      </c>
      <c r="I583">
        <v>1.1916427802154199</v>
      </c>
      <c r="J583">
        <v>1.76132958658001</v>
      </c>
      <c r="K583">
        <v>1.4905261933873599</v>
      </c>
      <c r="L583">
        <v>2471.9758334615199</v>
      </c>
      <c r="M583">
        <v>39.658375542211999</v>
      </c>
      <c r="O583">
        <v>62.1738856191078</v>
      </c>
      <c r="P583">
        <v>7.9732948265558601E-2</v>
      </c>
      <c r="Q583">
        <v>1.5</v>
      </c>
      <c r="R583">
        <v>0.74694050739393902</v>
      </c>
      <c r="S583" t="s">
        <v>6444</v>
      </c>
      <c r="T583" t="s">
        <v>11720</v>
      </c>
      <c r="U583" t="s">
        <v>11720</v>
      </c>
      <c r="V583" t="s">
        <v>11720</v>
      </c>
      <c r="W583" t="s">
        <v>12286</v>
      </c>
      <c r="X583">
        <v>1</v>
      </c>
      <c r="Y583" t="s">
        <v>18084</v>
      </c>
      <c r="Z583" t="s">
        <v>23790</v>
      </c>
      <c r="AA583">
        <v>1.1260642584833469</v>
      </c>
      <c r="AB583" t="str">
        <f>HYPERLINK("Melting_Curves/meltCurve_E9PSC1_EFEMP2.pdf", "Melting_Curves/meltCurve_E9PSC1_EFEMP2.pdf")</f>
        <v>Melting_Curves/meltCurve_E9PSC1_EFEMP2.pdf</v>
      </c>
    </row>
    <row r="584" spans="1:28" x14ac:dyDescent="0.25">
      <c r="A584" t="s">
        <v>588</v>
      </c>
      <c r="B584">
        <v>0.99334974765950101</v>
      </c>
      <c r="C584">
        <v>0.930761826481044</v>
      </c>
      <c r="D584">
        <v>0.88868228467844301</v>
      </c>
      <c r="E584">
        <v>0.74095234229943896</v>
      </c>
      <c r="F584">
        <v>0.35355657880117503</v>
      </c>
      <c r="G584">
        <v>0.19140682413681601</v>
      </c>
      <c r="H584">
        <v>0.16809235189897401</v>
      </c>
      <c r="I584">
        <v>0.16974984982855901</v>
      </c>
      <c r="J584">
        <v>0.14789929985794101</v>
      </c>
      <c r="K584">
        <v>0.115276111798952</v>
      </c>
      <c r="L584">
        <v>1342.55017909392</v>
      </c>
      <c r="M584">
        <v>26.250390413638499</v>
      </c>
      <c r="N584">
        <v>51.800882321722803</v>
      </c>
      <c r="O584">
        <v>50.849967212922998</v>
      </c>
      <c r="P584">
        <v>-0.110788467297223</v>
      </c>
      <c r="Q584">
        <v>0.14157047959897701</v>
      </c>
      <c r="R584">
        <v>0.98919114108256301</v>
      </c>
      <c r="S584" t="s">
        <v>6445</v>
      </c>
      <c r="T584" t="s">
        <v>11720</v>
      </c>
      <c r="U584" t="s">
        <v>11720</v>
      </c>
      <c r="V584" t="s">
        <v>11720</v>
      </c>
      <c r="W584" t="s">
        <v>12290</v>
      </c>
      <c r="X584">
        <v>15</v>
      </c>
      <c r="Y584" t="s">
        <v>18088</v>
      </c>
      <c r="Z584" t="s">
        <v>23791</v>
      </c>
      <c r="AA584">
        <v>0.46750433207296282</v>
      </c>
      <c r="AB584" t="str">
        <f>HYPERLINK("Melting_Curves/meltCurve_E9PSI1_TM9SF1.pdf", "Melting_Curves/meltCurve_E9PSI1_TM9SF1.pdf")</f>
        <v>Melting_Curves/meltCurve_E9PSI1_TM9SF1.pdf</v>
      </c>
    </row>
    <row r="585" spans="1:28" x14ac:dyDescent="0.25">
      <c r="A585" t="s">
        <v>589</v>
      </c>
      <c r="B585">
        <v>0.99334974765950101</v>
      </c>
      <c r="C585">
        <v>0.93277938429968899</v>
      </c>
      <c r="D585">
        <v>0.83624039653577598</v>
      </c>
      <c r="E585">
        <v>0.57628787840388196</v>
      </c>
      <c r="F585">
        <v>0.49650917550650298</v>
      </c>
      <c r="G585">
        <v>0.31164379696838401</v>
      </c>
      <c r="H585">
        <v>0.24314512574767999</v>
      </c>
      <c r="I585">
        <v>0.25009579954160899</v>
      </c>
      <c r="J585">
        <v>0.30035725672437502</v>
      </c>
      <c r="K585">
        <v>0.26206054545520502</v>
      </c>
      <c r="L585">
        <v>782.42581465786895</v>
      </c>
      <c r="M585">
        <v>15.764035265779301</v>
      </c>
      <c r="N585">
        <v>51.856044411307501</v>
      </c>
      <c r="O585">
        <v>48.855475400675303</v>
      </c>
      <c r="P585">
        <v>-6.0861759798717698E-2</v>
      </c>
      <c r="Q585">
        <v>0.24557819156632299</v>
      </c>
      <c r="R585">
        <v>0.99087138386003204</v>
      </c>
      <c r="S585" t="s">
        <v>6446</v>
      </c>
      <c r="T585" t="s">
        <v>11720</v>
      </c>
      <c r="U585" t="s">
        <v>11720</v>
      </c>
      <c r="V585" t="s">
        <v>11720</v>
      </c>
      <c r="W585" t="s">
        <v>12291</v>
      </c>
      <c r="X585">
        <v>2</v>
      </c>
      <c r="Y585" t="s">
        <v>18089</v>
      </c>
      <c r="Z585" t="s">
        <v>23792</v>
      </c>
      <c r="AA585">
        <v>0.50446242812754027</v>
      </c>
      <c r="AB585" t="str">
        <f>HYPERLINK("Melting_Curves/meltCurve_F2Z2B9_TUBGCP2.pdf", "Melting_Curves/meltCurve_F2Z2B9_TUBGCP2.pdf")</f>
        <v>Melting_Curves/meltCurve_F2Z2B9_TUBGCP2.pdf</v>
      </c>
    </row>
    <row r="586" spans="1:28" x14ac:dyDescent="0.25">
      <c r="A586" t="s">
        <v>590</v>
      </c>
      <c r="B586">
        <v>0.99334974765950101</v>
      </c>
      <c r="C586">
        <v>0.929013494448378</v>
      </c>
      <c r="D586">
        <v>0.90097640648294497</v>
      </c>
      <c r="E586">
        <v>0.77374916776562797</v>
      </c>
      <c r="F586">
        <v>0.68262259319901897</v>
      </c>
      <c r="G586">
        <v>0.357487190202956</v>
      </c>
      <c r="H586">
        <v>0.23002348545500301</v>
      </c>
      <c r="I586">
        <v>0.17816321768190399</v>
      </c>
      <c r="J586">
        <v>0.147965754733385</v>
      </c>
      <c r="K586">
        <v>0.10559080127488001</v>
      </c>
      <c r="L586">
        <v>722.46713750876302</v>
      </c>
      <c r="M586">
        <v>13.238551303738699</v>
      </c>
      <c r="N586">
        <v>55.077764987149301</v>
      </c>
      <c r="O586">
        <v>53.372836723148801</v>
      </c>
      <c r="P586">
        <v>-5.8476797486870499E-2</v>
      </c>
      <c r="Q586">
        <v>5.7129829554957101E-2</v>
      </c>
      <c r="R586">
        <v>0.99227669812198904</v>
      </c>
      <c r="S586" t="s">
        <v>6447</v>
      </c>
      <c r="T586" t="s">
        <v>11720</v>
      </c>
      <c r="U586" t="s">
        <v>11720</v>
      </c>
      <c r="V586" t="s">
        <v>11720</v>
      </c>
      <c r="W586" t="s">
        <v>12292</v>
      </c>
      <c r="X586">
        <v>9</v>
      </c>
      <c r="Y586" t="s">
        <v>18090</v>
      </c>
      <c r="Z586" t="s">
        <v>23793</v>
      </c>
      <c r="AA586">
        <v>0.53646382463483622</v>
      </c>
      <c r="AB586" t="str">
        <f>HYPERLINK("Melting_Curves/meltCurve_F2Z2I2_PFKFB3.pdf", "Melting_Curves/meltCurve_F2Z2I2_PFKFB3.pdf")</f>
        <v>Melting_Curves/meltCurve_F2Z2I2_PFKFB3.pdf</v>
      </c>
    </row>
    <row r="587" spans="1:28" x14ac:dyDescent="0.25">
      <c r="A587" t="s">
        <v>591</v>
      </c>
      <c r="B587">
        <v>0.99334974765950101</v>
      </c>
      <c r="C587">
        <v>1.1903472260374699</v>
      </c>
      <c r="D587">
        <v>1.5659817023579301</v>
      </c>
      <c r="E587">
        <v>2.25741427735288</v>
      </c>
      <c r="F587">
        <v>1.65371053773291</v>
      </c>
      <c r="G587">
        <v>0.59112510828393505</v>
      </c>
      <c r="H587">
        <v>0.38259810736682098</v>
      </c>
      <c r="I587">
        <v>0.27259910356236799</v>
      </c>
      <c r="J587">
        <v>0.23452624110956599</v>
      </c>
      <c r="K587">
        <v>0.202974907649072</v>
      </c>
      <c r="L587">
        <v>14227.3079351341</v>
      </c>
      <c r="M587">
        <v>249.853408492141</v>
      </c>
      <c r="N587">
        <v>57.123349076511801</v>
      </c>
      <c r="O587">
        <v>56.938972906447901</v>
      </c>
      <c r="P587">
        <v>-0.79734407314113498</v>
      </c>
      <c r="Q587">
        <v>0.27317457609038598</v>
      </c>
      <c r="R587">
        <v>0.48419014058707499</v>
      </c>
      <c r="S587" t="s">
        <v>6448</v>
      </c>
      <c r="T587" t="s">
        <v>11720</v>
      </c>
      <c r="U587" t="s">
        <v>11720</v>
      </c>
      <c r="V587" t="s">
        <v>11720</v>
      </c>
      <c r="W587" t="s">
        <v>12293</v>
      </c>
      <c r="X587">
        <v>14</v>
      </c>
      <c r="Y587" t="s">
        <v>18091</v>
      </c>
      <c r="Z587" t="s">
        <v>23794</v>
      </c>
      <c r="AA587">
        <v>0.68372488420418642</v>
      </c>
      <c r="AB587" t="str">
        <f>HYPERLINK("Melting_Curves/meltCurve_F2Z2U8_MYH14.pdf", "Melting_Curves/meltCurve_F2Z2U8_MYH14.pdf")</f>
        <v>Melting_Curves/meltCurve_F2Z2U8_MYH14.pdf</v>
      </c>
    </row>
    <row r="588" spans="1:28" x14ac:dyDescent="0.25">
      <c r="A588" t="s">
        <v>592</v>
      </c>
      <c r="B588">
        <v>0.99334974765950101</v>
      </c>
      <c r="C588">
        <v>1.0201871397223601</v>
      </c>
      <c r="D588">
        <v>1.0157785216997499</v>
      </c>
      <c r="E588">
        <v>0.91726870117859804</v>
      </c>
      <c r="F588">
        <v>0.398288595282275</v>
      </c>
      <c r="G588">
        <v>0.22248590479281399</v>
      </c>
      <c r="H588">
        <v>0.17323401508869599</v>
      </c>
      <c r="I588">
        <v>0.15166694877461601</v>
      </c>
      <c r="J588">
        <v>0.12598158994074399</v>
      </c>
      <c r="K588">
        <v>9.5572664949931205E-2</v>
      </c>
      <c r="L588">
        <v>2599.4643812535101</v>
      </c>
      <c r="M588">
        <v>49.884708579582401</v>
      </c>
      <c r="N588">
        <v>52.485291709367097</v>
      </c>
      <c r="O588">
        <v>52.025893114863102</v>
      </c>
      <c r="P588">
        <v>-0.20370834872478</v>
      </c>
      <c r="Q588">
        <v>0.150192307331738</v>
      </c>
      <c r="R588">
        <v>0.99448895712945096</v>
      </c>
      <c r="S588" t="s">
        <v>6449</v>
      </c>
      <c r="T588" t="s">
        <v>11720</v>
      </c>
      <c r="U588" t="s">
        <v>11720</v>
      </c>
      <c r="V588" t="s">
        <v>11720</v>
      </c>
      <c r="W588" t="s">
        <v>12294</v>
      </c>
      <c r="X588">
        <v>10</v>
      </c>
      <c r="Y588" t="s">
        <v>18092</v>
      </c>
      <c r="Z588" t="s">
        <v>23795</v>
      </c>
      <c r="AA588">
        <v>0.49517784384202268</v>
      </c>
      <c r="AB588" t="str">
        <f>HYPERLINK("Melting_Curves/meltCurve_F2Z2X4_XPO4.pdf", "Melting_Curves/meltCurve_F2Z2X4_XPO4.pdf")</f>
        <v>Melting_Curves/meltCurve_F2Z2X4_XPO4.pdf</v>
      </c>
    </row>
    <row r="589" spans="1:28" x14ac:dyDescent="0.25">
      <c r="A589" t="s">
        <v>593</v>
      </c>
      <c r="B589">
        <v>0.99334974765950101</v>
      </c>
      <c r="C589">
        <v>1.0384008754706899</v>
      </c>
      <c r="D589">
        <v>0.72638679969321995</v>
      </c>
      <c r="E589">
        <v>0.65954063562372001</v>
      </c>
      <c r="F589">
        <v>0.40263625158015698</v>
      </c>
      <c r="G589">
        <v>0.22759520955229801</v>
      </c>
      <c r="H589">
        <v>0.20271038955534701</v>
      </c>
      <c r="I589">
        <v>0.230118144580476</v>
      </c>
      <c r="J589">
        <v>0.181110389343211</v>
      </c>
      <c r="K589">
        <v>0.16510361773669399</v>
      </c>
      <c r="L589">
        <v>794.28537023387901</v>
      </c>
      <c r="M589">
        <v>15.851484372768599</v>
      </c>
      <c r="N589">
        <v>51.397504747105103</v>
      </c>
      <c r="O589">
        <v>49.330822019340602</v>
      </c>
      <c r="P589">
        <v>-6.71577990005639E-2</v>
      </c>
      <c r="Q589">
        <v>0.16407093873706299</v>
      </c>
      <c r="R589">
        <v>0.97227776377044695</v>
      </c>
      <c r="S589" t="s">
        <v>6450</v>
      </c>
      <c r="T589" t="s">
        <v>11720</v>
      </c>
      <c r="U589" t="s">
        <v>11720</v>
      </c>
      <c r="V589" t="s">
        <v>11720</v>
      </c>
      <c r="W589" t="s">
        <v>12295</v>
      </c>
      <c r="X589">
        <v>1</v>
      </c>
      <c r="Y589" t="s">
        <v>18093</v>
      </c>
      <c r="Z589" t="s">
        <v>23796</v>
      </c>
      <c r="AA589">
        <v>0.463726044933568</v>
      </c>
      <c r="AB589" t="str">
        <f>HYPERLINK("Melting_Curves/meltCurve_F5GWF3_C1RL.pdf", "Melting_Curves/meltCurve_F5GWF3_C1RL.pdf")</f>
        <v>Melting_Curves/meltCurve_F5GWF3_C1RL.pdf</v>
      </c>
    </row>
    <row r="590" spans="1:28" x14ac:dyDescent="0.25">
      <c r="A590" t="s">
        <v>594</v>
      </c>
      <c r="B590">
        <v>0.99334974765950101</v>
      </c>
      <c r="C590">
        <v>0.98876912214097201</v>
      </c>
      <c r="D590">
        <v>0.99390806236517304</v>
      </c>
      <c r="E590">
        <v>0.86585438868319897</v>
      </c>
      <c r="F590">
        <v>0.48798196936291599</v>
      </c>
      <c r="G590">
        <v>0.290468465631879</v>
      </c>
      <c r="H590">
        <v>0.243596282211688</v>
      </c>
      <c r="I590">
        <v>0.25236195468403999</v>
      </c>
      <c r="J590">
        <v>0.27702775635301702</v>
      </c>
      <c r="K590">
        <v>0.26518819036601099</v>
      </c>
      <c r="L590">
        <v>2029.9984780387899</v>
      </c>
      <c r="M590">
        <v>39.1036857604565</v>
      </c>
      <c r="N590">
        <v>52.909632493770999</v>
      </c>
      <c r="O590">
        <v>51.778004389496303</v>
      </c>
      <c r="P590">
        <v>-0.13960518559281099</v>
      </c>
      <c r="Q590">
        <v>0.260585004628621</v>
      </c>
      <c r="R590">
        <v>0.99911651687276104</v>
      </c>
      <c r="S590" t="s">
        <v>6451</v>
      </c>
      <c r="T590" t="s">
        <v>11720</v>
      </c>
      <c r="U590" t="s">
        <v>11720</v>
      </c>
      <c r="V590" t="s">
        <v>11720</v>
      </c>
      <c r="W590" t="s">
        <v>12296</v>
      </c>
      <c r="X590">
        <v>26</v>
      </c>
      <c r="Y590" t="s">
        <v>18094</v>
      </c>
      <c r="Z590" t="s">
        <v>23797</v>
      </c>
      <c r="AA590">
        <v>0.55698810047521807</v>
      </c>
      <c r="AB590" t="str">
        <f>HYPERLINK("Melting_Curves/meltCurve_F5GWT4_WNK1.pdf", "Melting_Curves/meltCurve_F5GWT4_WNK1.pdf")</f>
        <v>Melting_Curves/meltCurve_F5GWT4_WNK1.pdf</v>
      </c>
    </row>
    <row r="591" spans="1:28" x14ac:dyDescent="0.25">
      <c r="A591" t="s">
        <v>595</v>
      </c>
      <c r="B591">
        <v>0.99334974765950101</v>
      </c>
      <c r="C591">
        <v>1.0582317670408099</v>
      </c>
      <c r="D591">
        <v>0.89111708925442201</v>
      </c>
      <c r="E591">
        <v>0.69209286634948097</v>
      </c>
      <c r="F591">
        <v>0.45300028154482602</v>
      </c>
      <c r="G591">
        <v>0.40850989860155301</v>
      </c>
      <c r="H591">
        <v>0.27473493992763998</v>
      </c>
      <c r="I591">
        <v>0.27859043948964402</v>
      </c>
      <c r="J591">
        <v>0.247516480992544</v>
      </c>
      <c r="K591">
        <v>0.25347705977646101</v>
      </c>
      <c r="L591">
        <v>959.35851656475495</v>
      </c>
      <c r="M591">
        <v>18.885853620984498</v>
      </c>
      <c r="N591">
        <v>52.833540195570002</v>
      </c>
      <c r="O591">
        <v>50.238456019574102</v>
      </c>
      <c r="P591">
        <v>-6.9690227347026207E-2</v>
      </c>
      <c r="Q591">
        <v>0.25849519056097398</v>
      </c>
      <c r="R591">
        <v>0.98601623077633704</v>
      </c>
      <c r="S591" t="s">
        <v>6452</v>
      </c>
      <c r="T591" t="s">
        <v>11720</v>
      </c>
      <c r="U591" t="s">
        <v>11720</v>
      </c>
      <c r="V591" t="s">
        <v>11720</v>
      </c>
      <c r="W591" t="s">
        <v>12297</v>
      </c>
      <c r="X591">
        <v>8</v>
      </c>
      <c r="Y591" t="s">
        <v>18095</v>
      </c>
      <c r="Z591" t="s">
        <v>23798</v>
      </c>
      <c r="AA591">
        <v>0.53684528230465023</v>
      </c>
      <c r="AB591" t="str">
        <f>HYPERLINK("Melting_Curves/meltCurve_F5GWU7_SMAD5.pdf", "Melting_Curves/meltCurve_F5GWU7_SMAD5.pdf")</f>
        <v>Melting_Curves/meltCurve_F5GWU7_SMAD5.pdf</v>
      </c>
    </row>
    <row r="592" spans="1:28" x14ac:dyDescent="0.25">
      <c r="A592" t="s">
        <v>596</v>
      </c>
      <c r="B592">
        <v>0.99334974765950101</v>
      </c>
      <c r="C592">
        <v>1.0038073020501199</v>
      </c>
      <c r="D592">
        <v>0.84049011931496798</v>
      </c>
      <c r="E592">
        <v>0.44540084629508803</v>
      </c>
      <c r="F592">
        <v>0.22868832965130501</v>
      </c>
      <c r="G592">
        <v>0.14088112849003501</v>
      </c>
      <c r="H592">
        <v>0.14945935698552501</v>
      </c>
      <c r="I592">
        <v>0.121225920258687</v>
      </c>
      <c r="J592">
        <v>0.100892651070961</v>
      </c>
      <c r="K592">
        <v>0</v>
      </c>
      <c r="L592">
        <v>1140.2629594955399</v>
      </c>
      <c r="M592">
        <v>23.221804595138199</v>
      </c>
      <c r="N592">
        <v>49.531508431845403</v>
      </c>
      <c r="O592">
        <v>48.743311144109001</v>
      </c>
      <c r="P592">
        <v>-0.108268601629297</v>
      </c>
      <c r="Q592">
        <v>9.0979092423215599E-2</v>
      </c>
      <c r="R592">
        <v>0.99068505108406102</v>
      </c>
      <c r="S592" t="s">
        <v>6453</v>
      </c>
      <c r="T592" t="s">
        <v>11720</v>
      </c>
      <c r="U592" t="s">
        <v>11720</v>
      </c>
      <c r="V592" t="s">
        <v>11720</v>
      </c>
      <c r="W592" t="s">
        <v>12298</v>
      </c>
      <c r="X592">
        <v>1</v>
      </c>
      <c r="Y592" t="s">
        <v>18096</v>
      </c>
      <c r="Z592" t="s">
        <v>23799</v>
      </c>
      <c r="AA592">
        <v>0.37618947492402438</v>
      </c>
      <c r="AB592" t="str">
        <f>HYPERLINK("Melting_Curves/meltCurve_F5GWX5_CHD4.pdf", "Melting_Curves/meltCurve_F5GWX5_CHD4.pdf")</f>
        <v>Melting_Curves/meltCurve_F5GWX5_CHD4.pdf</v>
      </c>
    </row>
    <row r="593" spans="1:28" x14ac:dyDescent="0.25">
      <c r="A593" t="s">
        <v>597</v>
      </c>
      <c r="B593">
        <v>0.99334974765950101</v>
      </c>
      <c r="C593">
        <v>0.94933607036034695</v>
      </c>
      <c r="D593">
        <v>0.962155230089488</v>
      </c>
      <c r="E593">
        <v>0.94097630430676804</v>
      </c>
      <c r="F593">
        <v>0.95192725062527594</v>
      </c>
      <c r="G593">
        <v>0.82780422615375604</v>
      </c>
      <c r="H593">
        <v>0.67726666822147097</v>
      </c>
      <c r="I593">
        <v>0.78275557795751904</v>
      </c>
      <c r="J593">
        <v>0.640639233730256</v>
      </c>
      <c r="K593">
        <v>0.58175100706919802</v>
      </c>
      <c r="L593">
        <v>448.04673654165902</v>
      </c>
      <c r="M593">
        <v>6.5662069426112701</v>
      </c>
      <c r="O593">
        <v>62.736953029950797</v>
      </c>
      <c r="P593">
        <v>-1.97694481952615E-2</v>
      </c>
      <c r="Q593">
        <v>0.24621435436762401</v>
      </c>
      <c r="R593">
        <v>0.91495583424927296</v>
      </c>
      <c r="S593" t="s">
        <v>6454</v>
      </c>
      <c r="T593" t="s">
        <v>11720</v>
      </c>
      <c r="U593" t="s">
        <v>11720</v>
      </c>
      <c r="V593" t="s">
        <v>11720</v>
      </c>
      <c r="W593" t="s">
        <v>12299</v>
      </c>
      <c r="X593">
        <v>3</v>
      </c>
      <c r="Y593" t="s">
        <v>18097</v>
      </c>
      <c r="Z593" t="s">
        <v>23800</v>
      </c>
      <c r="AA593">
        <v>0.84147354699708088</v>
      </c>
      <c r="AB593" t="str">
        <f>HYPERLINK("Melting_Curves/meltCurve_F5GWY5_PODXL.pdf", "Melting_Curves/meltCurve_F5GWY5_PODXL.pdf")</f>
        <v>Melting_Curves/meltCurve_F5GWY5_PODXL.pdf</v>
      </c>
    </row>
    <row r="594" spans="1:28" x14ac:dyDescent="0.25">
      <c r="A594" t="s">
        <v>598</v>
      </c>
      <c r="B594">
        <v>0.99334974765950101</v>
      </c>
      <c r="C594">
        <v>1.03708210185865</v>
      </c>
      <c r="D594">
        <v>1.05149102518473</v>
      </c>
      <c r="E594">
        <v>1.18309722265569</v>
      </c>
      <c r="F594">
        <v>1.8632148859889499</v>
      </c>
      <c r="G594">
        <v>1.2323167781108599</v>
      </c>
      <c r="H594">
        <v>1.13814448090766</v>
      </c>
      <c r="I594">
        <v>1.3525670464603099</v>
      </c>
      <c r="J594">
        <v>2.0432755005283698</v>
      </c>
      <c r="K594">
        <v>1.9957561378526201</v>
      </c>
      <c r="L594">
        <v>12527.428124239001</v>
      </c>
      <c r="M594">
        <v>250</v>
      </c>
      <c r="O594">
        <v>50.106505124619702</v>
      </c>
      <c r="P594">
        <v>0.62367150797645499</v>
      </c>
      <c r="Q594">
        <v>1.5</v>
      </c>
      <c r="R594">
        <v>0.41727406960107</v>
      </c>
      <c r="S594" t="s">
        <v>6455</v>
      </c>
      <c r="T594" t="s">
        <v>11720</v>
      </c>
      <c r="U594" t="s">
        <v>11720</v>
      </c>
      <c r="V594" t="s">
        <v>11720</v>
      </c>
      <c r="W594" t="s">
        <v>12300</v>
      </c>
      <c r="X594">
        <v>2</v>
      </c>
      <c r="Y594" t="s">
        <v>18098</v>
      </c>
      <c r="Z594" t="s">
        <v>23801</v>
      </c>
      <c r="AA594">
        <v>1.3314608208346239</v>
      </c>
      <c r="AB594" t="str">
        <f>HYPERLINK("Melting_Curves/meltCurve_F5GX68_DNMT1.pdf", "Melting_Curves/meltCurve_F5GX68_DNMT1.pdf")</f>
        <v>Melting_Curves/meltCurve_F5GX68_DNMT1.pdf</v>
      </c>
    </row>
    <row r="595" spans="1:28" x14ac:dyDescent="0.25">
      <c r="A595" t="s">
        <v>599</v>
      </c>
      <c r="B595">
        <v>0.99334974765950101</v>
      </c>
      <c r="C595">
        <v>0.97135966102576399</v>
      </c>
      <c r="D595">
        <v>0.94897425399477597</v>
      </c>
      <c r="E595">
        <v>0.63861153347831401</v>
      </c>
      <c r="F595">
        <v>0.14040151776180901</v>
      </c>
      <c r="G595">
        <v>0.105716410672407</v>
      </c>
      <c r="H595">
        <v>8.1307570998698495E-2</v>
      </c>
      <c r="I595">
        <v>9.1297995658327497E-2</v>
      </c>
      <c r="J595">
        <v>7.5980199455303501E-2</v>
      </c>
      <c r="K595">
        <v>6.2996083995760094E-2</v>
      </c>
      <c r="L595">
        <v>2601.4640596661502</v>
      </c>
      <c r="M595">
        <v>51.613136426586699</v>
      </c>
      <c r="N595">
        <v>50.577547194020603</v>
      </c>
      <c r="O595">
        <v>50.327644584854298</v>
      </c>
      <c r="P595">
        <v>-0.23548465274614899</v>
      </c>
      <c r="Q595">
        <v>8.1522276352466796E-2</v>
      </c>
      <c r="R595">
        <v>0.99758284898818606</v>
      </c>
      <c r="S595" t="s">
        <v>6456</v>
      </c>
      <c r="T595" t="s">
        <v>11720</v>
      </c>
      <c r="U595" t="s">
        <v>11720</v>
      </c>
      <c r="V595" t="s">
        <v>11720</v>
      </c>
      <c r="W595" t="s">
        <v>12301</v>
      </c>
      <c r="X595">
        <v>21</v>
      </c>
      <c r="Y595" t="s">
        <v>18099</v>
      </c>
      <c r="Z595" t="s">
        <v>23802</v>
      </c>
      <c r="AA595">
        <v>0.40193970768171522</v>
      </c>
      <c r="AB595" t="str">
        <f>HYPERLINK("Melting_Curves/meltCurve_F5GXC8_SUCLA2.pdf", "Melting_Curves/meltCurve_F5GXC8_SUCLA2.pdf")</f>
        <v>Melting_Curves/meltCurve_F5GXC8_SUCLA2.pdf</v>
      </c>
    </row>
    <row r="596" spans="1:28" x14ac:dyDescent="0.25">
      <c r="A596" t="s">
        <v>600</v>
      </c>
      <c r="B596">
        <v>0.99334974765950101</v>
      </c>
      <c r="C596">
        <v>1.0357483124807101</v>
      </c>
      <c r="D596">
        <v>1.01766025335928</v>
      </c>
      <c r="E596">
        <v>0.86632156513021796</v>
      </c>
      <c r="F596">
        <v>0.49901348996636402</v>
      </c>
      <c r="G596">
        <v>0.17084217688796799</v>
      </c>
      <c r="H596">
        <v>0.130352290498149</v>
      </c>
      <c r="I596">
        <v>0.12438576783059099</v>
      </c>
      <c r="J596">
        <v>0.13417078709763</v>
      </c>
      <c r="K596">
        <v>0.117372545385828</v>
      </c>
      <c r="L596">
        <v>1838.70297308458</v>
      </c>
      <c r="M596">
        <v>34.998860386196903</v>
      </c>
      <c r="N596">
        <v>52.964834694605798</v>
      </c>
      <c r="O596">
        <v>52.365451886441399</v>
      </c>
      <c r="P596">
        <v>-0.14647784787548601</v>
      </c>
      <c r="Q596">
        <v>0.123359844918541</v>
      </c>
      <c r="R596">
        <v>0.99865822722464803</v>
      </c>
      <c r="S596" t="s">
        <v>6457</v>
      </c>
      <c r="T596" t="s">
        <v>11720</v>
      </c>
      <c r="U596" t="s">
        <v>11720</v>
      </c>
      <c r="V596" t="s">
        <v>11720</v>
      </c>
      <c r="W596" t="s">
        <v>12302</v>
      </c>
      <c r="X596">
        <v>8</v>
      </c>
      <c r="Y596" t="s">
        <v>18100</v>
      </c>
      <c r="Z596" t="s">
        <v>23803</v>
      </c>
      <c r="AA596">
        <v>0.49383858366018563</v>
      </c>
      <c r="AB596" t="str">
        <f>HYPERLINK("Melting_Curves/meltCurve_F5GXE4_ATE1.pdf", "Melting_Curves/meltCurve_F5GXE4_ATE1.pdf")</f>
        <v>Melting_Curves/meltCurve_F5GXE4_ATE1.pdf</v>
      </c>
    </row>
    <row r="597" spans="1:28" x14ac:dyDescent="0.25">
      <c r="A597" t="s">
        <v>601</v>
      </c>
      <c r="B597">
        <v>0.99334974765950101</v>
      </c>
      <c r="C597">
        <v>0.79000086335812203</v>
      </c>
      <c r="D597">
        <v>0.69256682365341105</v>
      </c>
      <c r="E597">
        <v>0.67142974741072703</v>
      </c>
      <c r="F597">
        <v>1.0665703550846199</v>
      </c>
      <c r="G597">
        <v>0.45178804285246399</v>
      </c>
      <c r="H597">
        <v>0.91750362254477402</v>
      </c>
      <c r="I597">
        <v>1.1915270994167999</v>
      </c>
      <c r="J597">
        <v>0.94443848835456401</v>
      </c>
      <c r="K597">
        <v>0</v>
      </c>
      <c r="L597">
        <v>155.09953903358601</v>
      </c>
      <c r="M597">
        <v>1.5900335578489</v>
      </c>
      <c r="O597">
        <v>49.806625689566502</v>
      </c>
      <c r="P597">
        <v>-9.1831499478915602E-3</v>
      </c>
      <c r="Q597">
        <v>0</v>
      </c>
      <c r="R597">
        <v>6.00322615029154E-2</v>
      </c>
      <c r="S597" t="s">
        <v>6458</v>
      </c>
      <c r="T597" t="s">
        <v>11720</v>
      </c>
      <c r="U597" t="s">
        <v>11720</v>
      </c>
      <c r="V597" t="s">
        <v>11720</v>
      </c>
      <c r="W597" t="s">
        <v>12303</v>
      </c>
      <c r="X597">
        <v>2</v>
      </c>
      <c r="Y597" t="s">
        <v>18101</v>
      </c>
      <c r="Z597" t="s">
        <v>23804</v>
      </c>
      <c r="AA597">
        <v>0.77609235419004641</v>
      </c>
      <c r="AB597" t="str">
        <f>HYPERLINK("Melting_Curves/meltCurve_F5GXE7_LTBR.pdf", "Melting_Curves/meltCurve_F5GXE7_LTBR.pdf")</f>
        <v>Melting_Curves/meltCurve_F5GXE7_LTBR.pdf</v>
      </c>
    </row>
    <row r="598" spans="1:28" x14ac:dyDescent="0.25">
      <c r="A598" t="s">
        <v>602</v>
      </c>
      <c r="B598">
        <v>0.99334974765950101</v>
      </c>
      <c r="C598">
        <v>0.96919014027552697</v>
      </c>
      <c r="D598">
        <v>0.84819007927683199</v>
      </c>
      <c r="E598">
        <v>0.69528639074165599</v>
      </c>
      <c r="F598">
        <v>0.63690005545850803</v>
      </c>
      <c r="G598">
        <v>0.54742819859261904</v>
      </c>
      <c r="H598">
        <v>0.51820359565838003</v>
      </c>
      <c r="I598">
        <v>0.80276688169432198</v>
      </c>
      <c r="J598">
        <v>0.88517444564314995</v>
      </c>
      <c r="K598">
        <v>0.84479219424629004</v>
      </c>
      <c r="L598">
        <v>2066.18636714883</v>
      </c>
      <c r="M598">
        <v>45.035846609019103</v>
      </c>
      <c r="O598">
        <v>45.788523080786398</v>
      </c>
      <c r="P598">
        <v>-7.2880249770159194E-2</v>
      </c>
      <c r="Q598">
        <v>0.70360724989221601</v>
      </c>
      <c r="R598">
        <v>0.49658389861699997</v>
      </c>
      <c r="S598" t="s">
        <v>6459</v>
      </c>
      <c r="T598" t="s">
        <v>11720</v>
      </c>
      <c r="U598" t="s">
        <v>11720</v>
      </c>
      <c r="V598" t="s">
        <v>11720</v>
      </c>
      <c r="W598" t="s">
        <v>12304</v>
      </c>
      <c r="X598">
        <v>16</v>
      </c>
      <c r="Y598" t="s">
        <v>18102</v>
      </c>
      <c r="Z598" t="s">
        <v>23805</v>
      </c>
      <c r="AA598">
        <v>0.76243758455670896</v>
      </c>
      <c r="AB598" t="str">
        <f>HYPERLINK("Melting_Curves/meltCurve_F5GXI4_PTPRK.pdf", "Melting_Curves/meltCurve_F5GXI4_PTPRK.pdf")</f>
        <v>Melting_Curves/meltCurve_F5GXI4_PTPRK.pdf</v>
      </c>
    </row>
    <row r="599" spans="1:28" x14ac:dyDescent="0.25">
      <c r="A599" t="s">
        <v>603</v>
      </c>
      <c r="B599">
        <v>0.99334974765950101</v>
      </c>
      <c r="C599">
        <v>1.03430556853579</v>
      </c>
      <c r="D599">
        <v>0.91791462136939495</v>
      </c>
      <c r="E599">
        <v>0.95181686393892395</v>
      </c>
      <c r="F599">
        <v>1.02116631281544</v>
      </c>
      <c r="G599">
        <v>0.89583594482711704</v>
      </c>
      <c r="H599">
        <v>0.65766756603703902</v>
      </c>
      <c r="I599">
        <v>0.62383593948851901</v>
      </c>
      <c r="J599">
        <v>0.70976653779391596</v>
      </c>
      <c r="K599">
        <v>0.62214172999711703</v>
      </c>
      <c r="L599">
        <v>5145.5096110811</v>
      </c>
      <c r="M599">
        <v>89.423287564918795</v>
      </c>
      <c r="O599">
        <v>57.512289773830403</v>
      </c>
      <c r="P599">
        <v>-0.13496481632023399</v>
      </c>
      <c r="Q599">
        <v>0.65279134904747205</v>
      </c>
      <c r="R599">
        <v>0.93937255491633997</v>
      </c>
      <c r="S599" t="s">
        <v>6460</v>
      </c>
      <c r="T599" t="s">
        <v>11720</v>
      </c>
      <c r="U599" t="s">
        <v>11720</v>
      </c>
      <c r="V599" t="s">
        <v>11720</v>
      </c>
      <c r="W599" t="s">
        <v>12305</v>
      </c>
      <c r="X599">
        <v>3</v>
      </c>
      <c r="Y599" t="s">
        <v>18103</v>
      </c>
      <c r="Z599" t="s">
        <v>23806</v>
      </c>
      <c r="AA599">
        <v>0.85607925091403658</v>
      </c>
      <c r="AB599" t="str">
        <f>HYPERLINK("Melting_Curves/meltCurve_F5GXK8_DNAJB11.pdf", "Melting_Curves/meltCurve_F5GXK8_DNAJB11.pdf")</f>
        <v>Melting_Curves/meltCurve_F5GXK8_DNAJB11.pdf</v>
      </c>
    </row>
    <row r="600" spans="1:28" x14ac:dyDescent="0.25">
      <c r="A600" t="s">
        <v>604</v>
      </c>
      <c r="B600">
        <v>0.99334974765950101</v>
      </c>
      <c r="C600">
        <v>1.22176458368687</v>
      </c>
      <c r="D600">
        <v>1.2640503844761499</v>
      </c>
      <c r="E600">
        <v>0.803005202341744</v>
      </c>
      <c r="F600">
        <v>0.79103361885241397</v>
      </c>
      <c r="G600">
        <v>0.31292594720080302</v>
      </c>
      <c r="H600">
        <v>0.27918452270802102</v>
      </c>
      <c r="I600">
        <v>6.4574957258957497E-2</v>
      </c>
      <c r="J600">
        <v>0.35592487870464401</v>
      </c>
      <c r="K600">
        <v>0.23341976607989601</v>
      </c>
      <c r="L600">
        <v>1698.01406067994</v>
      </c>
      <c r="M600">
        <v>31.395449535103101</v>
      </c>
      <c r="N600">
        <v>55.106981648409601</v>
      </c>
      <c r="O600">
        <v>53.866691229633403</v>
      </c>
      <c r="P600">
        <v>-0.113548284870667</v>
      </c>
      <c r="Q600">
        <v>0.22072284684610199</v>
      </c>
      <c r="R600">
        <v>0.88853128604526299</v>
      </c>
      <c r="S600" t="s">
        <v>6461</v>
      </c>
      <c r="T600" t="s">
        <v>11720</v>
      </c>
      <c r="U600" t="s">
        <v>11720</v>
      </c>
      <c r="V600" t="s">
        <v>11720</v>
      </c>
      <c r="W600" t="s">
        <v>12306</v>
      </c>
      <c r="X600">
        <v>2</v>
      </c>
      <c r="Y600" t="s">
        <v>18104</v>
      </c>
      <c r="Z600" t="s">
        <v>23807</v>
      </c>
      <c r="AA600">
        <v>0.59127843717295969</v>
      </c>
      <c r="AB600" t="str">
        <f>HYPERLINK("Melting_Curves/meltCurve_F5GXW6_BRI3.pdf", "Melting_Curves/meltCurve_F5GXW6_BRI3.pdf")</f>
        <v>Melting_Curves/meltCurve_F5GXW6_BRI3.pdf</v>
      </c>
    </row>
    <row r="601" spans="1:28" x14ac:dyDescent="0.25">
      <c r="A601" t="s">
        <v>605</v>
      </c>
      <c r="B601">
        <v>0.99334974765950101</v>
      </c>
      <c r="C601">
        <v>0.96810401422089298</v>
      </c>
      <c r="D601">
        <v>1.1181096615306501</v>
      </c>
      <c r="E601">
        <v>0.96975619775259903</v>
      </c>
      <c r="F601">
        <v>0.84432829754288197</v>
      </c>
      <c r="G601">
        <v>0.71396773748467401</v>
      </c>
      <c r="H601">
        <v>0.49392295254839502</v>
      </c>
      <c r="I601">
        <v>0.65277055847047605</v>
      </c>
      <c r="J601">
        <v>0.32345187099364803</v>
      </c>
      <c r="K601">
        <v>0.24675074075699399</v>
      </c>
      <c r="L601">
        <v>631.960029659611</v>
      </c>
      <c r="M601">
        <v>9.9840351888736407</v>
      </c>
      <c r="N601">
        <v>63.297030752348398</v>
      </c>
      <c r="O601">
        <v>60.914849234436097</v>
      </c>
      <c r="P601">
        <v>-4.0995426985818401E-2</v>
      </c>
      <c r="Q601">
        <v>0</v>
      </c>
      <c r="R601">
        <v>0.914695017622005</v>
      </c>
      <c r="S601" t="s">
        <v>6462</v>
      </c>
      <c r="T601" t="s">
        <v>11720</v>
      </c>
      <c r="U601" t="s">
        <v>11720</v>
      </c>
      <c r="V601" t="s">
        <v>11720</v>
      </c>
      <c r="W601" t="s">
        <v>12307</v>
      </c>
      <c r="X601">
        <v>2</v>
      </c>
      <c r="Y601" t="s">
        <v>18105</v>
      </c>
      <c r="Z601" t="s">
        <v>23808</v>
      </c>
      <c r="AA601">
        <v>0.74204910139528291</v>
      </c>
      <c r="AB601" t="str">
        <f>HYPERLINK("Melting_Curves/meltCurve_F5GXX5_DAD1.pdf", "Melting_Curves/meltCurve_F5GXX5_DAD1.pdf")</f>
        <v>Melting_Curves/meltCurve_F5GXX5_DAD1.pdf</v>
      </c>
    </row>
    <row r="602" spans="1:28" x14ac:dyDescent="0.25">
      <c r="A602" t="s">
        <v>606</v>
      </c>
      <c r="B602">
        <v>0.99334974765950101</v>
      </c>
      <c r="C602">
        <v>1.0064202777145499</v>
      </c>
      <c r="D602">
        <v>1.17908980644018</v>
      </c>
      <c r="E602">
        <v>2.0070906840823</v>
      </c>
      <c r="F602">
        <v>2.9152031659847202</v>
      </c>
      <c r="G602">
        <v>2.3219387767300899</v>
      </c>
      <c r="H602">
        <v>1.7537197358757499</v>
      </c>
      <c r="I602">
        <v>1.15578190851033</v>
      </c>
      <c r="J602">
        <v>0.986346508314769</v>
      </c>
      <c r="K602">
        <v>0.68547510656137001</v>
      </c>
      <c r="L602">
        <v>15000</v>
      </c>
      <c r="M602">
        <v>220.785978426144</v>
      </c>
      <c r="O602">
        <v>67.933523558609096</v>
      </c>
      <c r="P602">
        <v>-0.25593793962681699</v>
      </c>
      <c r="Q602">
        <v>0.68500235470307902</v>
      </c>
      <c r="R602">
        <v>-0.51738441230652499</v>
      </c>
      <c r="S602" t="s">
        <v>6463</v>
      </c>
      <c r="T602" t="s">
        <v>11720</v>
      </c>
      <c r="U602" t="s">
        <v>11720</v>
      </c>
      <c r="V602" t="s">
        <v>11720</v>
      </c>
      <c r="W602" t="s">
        <v>12308</v>
      </c>
      <c r="X602">
        <v>5</v>
      </c>
      <c r="Y602" t="s">
        <v>18106</v>
      </c>
      <c r="Z602" t="s">
        <v>23809</v>
      </c>
      <c r="AA602">
        <v>0.97840363729693036</v>
      </c>
      <c r="AB602" t="str">
        <f>HYPERLINK("Melting_Curves/meltCurve_F5GXZ7_CCDC53.pdf", "Melting_Curves/meltCurve_F5GXZ7_CCDC53.pdf")</f>
        <v>Melting_Curves/meltCurve_F5GXZ7_CCDC53.pdf</v>
      </c>
    </row>
    <row r="603" spans="1:28" x14ac:dyDescent="0.25">
      <c r="A603" t="s">
        <v>607</v>
      </c>
      <c r="B603">
        <v>0.99334974765950101</v>
      </c>
      <c r="C603">
        <v>1.0032106036792099</v>
      </c>
      <c r="D603">
        <v>1.08984823405302</v>
      </c>
      <c r="E603">
        <v>1.1044021270969799</v>
      </c>
      <c r="F603">
        <v>0.86729229785240303</v>
      </c>
      <c r="G603">
        <v>0.86741955791395298</v>
      </c>
      <c r="H603">
        <v>0.78504526409188902</v>
      </c>
      <c r="I603">
        <v>1.06406730829533</v>
      </c>
      <c r="J603">
        <v>0.82729391143452302</v>
      </c>
      <c r="K603">
        <v>0.85210722351263801</v>
      </c>
      <c r="L603">
        <v>8002.0123444153896</v>
      </c>
      <c r="M603">
        <v>154.41947556598299</v>
      </c>
      <c r="O603">
        <v>51.811278192642199</v>
      </c>
      <c r="P603">
        <v>-9.1870802453665495E-2</v>
      </c>
      <c r="Q603">
        <v>0.87670095008139803</v>
      </c>
      <c r="R603">
        <v>0.47844044631004701</v>
      </c>
      <c r="S603" t="s">
        <v>6464</v>
      </c>
      <c r="T603" t="s">
        <v>11720</v>
      </c>
      <c r="U603" t="s">
        <v>11720</v>
      </c>
      <c r="V603" t="s">
        <v>11720</v>
      </c>
      <c r="W603" t="s">
        <v>12309</v>
      </c>
      <c r="X603">
        <v>5</v>
      </c>
      <c r="Y603" t="s">
        <v>18107</v>
      </c>
      <c r="Z603" t="s">
        <v>23810</v>
      </c>
      <c r="AA603">
        <v>0.9253100468655292</v>
      </c>
      <c r="AB603" t="str">
        <f>HYPERLINK("Melting_Curves/meltCurve_F5GY20_GPNMB.pdf", "Melting_Curves/meltCurve_F5GY20_GPNMB.pdf")</f>
        <v>Melting_Curves/meltCurve_F5GY20_GPNMB.pdf</v>
      </c>
    </row>
    <row r="604" spans="1:28" x14ac:dyDescent="0.25">
      <c r="A604" t="s">
        <v>608</v>
      </c>
      <c r="B604">
        <v>0.99334974765950101</v>
      </c>
      <c r="C604">
        <v>0.96552079576913796</v>
      </c>
      <c r="D604">
        <v>1.0054359105475801</v>
      </c>
      <c r="E604">
        <v>0.97817937487758799</v>
      </c>
      <c r="F604">
        <v>0.35538180080593001</v>
      </c>
      <c r="G604">
        <v>0.24090247213357399</v>
      </c>
      <c r="H604">
        <v>0.19255032485288201</v>
      </c>
      <c r="I604">
        <v>0.116166527253837</v>
      </c>
      <c r="J604">
        <v>0.108038533663909</v>
      </c>
      <c r="K604">
        <v>9.1770528914493804E-2</v>
      </c>
      <c r="L604">
        <v>4007.6973360565398</v>
      </c>
      <c r="M604">
        <v>76.7467242464961</v>
      </c>
      <c r="N604">
        <v>52.462348393196997</v>
      </c>
      <c r="O604">
        <v>52.184361198930503</v>
      </c>
      <c r="P604">
        <v>-0.31275606304574499</v>
      </c>
      <c r="Q604">
        <v>0.14935925279880299</v>
      </c>
      <c r="R604">
        <v>0.989073792007514</v>
      </c>
      <c r="S604" t="s">
        <v>6465</v>
      </c>
      <c r="T604" t="s">
        <v>11720</v>
      </c>
      <c r="U604" t="s">
        <v>11720</v>
      </c>
      <c r="V604" t="s">
        <v>11720</v>
      </c>
      <c r="W604" t="s">
        <v>12310</v>
      </c>
      <c r="X604">
        <v>2</v>
      </c>
      <c r="Y604" t="s">
        <v>18108</v>
      </c>
      <c r="Z604" t="s">
        <v>23811</v>
      </c>
      <c r="AA604">
        <v>0.4966764249750874</v>
      </c>
      <c r="AB604" t="str">
        <f>HYPERLINK("Melting_Curves/meltCurve_F5GY99_GALNT1.pdf", "Melting_Curves/meltCurve_F5GY99_GALNT1.pdf")</f>
        <v>Melting_Curves/meltCurve_F5GY99_GALNT1.pdf</v>
      </c>
    </row>
    <row r="605" spans="1:28" x14ac:dyDescent="0.25">
      <c r="A605" t="s">
        <v>609</v>
      </c>
      <c r="B605">
        <v>0.99334974765950101</v>
      </c>
      <c r="C605">
        <v>0.81144634601127197</v>
      </c>
      <c r="D605">
        <v>0.78180538870201299</v>
      </c>
      <c r="E605">
        <v>0.62774937969580402</v>
      </c>
      <c r="F605">
        <v>0.53479608907547904</v>
      </c>
      <c r="G605">
        <v>0.46689682883011602</v>
      </c>
      <c r="H605">
        <v>0.403141006238868</v>
      </c>
      <c r="I605">
        <v>0.232760987381536</v>
      </c>
      <c r="J605">
        <v>0.23921094938430701</v>
      </c>
      <c r="K605">
        <v>0.21903976098226599</v>
      </c>
      <c r="L605">
        <v>367.43268105211598</v>
      </c>
      <c r="M605">
        <v>6.8049997928931703</v>
      </c>
      <c r="N605">
        <v>54.750820761006501</v>
      </c>
      <c r="O605">
        <v>49.907352395839801</v>
      </c>
      <c r="P605">
        <v>-3.2625940133197001E-2</v>
      </c>
      <c r="Q605">
        <v>4.48591760910131E-2</v>
      </c>
      <c r="R605">
        <v>0.97517730656290902</v>
      </c>
      <c r="S605" t="s">
        <v>6466</v>
      </c>
      <c r="T605" t="s">
        <v>11720</v>
      </c>
      <c r="U605" t="s">
        <v>11720</v>
      </c>
      <c r="V605" t="s">
        <v>11720</v>
      </c>
      <c r="W605" t="s">
        <v>12311</v>
      </c>
      <c r="X605">
        <v>1</v>
      </c>
      <c r="Z605" t="s">
        <v>23812</v>
      </c>
      <c r="AA605">
        <v>0.52487467733321935</v>
      </c>
      <c r="AB605" t="str">
        <f>HYPERLINK("Melting_Curves/meltCurve_F5GYJ5_.pdf", "Melting_Curves/meltCurve_F5GYJ5_.pdf")</f>
        <v>Melting_Curves/meltCurve_F5GYJ5_.pdf</v>
      </c>
    </row>
    <row r="606" spans="1:28" x14ac:dyDescent="0.25">
      <c r="A606" t="s">
        <v>610</v>
      </c>
      <c r="B606">
        <v>0.99334974765950101</v>
      </c>
      <c r="C606">
        <v>1.02217156957304</v>
      </c>
      <c r="D606">
        <v>1.1882467687843801</v>
      </c>
      <c r="E606">
        <v>1.20968036519539</v>
      </c>
      <c r="F606">
        <v>0.26994259786097502</v>
      </c>
      <c r="G606">
        <v>0.246265138854875</v>
      </c>
      <c r="H606">
        <v>0.17078209186261201</v>
      </c>
      <c r="I606">
        <v>0.20067255234876599</v>
      </c>
      <c r="J606">
        <v>0.11567063611393601</v>
      </c>
      <c r="K606">
        <v>0.111925741082299</v>
      </c>
      <c r="L606">
        <v>13145.1060508307</v>
      </c>
      <c r="M606">
        <v>250</v>
      </c>
      <c r="N606">
        <v>52.667363302027802</v>
      </c>
      <c r="O606">
        <v>52.577060158055197</v>
      </c>
      <c r="P606">
        <v>-0.98776156695310002</v>
      </c>
      <c r="Q606">
        <v>0.16906242363374699</v>
      </c>
      <c r="R606">
        <v>0.95525946683969598</v>
      </c>
      <c r="S606" t="s">
        <v>6467</v>
      </c>
      <c r="T606" t="s">
        <v>11720</v>
      </c>
      <c r="U606" t="s">
        <v>11720</v>
      </c>
      <c r="V606" t="s">
        <v>11720</v>
      </c>
      <c r="W606" t="s">
        <v>12312</v>
      </c>
      <c r="X606">
        <v>7</v>
      </c>
      <c r="Y606" t="s">
        <v>18109</v>
      </c>
      <c r="Z606" t="s">
        <v>23813</v>
      </c>
      <c r="AA606">
        <v>0.51759067398590253</v>
      </c>
      <c r="AB606" t="str">
        <f>HYPERLINK("Melting_Curves/meltCurve_F5GYK2_STRN4.pdf", "Melting_Curves/meltCurve_F5GYK2_STRN4.pdf")</f>
        <v>Melting_Curves/meltCurve_F5GYK2_STRN4.pdf</v>
      </c>
    </row>
    <row r="607" spans="1:28" x14ac:dyDescent="0.25">
      <c r="A607" t="s">
        <v>611</v>
      </c>
      <c r="B607">
        <v>0.99334974765950101</v>
      </c>
      <c r="C607">
        <v>0.99941868720536298</v>
      </c>
      <c r="D607">
        <v>0.85929162502047196</v>
      </c>
      <c r="E607">
        <v>0.69620121043973504</v>
      </c>
      <c r="F607">
        <v>0.36815408322633503</v>
      </c>
      <c r="G607">
        <v>0.12915958048770099</v>
      </c>
      <c r="H607">
        <v>9.0647364734634098E-2</v>
      </c>
      <c r="I607">
        <v>8.3647564063093496E-2</v>
      </c>
      <c r="J607">
        <v>7.6074639900852906E-2</v>
      </c>
      <c r="K607">
        <v>6.2647445331925303E-2</v>
      </c>
      <c r="L607">
        <v>1093.0845451200801</v>
      </c>
      <c r="M607">
        <v>21.302899283303201</v>
      </c>
      <c r="N607">
        <v>51.615549451799303</v>
      </c>
      <c r="O607">
        <v>50.865800038343103</v>
      </c>
      <c r="P607">
        <v>-9.8530944552714605E-2</v>
      </c>
      <c r="Q607">
        <v>5.89584231883514E-2</v>
      </c>
      <c r="R607">
        <v>0.99506392359114904</v>
      </c>
      <c r="S607" t="s">
        <v>6468</v>
      </c>
      <c r="T607" t="s">
        <v>11720</v>
      </c>
      <c r="U607" t="s">
        <v>11720</v>
      </c>
      <c r="V607" t="s">
        <v>11720</v>
      </c>
      <c r="W607" t="s">
        <v>12313</v>
      </c>
      <c r="X607">
        <v>15</v>
      </c>
      <c r="Y607" t="s">
        <v>18110</v>
      </c>
      <c r="Z607" t="s">
        <v>23814</v>
      </c>
      <c r="AA607">
        <v>0.42538179029166751</v>
      </c>
      <c r="AB607" t="str">
        <f>HYPERLINK("Melting_Curves/meltCurve_F5GYN4_OTUB1.pdf", "Melting_Curves/meltCurve_F5GYN4_OTUB1.pdf")</f>
        <v>Melting_Curves/meltCurve_F5GYN4_OTUB1.pdf</v>
      </c>
    </row>
    <row r="608" spans="1:28" x14ac:dyDescent="0.25">
      <c r="A608" t="s">
        <v>612</v>
      </c>
      <c r="B608">
        <v>0.99334974765950101</v>
      </c>
      <c r="C608">
        <v>1.0192640422305099</v>
      </c>
      <c r="D608">
        <v>0.82337084981451703</v>
      </c>
      <c r="E608">
        <v>0.615685634709355</v>
      </c>
      <c r="F608">
        <v>0.52338069694993505</v>
      </c>
      <c r="G608">
        <v>0.408550561750885</v>
      </c>
      <c r="H608">
        <v>0.24913876553446401</v>
      </c>
      <c r="I608">
        <v>0.230421010002267</v>
      </c>
      <c r="J608">
        <v>0.27594672895797101</v>
      </c>
      <c r="K608">
        <v>0.210875409318968</v>
      </c>
      <c r="L608">
        <v>690.66453243315402</v>
      </c>
      <c r="M608">
        <v>13.5504951711508</v>
      </c>
      <c r="N608">
        <v>53.074676438700898</v>
      </c>
      <c r="O608">
        <v>49.898048330187699</v>
      </c>
      <c r="P608">
        <v>-5.3786151576545399E-2</v>
      </c>
      <c r="Q608">
        <v>0.20787545558064999</v>
      </c>
      <c r="R608">
        <v>0.98356341253069601</v>
      </c>
      <c r="S608" t="s">
        <v>6469</v>
      </c>
      <c r="T608" t="s">
        <v>11720</v>
      </c>
      <c r="U608" t="s">
        <v>11720</v>
      </c>
      <c r="V608" t="s">
        <v>11720</v>
      </c>
      <c r="W608" t="s">
        <v>12314</v>
      </c>
      <c r="X608">
        <v>3</v>
      </c>
      <c r="Y608" t="s">
        <v>18111</v>
      </c>
      <c r="Z608" t="s">
        <v>23815</v>
      </c>
      <c r="AA608">
        <v>0.51909539296673246</v>
      </c>
      <c r="AB608" t="str">
        <f>HYPERLINK("Melting_Curves/meltCurve_F5GYP2_DGKH.pdf", "Melting_Curves/meltCurve_F5GYP2_DGKH.pdf")</f>
        <v>Melting_Curves/meltCurve_F5GYP2_DGKH.pdf</v>
      </c>
    </row>
    <row r="609" spans="1:28" x14ac:dyDescent="0.25">
      <c r="A609" t="s">
        <v>613</v>
      </c>
      <c r="B609">
        <v>0.99334974765950101</v>
      </c>
      <c r="C609">
        <v>0.99888861534025697</v>
      </c>
      <c r="D609">
        <v>0.93952954113473697</v>
      </c>
      <c r="E609">
        <v>0.84721688724056599</v>
      </c>
      <c r="F609">
        <v>1.0580269552796999</v>
      </c>
      <c r="G609">
        <v>0.90897533266692998</v>
      </c>
      <c r="H609">
        <v>0.77333379695863602</v>
      </c>
      <c r="I609">
        <v>0.46646143530482298</v>
      </c>
      <c r="J609">
        <v>0.181905358901396</v>
      </c>
      <c r="K609">
        <v>0.10763302939835299</v>
      </c>
      <c r="L609">
        <v>1747.81006173572</v>
      </c>
      <c r="M609">
        <v>27.530631054609401</v>
      </c>
      <c r="N609">
        <v>63.5882259165286</v>
      </c>
      <c r="O609">
        <v>63.1538856912535</v>
      </c>
      <c r="P609">
        <v>-0.106624534253836</v>
      </c>
      <c r="Q609">
        <v>2.16436520004607E-2</v>
      </c>
      <c r="R609">
        <v>0.96859104824086395</v>
      </c>
      <c r="S609" t="s">
        <v>6470</v>
      </c>
      <c r="T609" t="s">
        <v>11720</v>
      </c>
      <c r="U609" t="s">
        <v>11720</v>
      </c>
      <c r="V609" t="s">
        <v>11720</v>
      </c>
      <c r="W609" t="s">
        <v>12315</v>
      </c>
      <c r="X609">
        <v>11</v>
      </c>
      <c r="Y609" t="s">
        <v>18112</v>
      </c>
      <c r="Z609" t="s">
        <v>23816</v>
      </c>
      <c r="AA609">
        <v>0.78929371807518645</v>
      </c>
      <c r="AB609" t="str">
        <f>HYPERLINK("Melting_Curves/meltCurve_F5GYQ1_ATP6V0D1.pdf", "Melting_Curves/meltCurve_F5GYQ1_ATP6V0D1.pdf")</f>
        <v>Melting_Curves/meltCurve_F5GYQ1_ATP6V0D1.pdf</v>
      </c>
    </row>
    <row r="610" spans="1:28" x14ac:dyDescent="0.25">
      <c r="A610" t="s">
        <v>614</v>
      </c>
      <c r="B610">
        <v>0.99334974765950101</v>
      </c>
      <c r="C610">
        <v>0.949948332964199</v>
      </c>
      <c r="D610">
        <v>0.87687459163904102</v>
      </c>
      <c r="E610">
        <v>0.74400805933493697</v>
      </c>
      <c r="F610">
        <v>0.59161273662623004</v>
      </c>
      <c r="G610">
        <v>0.36619671985459801</v>
      </c>
      <c r="H610">
        <v>0.24274647446012099</v>
      </c>
      <c r="I610">
        <v>0.175761385284811</v>
      </c>
      <c r="J610">
        <v>0.16026322729402701</v>
      </c>
      <c r="K610">
        <v>0.15075812467567901</v>
      </c>
      <c r="L610">
        <v>681.67309692493404</v>
      </c>
      <c r="M610">
        <v>12.7432802611883</v>
      </c>
      <c r="N610">
        <v>54.361944752482501</v>
      </c>
      <c r="O610">
        <v>52.2267983343338</v>
      </c>
      <c r="P610">
        <v>-5.5388088267221899E-2</v>
      </c>
      <c r="Q610">
        <v>9.2168025192333303E-2</v>
      </c>
      <c r="R610">
        <v>0.99836987105684405</v>
      </c>
      <c r="S610" t="s">
        <v>6471</v>
      </c>
      <c r="T610" t="s">
        <v>11720</v>
      </c>
      <c r="U610" t="s">
        <v>11720</v>
      </c>
      <c r="V610" t="s">
        <v>11720</v>
      </c>
      <c r="W610" t="s">
        <v>12316</v>
      </c>
      <c r="X610">
        <v>26</v>
      </c>
      <c r="Y610" t="s">
        <v>18113</v>
      </c>
      <c r="Z610" t="s">
        <v>23817</v>
      </c>
      <c r="AA610">
        <v>0.52375864144567807</v>
      </c>
      <c r="AB610" t="str">
        <f>HYPERLINK("Melting_Curves/meltCurve_F5GZ78_PXN.pdf", "Melting_Curves/meltCurve_F5GZ78_PXN.pdf")</f>
        <v>Melting_Curves/meltCurve_F5GZ78_PXN.pdf</v>
      </c>
    </row>
    <row r="611" spans="1:28" x14ac:dyDescent="0.25">
      <c r="A611" t="s">
        <v>615</v>
      </c>
      <c r="B611">
        <v>0.99334974765950101</v>
      </c>
      <c r="C611">
        <v>1.0027114876424801</v>
      </c>
      <c r="D611">
        <v>0.542691168850293</v>
      </c>
      <c r="E611">
        <v>0.52969243674297894</v>
      </c>
      <c r="F611">
        <v>0.26039564318241298</v>
      </c>
      <c r="G611">
        <v>0.30985777069193599</v>
      </c>
      <c r="H611">
        <v>0.24579319699855301</v>
      </c>
      <c r="I611">
        <v>0.22060231974441899</v>
      </c>
      <c r="J611">
        <v>0.17420220052279101</v>
      </c>
      <c r="K611">
        <v>8.6032637807985798E-2</v>
      </c>
      <c r="L611">
        <v>730.46271821204903</v>
      </c>
      <c r="M611">
        <v>15.348437424151699</v>
      </c>
      <c r="N611">
        <v>48.990251769501</v>
      </c>
      <c r="O611">
        <v>46.806048596442601</v>
      </c>
      <c r="P611">
        <v>-6.7445437346195097E-2</v>
      </c>
      <c r="Q611">
        <v>0.17735928294592501</v>
      </c>
      <c r="R611">
        <v>0.92771046833213999</v>
      </c>
      <c r="S611" t="s">
        <v>6472</v>
      </c>
      <c r="T611" t="s">
        <v>11720</v>
      </c>
      <c r="U611" t="s">
        <v>11720</v>
      </c>
      <c r="V611" t="s">
        <v>11720</v>
      </c>
      <c r="W611" t="s">
        <v>12317</v>
      </c>
      <c r="X611">
        <v>2</v>
      </c>
      <c r="Y611" t="s">
        <v>18114</v>
      </c>
      <c r="Z611" t="s">
        <v>23818</v>
      </c>
      <c r="AA611">
        <v>0.40616556511983393</v>
      </c>
      <c r="AB611" t="str">
        <f>HYPERLINK("Melting_Curves/meltCurve_F5GZ84_FARP2.pdf", "Melting_Curves/meltCurve_F5GZ84_FARP2.pdf")</f>
        <v>Melting_Curves/meltCurve_F5GZ84_FARP2.pdf</v>
      </c>
    </row>
    <row r="612" spans="1:28" x14ac:dyDescent="0.25">
      <c r="A612" t="s">
        <v>616</v>
      </c>
      <c r="B612">
        <v>0.99334974765950101</v>
      </c>
      <c r="C612">
        <v>1.0583312762377299</v>
      </c>
      <c r="D612">
        <v>1.14838817679153</v>
      </c>
      <c r="E612">
        <v>1.3220679746792401</v>
      </c>
      <c r="F612">
        <v>1.1111979323663199</v>
      </c>
      <c r="G612">
        <v>1.0530256736399899</v>
      </c>
      <c r="H612">
        <v>0.44939475469653301</v>
      </c>
      <c r="I612">
        <v>0.29627719384887602</v>
      </c>
      <c r="J612">
        <v>0.162851940668475</v>
      </c>
      <c r="K612">
        <v>0.12663944084063899</v>
      </c>
      <c r="L612">
        <v>3903.3554108072499</v>
      </c>
      <c r="M612">
        <v>64.629688203603806</v>
      </c>
      <c r="N612">
        <v>60.827485560873001</v>
      </c>
      <c r="O612">
        <v>60.337958379108102</v>
      </c>
      <c r="P612">
        <v>-0.218518077205302</v>
      </c>
      <c r="Q612">
        <v>0.18397065450368399</v>
      </c>
      <c r="R612">
        <v>0.91579291292205101</v>
      </c>
      <c r="S612" t="s">
        <v>6473</v>
      </c>
      <c r="T612" t="s">
        <v>11720</v>
      </c>
      <c r="U612" t="s">
        <v>11720</v>
      </c>
      <c r="V612" t="s">
        <v>11720</v>
      </c>
      <c r="W612" t="s">
        <v>12318</v>
      </c>
      <c r="X612">
        <v>1</v>
      </c>
      <c r="Y612" t="s">
        <v>18115</v>
      </c>
      <c r="Z612" t="s">
        <v>23819</v>
      </c>
      <c r="AA612">
        <v>0.74004694061540977</v>
      </c>
      <c r="AB612" t="str">
        <f>HYPERLINK("Melting_Curves/meltCurve_F5GZK1_EXTL2.pdf", "Melting_Curves/meltCurve_F5GZK1_EXTL2.pdf")</f>
        <v>Melting_Curves/meltCurve_F5GZK1_EXTL2.pdf</v>
      </c>
    </row>
    <row r="613" spans="1:28" x14ac:dyDescent="0.25">
      <c r="A613" t="s">
        <v>617</v>
      </c>
      <c r="B613">
        <v>0.99334974765950101</v>
      </c>
      <c r="C613">
        <v>0.91510619366678503</v>
      </c>
      <c r="D613">
        <v>0.72825609622269505</v>
      </c>
      <c r="E613">
        <v>0.48383037795314299</v>
      </c>
      <c r="F613">
        <v>0.22458817449329699</v>
      </c>
      <c r="G613">
        <v>0.164152261266303</v>
      </c>
      <c r="H613">
        <v>0.134482432054914</v>
      </c>
      <c r="I613">
        <v>7.1673242126634104E-2</v>
      </c>
      <c r="J613">
        <v>9.2785050122484697E-2</v>
      </c>
      <c r="K613">
        <v>0</v>
      </c>
      <c r="L613">
        <v>763.92994109908204</v>
      </c>
      <c r="M613">
        <v>15.5935952001884</v>
      </c>
      <c r="N613">
        <v>49.327483521532301</v>
      </c>
      <c r="O613">
        <v>48.205513096425904</v>
      </c>
      <c r="P613">
        <v>-7.6785097653010295E-2</v>
      </c>
      <c r="Q613">
        <v>5.05989545302385E-2</v>
      </c>
      <c r="R613">
        <v>0.99138154527588995</v>
      </c>
      <c r="S613" t="s">
        <v>6474</v>
      </c>
      <c r="T613" t="s">
        <v>11720</v>
      </c>
      <c r="U613" t="s">
        <v>11720</v>
      </c>
      <c r="V613" t="s">
        <v>11720</v>
      </c>
      <c r="W613" t="s">
        <v>12319</v>
      </c>
      <c r="X613">
        <v>2</v>
      </c>
      <c r="Y613" t="s">
        <v>18116</v>
      </c>
      <c r="Z613" t="s">
        <v>23820</v>
      </c>
      <c r="AA613">
        <v>0.35687926385269042</v>
      </c>
      <c r="AB613" t="str">
        <f>HYPERLINK("Melting_Curves/meltCurve_F5GZP3_TRIM59.pdf", "Melting_Curves/meltCurve_F5GZP3_TRIM59.pdf")</f>
        <v>Melting_Curves/meltCurve_F5GZP3_TRIM59.pdf</v>
      </c>
    </row>
    <row r="614" spans="1:28" x14ac:dyDescent="0.25">
      <c r="A614" t="s">
        <v>618</v>
      </c>
      <c r="B614">
        <v>0.99334974765950101</v>
      </c>
      <c r="C614">
        <v>1.0106471405133799</v>
      </c>
      <c r="D614">
        <v>1.1990733402708</v>
      </c>
      <c r="E614">
        <v>0.90592721095880402</v>
      </c>
      <c r="F614">
        <v>0.60485685862556804</v>
      </c>
      <c r="G614">
        <v>0.44176115846316599</v>
      </c>
      <c r="H614">
        <v>0.27332738899577902</v>
      </c>
      <c r="I614">
        <v>0.222040646478568</v>
      </c>
      <c r="J614">
        <v>0.15333450250250399</v>
      </c>
      <c r="K614">
        <v>0.109428272892967</v>
      </c>
      <c r="L614">
        <v>1077.3332662212099</v>
      </c>
      <c r="M614">
        <v>19.746983926614</v>
      </c>
      <c r="N614">
        <v>55.536432223221503</v>
      </c>
      <c r="O614">
        <v>54.006595956506402</v>
      </c>
      <c r="P614">
        <v>-7.7970109073517202E-2</v>
      </c>
      <c r="Q614">
        <v>0.14705839583528399</v>
      </c>
      <c r="R614">
        <v>0.95742019840068304</v>
      </c>
      <c r="S614" t="s">
        <v>6475</v>
      </c>
      <c r="T614" t="s">
        <v>11720</v>
      </c>
      <c r="U614" t="s">
        <v>11720</v>
      </c>
      <c r="V614" t="s">
        <v>11720</v>
      </c>
      <c r="W614" t="s">
        <v>12320</v>
      </c>
      <c r="X614">
        <v>3</v>
      </c>
      <c r="Y614" t="s">
        <v>18117</v>
      </c>
      <c r="Z614" t="s">
        <v>23821</v>
      </c>
      <c r="AA614">
        <v>0.57263273598156139</v>
      </c>
      <c r="AB614" t="str">
        <f>HYPERLINK("Melting_Curves/meltCurve_F5GZS0_DHX36.pdf", "Melting_Curves/meltCurve_F5GZS0_DHX36.pdf")</f>
        <v>Melting_Curves/meltCurve_F5GZS0_DHX36.pdf</v>
      </c>
    </row>
    <row r="615" spans="1:28" x14ac:dyDescent="0.25">
      <c r="A615" t="s">
        <v>619</v>
      </c>
      <c r="B615">
        <v>0.99334974765950101</v>
      </c>
      <c r="C615">
        <v>0.91768303163522902</v>
      </c>
      <c r="D615">
        <v>0.95355438798192205</v>
      </c>
      <c r="E615">
        <v>0.95301734749823896</v>
      </c>
      <c r="F615">
        <v>0.82042425545395103</v>
      </c>
      <c r="G615">
        <v>0.71977716896266197</v>
      </c>
      <c r="H615">
        <v>0.49212351271538901</v>
      </c>
      <c r="I615">
        <v>0.41737668759452601</v>
      </c>
      <c r="J615">
        <v>0.30590011174706799</v>
      </c>
      <c r="K615">
        <v>0.24481709879024799</v>
      </c>
      <c r="L615">
        <v>654.78405935089097</v>
      </c>
      <c r="M615">
        <v>10.757382455853501</v>
      </c>
      <c r="N615">
        <v>61.5185867159162</v>
      </c>
      <c r="O615">
        <v>58.878076675354599</v>
      </c>
      <c r="P615">
        <v>-4.3237814200786401E-2</v>
      </c>
      <c r="Q615">
        <v>5.3738652327224599E-2</v>
      </c>
      <c r="R615">
        <v>0.98807303389957002</v>
      </c>
      <c r="S615" t="s">
        <v>6476</v>
      </c>
      <c r="T615" t="s">
        <v>11720</v>
      </c>
      <c r="U615" t="s">
        <v>11720</v>
      </c>
      <c r="V615" t="s">
        <v>11720</v>
      </c>
      <c r="W615" t="s">
        <v>12321</v>
      </c>
      <c r="X615">
        <v>21</v>
      </c>
      <c r="Y615" t="s">
        <v>18118</v>
      </c>
      <c r="Z615" t="s">
        <v>23822</v>
      </c>
      <c r="AA615">
        <v>0.70482307607614569</v>
      </c>
      <c r="AB615" t="str">
        <f>HYPERLINK("Melting_Curves/meltCurve_F5GZS6_SLC3A2.pdf", "Melting_Curves/meltCurve_F5GZS6_SLC3A2.pdf")</f>
        <v>Melting_Curves/meltCurve_F5GZS6_SLC3A2.pdf</v>
      </c>
    </row>
    <row r="616" spans="1:28" x14ac:dyDescent="0.25">
      <c r="A616" t="s">
        <v>620</v>
      </c>
      <c r="B616">
        <v>0.99334974765950101</v>
      </c>
      <c r="C616">
        <v>1.0343647895303201</v>
      </c>
      <c r="D616">
        <v>0.61821240031829705</v>
      </c>
      <c r="E616">
        <v>0.27388303272284198</v>
      </c>
      <c r="F616">
        <v>0.14327192484711501</v>
      </c>
      <c r="G616">
        <v>0.12171133334761</v>
      </c>
      <c r="H616">
        <v>9.8088749960579605E-2</v>
      </c>
      <c r="I616">
        <v>8.8806147321583304E-2</v>
      </c>
      <c r="J616">
        <v>6.5724998077510297E-2</v>
      </c>
      <c r="K616">
        <v>2.0618805430137398E-2</v>
      </c>
      <c r="L616">
        <v>1228.29873895837</v>
      </c>
      <c r="M616">
        <v>26.1097845265937</v>
      </c>
      <c r="N616">
        <v>47.367672744606899</v>
      </c>
      <c r="O616">
        <v>46.770252400114899</v>
      </c>
      <c r="P616">
        <v>-0.12815060699182501</v>
      </c>
      <c r="Q616">
        <v>8.1789548894905903E-2</v>
      </c>
      <c r="R616">
        <v>0.98553836463657596</v>
      </c>
      <c r="S616" t="s">
        <v>6477</v>
      </c>
      <c r="T616" t="s">
        <v>11720</v>
      </c>
      <c r="U616" t="s">
        <v>11720</v>
      </c>
      <c r="V616" t="s">
        <v>11720</v>
      </c>
      <c r="W616" t="s">
        <v>12322</v>
      </c>
      <c r="X616">
        <v>4</v>
      </c>
      <c r="Y616" t="s">
        <v>18119</v>
      </c>
      <c r="Z616" t="s">
        <v>23823</v>
      </c>
      <c r="AA616">
        <v>0.30481938372679779</v>
      </c>
      <c r="AB616" t="str">
        <f>HYPERLINK("Melting_Curves/meltCurve_F5GZX9_FAM120B.pdf", "Melting_Curves/meltCurve_F5GZX9_FAM120B.pdf")</f>
        <v>Melting_Curves/meltCurve_F5GZX9_FAM120B.pdf</v>
      </c>
    </row>
    <row r="617" spans="1:28" x14ac:dyDescent="0.25">
      <c r="A617" t="s">
        <v>621</v>
      </c>
      <c r="B617">
        <v>0.99334974765950101</v>
      </c>
      <c r="C617">
        <v>1.1035121836489199</v>
      </c>
      <c r="D617">
        <v>1.1384238089136101</v>
      </c>
      <c r="E617">
        <v>0.894477232343316</v>
      </c>
      <c r="F617">
        <v>0.82652121938718603</v>
      </c>
      <c r="G617">
        <v>0.58999435264364297</v>
      </c>
      <c r="H617">
        <v>0.428688922262845</v>
      </c>
      <c r="I617">
        <v>0.24821111575076699</v>
      </c>
      <c r="J617">
        <v>0.208737086154586</v>
      </c>
      <c r="K617">
        <v>0.140039733377054</v>
      </c>
      <c r="L617">
        <v>900.35628515222504</v>
      </c>
      <c r="M617">
        <v>15.4955001595724</v>
      </c>
      <c r="N617">
        <v>58.884030508098</v>
      </c>
      <c r="O617">
        <v>57.162454406100601</v>
      </c>
      <c r="P617">
        <v>-6.1489721337966798E-2</v>
      </c>
      <c r="Q617">
        <v>9.2745439550507597E-2</v>
      </c>
      <c r="R617">
        <v>0.96998520896085005</v>
      </c>
      <c r="S617" t="s">
        <v>6478</v>
      </c>
      <c r="T617" t="s">
        <v>11720</v>
      </c>
      <c r="U617" t="s">
        <v>11720</v>
      </c>
      <c r="V617" t="s">
        <v>11720</v>
      </c>
      <c r="W617" t="s">
        <v>12323</v>
      </c>
      <c r="X617">
        <v>5</v>
      </c>
      <c r="Y617" t="s">
        <v>18120</v>
      </c>
      <c r="Z617" t="s">
        <v>23824</v>
      </c>
      <c r="AA617">
        <v>0.65211703867643112</v>
      </c>
      <c r="AB617" t="str">
        <f>HYPERLINK("Melting_Curves/meltCurve_F5GZY7_GABARAPL1.pdf", "Melting_Curves/meltCurve_F5GZY7_GABARAPL1.pdf")</f>
        <v>Melting_Curves/meltCurve_F5GZY7_GABARAPL1.pdf</v>
      </c>
    </row>
    <row r="618" spans="1:28" x14ac:dyDescent="0.25">
      <c r="A618" t="s">
        <v>622</v>
      </c>
      <c r="B618">
        <v>0.99334974765950101</v>
      </c>
      <c r="C618">
        <v>0.94420136510589703</v>
      </c>
      <c r="D618">
        <v>0.86291082558045296</v>
      </c>
      <c r="E618">
        <v>0.63400572820005596</v>
      </c>
      <c r="F618">
        <v>0.209813506363555</v>
      </c>
      <c r="G618">
        <v>0.131988589655505</v>
      </c>
      <c r="H618">
        <v>0.107643617596339</v>
      </c>
      <c r="I618">
        <v>9.4409900677771205E-2</v>
      </c>
      <c r="J618">
        <v>8.5384661682124302E-2</v>
      </c>
      <c r="K618">
        <v>6.8491503248877997E-2</v>
      </c>
      <c r="L618">
        <v>1310.6835426329701</v>
      </c>
      <c r="M618">
        <v>26.065504836043299</v>
      </c>
      <c r="N618">
        <v>50.626876143302702</v>
      </c>
      <c r="O618">
        <v>49.991048695416197</v>
      </c>
      <c r="P618">
        <v>-0.119811242910227</v>
      </c>
      <c r="Q618">
        <v>8.0866297917346994E-2</v>
      </c>
      <c r="R618">
        <v>0.98996478047646297</v>
      </c>
      <c r="S618" t="s">
        <v>6479</v>
      </c>
      <c r="T618" t="s">
        <v>11720</v>
      </c>
      <c r="U618" t="s">
        <v>11720</v>
      </c>
      <c r="V618" t="s">
        <v>11720</v>
      </c>
      <c r="W618" t="s">
        <v>12324</v>
      </c>
      <c r="X618">
        <v>18</v>
      </c>
      <c r="Y618" t="s">
        <v>18121</v>
      </c>
      <c r="Z618" t="s">
        <v>23825</v>
      </c>
      <c r="AA618">
        <v>0.40353090403837139</v>
      </c>
      <c r="AB618" t="str">
        <f>HYPERLINK("Melting_Curves/meltCurve_F5H012_TRIM21.pdf", "Melting_Curves/meltCurve_F5H012_TRIM21.pdf")</f>
        <v>Melting_Curves/meltCurve_F5H012_TRIM21.pdf</v>
      </c>
    </row>
    <row r="619" spans="1:28" x14ac:dyDescent="0.25">
      <c r="A619" t="s">
        <v>623</v>
      </c>
      <c r="B619">
        <v>0.99334974765950101</v>
      </c>
      <c r="C619">
        <v>1.0281379568834399</v>
      </c>
      <c r="D619">
        <v>1.1513427446829001</v>
      </c>
      <c r="E619">
        <v>0.98893587713766795</v>
      </c>
      <c r="F619">
        <v>0.3038247842133</v>
      </c>
      <c r="G619">
        <v>0.22128679125108999</v>
      </c>
      <c r="H619">
        <v>0.16981104096424501</v>
      </c>
      <c r="I619">
        <v>0.13639426776218999</v>
      </c>
      <c r="J619">
        <v>0.12837725538765199</v>
      </c>
      <c r="K619">
        <v>0.105332707022928</v>
      </c>
      <c r="L619">
        <v>5055.6816819275</v>
      </c>
      <c r="M619">
        <v>96.911908997931903</v>
      </c>
      <c r="N619">
        <v>52.363855252422297</v>
      </c>
      <c r="O619">
        <v>52.145603751179202</v>
      </c>
      <c r="P619">
        <v>-0.39392927688507201</v>
      </c>
      <c r="Q619">
        <v>0.152150486183908</v>
      </c>
      <c r="R619">
        <v>0.98263480088491295</v>
      </c>
      <c r="S619" t="s">
        <v>6480</v>
      </c>
      <c r="T619" t="s">
        <v>11720</v>
      </c>
      <c r="U619" t="s">
        <v>11720</v>
      </c>
      <c r="V619" t="s">
        <v>11720</v>
      </c>
      <c r="W619" t="s">
        <v>12325</v>
      </c>
      <c r="X619">
        <v>25</v>
      </c>
      <c r="Y619" t="s">
        <v>18122</v>
      </c>
      <c r="Z619" t="s">
        <v>23826</v>
      </c>
      <c r="AA619">
        <v>0.4965499779667637</v>
      </c>
      <c r="AB619" t="str">
        <f>HYPERLINK("Melting_Curves/meltCurve_F5H0L8_SEC23IP.pdf", "Melting_Curves/meltCurve_F5H0L8_SEC23IP.pdf")</f>
        <v>Melting_Curves/meltCurve_F5H0L8_SEC23IP.pdf</v>
      </c>
    </row>
    <row r="620" spans="1:28" x14ac:dyDescent="0.25">
      <c r="A620" t="s">
        <v>624</v>
      </c>
      <c r="B620">
        <v>0.99334974765950101</v>
      </c>
      <c r="C620">
        <v>0.76908431135344602</v>
      </c>
      <c r="D620">
        <v>0.55786982545027797</v>
      </c>
      <c r="E620">
        <v>0.28070153516777002</v>
      </c>
      <c r="F620">
        <v>0.249244078869892</v>
      </c>
      <c r="G620">
        <v>0.213451854390172</v>
      </c>
      <c r="H620">
        <v>4.5410657897008697E-2</v>
      </c>
      <c r="I620">
        <v>0</v>
      </c>
      <c r="J620">
        <v>5.65427040095874E-2</v>
      </c>
      <c r="K620">
        <v>0</v>
      </c>
      <c r="L620">
        <v>605.72045228232901</v>
      </c>
      <c r="M620">
        <v>12.8646075330527</v>
      </c>
      <c r="N620">
        <v>47.2193928300862</v>
      </c>
      <c r="O620">
        <v>45.990073062499903</v>
      </c>
      <c r="P620">
        <v>-6.8680240714836596E-2</v>
      </c>
      <c r="Q620">
        <v>1.8072548957581001E-2</v>
      </c>
      <c r="R620">
        <v>0.97500455977504896</v>
      </c>
      <c r="S620" t="s">
        <v>6481</v>
      </c>
      <c r="T620" t="s">
        <v>11720</v>
      </c>
      <c r="U620" t="s">
        <v>11720</v>
      </c>
      <c r="V620" t="s">
        <v>11720</v>
      </c>
      <c r="W620" t="s">
        <v>12326</v>
      </c>
      <c r="X620">
        <v>1</v>
      </c>
      <c r="Y620" t="s">
        <v>18123</v>
      </c>
      <c r="Z620" t="s">
        <v>23827</v>
      </c>
      <c r="AA620">
        <v>0.28592549942107948</v>
      </c>
      <c r="AB620" t="str">
        <f>HYPERLINK("Melting_Curves/meltCurve_F5H148_RRN3.pdf", "Melting_Curves/meltCurve_F5H148_RRN3.pdf")</f>
        <v>Melting_Curves/meltCurve_F5H148_RRN3.pdf</v>
      </c>
    </row>
    <row r="621" spans="1:28" x14ac:dyDescent="0.25">
      <c r="A621" t="s">
        <v>625</v>
      </c>
      <c r="B621">
        <v>0.99334974765950101</v>
      </c>
      <c r="C621">
        <v>0.77906118943756197</v>
      </c>
      <c r="D621">
        <v>0.98492203959853297</v>
      </c>
      <c r="E621">
        <v>1.20745854454679</v>
      </c>
      <c r="F621">
        <v>1.6619783375676001</v>
      </c>
      <c r="G621">
        <v>3.5888745397803699</v>
      </c>
      <c r="H621">
        <v>2.7159712095591</v>
      </c>
      <c r="I621">
        <v>0.53695326736468296</v>
      </c>
      <c r="J621">
        <v>0.25174960769015903</v>
      </c>
      <c r="K621">
        <v>0.13549415995648101</v>
      </c>
      <c r="L621">
        <v>15000</v>
      </c>
      <c r="M621">
        <v>234.67355932749001</v>
      </c>
      <c r="N621">
        <v>64.052254986018198</v>
      </c>
      <c r="O621">
        <v>63.913932295345198</v>
      </c>
      <c r="P621">
        <v>-0.74022053369749297</v>
      </c>
      <c r="Q621">
        <v>0.19359629247037799</v>
      </c>
      <c r="R621">
        <v>6.4254822608839496E-2</v>
      </c>
      <c r="S621" t="s">
        <v>6482</v>
      </c>
      <c r="T621" t="s">
        <v>11720</v>
      </c>
      <c r="U621" t="s">
        <v>11720</v>
      </c>
      <c r="V621" t="s">
        <v>11720</v>
      </c>
      <c r="W621" t="s">
        <v>12327</v>
      </c>
      <c r="X621">
        <v>1</v>
      </c>
      <c r="Y621" t="s">
        <v>18124</v>
      </c>
      <c r="Z621" t="s">
        <v>23828</v>
      </c>
      <c r="AA621">
        <v>0.83663326526513115</v>
      </c>
      <c r="AB621" t="str">
        <f>HYPERLINK("Melting_Curves/meltCurve_F5H1C6_FERMT3.pdf", "Melting_Curves/meltCurve_F5H1C6_FERMT3.pdf")</f>
        <v>Melting_Curves/meltCurve_F5H1C6_FERMT3.pdf</v>
      </c>
    </row>
    <row r="622" spans="1:28" x14ac:dyDescent="0.25">
      <c r="A622" t="s">
        <v>626</v>
      </c>
      <c r="B622">
        <v>0.99334974765950101</v>
      </c>
      <c r="C622">
        <v>1.0416270905213201</v>
      </c>
      <c r="D622">
        <v>1.0078802289520301</v>
      </c>
      <c r="E622">
        <v>0.98573587038727195</v>
      </c>
      <c r="F622">
        <v>1.1531779741477299</v>
      </c>
      <c r="G622">
        <v>0.81148518511872603</v>
      </c>
      <c r="H622">
        <v>0.64672749200420498</v>
      </c>
      <c r="I622">
        <v>0.51770935473034696</v>
      </c>
      <c r="J622">
        <v>0.42706310610892201</v>
      </c>
      <c r="K622">
        <v>0.35321545272139698</v>
      </c>
      <c r="L622">
        <v>1420.0586405847</v>
      </c>
      <c r="M622">
        <v>23.465298206236401</v>
      </c>
      <c r="N622">
        <v>63.846444879058097</v>
      </c>
      <c r="O622">
        <v>60.083016589130999</v>
      </c>
      <c r="P622">
        <v>-6.3181579777921604E-2</v>
      </c>
      <c r="Q622">
        <v>0.35290421440046099</v>
      </c>
      <c r="R622">
        <v>0.94804163918622697</v>
      </c>
      <c r="S622" t="s">
        <v>6483</v>
      </c>
      <c r="T622" t="s">
        <v>11720</v>
      </c>
      <c r="U622" t="s">
        <v>11720</v>
      </c>
      <c r="V622" t="s">
        <v>11720</v>
      </c>
      <c r="W622" t="s">
        <v>12328</v>
      </c>
      <c r="X622">
        <v>12</v>
      </c>
      <c r="Y622" t="s">
        <v>18125</v>
      </c>
      <c r="Z622" t="s">
        <v>23829</v>
      </c>
      <c r="AA622">
        <v>0.80007336541367691</v>
      </c>
      <c r="AB622" t="str">
        <f>HYPERLINK("Melting_Curves/meltCurve_F5H1F3_FBLN2.pdf", "Melting_Curves/meltCurve_F5H1F3_FBLN2.pdf")</f>
        <v>Melting_Curves/meltCurve_F5H1F3_FBLN2.pdf</v>
      </c>
    </row>
    <row r="623" spans="1:28" x14ac:dyDescent="0.25">
      <c r="A623" t="s">
        <v>627</v>
      </c>
      <c r="B623">
        <v>0.99334974765950101</v>
      </c>
      <c r="C623">
        <v>1.03422918026491</v>
      </c>
      <c r="D623">
        <v>0.96636433005431899</v>
      </c>
      <c r="E623">
        <v>1.10781176086642</v>
      </c>
      <c r="F623">
        <v>0.71821332316821496</v>
      </c>
      <c r="G623">
        <v>0.59134242516987101</v>
      </c>
      <c r="H623">
        <v>0.51360008456012096</v>
      </c>
      <c r="I623">
        <v>0.43745997406534198</v>
      </c>
      <c r="J623">
        <v>0.46095626827613601</v>
      </c>
      <c r="K623">
        <v>0.46592377384101502</v>
      </c>
      <c r="L623">
        <v>13237.9207153674</v>
      </c>
      <c r="M623">
        <v>250</v>
      </c>
      <c r="N623">
        <v>53.900155482629899</v>
      </c>
      <c r="O623">
        <v>52.948297726737799</v>
      </c>
      <c r="P623">
        <v>-0.59745020673836602</v>
      </c>
      <c r="Q623">
        <v>0.49385649049710001</v>
      </c>
      <c r="R623">
        <v>0.95582649820232202</v>
      </c>
      <c r="S623" t="s">
        <v>6484</v>
      </c>
      <c r="T623" t="s">
        <v>11720</v>
      </c>
      <c r="U623" t="s">
        <v>11720</v>
      </c>
      <c r="V623" t="s">
        <v>11720</v>
      </c>
      <c r="W623" t="s">
        <v>12329</v>
      </c>
      <c r="X623">
        <v>6</v>
      </c>
      <c r="Y623" t="s">
        <v>18126</v>
      </c>
      <c r="Z623" t="s">
        <v>23830</v>
      </c>
      <c r="AA623">
        <v>0.71241720001504105</v>
      </c>
      <c r="AB623" t="str">
        <f>HYPERLINK("Melting_Curves/meltCurve_F5H1G9_ABI1.pdf", "Melting_Curves/meltCurve_F5H1G9_ABI1.pdf")</f>
        <v>Melting_Curves/meltCurve_F5H1G9_ABI1.pdf</v>
      </c>
    </row>
    <row r="624" spans="1:28" x14ac:dyDescent="0.25">
      <c r="A624" t="s">
        <v>628</v>
      </c>
      <c r="B624">
        <v>0.99334974765950101</v>
      </c>
      <c r="C624">
        <v>0.92822507047397695</v>
      </c>
      <c r="D624">
        <v>0.93859095994223096</v>
      </c>
      <c r="E624">
        <v>1.00156277047208</v>
      </c>
      <c r="F624">
        <v>1.06888296619314</v>
      </c>
      <c r="G624">
        <v>1.0791194779844999</v>
      </c>
      <c r="H624">
        <v>0.92281946554005601</v>
      </c>
      <c r="I624">
        <v>1.86386295119145</v>
      </c>
      <c r="J624">
        <v>1.56731319928969</v>
      </c>
      <c r="K624">
        <v>1.5327899689096001</v>
      </c>
      <c r="L624">
        <v>15000</v>
      </c>
      <c r="M624">
        <v>240.89867728646001</v>
      </c>
      <c r="O624">
        <v>62.2625512366401</v>
      </c>
      <c r="P624">
        <v>0.48363477188722898</v>
      </c>
      <c r="Q624">
        <v>1.5</v>
      </c>
      <c r="R624">
        <v>0.83795908121086404</v>
      </c>
      <c r="S624" t="s">
        <v>6485</v>
      </c>
      <c r="T624" t="s">
        <v>11720</v>
      </c>
      <c r="U624" t="s">
        <v>11720</v>
      </c>
      <c r="V624" t="s">
        <v>11720</v>
      </c>
      <c r="W624" t="s">
        <v>12330</v>
      </c>
      <c r="X624">
        <v>3</v>
      </c>
      <c r="Y624" t="s">
        <v>18127</v>
      </c>
      <c r="Z624" t="s">
        <v>23831</v>
      </c>
      <c r="AA624">
        <v>1.1288271118918281</v>
      </c>
      <c r="AB624" t="str">
        <f>HYPERLINK("Melting_Curves/meltCurve_F5H1H0_L1CAM.pdf", "Melting_Curves/meltCurve_F5H1H0_L1CAM.pdf")</f>
        <v>Melting_Curves/meltCurve_F5H1H0_L1CAM.pdf</v>
      </c>
    </row>
    <row r="625" spans="1:28" x14ac:dyDescent="0.25">
      <c r="A625" t="s">
        <v>629</v>
      </c>
      <c r="B625">
        <v>0.99334974765950101</v>
      </c>
      <c r="C625">
        <v>0.67474636481253703</v>
      </c>
      <c r="D625">
        <v>0.52693233311160204</v>
      </c>
      <c r="E625">
        <v>0.269852197608836</v>
      </c>
      <c r="F625">
        <v>0.118557190520085</v>
      </c>
      <c r="G625">
        <v>8.4311279280758294E-2</v>
      </c>
      <c r="H625">
        <v>6.7788578089393897E-2</v>
      </c>
      <c r="I625">
        <v>5.3058089549455803E-2</v>
      </c>
      <c r="J625">
        <v>4.5799540144609803E-2</v>
      </c>
      <c r="K625">
        <v>3.01142913743092E-2</v>
      </c>
      <c r="L625">
        <v>705.81325778294502</v>
      </c>
      <c r="M625">
        <v>15.3996511085397</v>
      </c>
      <c r="N625">
        <v>46.065319266650903</v>
      </c>
      <c r="O625">
        <v>45.081057854519898</v>
      </c>
      <c r="P625">
        <v>-8.22174332572395E-2</v>
      </c>
      <c r="Q625">
        <v>3.7352031885819301E-2</v>
      </c>
      <c r="R625">
        <v>0.98499161044418304</v>
      </c>
      <c r="S625" t="s">
        <v>6486</v>
      </c>
      <c r="T625" t="s">
        <v>11720</v>
      </c>
      <c r="U625" t="s">
        <v>11720</v>
      </c>
      <c r="V625" t="s">
        <v>11720</v>
      </c>
      <c r="W625" t="s">
        <v>12331</v>
      </c>
      <c r="X625">
        <v>1</v>
      </c>
      <c r="Y625" t="s">
        <v>18128</v>
      </c>
      <c r="Z625" t="s">
        <v>23832</v>
      </c>
      <c r="AA625">
        <v>0.25149546416872098</v>
      </c>
      <c r="AB625" t="str">
        <f>HYPERLINK("Melting_Curves/meltCurve_F5H1M8_PCMTD1.pdf", "Melting_Curves/meltCurve_F5H1M8_PCMTD1.pdf")</f>
        <v>Melting_Curves/meltCurve_F5H1M8_PCMTD1.pdf</v>
      </c>
    </row>
    <row r="626" spans="1:28" x14ac:dyDescent="0.25">
      <c r="A626" t="s">
        <v>630</v>
      </c>
      <c r="B626">
        <v>0.99334974765950101</v>
      </c>
      <c r="C626">
        <v>1.00748233632707</v>
      </c>
      <c r="D626">
        <v>1.21303093667031</v>
      </c>
      <c r="E626">
        <v>1.24174997794377</v>
      </c>
      <c r="F626">
        <v>0.28628604969031002</v>
      </c>
      <c r="G626">
        <v>0.229009233496763</v>
      </c>
      <c r="H626">
        <v>0.14955184984467801</v>
      </c>
      <c r="I626">
        <v>0.12248630842802601</v>
      </c>
      <c r="J626">
        <v>9.8268251118765804E-2</v>
      </c>
      <c r="K626">
        <v>9.0794276155191103E-2</v>
      </c>
      <c r="L626">
        <v>13166.7125734579</v>
      </c>
      <c r="M626">
        <v>250</v>
      </c>
      <c r="N626">
        <v>52.735002419995503</v>
      </c>
      <c r="O626">
        <v>52.663475510203298</v>
      </c>
      <c r="P626">
        <v>-1.02297932630911</v>
      </c>
      <c r="Q626">
        <v>0.13802158082670199</v>
      </c>
      <c r="R626">
        <v>0.94836645957535903</v>
      </c>
      <c r="S626" t="s">
        <v>6487</v>
      </c>
      <c r="T626" t="s">
        <v>11720</v>
      </c>
      <c r="U626" t="s">
        <v>11720</v>
      </c>
      <c r="V626" t="s">
        <v>11720</v>
      </c>
      <c r="W626" t="s">
        <v>12332</v>
      </c>
      <c r="X626">
        <v>13</v>
      </c>
      <c r="Y626" t="s">
        <v>18129</v>
      </c>
      <c r="Z626" t="s">
        <v>23833</v>
      </c>
      <c r="AA626">
        <v>0.50205297280262107</v>
      </c>
      <c r="AB626" t="str">
        <f>HYPERLINK("Melting_Curves/meltCurve_F5H1X8_LRBA.pdf", "Melting_Curves/meltCurve_F5H1X8_LRBA.pdf")</f>
        <v>Melting_Curves/meltCurve_F5H1X8_LRBA.pdf</v>
      </c>
    </row>
    <row r="627" spans="1:28" x14ac:dyDescent="0.25">
      <c r="A627" t="s">
        <v>631</v>
      </c>
      <c r="B627">
        <v>0.99334974765950101</v>
      </c>
      <c r="C627">
        <v>0.95144861865166697</v>
      </c>
      <c r="D627">
        <v>0.63248809631669001</v>
      </c>
      <c r="E627">
        <v>0.160080154987496</v>
      </c>
      <c r="F627">
        <v>0.113083932763861</v>
      </c>
      <c r="G627">
        <v>6.9673998814426305E-2</v>
      </c>
      <c r="H627">
        <v>5.69477764288372E-2</v>
      </c>
      <c r="I627">
        <v>5.2048790536850097E-2</v>
      </c>
      <c r="J627">
        <v>4.7373298956690603E-2</v>
      </c>
      <c r="K627">
        <v>4.1028998930631E-2</v>
      </c>
      <c r="L627">
        <v>1424.2750839063101</v>
      </c>
      <c r="M627">
        <v>30.5018977999102</v>
      </c>
      <c r="N627">
        <v>46.881101358269397</v>
      </c>
      <c r="O627">
        <v>46.495298044658597</v>
      </c>
      <c r="P627">
        <v>-0.15463768232269801</v>
      </c>
      <c r="Q627">
        <v>5.71232400948814E-2</v>
      </c>
      <c r="R627">
        <v>0.99879883285339799</v>
      </c>
      <c r="S627" t="s">
        <v>6488</v>
      </c>
      <c r="T627" t="s">
        <v>11720</v>
      </c>
      <c r="U627" t="s">
        <v>11720</v>
      </c>
      <c r="V627" t="s">
        <v>11720</v>
      </c>
      <c r="W627" t="s">
        <v>12333</v>
      </c>
      <c r="X627">
        <v>15</v>
      </c>
      <c r="Y627" t="s">
        <v>18130</v>
      </c>
      <c r="Z627" t="s">
        <v>23834</v>
      </c>
      <c r="AA627">
        <v>0.27299761521604388</v>
      </c>
      <c r="AB627" t="str">
        <f>HYPERLINK("Melting_Curves/meltCurve_F5H1Y4_GOPC.pdf", "Melting_Curves/meltCurve_F5H1Y4_GOPC.pdf")</f>
        <v>Melting_Curves/meltCurve_F5H1Y4_GOPC.pdf</v>
      </c>
    </row>
    <row r="628" spans="1:28" x14ac:dyDescent="0.25">
      <c r="A628" t="s">
        <v>632</v>
      </c>
      <c r="B628">
        <v>0.99334974765950101</v>
      </c>
      <c r="C628">
        <v>0.91961468266690705</v>
      </c>
      <c r="D628">
        <v>0.82750377104567796</v>
      </c>
      <c r="E628">
        <v>0.59055983773278198</v>
      </c>
      <c r="F628">
        <v>0.58830726778008702</v>
      </c>
      <c r="G628">
        <v>0.334161806603681</v>
      </c>
      <c r="H628">
        <v>0.25475872025332202</v>
      </c>
      <c r="I628">
        <v>0.19178841499124399</v>
      </c>
      <c r="J628">
        <v>0.23529934921475401</v>
      </c>
      <c r="K628">
        <v>0.19738986096425201</v>
      </c>
      <c r="L628">
        <v>591.83683432444002</v>
      </c>
      <c r="M628">
        <v>11.4939021954212</v>
      </c>
      <c r="N628">
        <v>53.112425276911701</v>
      </c>
      <c r="O628">
        <v>50.0066954391312</v>
      </c>
      <c r="P628">
        <v>-4.8974882353351998E-2</v>
      </c>
      <c r="Q628">
        <v>0.147939601754875</v>
      </c>
      <c r="R628">
        <v>0.98418328230616103</v>
      </c>
      <c r="S628" t="s">
        <v>6489</v>
      </c>
      <c r="T628" t="s">
        <v>11720</v>
      </c>
      <c r="U628" t="s">
        <v>11720</v>
      </c>
      <c r="V628" t="s">
        <v>11720</v>
      </c>
      <c r="W628" t="s">
        <v>12334</v>
      </c>
      <c r="X628">
        <v>2</v>
      </c>
      <c r="Y628" t="s">
        <v>18131</v>
      </c>
      <c r="Z628" t="s">
        <v>23835</v>
      </c>
      <c r="AA628">
        <v>0.50287157581367647</v>
      </c>
      <c r="AB628" t="str">
        <f>HYPERLINK("Melting_Curves/meltCurve_F5H1Z6_STARD10.pdf", "Melting_Curves/meltCurve_F5H1Z6_STARD10.pdf")</f>
        <v>Melting_Curves/meltCurve_F5H1Z6_STARD10.pdf</v>
      </c>
    </row>
    <row r="629" spans="1:28" x14ac:dyDescent="0.25">
      <c r="A629" t="s">
        <v>633</v>
      </c>
      <c r="B629">
        <v>0.99334974765950101</v>
      </c>
      <c r="C629">
        <v>0.82839811597885005</v>
      </c>
      <c r="D629">
        <v>0.80958757486000599</v>
      </c>
      <c r="E629">
        <v>0.85205148250037599</v>
      </c>
      <c r="F629">
        <v>0.58369894847749404</v>
      </c>
      <c r="G629">
        <v>0.50872911537731702</v>
      </c>
      <c r="H629">
        <v>0.39511775652376602</v>
      </c>
      <c r="I629">
        <v>0.28238856168966098</v>
      </c>
      <c r="J629">
        <v>0.19907579228802999</v>
      </c>
      <c r="K629">
        <v>0.146779529453376</v>
      </c>
      <c r="L629">
        <v>450.30414152899101</v>
      </c>
      <c r="M629">
        <v>7.9495311398998796</v>
      </c>
      <c r="N629">
        <v>56.645371104359</v>
      </c>
      <c r="O629">
        <v>53.397476095923601</v>
      </c>
      <c r="P629">
        <v>-3.7261764680347399E-2</v>
      </c>
      <c r="Q629">
        <v>0</v>
      </c>
      <c r="R629">
        <v>0.96144964879148598</v>
      </c>
      <c r="S629" t="s">
        <v>6490</v>
      </c>
      <c r="T629" t="s">
        <v>11720</v>
      </c>
      <c r="U629" t="s">
        <v>11720</v>
      </c>
      <c r="V629" t="s">
        <v>11720</v>
      </c>
      <c r="W629" t="s">
        <v>12335</v>
      </c>
      <c r="X629">
        <v>3</v>
      </c>
      <c r="Y629" t="s">
        <v>18132</v>
      </c>
      <c r="Z629" t="s">
        <v>23836</v>
      </c>
      <c r="AA629">
        <v>0.56954389211512291</v>
      </c>
      <c r="AB629" t="str">
        <f>HYPERLINK("Melting_Curves/meltCurve_F5H254_TMEM135.pdf", "Melting_Curves/meltCurve_F5H254_TMEM135.pdf")</f>
        <v>Melting_Curves/meltCurve_F5H254_TMEM135.pdf</v>
      </c>
    </row>
    <row r="630" spans="1:28" x14ac:dyDescent="0.25">
      <c r="A630" t="s">
        <v>634</v>
      </c>
      <c r="B630">
        <v>0.99334974765950101</v>
      </c>
      <c r="C630">
        <v>0.79246522589931101</v>
      </c>
      <c r="D630">
        <v>0.90060678045916898</v>
      </c>
      <c r="E630">
        <v>0.77190387984651498</v>
      </c>
      <c r="F630">
        <v>0.73058644716441601</v>
      </c>
      <c r="G630">
        <v>0.30555647431626698</v>
      </c>
      <c r="H630">
        <v>0.22566459025586699</v>
      </c>
      <c r="I630">
        <v>0.208397469501414</v>
      </c>
      <c r="J630">
        <v>0.25122680157793198</v>
      </c>
      <c r="K630">
        <v>7.5108596443337797E-2</v>
      </c>
      <c r="L630">
        <v>637.06788056264497</v>
      </c>
      <c r="M630">
        <v>11.6737727966092</v>
      </c>
      <c r="N630">
        <v>55.125320349635203</v>
      </c>
      <c r="O630">
        <v>53.044959923411398</v>
      </c>
      <c r="P630">
        <v>-5.1993518378412998E-2</v>
      </c>
      <c r="Q630">
        <v>5.5231032971323299E-2</v>
      </c>
      <c r="R630">
        <v>0.93404043278370896</v>
      </c>
      <c r="S630" t="s">
        <v>6491</v>
      </c>
      <c r="T630" t="s">
        <v>11720</v>
      </c>
      <c r="U630" t="s">
        <v>11720</v>
      </c>
      <c r="V630" t="s">
        <v>11720</v>
      </c>
      <c r="W630" t="s">
        <v>12336</v>
      </c>
      <c r="X630">
        <v>1</v>
      </c>
      <c r="Y630" t="s">
        <v>18133</v>
      </c>
      <c r="Z630" t="s">
        <v>23837</v>
      </c>
      <c r="AA630">
        <v>0.53793157280546267</v>
      </c>
      <c r="AB630" t="str">
        <f>HYPERLINK("Melting_Curves/meltCurve_F5H280_WSB2.pdf", "Melting_Curves/meltCurve_F5H280_WSB2.pdf")</f>
        <v>Melting_Curves/meltCurve_F5H280_WSB2.pdf</v>
      </c>
    </row>
    <row r="631" spans="1:28" x14ac:dyDescent="0.25">
      <c r="A631" t="s">
        <v>635</v>
      </c>
      <c r="B631">
        <v>0.99334974765950101</v>
      </c>
      <c r="C631">
        <v>0.65330249315943201</v>
      </c>
      <c r="D631">
        <v>0.31273739775661302</v>
      </c>
      <c r="E631">
        <v>0.23031159200790499</v>
      </c>
      <c r="F631">
        <v>0.14384495873682299</v>
      </c>
      <c r="G631">
        <v>9.3821646086370794E-2</v>
      </c>
      <c r="H631">
        <v>7.9816343975292706E-2</v>
      </c>
      <c r="I631">
        <v>7.2129387657801095E-2</v>
      </c>
      <c r="J631">
        <v>5.8627517487052201E-2</v>
      </c>
      <c r="K631">
        <v>4.4356359231979198E-2</v>
      </c>
      <c r="L631">
        <v>994.26603522765595</v>
      </c>
      <c r="M631">
        <v>22.556110771254598</v>
      </c>
      <c r="N631">
        <v>44.4534659869907</v>
      </c>
      <c r="O631">
        <v>43.737605577372499</v>
      </c>
      <c r="P631">
        <v>-0.11779354717101</v>
      </c>
      <c r="Q631">
        <v>8.6384636902448297E-2</v>
      </c>
      <c r="R631">
        <v>0.97872250402941197</v>
      </c>
      <c r="S631" t="s">
        <v>6492</v>
      </c>
      <c r="T631" t="s">
        <v>11720</v>
      </c>
      <c r="U631" t="s">
        <v>11720</v>
      </c>
      <c r="V631" t="s">
        <v>11720</v>
      </c>
      <c r="W631" t="s">
        <v>12337</v>
      </c>
      <c r="X631">
        <v>12</v>
      </c>
      <c r="Y631" t="s">
        <v>18134</v>
      </c>
      <c r="Z631" t="s">
        <v>23838</v>
      </c>
      <c r="AA631">
        <v>0.22385202776696</v>
      </c>
      <c r="AB631" t="str">
        <f>HYPERLINK("Melting_Curves/meltCurve_F5H2H5_ANKLE2.pdf", "Melting_Curves/meltCurve_F5H2H5_ANKLE2.pdf")</f>
        <v>Melting_Curves/meltCurve_F5H2H5_ANKLE2.pdf</v>
      </c>
    </row>
    <row r="632" spans="1:28" x14ac:dyDescent="0.25">
      <c r="A632" t="s">
        <v>636</v>
      </c>
      <c r="B632">
        <v>0.99334974765950101</v>
      </c>
      <c r="C632">
        <v>0.91238377868365905</v>
      </c>
      <c r="D632">
        <v>0.56736831050361103</v>
      </c>
      <c r="E632">
        <v>0.790769964934809</v>
      </c>
      <c r="F632">
        <v>0.63703155903151099</v>
      </c>
      <c r="G632">
        <v>0.30699212495748701</v>
      </c>
      <c r="H632">
        <v>0.29303601622394998</v>
      </c>
      <c r="I632">
        <v>0.13953569010592001</v>
      </c>
      <c r="J632">
        <v>0.124210958041202</v>
      </c>
      <c r="K632">
        <v>0.12936776677775499</v>
      </c>
      <c r="L632">
        <v>459.56551844130303</v>
      </c>
      <c r="M632">
        <v>8.5567046620579603</v>
      </c>
      <c r="N632">
        <v>53.708236305697298</v>
      </c>
      <c r="O632">
        <v>51.016007208482002</v>
      </c>
      <c r="P632">
        <v>-4.19683179672019E-2</v>
      </c>
      <c r="Q632">
        <v>0</v>
      </c>
      <c r="R632">
        <v>0.89956002595458395</v>
      </c>
      <c r="S632" t="s">
        <v>6493</v>
      </c>
      <c r="T632" t="s">
        <v>11720</v>
      </c>
      <c r="U632" t="s">
        <v>11720</v>
      </c>
      <c r="V632" t="s">
        <v>11720</v>
      </c>
      <c r="W632" t="s">
        <v>12338</v>
      </c>
      <c r="X632">
        <v>4</v>
      </c>
      <c r="Y632" t="s">
        <v>18135</v>
      </c>
      <c r="Z632" t="s">
        <v>23839</v>
      </c>
      <c r="AA632">
        <v>0.49173208653395672</v>
      </c>
      <c r="AB632" t="str">
        <f>HYPERLINK("Melting_Curves/meltCurve_F5H2J3_VMP1.pdf", "Melting_Curves/meltCurve_F5H2J3_VMP1.pdf")</f>
        <v>Melting_Curves/meltCurve_F5H2J3_VMP1.pdf</v>
      </c>
    </row>
    <row r="633" spans="1:28" x14ac:dyDescent="0.25">
      <c r="A633" t="s">
        <v>637</v>
      </c>
      <c r="B633">
        <v>0.99334974765950101</v>
      </c>
      <c r="C633">
        <v>1.01403678340856</v>
      </c>
      <c r="D633">
        <v>1.01841149700801</v>
      </c>
      <c r="E633">
        <v>1.0512234345451199</v>
      </c>
      <c r="F633">
        <v>0.95991704350780505</v>
      </c>
      <c r="G633">
        <v>0.81229693223079802</v>
      </c>
      <c r="H633">
        <v>0.59138236402011302</v>
      </c>
      <c r="I633">
        <v>0.44380482967583601</v>
      </c>
      <c r="J633">
        <v>0.27257140786938999</v>
      </c>
      <c r="K633">
        <v>0.192147359085972</v>
      </c>
      <c r="L633">
        <v>1064.00376659684</v>
      </c>
      <c r="M633">
        <v>17.1763683079453</v>
      </c>
      <c r="N633">
        <v>62.6141753481322</v>
      </c>
      <c r="O633">
        <v>61.124426877936301</v>
      </c>
      <c r="P633">
        <v>-6.4371063697300293E-2</v>
      </c>
      <c r="Q633">
        <v>8.3761866244958794E-2</v>
      </c>
      <c r="R633">
        <v>0.99365677643658901</v>
      </c>
      <c r="S633" t="s">
        <v>6494</v>
      </c>
      <c r="T633" t="s">
        <v>11720</v>
      </c>
      <c r="U633" t="s">
        <v>11720</v>
      </c>
      <c r="V633" t="s">
        <v>11720</v>
      </c>
      <c r="W633" t="s">
        <v>12339</v>
      </c>
      <c r="X633">
        <v>11</v>
      </c>
      <c r="Y633" t="s">
        <v>18136</v>
      </c>
      <c r="Z633" t="s">
        <v>23840</v>
      </c>
      <c r="AA633">
        <v>0.75479356909789219</v>
      </c>
      <c r="AB633" t="str">
        <f>HYPERLINK("Melting_Curves/meltCurve_F5H2Q7_KIAA1715.pdf", "Melting_Curves/meltCurve_F5H2Q7_KIAA1715.pdf")</f>
        <v>Melting_Curves/meltCurve_F5H2Q7_KIAA1715.pdf</v>
      </c>
    </row>
    <row r="634" spans="1:28" x14ac:dyDescent="0.25">
      <c r="A634" t="s">
        <v>638</v>
      </c>
      <c r="B634">
        <v>0.99334974765950101</v>
      </c>
      <c r="C634">
        <v>1.00843209427841</v>
      </c>
      <c r="D634">
        <v>1.0853415167752001</v>
      </c>
      <c r="E634">
        <v>1.2952288869005699</v>
      </c>
      <c r="F634">
        <v>0.75411302767662103</v>
      </c>
      <c r="G634">
        <v>0.66522965826061298</v>
      </c>
      <c r="H634">
        <v>0.64130797973923104</v>
      </c>
      <c r="I634">
        <v>0.80614629375471702</v>
      </c>
      <c r="J634">
        <v>0.83957925097210095</v>
      </c>
      <c r="K634">
        <v>0.74674585771147794</v>
      </c>
      <c r="L634">
        <v>13099.4476954489</v>
      </c>
      <c r="M634">
        <v>250</v>
      </c>
      <c r="O634">
        <v>52.394438351172802</v>
      </c>
      <c r="P634">
        <v>-0.310391810959184</v>
      </c>
      <c r="Q634">
        <v>0.73979513001942199</v>
      </c>
      <c r="R634">
        <v>0.67948868484149505</v>
      </c>
      <c r="S634" t="s">
        <v>6495</v>
      </c>
      <c r="T634" t="s">
        <v>11720</v>
      </c>
      <c r="U634" t="s">
        <v>11720</v>
      </c>
      <c r="V634" t="s">
        <v>11720</v>
      </c>
      <c r="W634" t="s">
        <v>12340</v>
      </c>
      <c r="X634">
        <v>30</v>
      </c>
      <c r="Y634" t="s">
        <v>18137</v>
      </c>
      <c r="Z634" t="s">
        <v>23841</v>
      </c>
      <c r="AA634">
        <v>0.84735124237273796</v>
      </c>
      <c r="AB634" t="str">
        <f>HYPERLINK("Melting_Curves/meltCurve_F5H2S7_DCTN2.pdf", "Melting_Curves/meltCurve_F5H2S7_DCTN2.pdf")</f>
        <v>Melting_Curves/meltCurve_F5H2S7_DCTN2.pdf</v>
      </c>
    </row>
    <row r="635" spans="1:28" x14ac:dyDescent="0.25">
      <c r="A635" t="s">
        <v>639</v>
      </c>
      <c r="B635">
        <v>0.99334974765950101</v>
      </c>
      <c r="C635">
        <v>0.96551321955311997</v>
      </c>
      <c r="D635">
        <v>0.97518033200932697</v>
      </c>
      <c r="E635">
        <v>0.943108000877111</v>
      </c>
      <c r="F635">
        <v>0.63972264179915705</v>
      </c>
      <c r="G635">
        <v>0.54774533150674198</v>
      </c>
      <c r="H635">
        <v>0.54704734550710099</v>
      </c>
      <c r="I635">
        <v>0.69866746174729299</v>
      </c>
      <c r="J635">
        <v>0.64030102908881703</v>
      </c>
      <c r="K635">
        <v>0.692572353512519</v>
      </c>
      <c r="L635">
        <v>4395.0032879741802</v>
      </c>
      <c r="M635">
        <v>86.179090208091196</v>
      </c>
      <c r="O635">
        <v>50.971045727025</v>
      </c>
      <c r="P635">
        <v>-0.158361437645724</v>
      </c>
      <c r="Q635">
        <v>0.62534544169930195</v>
      </c>
      <c r="R635">
        <v>0.920593562177205</v>
      </c>
      <c r="S635" t="s">
        <v>6496</v>
      </c>
      <c r="T635" t="s">
        <v>11720</v>
      </c>
      <c r="U635" t="s">
        <v>11720</v>
      </c>
      <c r="V635" t="s">
        <v>11720</v>
      </c>
      <c r="W635" t="s">
        <v>12341</v>
      </c>
      <c r="X635">
        <v>2</v>
      </c>
      <c r="Y635" t="s">
        <v>18138</v>
      </c>
      <c r="Z635" t="s">
        <v>23842</v>
      </c>
      <c r="AA635">
        <v>0.76298254794797515</v>
      </c>
      <c r="AB635" t="str">
        <f>HYPERLINK("Melting_Curves/meltCurve_F5H2U2_PRPF4B.pdf", "Melting_Curves/meltCurve_F5H2U2_PRPF4B.pdf")</f>
        <v>Melting_Curves/meltCurve_F5H2U2_PRPF4B.pdf</v>
      </c>
    </row>
    <row r="636" spans="1:28" x14ac:dyDescent="0.25">
      <c r="A636" t="s">
        <v>640</v>
      </c>
      <c r="B636">
        <v>0.99334974765950101</v>
      </c>
      <c r="C636">
        <v>0.94268563871491395</v>
      </c>
      <c r="D636">
        <v>0.91475976563266903</v>
      </c>
      <c r="E636">
        <v>0.74886052956183102</v>
      </c>
      <c r="F636">
        <v>0.57483348523390998</v>
      </c>
      <c r="G636">
        <v>0.49079098468087301</v>
      </c>
      <c r="H636">
        <v>0.41520945481433003</v>
      </c>
      <c r="I636">
        <v>0.36162261029028703</v>
      </c>
      <c r="J636">
        <v>0.29699802587122998</v>
      </c>
      <c r="K636">
        <v>0.26631213669108</v>
      </c>
      <c r="L636">
        <v>596.55892405372003</v>
      </c>
      <c r="M636">
        <v>11.2575979670673</v>
      </c>
      <c r="N636">
        <v>56.346436648864596</v>
      </c>
      <c r="O636">
        <v>51.402106026305503</v>
      </c>
      <c r="P636">
        <v>-4.1394161034176799E-2</v>
      </c>
      <c r="Q636">
        <v>0.24421153495836001</v>
      </c>
      <c r="R636">
        <v>0.99194919950413596</v>
      </c>
      <c r="S636" t="s">
        <v>6497</v>
      </c>
      <c r="T636" t="s">
        <v>11720</v>
      </c>
      <c r="U636" t="s">
        <v>11720</v>
      </c>
      <c r="V636" t="s">
        <v>11720</v>
      </c>
      <c r="W636" t="s">
        <v>12342</v>
      </c>
      <c r="X636">
        <v>11</v>
      </c>
      <c r="Y636" t="s">
        <v>18139</v>
      </c>
      <c r="Z636" t="s">
        <v>23843</v>
      </c>
      <c r="AA636">
        <v>0.59457855533855697</v>
      </c>
      <c r="AB636" t="str">
        <f>HYPERLINK("Melting_Curves/meltCurve_F5H2X3_NRP2.pdf", "Melting_Curves/meltCurve_F5H2X3_NRP2.pdf")</f>
        <v>Melting_Curves/meltCurve_F5H2X3_NRP2.pdf</v>
      </c>
    </row>
    <row r="637" spans="1:28" x14ac:dyDescent="0.25">
      <c r="A637" t="s">
        <v>641</v>
      </c>
      <c r="B637">
        <v>0.99334974765950101</v>
      </c>
      <c r="C637">
        <v>1.12523326252435</v>
      </c>
      <c r="D637">
        <v>0.79213313627978799</v>
      </c>
      <c r="E637">
        <v>0.64968417645055798</v>
      </c>
      <c r="F637">
        <v>0.64252548891373296</v>
      </c>
      <c r="G637">
        <v>0.41225592814968798</v>
      </c>
      <c r="H637">
        <v>0.332178067269292</v>
      </c>
      <c r="I637">
        <v>0.43156718896626201</v>
      </c>
      <c r="J637">
        <v>0.35909661907097201</v>
      </c>
      <c r="K637">
        <v>0.45574178120556103</v>
      </c>
      <c r="L637">
        <v>861.71210773274004</v>
      </c>
      <c r="M637">
        <v>17.3101385161726</v>
      </c>
      <c r="N637">
        <v>54.455470104417401</v>
      </c>
      <c r="O637">
        <v>49.130634931056598</v>
      </c>
      <c r="P637">
        <v>-5.40098546457453E-2</v>
      </c>
      <c r="Q637">
        <v>0.386859518958103</v>
      </c>
      <c r="R637">
        <v>0.91458739808899503</v>
      </c>
      <c r="S637" t="s">
        <v>6498</v>
      </c>
      <c r="T637" t="s">
        <v>11720</v>
      </c>
      <c r="U637" t="s">
        <v>11720</v>
      </c>
      <c r="V637" t="s">
        <v>11720</v>
      </c>
      <c r="W637" t="s">
        <v>12343</v>
      </c>
      <c r="X637">
        <v>9</v>
      </c>
      <c r="Y637" t="s">
        <v>18140</v>
      </c>
      <c r="Z637" t="s">
        <v>23844</v>
      </c>
      <c r="AA637">
        <v>0.59805846357023595</v>
      </c>
      <c r="AB637" t="str">
        <f>HYPERLINK("Melting_Curves/meltCurve_F5H357_RBPMS.pdf", "Melting_Curves/meltCurve_F5H357_RBPMS.pdf")</f>
        <v>Melting_Curves/meltCurve_F5H357_RBPMS.pdf</v>
      </c>
    </row>
    <row r="638" spans="1:28" x14ac:dyDescent="0.25">
      <c r="A638" t="s">
        <v>642</v>
      </c>
      <c r="B638">
        <v>0.99334974765950101</v>
      </c>
      <c r="C638">
        <v>0.95527117401532002</v>
      </c>
      <c r="D638">
        <v>1.1231990340217699</v>
      </c>
      <c r="E638">
        <v>0.84150412787996398</v>
      </c>
      <c r="F638">
        <v>0.239059096750109</v>
      </c>
      <c r="G638">
        <v>0.163980469134756</v>
      </c>
      <c r="H638">
        <v>0.10926291530983701</v>
      </c>
      <c r="I638">
        <v>9.8778578193514793E-2</v>
      </c>
      <c r="J638">
        <v>7.83853190058732E-2</v>
      </c>
      <c r="K638">
        <v>6.5525174388655405E-2</v>
      </c>
      <c r="L638">
        <v>2869.0956751833401</v>
      </c>
      <c r="M638">
        <v>55.8325075381928</v>
      </c>
      <c r="N638">
        <v>51.598530798494998</v>
      </c>
      <c r="O638">
        <v>51.321749841766596</v>
      </c>
      <c r="P638">
        <v>-0.24421688339282299</v>
      </c>
      <c r="Q638">
        <v>0.102054952227037</v>
      </c>
      <c r="R638">
        <v>0.98732026528845696</v>
      </c>
      <c r="S638" t="s">
        <v>6499</v>
      </c>
      <c r="T638" t="s">
        <v>11720</v>
      </c>
      <c r="U638" t="s">
        <v>11720</v>
      </c>
      <c r="V638" t="s">
        <v>11720</v>
      </c>
      <c r="W638" t="s">
        <v>12344</v>
      </c>
      <c r="X638">
        <v>26</v>
      </c>
      <c r="Y638" t="s">
        <v>18141</v>
      </c>
      <c r="Z638" t="s">
        <v>23845</v>
      </c>
      <c r="AA638">
        <v>0.4445318918242091</v>
      </c>
      <c r="AB638" t="str">
        <f>HYPERLINK("Melting_Curves/meltCurve_F5H365_SEC23A.pdf", "Melting_Curves/meltCurve_F5H365_SEC23A.pdf")</f>
        <v>Melting_Curves/meltCurve_F5H365_SEC23A.pdf</v>
      </c>
    </row>
    <row r="639" spans="1:28" x14ac:dyDescent="0.25">
      <c r="A639" t="s">
        <v>643</v>
      </c>
      <c r="B639">
        <v>0.99334974765950101</v>
      </c>
      <c r="C639">
        <v>0.911537192695969</v>
      </c>
      <c r="D639">
        <v>0.95705916121393597</v>
      </c>
      <c r="E639">
        <v>0.74826406850347804</v>
      </c>
      <c r="F639">
        <v>0.56501563601127103</v>
      </c>
      <c r="G639">
        <v>0.433499348376992</v>
      </c>
      <c r="H639">
        <v>0.33535527831982698</v>
      </c>
      <c r="I639">
        <v>0.20011739730875999</v>
      </c>
      <c r="J639">
        <v>0.16888692756225701</v>
      </c>
      <c r="K639">
        <v>0.17184830041232499</v>
      </c>
      <c r="L639">
        <v>632.41121684871405</v>
      </c>
      <c r="M639">
        <v>11.6939372028181</v>
      </c>
      <c r="N639">
        <v>55.158384796751598</v>
      </c>
      <c r="O639">
        <v>52.571404063930999</v>
      </c>
      <c r="P639">
        <v>-4.9941712545504599E-2</v>
      </c>
      <c r="Q639">
        <v>0.10216496343619499</v>
      </c>
      <c r="R639">
        <v>0.98921432740181903</v>
      </c>
      <c r="S639" t="s">
        <v>6500</v>
      </c>
      <c r="T639" t="s">
        <v>11720</v>
      </c>
      <c r="U639" t="s">
        <v>11720</v>
      </c>
      <c r="V639" t="s">
        <v>11720</v>
      </c>
      <c r="W639" t="s">
        <v>12345</v>
      </c>
      <c r="X639">
        <v>4</v>
      </c>
      <c r="Y639" t="s">
        <v>18142</v>
      </c>
      <c r="Z639" t="s">
        <v>23846</v>
      </c>
      <c r="AA639">
        <v>0.5473653808326211</v>
      </c>
      <c r="AB639" t="str">
        <f>HYPERLINK("Melting_Curves/meltCurve_F5H3B6_SHROOM2.pdf", "Melting_Curves/meltCurve_F5H3B6_SHROOM2.pdf")</f>
        <v>Melting_Curves/meltCurve_F5H3B6_SHROOM2.pdf</v>
      </c>
    </row>
    <row r="640" spans="1:28" x14ac:dyDescent="0.25">
      <c r="A640" t="s">
        <v>644</v>
      </c>
      <c r="B640">
        <v>0.99334974765950101</v>
      </c>
      <c r="C640">
        <v>0.92287693391121906</v>
      </c>
      <c r="D640">
        <v>0.96837929572043202</v>
      </c>
      <c r="E640">
        <v>0.76684464691797105</v>
      </c>
      <c r="F640">
        <v>0.67617526382064697</v>
      </c>
      <c r="G640">
        <v>0.79132330495318404</v>
      </c>
      <c r="H640">
        <v>0.56773786643599999</v>
      </c>
      <c r="I640">
        <v>0.76593965727005298</v>
      </c>
      <c r="J640">
        <v>0.523862641762456</v>
      </c>
      <c r="K640">
        <v>0.60724465076495604</v>
      </c>
      <c r="L640">
        <v>589.34299062807895</v>
      </c>
      <c r="M640">
        <v>11.7203813888841</v>
      </c>
      <c r="O640">
        <v>48.886707169967003</v>
      </c>
      <c r="P640">
        <v>-2.3978929969023E-2</v>
      </c>
      <c r="Q640">
        <v>0.60003303323075996</v>
      </c>
      <c r="R640">
        <v>0.767231950724098</v>
      </c>
      <c r="S640" t="s">
        <v>6501</v>
      </c>
      <c r="T640" t="s">
        <v>11720</v>
      </c>
      <c r="U640" t="s">
        <v>11720</v>
      </c>
      <c r="V640" t="s">
        <v>11720</v>
      </c>
      <c r="W640" t="s">
        <v>12346</v>
      </c>
      <c r="X640">
        <v>2</v>
      </c>
      <c r="Y640" t="s">
        <v>18143</v>
      </c>
      <c r="Z640" t="s">
        <v>23847</v>
      </c>
      <c r="AA640">
        <v>0.75124694499330125</v>
      </c>
      <c r="AB640" t="str">
        <f>HYPERLINK("Melting_Curves/meltCurve_F5H3M3_MANSC1.pdf", "Melting_Curves/meltCurve_F5H3M3_MANSC1.pdf")</f>
        <v>Melting_Curves/meltCurve_F5H3M3_MANSC1.pdf</v>
      </c>
    </row>
    <row r="641" spans="1:28" x14ac:dyDescent="0.25">
      <c r="A641" t="s">
        <v>645</v>
      </c>
      <c r="B641">
        <v>0.99334974765950101</v>
      </c>
      <c r="C641">
        <v>0.99667463577998305</v>
      </c>
      <c r="D641">
        <v>0.86781157167396705</v>
      </c>
      <c r="E641">
        <v>0.66121141989612398</v>
      </c>
      <c r="F641">
        <v>0.66785805134786103</v>
      </c>
      <c r="G641">
        <v>0.53127384599536098</v>
      </c>
      <c r="H641">
        <v>0.48004704599744302</v>
      </c>
      <c r="I641">
        <v>0.44280888501041998</v>
      </c>
      <c r="J641">
        <v>0.34061238509303299</v>
      </c>
      <c r="K641">
        <v>0.23162908306250099</v>
      </c>
      <c r="L641">
        <v>409.62314771182702</v>
      </c>
      <c r="M641">
        <v>7.2306634947041797</v>
      </c>
      <c r="N641">
        <v>58.7350531138161</v>
      </c>
      <c r="O641">
        <v>52.799087144892098</v>
      </c>
      <c r="P641">
        <v>-3.0412660731927599E-2</v>
      </c>
      <c r="Q641">
        <v>0.11315356259196301</v>
      </c>
      <c r="R641">
        <v>0.96112268915883703</v>
      </c>
      <c r="S641" t="s">
        <v>6502</v>
      </c>
      <c r="T641" t="s">
        <v>11720</v>
      </c>
      <c r="U641" t="s">
        <v>11720</v>
      </c>
      <c r="V641" t="s">
        <v>11720</v>
      </c>
      <c r="W641" t="s">
        <v>12347</v>
      </c>
      <c r="X641">
        <v>2</v>
      </c>
      <c r="Y641" t="s">
        <v>18144</v>
      </c>
      <c r="Z641" t="s">
        <v>23848</v>
      </c>
      <c r="AA641">
        <v>0.61655582552008859</v>
      </c>
      <c r="AB641" t="str">
        <f>HYPERLINK("Melting_Curves/meltCurve_F5H3Q2_TMEM117.pdf", "Melting_Curves/meltCurve_F5H3Q2_TMEM117.pdf")</f>
        <v>Melting_Curves/meltCurve_F5H3Q2_TMEM117.pdf</v>
      </c>
    </row>
    <row r="642" spans="1:28" x14ac:dyDescent="0.25">
      <c r="A642" t="s">
        <v>646</v>
      </c>
      <c r="B642">
        <v>0.99334974765950101</v>
      </c>
      <c r="C642">
        <v>1.0084724277855299</v>
      </c>
      <c r="D642">
        <v>1.01192884456628</v>
      </c>
      <c r="E642">
        <v>0.69945296573257298</v>
      </c>
      <c r="F642">
        <v>0.59547683988919198</v>
      </c>
      <c r="G642">
        <v>0.387965136725202</v>
      </c>
      <c r="H642">
        <v>0.386884937554828</v>
      </c>
      <c r="I642">
        <v>0.35297687335620598</v>
      </c>
      <c r="J642">
        <v>0.27822960519186501</v>
      </c>
      <c r="K642">
        <v>0.18992448830827199</v>
      </c>
      <c r="L642">
        <v>872.227964974619</v>
      </c>
      <c r="M642">
        <v>16.724692545544801</v>
      </c>
      <c r="N642">
        <v>54.624985926704902</v>
      </c>
      <c r="O642">
        <v>51.4236201217646</v>
      </c>
      <c r="P642">
        <v>-5.97255355171828E-2</v>
      </c>
      <c r="Q642">
        <v>0.26549301761906202</v>
      </c>
      <c r="R642">
        <v>0.97175607994897095</v>
      </c>
      <c r="S642" t="s">
        <v>6503</v>
      </c>
      <c r="T642" t="s">
        <v>11720</v>
      </c>
      <c r="U642" t="s">
        <v>11720</v>
      </c>
      <c r="V642" t="s">
        <v>11720</v>
      </c>
      <c r="W642" t="s">
        <v>12348</v>
      </c>
      <c r="X642">
        <v>2</v>
      </c>
      <c r="Y642" t="s">
        <v>18145</v>
      </c>
      <c r="Z642" t="s">
        <v>23849</v>
      </c>
      <c r="AA642">
        <v>0.57679489195718481</v>
      </c>
      <c r="AB642" t="str">
        <f>HYPERLINK("Melting_Curves/meltCurve_F5H3T5_COLGALT2.pdf", "Melting_Curves/meltCurve_F5H3T5_COLGALT2.pdf")</f>
        <v>Melting_Curves/meltCurve_F5H3T5_COLGALT2.pdf</v>
      </c>
    </row>
    <row r="643" spans="1:28" x14ac:dyDescent="0.25">
      <c r="A643" t="s">
        <v>647</v>
      </c>
      <c r="B643">
        <v>0.99334974765950101</v>
      </c>
      <c r="C643">
        <v>0.97744121741733003</v>
      </c>
      <c r="D643">
        <v>0.692080230842958</v>
      </c>
      <c r="E643">
        <v>0.45847510564189398</v>
      </c>
      <c r="F643">
        <v>0.43814630661569698</v>
      </c>
      <c r="G643">
        <v>0.26393037546924403</v>
      </c>
      <c r="H643">
        <v>0.30315350575686301</v>
      </c>
      <c r="I643">
        <v>0.22332497221395201</v>
      </c>
      <c r="J643">
        <v>0.27667058597593902</v>
      </c>
      <c r="K643">
        <v>0.25613460282119699</v>
      </c>
      <c r="L643">
        <v>862.72779095495503</v>
      </c>
      <c r="M643">
        <v>18.134512874116599</v>
      </c>
      <c r="N643">
        <v>49.597829899271701</v>
      </c>
      <c r="O643">
        <v>47.006636939055198</v>
      </c>
      <c r="P643">
        <v>-7.1233649397251797E-2</v>
      </c>
      <c r="Q643">
        <v>0.26145409416513699</v>
      </c>
      <c r="R643">
        <v>0.97772857279497205</v>
      </c>
      <c r="S643" t="s">
        <v>6504</v>
      </c>
      <c r="T643" t="s">
        <v>11720</v>
      </c>
      <c r="U643" t="s">
        <v>11720</v>
      </c>
      <c r="V643" t="s">
        <v>11720</v>
      </c>
      <c r="W643" t="s">
        <v>12349</v>
      </c>
      <c r="X643">
        <v>5</v>
      </c>
      <c r="Y643" t="s">
        <v>18146</v>
      </c>
      <c r="Z643" t="s">
        <v>23850</v>
      </c>
      <c r="AA643">
        <v>0.46099197513615481</v>
      </c>
      <c r="AB643" t="str">
        <f>HYPERLINK("Melting_Curves/meltCurve_F5H3V2_LRCH3.pdf", "Melting_Curves/meltCurve_F5H3V2_LRCH3.pdf")</f>
        <v>Melting_Curves/meltCurve_F5H3V2_LRCH3.pdf</v>
      </c>
    </row>
    <row r="644" spans="1:28" x14ac:dyDescent="0.25">
      <c r="A644" t="s">
        <v>648</v>
      </c>
      <c r="B644">
        <v>0.99334974765950101</v>
      </c>
      <c r="C644">
        <v>0.93432420320364096</v>
      </c>
      <c r="D644">
        <v>0.96665046136729604</v>
      </c>
      <c r="E644">
        <v>0.67415645222828902</v>
      </c>
      <c r="F644">
        <v>0.23721856370869601</v>
      </c>
      <c r="G644">
        <v>0.15762957245884099</v>
      </c>
      <c r="H644">
        <v>0.11510220117804899</v>
      </c>
      <c r="I644">
        <v>0.100057285097086</v>
      </c>
      <c r="J644">
        <v>7.6070716217730094E-2</v>
      </c>
      <c r="K644">
        <v>5.5506060476374901E-2</v>
      </c>
      <c r="L644">
        <v>1821.4649187192399</v>
      </c>
      <c r="M644">
        <v>35.896620425788598</v>
      </c>
      <c r="N644">
        <v>51.038943639091599</v>
      </c>
      <c r="O644">
        <v>50.585256075986401</v>
      </c>
      <c r="P644">
        <v>-0.16068633149199399</v>
      </c>
      <c r="Q644">
        <v>9.4250840666236596E-2</v>
      </c>
      <c r="R644">
        <v>0.99395804213149597</v>
      </c>
      <c r="S644" t="s">
        <v>6505</v>
      </c>
      <c r="T644" t="s">
        <v>11720</v>
      </c>
      <c r="U644" t="s">
        <v>11720</v>
      </c>
      <c r="V644" t="s">
        <v>11720</v>
      </c>
      <c r="W644" t="s">
        <v>12350</v>
      </c>
      <c r="X644">
        <v>12</v>
      </c>
      <c r="Y644" t="s">
        <v>18147</v>
      </c>
      <c r="Z644" t="s">
        <v>23851</v>
      </c>
      <c r="AA644">
        <v>0.42251970746476902</v>
      </c>
      <c r="AB644" t="str">
        <f>HYPERLINK("Melting_Curves/meltCurve_F5H442_TSG101.pdf", "Melting_Curves/meltCurve_F5H442_TSG101.pdf")</f>
        <v>Melting_Curves/meltCurve_F5H442_TSG101.pdf</v>
      </c>
    </row>
    <row r="645" spans="1:28" x14ac:dyDescent="0.25">
      <c r="A645" t="s">
        <v>649</v>
      </c>
      <c r="B645">
        <v>0.99334974765950101</v>
      </c>
      <c r="C645">
        <v>1.1322431149040699</v>
      </c>
      <c r="D645">
        <v>1.25458235976786</v>
      </c>
      <c r="E645">
        <v>1.07243042108356</v>
      </c>
      <c r="F645">
        <v>0.41194952958465197</v>
      </c>
      <c r="G645">
        <v>0.38447305744390697</v>
      </c>
      <c r="H645">
        <v>0.28938871524687199</v>
      </c>
      <c r="I645">
        <v>0.25115275634523698</v>
      </c>
      <c r="J645">
        <v>0.15783284298882999</v>
      </c>
      <c r="K645">
        <v>0.14173838397668601</v>
      </c>
      <c r="L645">
        <v>13183.2931702074</v>
      </c>
      <c r="M645">
        <v>250</v>
      </c>
      <c r="N645">
        <v>52.875542318807497</v>
      </c>
      <c r="O645">
        <v>52.729798118972703</v>
      </c>
      <c r="P645">
        <v>-0.89499077170073404</v>
      </c>
      <c r="Q645">
        <v>0.24491707768666501</v>
      </c>
      <c r="R645">
        <v>0.92904926363967799</v>
      </c>
      <c r="S645" t="s">
        <v>6506</v>
      </c>
      <c r="T645" t="s">
        <v>11720</v>
      </c>
      <c r="U645" t="s">
        <v>11720</v>
      </c>
      <c r="V645" t="s">
        <v>11720</v>
      </c>
      <c r="W645" t="s">
        <v>12351</v>
      </c>
      <c r="X645">
        <v>2</v>
      </c>
      <c r="Y645" t="s">
        <v>18148</v>
      </c>
      <c r="Z645" t="s">
        <v>23852</v>
      </c>
      <c r="AA645">
        <v>0.56547366545198519</v>
      </c>
      <c r="AB645" t="str">
        <f>HYPERLINK("Melting_Curves/meltCurve_F5H456_RRP12.pdf", "Melting_Curves/meltCurve_F5H456_RRP12.pdf")</f>
        <v>Melting_Curves/meltCurve_F5H456_RRP12.pdf</v>
      </c>
    </row>
    <row r="646" spans="1:28" x14ac:dyDescent="0.25">
      <c r="A646" t="s">
        <v>650</v>
      </c>
      <c r="B646">
        <v>0.99334974765950101</v>
      </c>
      <c r="C646">
        <v>0.98414080099564305</v>
      </c>
      <c r="D646">
        <v>0.70500516868760199</v>
      </c>
      <c r="E646">
        <v>0.26100606954754701</v>
      </c>
      <c r="F646">
        <v>0.13148998073065901</v>
      </c>
      <c r="G646">
        <v>9.0701877752158794E-2</v>
      </c>
      <c r="H646">
        <v>7.5961006911697798E-2</v>
      </c>
      <c r="I646">
        <v>6.4950161948931301E-2</v>
      </c>
      <c r="J646">
        <v>6.0753182184645101E-2</v>
      </c>
      <c r="K646">
        <v>4.2953629272187502E-2</v>
      </c>
      <c r="L646">
        <v>1260.08773118247</v>
      </c>
      <c r="M646">
        <v>26.5475105427222</v>
      </c>
      <c r="N646">
        <v>47.719438943580798</v>
      </c>
      <c r="O646">
        <v>47.198507964563099</v>
      </c>
      <c r="P646">
        <v>-0.131350452399523</v>
      </c>
      <c r="Q646">
        <v>6.5904171959660099E-2</v>
      </c>
      <c r="R646">
        <v>0.99823171035254399</v>
      </c>
      <c r="S646" t="s">
        <v>6507</v>
      </c>
      <c r="T646" t="s">
        <v>11720</v>
      </c>
      <c r="U646" t="s">
        <v>11720</v>
      </c>
      <c r="V646" t="s">
        <v>11720</v>
      </c>
      <c r="W646" t="s">
        <v>12352</v>
      </c>
      <c r="X646">
        <v>14</v>
      </c>
      <c r="Y646" t="s">
        <v>18149</v>
      </c>
      <c r="Z646" t="s">
        <v>23853</v>
      </c>
      <c r="AA646">
        <v>0.30562581224182678</v>
      </c>
      <c r="AB646" t="str">
        <f>HYPERLINK("Melting_Curves/meltCurve_F5H4G7_KPNA6.pdf", "Melting_Curves/meltCurve_F5H4G7_KPNA6.pdf")</f>
        <v>Melting_Curves/meltCurve_F5H4G7_KPNA6.pdf</v>
      </c>
    </row>
    <row r="647" spans="1:28" x14ac:dyDescent="0.25">
      <c r="A647" t="s">
        <v>651</v>
      </c>
      <c r="B647">
        <v>0.99334974765950101</v>
      </c>
      <c r="C647">
        <v>0.95062557730614705</v>
      </c>
      <c r="D647">
        <v>0.78551091191299405</v>
      </c>
      <c r="E647">
        <v>0.71531633586684296</v>
      </c>
      <c r="F647">
        <v>0.55579778326755902</v>
      </c>
      <c r="G647">
        <v>0.60704780225238297</v>
      </c>
      <c r="H647">
        <v>0.50946745096277002</v>
      </c>
      <c r="I647">
        <v>0.42657094874748802</v>
      </c>
      <c r="J647">
        <v>0.39618488628465198</v>
      </c>
      <c r="K647">
        <v>0.27124555468769401</v>
      </c>
      <c r="L647">
        <v>356.74776112021601</v>
      </c>
      <c r="M647">
        <v>6.3709887699694399</v>
      </c>
      <c r="N647">
        <v>59.2324245723579</v>
      </c>
      <c r="O647">
        <v>51.240967200611003</v>
      </c>
      <c r="P647">
        <v>-2.6583403425299901E-2</v>
      </c>
      <c r="Q647">
        <v>0.14700102533511</v>
      </c>
      <c r="R647">
        <v>0.94645066688083002</v>
      </c>
      <c r="S647" t="s">
        <v>6508</v>
      </c>
      <c r="T647" t="s">
        <v>11720</v>
      </c>
      <c r="U647" t="s">
        <v>11720</v>
      </c>
      <c r="V647" t="s">
        <v>11720</v>
      </c>
      <c r="W647" t="s">
        <v>12353</v>
      </c>
      <c r="X647">
        <v>3</v>
      </c>
      <c r="Y647" t="s">
        <v>18150</v>
      </c>
      <c r="Z647" t="s">
        <v>23854</v>
      </c>
      <c r="AA647">
        <v>0.61568102450467799</v>
      </c>
      <c r="AB647" t="str">
        <f>HYPERLINK("Melting_Curves/meltCurve_F5H4H2_ATP5J2.pdf", "Melting_Curves/meltCurve_F5H4H2_ATP5J2.pdf")</f>
        <v>Melting_Curves/meltCurve_F5H4H2_ATP5J2.pdf</v>
      </c>
    </row>
    <row r="648" spans="1:28" x14ac:dyDescent="0.25">
      <c r="A648" t="s">
        <v>652</v>
      </c>
      <c r="B648">
        <v>0.99334974765950101</v>
      </c>
      <c r="C648">
        <v>1.00045628966301</v>
      </c>
      <c r="D648">
        <v>0.97661364417055296</v>
      </c>
      <c r="E648">
        <v>0.88968258800881195</v>
      </c>
      <c r="F648">
        <v>0.69983751352789603</v>
      </c>
      <c r="G648">
        <v>0.59476473820420905</v>
      </c>
      <c r="H648">
        <v>0.49706755502380601</v>
      </c>
      <c r="I648">
        <v>0.62858938870965697</v>
      </c>
      <c r="J648">
        <v>0.40840006741353202</v>
      </c>
      <c r="K648">
        <v>0.27093078423323802</v>
      </c>
      <c r="L648">
        <v>482.51527037755102</v>
      </c>
      <c r="M648">
        <v>8.1277775350811297</v>
      </c>
      <c r="N648">
        <v>62.380060083750998</v>
      </c>
      <c r="O648">
        <v>56.096789929440597</v>
      </c>
      <c r="P648">
        <v>-3.0372695182168199E-2</v>
      </c>
      <c r="Q648">
        <v>0.16238036494270799</v>
      </c>
      <c r="R648">
        <v>0.91952227820728605</v>
      </c>
      <c r="S648" t="s">
        <v>6509</v>
      </c>
      <c r="T648" t="s">
        <v>11720</v>
      </c>
      <c r="U648" t="s">
        <v>11720</v>
      </c>
      <c r="V648" t="s">
        <v>11720</v>
      </c>
      <c r="W648" t="s">
        <v>12354</v>
      </c>
      <c r="X648">
        <v>11</v>
      </c>
      <c r="Y648" t="s">
        <v>18151</v>
      </c>
      <c r="Z648" t="s">
        <v>23855</v>
      </c>
      <c r="AA648">
        <v>0.69631565457306643</v>
      </c>
      <c r="AB648" t="str">
        <f>HYPERLINK("Melting_Curves/meltCurve_F5H4K0_WLS.pdf", "Melting_Curves/meltCurve_F5H4K0_WLS.pdf")</f>
        <v>Melting_Curves/meltCurve_F5H4K0_WLS.pdf</v>
      </c>
    </row>
    <row r="649" spans="1:28" x14ac:dyDescent="0.25">
      <c r="A649" t="s">
        <v>653</v>
      </c>
      <c r="B649">
        <v>0.99334974765950101</v>
      </c>
      <c r="C649">
        <v>0.93019919445258403</v>
      </c>
      <c r="D649">
        <v>1.0164151703650499</v>
      </c>
      <c r="E649">
        <v>0.68917624360136098</v>
      </c>
      <c r="F649">
        <v>0.316726687786968</v>
      </c>
      <c r="G649">
        <v>0.26422915086088</v>
      </c>
      <c r="H649">
        <v>0.20195032310521399</v>
      </c>
      <c r="I649">
        <v>0.19473570343372101</v>
      </c>
      <c r="J649">
        <v>0.168777166347926</v>
      </c>
      <c r="K649">
        <v>0.194360327328607</v>
      </c>
      <c r="L649">
        <v>1938.96967299679</v>
      </c>
      <c r="M649">
        <v>38.313581798262298</v>
      </c>
      <c r="N649">
        <v>51.297619668169901</v>
      </c>
      <c r="O649">
        <v>50.470618970098101</v>
      </c>
      <c r="P649">
        <v>-0.15158010591732199</v>
      </c>
      <c r="Q649">
        <v>0.201293970097358</v>
      </c>
      <c r="R649">
        <v>0.99184915411508501</v>
      </c>
      <c r="S649" t="s">
        <v>6510</v>
      </c>
      <c r="T649" t="s">
        <v>11720</v>
      </c>
      <c r="U649" t="s">
        <v>11720</v>
      </c>
      <c r="V649" t="s">
        <v>11720</v>
      </c>
      <c r="W649" t="s">
        <v>12355</v>
      </c>
      <c r="X649">
        <v>3</v>
      </c>
      <c r="Y649" t="s">
        <v>18152</v>
      </c>
      <c r="Z649" t="s">
        <v>23856</v>
      </c>
      <c r="AA649">
        <v>0.48676132498494667</v>
      </c>
      <c r="AB649" t="str">
        <f>HYPERLINK("Melting_Curves/meltCurve_F5H4Q5_VPS37C.pdf", "Melting_Curves/meltCurve_F5H4Q5_VPS37C.pdf")</f>
        <v>Melting_Curves/meltCurve_F5H4Q5_VPS37C.pdf</v>
      </c>
    </row>
    <row r="650" spans="1:28" x14ac:dyDescent="0.25">
      <c r="A650" t="s">
        <v>654</v>
      </c>
      <c r="B650">
        <v>0.99334974765950101</v>
      </c>
      <c r="C650">
        <v>1.0913843867614701</v>
      </c>
      <c r="D650">
        <v>1.08991301060428</v>
      </c>
      <c r="E650">
        <v>0.742542842128736</v>
      </c>
      <c r="F650">
        <v>0.45051052033288402</v>
      </c>
      <c r="G650">
        <v>0.35018423893239098</v>
      </c>
      <c r="H650">
        <v>0.29101492762527997</v>
      </c>
      <c r="I650">
        <v>0.45039030969303101</v>
      </c>
      <c r="J650">
        <v>0.26820306382485898</v>
      </c>
      <c r="K650">
        <v>0.23933890704093</v>
      </c>
      <c r="L650">
        <v>1953.6138155532101</v>
      </c>
      <c r="M650">
        <v>38.451453864466899</v>
      </c>
      <c r="N650">
        <v>52.187280476854703</v>
      </c>
      <c r="O650">
        <v>50.670451746634299</v>
      </c>
      <c r="P650">
        <v>-0.12917223621608401</v>
      </c>
      <c r="Q650">
        <v>0.31912082988731599</v>
      </c>
      <c r="R650">
        <v>0.95728830821385502</v>
      </c>
      <c r="S650" t="s">
        <v>6511</v>
      </c>
      <c r="T650" t="s">
        <v>11720</v>
      </c>
      <c r="U650" t="s">
        <v>11720</v>
      </c>
      <c r="V650" t="s">
        <v>11720</v>
      </c>
      <c r="W650" t="s">
        <v>12356</v>
      </c>
      <c r="X650">
        <v>5</v>
      </c>
      <c r="Y650" t="s">
        <v>18153</v>
      </c>
      <c r="Z650" t="s">
        <v>23857</v>
      </c>
      <c r="AA650">
        <v>0.56699183867031533</v>
      </c>
      <c r="AB650" t="str">
        <f>HYPERLINK("Melting_Curves/meltCurve_F5H4R0_EVI5.pdf", "Melting_Curves/meltCurve_F5H4R0_EVI5.pdf")</f>
        <v>Melting_Curves/meltCurve_F5H4R0_EVI5.pdf</v>
      </c>
    </row>
    <row r="651" spans="1:28" x14ac:dyDescent="0.25">
      <c r="A651" t="s">
        <v>655</v>
      </c>
      <c r="B651">
        <v>0.99334974765950101</v>
      </c>
      <c r="C651">
        <v>0.886867964114888</v>
      </c>
      <c r="D651">
        <v>0.70611164193938203</v>
      </c>
      <c r="E651">
        <v>0.68691159669806701</v>
      </c>
      <c r="F651">
        <v>0.60109772134509698</v>
      </c>
      <c r="G651">
        <v>0.48858292185192997</v>
      </c>
      <c r="H651">
        <v>0.237294499273487</v>
      </c>
      <c r="I651">
        <v>0.23145495905514399</v>
      </c>
      <c r="J651">
        <v>0.14697769803697999</v>
      </c>
      <c r="K651">
        <v>6.24469236237307E-2</v>
      </c>
      <c r="L651">
        <v>455.61622695086601</v>
      </c>
      <c r="M651">
        <v>8.3866092620383199</v>
      </c>
      <c r="N651">
        <v>54.326630935164403</v>
      </c>
      <c r="O651">
        <v>51.501244605217103</v>
      </c>
      <c r="P651">
        <v>-4.07492934702708E-2</v>
      </c>
      <c r="Q651">
        <v>0</v>
      </c>
      <c r="R651">
        <v>0.96508015639352795</v>
      </c>
      <c r="S651" t="s">
        <v>6512</v>
      </c>
      <c r="T651" t="s">
        <v>11720</v>
      </c>
      <c r="U651" t="s">
        <v>11720</v>
      </c>
      <c r="V651" t="s">
        <v>11720</v>
      </c>
      <c r="W651" t="s">
        <v>12357</v>
      </c>
      <c r="X651">
        <v>1</v>
      </c>
      <c r="Y651" t="s">
        <v>18154</v>
      </c>
      <c r="Z651" t="s">
        <v>23858</v>
      </c>
      <c r="AA651">
        <v>0.50891943873424694</v>
      </c>
      <c r="AB651" t="str">
        <f>HYPERLINK("Melting_Curves/meltCurve_F5H523_KLHL42.pdf", "Melting_Curves/meltCurve_F5H523_KLHL42.pdf")</f>
        <v>Melting_Curves/meltCurve_F5H523_KLHL42.pdf</v>
      </c>
    </row>
    <row r="652" spans="1:28" x14ac:dyDescent="0.25">
      <c r="A652" t="s">
        <v>656</v>
      </c>
      <c r="B652">
        <v>0.99334974765950101</v>
      </c>
      <c r="C652">
        <v>1.0155649497385499</v>
      </c>
      <c r="D652">
        <v>0.89934856351694303</v>
      </c>
      <c r="E652">
        <v>0.88534868153216795</v>
      </c>
      <c r="F652">
        <v>0.687284805931763</v>
      </c>
      <c r="G652">
        <v>0.31022200672002398</v>
      </c>
      <c r="H652">
        <v>0.235112610240308</v>
      </c>
      <c r="I652">
        <v>0.213774408420836</v>
      </c>
      <c r="J652">
        <v>0.21976315328205601</v>
      </c>
      <c r="K652">
        <v>0.191198569747354</v>
      </c>
      <c r="L652">
        <v>1411.23705086581</v>
      </c>
      <c r="M652">
        <v>26.3125636752155</v>
      </c>
      <c r="N652">
        <v>54.686896749041701</v>
      </c>
      <c r="O652">
        <v>53.326691218157897</v>
      </c>
      <c r="P652">
        <v>-9.8834744923274098E-2</v>
      </c>
      <c r="Q652">
        <v>0.19879035206773299</v>
      </c>
      <c r="R652">
        <v>0.99102733428679501</v>
      </c>
      <c r="S652" t="s">
        <v>6513</v>
      </c>
      <c r="T652" t="s">
        <v>11720</v>
      </c>
      <c r="U652" t="s">
        <v>11720</v>
      </c>
      <c r="V652" t="s">
        <v>11720</v>
      </c>
      <c r="W652" t="s">
        <v>12358</v>
      </c>
      <c r="X652">
        <v>14</v>
      </c>
      <c r="Y652" t="s">
        <v>18155</v>
      </c>
      <c r="Z652" t="s">
        <v>23859</v>
      </c>
      <c r="AA652">
        <v>0.56963431315966651</v>
      </c>
      <c r="AB652" t="str">
        <f>HYPERLINK("Melting_Curves/meltCurve_F5H533_AMPH.pdf", "Melting_Curves/meltCurve_F5H533_AMPH.pdf")</f>
        <v>Melting_Curves/meltCurve_F5H533_AMPH.pdf</v>
      </c>
    </row>
    <row r="653" spans="1:28" x14ac:dyDescent="0.25">
      <c r="A653" t="s">
        <v>657</v>
      </c>
      <c r="B653">
        <v>0.99334974765950101</v>
      </c>
      <c r="C653">
        <v>1.02370813466008</v>
      </c>
      <c r="D653">
        <v>0.98955573073759096</v>
      </c>
      <c r="E653">
        <v>0.98254805656476496</v>
      </c>
      <c r="F653">
        <v>1.3437149938842701</v>
      </c>
      <c r="G653">
        <v>1.2306770084965599</v>
      </c>
      <c r="H653">
        <v>1.0742824948958301</v>
      </c>
      <c r="I653">
        <v>0.96377137428009396</v>
      </c>
      <c r="J653">
        <v>0.54360576207014899</v>
      </c>
      <c r="K653">
        <v>0.33018622076321102</v>
      </c>
      <c r="L653">
        <v>5267.5805124368999</v>
      </c>
      <c r="M653">
        <v>79.332170282081293</v>
      </c>
      <c r="N653">
        <v>67.260705108562206</v>
      </c>
      <c r="O653">
        <v>66.356882940127605</v>
      </c>
      <c r="P653">
        <v>-0.203529643888125</v>
      </c>
      <c r="Q653">
        <v>0.319035771993255</v>
      </c>
      <c r="R653">
        <v>0.77988537809829295</v>
      </c>
      <c r="S653" t="s">
        <v>6514</v>
      </c>
      <c r="T653" t="s">
        <v>11720</v>
      </c>
      <c r="U653" t="s">
        <v>11720</v>
      </c>
      <c r="V653" t="s">
        <v>11720</v>
      </c>
      <c r="W653" t="s">
        <v>12359</v>
      </c>
      <c r="X653">
        <v>11</v>
      </c>
      <c r="Y653" t="s">
        <v>18156</v>
      </c>
      <c r="Z653" t="s">
        <v>23860</v>
      </c>
      <c r="AA653">
        <v>0.91868876020282697</v>
      </c>
      <c r="AB653" t="str">
        <f>HYPERLINK("Melting_Curves/meltCurve_F5H569_ATP6V0A1.pdf", "Melting_Curves/meltCurve_F5H569_ATP6V0A1.pdf")</f>
        <v>Melting_Curves/meltCurve_F5H569_ATP6V0A1.pdf</v>
      </c>
    </row>
    <row r="654" spans="1:28" x14ac:dyDescent="0.25">
      <c r="A654" t="s">
        <v>658</v>
      </c>
      <c r="B654">
        <v>0.99334974765950101</v>
      </c>
      <c r="C654">
        <v>1.00492835582963</v>
      </c>
      <c r="D654">
        <v>0.94488301956749199</v>
      </c>
      <c r="E654">
        <v>0.81779370273440699</v>
      </c>
      <c r="F654">
        <v>0.85825771361978098</v>
      </c>
      <c r="G654">
        <v>0.67957364405744602</v>
      </c>
      <c r="H654">
        <v>0.66786979328697904</v>
      </c>
      <c r="I654">
        <v>0.53302447030377897</v>
      </c>
      <c r="J654">
        <v>0.60808405517058095</v>
      </c>
      <c r="K654">
        <v>0.45683200512932798</v>
      </c>
      <c r="L654">
        <v>472.30533074093699</v>
      </c>
      <c r="M654">
        <v>8.0526479392122603</v>
      </c>
      <c r="N654">
        <v>69.9016364902361</v>
      </c>
      <c r="O654">
        <v>55.367031172461303</v>
      </c>
      <c r="P654">
        <v>-2.3180557941777501E-2</v>
      </c>
      <c r="Q654">
        <v>0.36317899107044699</v>
      </c>
      <c r="R654">
        <v>0.94491737583141799</v>
      </c>
      <c r="S654" t="s">
        <v>6515</v>
      </c>
      <c r="T654" t="s">
        <v>11720</v>
      </c>
      <c r="U654" t="s">
        <v>11720</v>
      </c>
      <c r="V654" t="s">
        <v>11720</v>
      </c>
      <c r="W654" t="s">
        <v>12360</v>
      </c>
      <c r="X654">
        <v>9</v>
      </c>
      <c r="Y654" t="s">
        <v>18157</v>
      </c>
      <c r="Z654" t="s">
        <v>23861</v>
      </c>
      <c r="AA654">
        <v>0.75788351232279894</v>
      </c>
      <c r="AB654" t="str">
        <f>HYPERLINK("Melting_Curves/meltCurve_F5H577_BRK1.pdf", "Melting_Curves/meltCurve_F5H577_BRK1.pdf")</f>
        <v>Melting_Curves/meltCurve_F5H577_BRK1.pdf</v>
      </c>
    </row>
    <row r="655" spans="1:28" x14ac:dyDescent="0.25">
      <c r="A655" t="s">
        <v>659</v>
      </c>
      <c r="B655">
        <v>0.99334974765950101</v>
      </c>
      <c r="C655">
        <v>1.2938274510846799</v>
      </c>
      <c r="D655">
        <v>0.96639800890664695</v>
      </c>
      <c r="E655">
        <v>0.67148929133839996</v>
      </c>
      <c r="F655">
        <v>0.40113974966377403</v>
      </c>
      <c r="G655">
        <v>0.469890188299811</v>
      </c>
      <c r="H655">
        <v>0.32212398084746302</v>
      </c>
      <c r="I655">
        <v>0.38072812993628402</v>
      </c>
      <c r="J655">
        <v>0.13811231909153501</v>
      </c>
      <c r="K655">
        <v>0</v>
      </c>
      <c r="L655">
        <v>820.34146169692804</v>
      </c>
      <c r="M655">
        <v>15.718744155959699</v>
      </c>
      <c r="N655">
        <v>53.635676388578297</v>
      </c>
      <c r="O655">
        <v>51.365960465036203</v>
      </c>
      <c r="P655">
        <v>-6.3288936223895004E-2</v>
      </c>
      <c r="Q655">
        <v>0.172803226775288</v>
      </c>
      <c r="R655">
        <v>0.85945013340637799</v>
      </c>
      <c r="S655" t="s">
        <v>6516</v>
      </c>
      <c r="T655" t="s">
        <v>11720</v>
      </c>
      <c r="U655" t="s">
        <v>11720</v>
      </c>
      <c r="V655" t="s">
        <v>11720</v>
      </c>
      <c r="W655" t="s">
        <v>12361</v>
      </c>
      <c r="X655">
        <v>2</v>
      </c>
      <c r="Y655" t="s">
        <v>18158</v>
      </c>
      <c r="Z655" t="s">
        <v>23862</v>
      </c>
      <c r="AA655">
        <v>0.52598807450493246</v>
      </c>
      <c r="AB655" t="str">
        <f>HYPERLINK("Melting_Curves/meltCurve_F5H5A3_MAP4K3.pdf", "Melting_Curves/meltCurve_F5H5A3_MAP4K3.pdf")</f>
        <v>Melting_Curves/meltCurve_F5H5A3_MAP4K3.pdf</v>
      </c>
    </row>
    <row r="656" spans="1:28" x14ac:dyDescent="0.25">
      <c r="A656" t="s">
        <v>660</v>
      </c>
      <c r="B656">
        <v>0.99334974765950101</v>
      </c>
      <c r="C656">
        <v>0.93635982616966196</v>
      </c>
      <c r="D656">
        <v>1.0466196867289601</v>
      </c>
      <c r="E656">
        <v>0.68470289577854804</v>
      </c>
      <c r="F656">
        <v>1.35372619532436</v>
      </c>
      <c r="G656">
        <v>0.42310731592442302</v>
      </c>
      <c r="H656">
        <v>0.119604131980364</v>
      </c>
      <c r="I656">
        <v>2.65096226010718E-2</v>
      </c>
      <c r="J656">
        <v>1.8141231231597499E-2</v>
      </c>
      <c r="K656">
        <v>9.0879966597885806E-3</v>
      </c>
      <c r="L656">
        <v>14226.1690903256</v>
      </c>
      <c r="M656">
        <v>250</v>
      </c>
      <c r="N656">
        <v>56.925319745587402</v>
      </c>
      <c r="O656">
        <v>56.901034529629499</v>
      </c>
      <c r="P656">
        <v>-1.0507984127887</v>
      </c>
      <c r="Q656">
        <v>4.3335727595508897E-2</v>
      </c>
      <c r="R656">
        <v>0.89649177923696599</v>
      </c>
      <c r="S656" t="s">
        <v>6517</v>
      </c>
      <c r="T656" t="s">
        <v>11720</v>
      </c>
      <c r="U656" t="s">
        <v>11720</v>
      </c>
      <c r="V656" t="s">
        <v>11720</v>
      </c>
      <c r="W656" t="s">
        <v>12362</v>
      </c>
      <c r="X656">
        <v>38</v>
      </c>
      <c r="Y656" t="s">
        <v>18159</v>
      </c>
      <c r="Z656" t="s">
        <v>23863</v>
      </c>
      <c r="AA656">
        <v>0.58250126366281552</v>
      </c>
      <c r="AB656" t="str">
        <f>HYPERLINK("Melting_Curves/meltCurve_F5H5D3_TUBA1C.pdf", "Melting_Curves/meltCurve_F5H5D3_TUBA1C.pdf")</f>
        <v>Melting_Curves/meltCurve_F5H5D3_TUBA1C.pdf</v>
      </c>
    </row>
    <row r="657" spans="1:28" x14ac:dyDescent="0.25">
      <c r="A657" t="s">
        <v>661</v>
      </c>
      <c r="B657">
        <v>0.99334974765950101</v>
      </c>
      <c r="C657">
        <v>0.97076025691990897</v>
      </c>
      <c r="D657">
        <v>0.98974851999991997</v>
      </c>
      <c r="E657">
        <v>0.86552476017073698</v>
      </c>
      <c r="F657">
        <v>0.92852841939159902</v>
      </c>
      <c r="G657">
        <v>0.75761572997759796</v>
      </c>
      <c r="H657">
        <v>0.69591253877368997</v>
      </c>
      <c r="I657">
        <v>0.52364922255610602</v>
      </c>
      <c r="J657">
        <v>0.82008228372239</v>
      </c>
      <c r="K657">
        <v>0.64715567206979896</v>
      </c>
      <c r="L657">
        <v>940.574552447114</v>
      </c>
      <c r="M657">
        <v>17.336945568439901</v>
      </c>
      <c r="O657">
        <v>53.546228888161998</v>
      </c>
      <c r="P657">
        <v>-2.79642762324466E-2</v>
      </c>
      <c r="Q657">
        <v>0.654542173397474</v>
      </c>
      <c r="R657">
        <v>0.75296404024168895</v>
      </c>
      <c r="S657" t="s">
        <v>6518</v>
      </c>
      <c r="T657" t="s">
        <v>11720</v>
      </c>
      <c r="U657" t="s">
        <v>11720</v>
      </c>
      <c r="V657" t="s">
        <v>11720</v>
      </c>
      <c r="W657" t="s">
        <v>12363</v>
      </c>
      <c r="X657">
        <v>4</v>
      </c>
      <c r="Y657" t="s">
        <v>18160</v>
      </c>
      <c r="Z657" t="s">
        <v>23864</v>
      </c>
      <c r="AA657">
        <v>0.82445343983274577</v>
      </c>
      <c r="AB657" t="str">
        <f>HYPERLINK("Melting_Curves/meltCurve_F5H5M7_IFNGR1.pdf", "Melting_Curves/meltCurve_F5H5M7_IFNGR1.pdf")</f>
        <v>Melting_Curves/meltCurve_F5H5M7_IFNGR1.pdf</v>
      </c>
    </row>
    <row r="658" spans="1:28" x14ac:dyDescent="0.25">
      <c r="A658" t="s">
        <v>662</v>
      </c>
      <c r="B658">
        <v>0.99334974765950101</v>
      </c>
      <c r="C658">
        <v>0.94717566063143299</v>
      </c>
      <c r="D658">
        <v>0.750398384273121</v>
      </c>
      <c r="E658">
        <v>0.72762268579800904</v>
      </c>
      <c r="F658">
        <v>0.54903355439097901</v>
      </c>
      <c r="G658">
        <v>0.42025722035265201</v>
      </c>
      <c r="H658">
        <v>0.374757480028516</v>
      </c>
      <c r="I658">
        <v>0.28035941929108898</v>
      </c>
      <c r="J658">
        <v>0.312635416481785</v>
      </c>
      <c r="K658">
        <v>0.22554146163870301</v>
      </c>
      <c r="L658">
        <v>508.24751937655299</v>
      </c>
      <c r="M658">
        <v>9.7488279526720802</v>
      </c>
      <c r="N658">
        <v>54.833728248692601</v>
      </c>
      <c r="O658">
        <v>50.082450681622603</v>
      </c>
      <c r="P658">
        <v>-3.9410120557313702E-2</v>
      </c>
      <c r="Q658">
        <v>0.19059033001363199</v>
      </c>
      <c r="R658">
        <v>0.97939171081111198</v>
      </c>
      <c r="S658" t="s">
        <v>6519</v>
      </c>
      <c r="T658" t="s">
        <v>11720</v>
      </c>
      <c r="U658" t="s">
        <v>11720</v>
      </c>
      <c r="V658" t="s">
        <v>11720</v>
      </c>
      <c r="W658" t="s">
        <v>12364</v>
      </c>
      <c r="X658">
        <v>5</v>
      </c>
      <c r="Y658" t="s">
        <v>18161</v>
      </c>
      <c r="Z658" t="s">
        <v>23865</v>
      </c>
      <c r="AA658">
        <v>0.54912426610014042</v>
      </c>
      <c r="AB658" t="str">
        <f>HYPERLINK("Melting_Curves/meltCurve_F5H5N0_CDC42BPA.pdf", "Melting_Curves/meltCurve_F5H5N0_CDC42BPA.pdf")</f>
        <v>Melting_Curves/meltCurve_F5H5N0_CDC42BPA.pdf</v>
      </c>
    </row>
    <row r="659" spans="1:28" x14ac:dyDescent="0.25">
      <c r="A659" t="s">
        <v>663</v>
      </c>
      <c r="B659">
        <v>0.99334974765950101</v>
      </c>
      <c r="C659">
        <v>0.93676213582422196</v>
      </c>
      <c r="D659">
        <v>1.1539196452236999</v>
      </c>
      <c r="E659">
        <v>1.36104733734144</v>
      </c>
      <c r="F659">
        <v>1.1000365077184899</v>
      </c>
      <c r="G659">
        <v>0.41670725747550202</v>
      </c>
      <c r="H659">
        <v>0.20601558705306999</v>
      </c>
      <c r="I659">
        <v>0.14533189346673001</v>
      </c>
      <c r="J659">
        <v>0.16574719593059101</v>
      </c>
      <c r="K659">
        <v>7.9107997538356303E-2</v>
      </c>
      <c r="L659">
        <v>13555.208358796899</v>
      </c>
      <c r="M659">
        <v>238.58965801878301</v>
      </c>
      <c r="N659">
        <v>56.898310225375198</v>
      </c>
      <c r="O659">
        <v>56.809900592465901</v>
      </c>
      <c r="P659">
        <v>-0.89345218942131099</v>
      </c>
      <c r="Q659">
        <v>0.14905055015758201</v>
      </c>
      <c r="R659">
        <v>0.920786715036083</v>
      </c>
      <c r="S659" t="s">
        <v>6520</v>
      </c>
      <c r="T659" t="s">
        <v>11720</v>
      </c>
      <c r="U659" t="s">
        <v>11720</v>
      </c>
      <c r="V659" t="s">
        <v>11720</v>
      </c>
      <c r="W659" t="s">
        <v>12365</v>
      </c>
      <c r="X659">
        <v>2</v>
      </c>
      <c r="Y659" t="s">
        <v>18162</v>
      </c>
      <c r="Z659" t="s">
        <v>23866</v>
      </c>
      <c r="AA659">
        <v>0.62606959994459321</v>
      </c>
      <c r="AB659" t="str">
        <f>HYPERLINK("Melting_Curves/meltCurve_F5H5N1_NDUFS7.pdf", "Melting_Curves/meltCurve_F5H5N1_NDUFS7.pdf")</f>
        <v>Melting_Curves/meltCurve_F5H5N1_NDUFS7.pdf</v>
      </c>
    </row>
    <row r="660" spans="1:28" x14ac:dyDescent="0.25">
      <c r="A660" t="s">
        <v>664</v>
      </c>
      <c r="B660">
        <v>0.99334974765950101</v>
      </c>
      <c r="C660">
        <v>1.0616101699565099</v>
      </c>
      <c r="D660">
        <v>1.37153851900886</v>
      </c>
      <c r="E660">
        <v>1.52980421298219</v>
      </c>
      <c r="F660">
        <v>0.622927984466075</v>
      </c>
      <c r="G660">
        <v>0.270260405274033</v>
      </c>
      <c r="H660">
        <v>0.14901842931842799</v>
      </c>
      <c r="I660">
        <v>0.14993506570964801</v>
      </c>
      <c r="J660">
        <v>9.1218812780234804E-2</v>
      </c>
      <c r="K660">
        <v>5.9696512921680198E-2</v>
      </c>
      <c r="L660">
        <v>13262.6704424706</v>
      </c>
      <c r="M660">
        <v>250</v>
      </c>
      <c r="N660">
        <v>53.12288018073</v>
      </c>
      <c r="O660">
        <v>53.047286907847202</v>
      </c>
      <c r="P660">
        <v>-1.00850366523408</v>
      </c>
      <c r="Q660">
        <v>0.144025869046292</v>
      </c>
      <c r="R660">
        <v>0.84453202032393404</v>
      </c>
      <c r="S660" t="s">
        <v>6521</v>
      </c>
      <c r="T660" t="s">
        <v>11720</v>
      </c>
      <c r="U660" t="s">
        <v>11720</v>
      </c>
      <c r="V660" t="s">
        <v>11720</v>
      </c>
      <c r="W660" t="s">
        <v>12366</v>
      </c>
      <c r="X660">
        <v>3</v>
      </c>
      <c r="Y660" t="s">
        <v>18163</v>
      </c>
      <c r="Z660" t="s">
        <v>23867</v>
      </c>
      <c r="AA660">
        <v>0.5164737624535376</v>
      </c>
      <c r="AB660" t="str">
        <f>HYPERLINK("Melting_Curves/meltCurve_F5H5P2_BCKDHA.pdf", "Melting_Curves/meltCurve_F5H5P2_BCKDHA.pdf")</f>
        <v>Melting_Curves/meltCurve_F5H5P2_BCKDHA.pdf</v>
      </c>
    </row>
    <row r="661" spans="1:28" x14ac:dyDescent="0.25">
      <c r="A661" t="s">
        <v>665</v>
      </c>
      <c r="B661">
        <v>0.99334974765950101</v>
      </c>
      <c r="C661">
        <v>0.92228465464060805</v>
      </c>
      <c r="D661">
        <v>0.69833927624847603</v>
      </c>
      <c r="E661">
        <v>0.217622128216863</v>
      </c>
      <c r="F661">
        <v>0.17280018038098799</v>
      </c>
      <c r="G661">
        <v>9.40898522565249E-2</v>
      </c>
      <c r="H661">
        <v>8.0982677646099704E-2</v>
      </c>
      <c r="I661">
        <v>6.9871893473561403E-2</v>
      </c>
      <c r="J661">
        <v>7.7209988425007106E-2</v>
      </c>
      <c r="K661">
        <v>5.8246664810700302E-2</v>
      </c>
      <c r="L661">
        <v>1227.1967002757001</v>
      </c>
      <c r="M661">
        <v>26.024102187188099</v>
      </c>
      <c r="N661">
        <v>47.463698138363199</v>
      </c>
      <c r="O661">
        <v>46.880336966347699</v>
      </c>
      <c r="P661">
        <v>-0.12801349883659399</v>
      </c>
      <c r="Q661">
        <v>7.75859171868305E-2</v>
      </c>
      <c r="R661">
        <v>0.99696178497709098</v>
      </c>
      <c r="S661" t="s">
        <v>6522</v>
      </c>
      <c r="T661" t="s">
        <v>11720</v>
      </c>
      <c r="U661" t="s">
        <v>11720</v>
      </c>
      <c r="V661" t="s">
        <v>11720</v>
      </c>
      <c r="W661" t="s">
        <v>12367</v>
      </c>
      <c r="X661">
        <v>6</v>
      </c>
      <c r="Y661" t="s">
        <v>18164</v>
      </c>
      <c r="Z661" t="s">
        <v>23868</v>
      </c>
      <c r="AA661">
        <v>0.30513944565484979</v>
      </c>
      <c r="AB661" t="str">
        <f>HYPERLINK("Melting_Curves/meltCurve_F5H5R8_NAT1.pdf", "Melting_Curves/meltCurve_F5H5R8_NAT1.pdf")</f>
        <v>Melting_Curves/meltCurve_F5H5R8_NAT1.pdf</v>
      </c>
    </row>
    <row r="662" spans="1:28" x14ac:dyDescent="0.25">
      <c r="A662" t="s">
        <v>666</v>
      </c>
      <c r="B662">
        <v>0.99334974765950101</v>
      </c>
      <c r="C662">
        <v>0.98627079075316404</v>
      </c>
      <c r="D662">
        <v>0.853117699929276</v>
      </c>
      <c r="E662">
        <v>0.50876596838705601</v>
      </c>
      <c r="F662">
        <v>0.28319452488500702</v>
      </c>
      <c r="G662">
        <v>0.18379953174765901</v>
      </c>
      <c r="H662">
        <v>0.14477843861977199</v>
      </c>
      <c r="I662">
        <v>0.134798057691741</v>
      </c>
      <c r="J662">
        <v>0.13273220328871099</v>
      </c>
      <c r="K662">
        <v>0.103010582154295</v>
      </c>
      <c r="L662">
        <v>1078.6614512066999</v>
      </c>
      <c r="M662">
        <v>21.819638803347502</v>
      </c>
      <c r="N662">
        <v>50.094480687895</v>
      </c>
      <c r="O662">
        <v>49.0257097676377</v>
      </c>
      <c r="P662">
        <v>-9.7384738809884394E-2</v>
      </c>
      <c r="Q662">
        <v>0.12477961991158699</v>
      </c>
      <c r="R662">
        <v>0.99911244191831405</v>
      </c>
      <c r="S662" t="s">
        <v>6523</v>
      </c>
      <c r="T662" t="s">
        <v>11720</v>
      </c>
      <c r="U662" t="s">
        <v>11720</v>
      </c>
      <c r="V662" t="s">
        <v>11720</v>
      </c>
      <c r="W662" t="s">
        <v>12368</v>
      </c>
      <c r="X662">
        <v>14</v>
      </c>
      <c r="Y662" t="s">
        <v>18165</v>
      </c>
      <c r="Z662" t="s">
        <v>23869</v>
      </c>
      <c r="AA662">
        <v>0.41030394629013328</v>
      </c>
      <c r="AB662" t="str">
        <f>HYPERLINK("Melting_Curves/meltCurve_F5H604_CLASP2.pdf", "Melting_Curves/meltCurve_F5H604_CLASP2.pdf")</f>
        <v>Melting_Curves/meltCurve_F5H604_CLASP2.pdf</v>
      </c>
    </row>
    <row r="663" spans="1:28" x14ac:dyDescent="0.25">
      <c r="A663" t="s">
        <v>667</v>
      </c>
      <c r="B663">
        <v>0.99334974765950101</v>
      </c>
      <c r="C663">
        <v>0.98402344853589596</v>
      </c>
      <c r="D663">
        <v>0.91160466246045702</v>
      </c>
      <c r="E663">
        <v>0.74255790118461595</v>
      </c>
      <c r="F663">
        <v>0.54294838995074701</v>
      </c>
      <c r="G663">
        <v>0.150498689682214</v>
      </c>
      <c r="H663">
        <v>0.10797770118211</v>
      </c>
      <c r="I663">
        <v>8.23532711725984E-2</v>
      </c>
      <c r="J663">
        <v>8.5892690123716794E-2</v>
      </c>
      <c r="K663">
        <v>6.7945321317009102E-2</v>
      </c>
      <c r="L663">
        <v>1100.83302062489</v>
      </c>
      <c r="M663">
        <v>20.9401581562039</v>
      </c>
      <c r="N663">
        <v>52.876748619694702</v>
      </c>
      <c r="O663">
        <v>52.098046138919401</v>
      </c>
      <c r="P663">
        <v>-9.4746930119300798E-2</v>
      </c>
      <c r="Q663">
        <v>5.7123707656020997E-2</v>
      </c>
      <c r="R663">
        <v>0.99376162364776999</v>
      </c>
      <c r="S663" t="s">
        <v>6524</v>
      </c>
      <c r="T663" t="s">
        <v>11720</v>
      </c>
      <c r="U663" t="s">
        <v>11720</v>
      </c>
      <c r="V663" t="s">
        <v>11720</v>
      </c>
      <c r="W663" t="s">
        <v>12369</v>
      </c>
      <c r="X663">
        <v>6</v>
      </c>
      <c r="Y663" t="s">
        <v>18166</v>
      </c>
      <c r="Z663" t="s">
        <v>23870</v>
      </c>
      <c r="AA663">
        <v>0.46419946757611219</v>
      </c>
      <c r="AB663" t="str">
        <f>HYPERLINK("Melting_Curves/meltCurve_F5H620_OXNAD1.pdf", "Melting_Curves/meltCurve_F5H620_OXNAD1.pdf")</f>
        <v>Melting_Curves/meltCurve_F5H620_OXNAD1.pdf</v>
      </c>
    </row>
    <row r="664" spans="1:28" x14ac:dyDescent="0.25">
      <c r="A664" t="s">
        <v>668</v>
      </c>
      <c r="B664">
        <v>0.99334974765950101</v>
      </c>
      <c r="C664">
        <v>1.0722593726531799</v>
      </c>
      <c r="D664">
        <v>1.0450442860370099</v>
      </c>
      <c r="E664">
        <v>0.932188558161125</v>
      </c>
      <c r="F664">
        <v>0.54515271734589998</v>
      </c>
      <c r="G664">
        <v>0.44423929468427298</v>
      </c>
      <c r="H664">
        <v>0.31706694444542</v>
      </c>
      <c r="I664">
        <v>0.29773056524984898</v>
      </c>
      <c r="J664">
        <v>0.27037766654435502</v>
      </c>
      <c r="K664">
        <v>0.26800668673915101</v>
      </c>
      <c r="L664">
        <v>1792.75861138143</v>
      </c>
      <c r="M664">
        <v>34.169857257382397</v>
      </c>
      <c r="N664">
        <v>53.943784778683401</v>
      </c>
      <c r="O664">
        <v>52.2873689716399</v>
      </c>
      <c r="P664">
        <v>-0.113724618354395</v>
      </c>
      <c r="Q664">
        <v>0.30390846776483599</v>
      </c>
      <c r="R664">
        <v>0.97832994446009303</v>
      </c>
      <c r="S664" t="s">
        <v>6525</v>
      </c>
      <c r="T664" t="s">
        <v>11720</v>
      </c>
      <c r="U664" t="s">
        <v>11720</v>
      </c>
      <c r="V664" t="s">
        <v>11720</v>
      </c>
      <c r="W664" t="s">
        <v>12370</v>
      </c>
      <c r="X664">
        <v>3</v>
      </c>
      <c r="Y664" t="s">
        <v>18167</v>
      </c>
      <c r="Z664" t="s">
        <v>23871</v>
      </c>
      <c r="AA664">
        <v>0.59661879140883289</v>
      </c>
      <c r="AB664" t="str">
        <f>HYPERLINK("Melting_Curves/meltCurve_F5H698_LARS.pdf", "Melting_Curves/meltCurve_F5H698_LARS.pdf")</f>
        <v>Melting_Curves/meltCurve_F5H698_LARS.pdf</v>
      </c>
    </row>
    <row r="665" spans="1:28" x14ac:dyDescent="0.25">
      <c r="A665" t="s">
        <v>669</v>
      </c>
      <c r="B665">
        <v>0.99334974765950101</v>
      </c>
      <c r="C665">
        <v>0.91292786910463497</v>
      </c>
      <c r="D665">
        <v>0.70475073017788104</v>
      </c>
      <c r="E665">
        <v>0.32829192082606301</v>
      </c>
      <c r="F665">
        <v>0.11155877964866499</v>
      </c>
      <c r="G665">
        <v>5.6442109059280002E-2</v>
      </c>
      <c r="H665">
        <v>4.1129222537079499E-2</v>
      </c>
      <c r="I665">
        <v>4.17574140831415E-2</v>
      </c>
      <c r="J665">
        <v>4.4779603788832202E-2</v>
      </c>
      <c r="K665">
        <v>3.1778973563220701E-2</v>
      </c>
      <c r="L665">
        <v>1016.81666114453</v>
      </c>
      <c r="M665">
        <v>21.2589836832041</v>
      </c>
      <c r="N665">
        <v>47.9757628460845</v>
      </c>
      <c r="O665">
        <v>47.4127894214012</v>
      </c>
      <c r="P665">
        <v>-0.108591605490478</v>
      </c>
      <c r="Q665">
        <v>3.1280263204464802E-2</v>
      </c>
      <c r="R665">
        <v>0.99883044593283499</v>
      </c>
      <c r="S665" t="s">
        <v>6526</v>
      </c>
      <c r="T665" t="s">
        <v>11720</v>
      </c>
      <c r="U665" t="s">
        <v>11720</v>
      </c>
      <c r="V665" t="s">
        <v>11720</v>
      </c>
      <c r="W665" t="s">
        <v>12371</v>
      </c>
      <c r="X665">
        <v>6</v>
      </c>
      <c r="Y665" t="s">
        <v>18168</v>
      </c>
      <c r="Z665" t="s">
        <v>23872</v>
      </c>
      <c r="AA665">
        <v>0.29624106370245062</v>
      </c>
      <c r="AB665" t="str">
        <f>HYPERLINK("Melting_Curves/meltCurve_F5H6Z0_CDK17.pdf", "Melting_Curves/meltCurve_F5H6Z0_CDK17.pdf")</f>
        <v>Melting_Curves/meltCurve_F5H6Z0_CDK17.pdf</v>
      </c>
    </row>
    <row r="666" spans="1:28" x14ac:dyDescent="0.25">
      <c r="A666" t="s">
        <v>670</v>
      </c>
      <c r="B666">
        <v>0.99334974765950101</v>
      </c>
      <c r="C666">
        <v>1.06780165057145</v>
      </c>
      <c r="D666">
        <v>0.95684781184190404</v>
      </c>
      <c r="E666">
        <v>1.0833877256125899</v>
      </c>
      <c r="F666">
        <v>0.99819040759375399</v>
      </c>
      <c r="G666">
        <v>0.69117327527918204</v>
      </c>
      <c r="H666">
        <v>0.60803825730893302</v>
      </c>
      <c r="I666">
        <v>0.63817877130592204</v>
      </c>
      <c r="J666">
        <v>0.90605941150379499</v>
      </c>
      <c r="K666">
        <v>1.2047497397870499</v>
      </c>
      <c r="L666">
        <v>13495.644184958001</v>
      </c>
      <c r="M666">
        <v>250</v>
      </c>
      <c r="O666">
        <v>53.979122229244197</v>
      </c>
      <c r="P666">
        <v>-0.22040940022009101</v>
      </c>
      <c r="Q666">
        <v>0.80963990500121197</v>
      </c>
      <c r="R666">
        <v>0.29221842323356501</v>
      </c>
      <c r="S666" t="s">
        <v>6527</v>
      </c>
      <c r="T666" t="s">
        <v>11720</v>
      </c>
      <c r="U666" t="s">
        <v>11720</v>
      </c>
      <c r="V666" t="s">
        <v>11720</v>
      </c>
      <c r="W666" t="s">
        <v>12372</v>
      </c>
      <c r="X666">
        <v>12</v>
      </c>
      <c r="Y666" t="s">
        <v>18169</v>
      </c>
      <c r="Z666" t="s">
        <v>23873</v>
      </c>
      <c r="AA666">
        <v>0.89838209399742763</v>
      </c>
      <c r="AB666" t="str">
        <f>HYPERLINK("Melting_Curves/meltCurve_F5H721_WBP11.pdf", "Melting_Curves/meltCurve_F5H721_WBP11.pdf")</f>
        <v>Melting_Curves/meltCurve_F5H721_WBP11.pdf</v>
      </c>
    </row>
    <row r="667" spans="1:28" x14ac:dyDescent="0.25">
      <c r="A667" t="s">
        <v>671</v>
      </c>
      <c r="B667">
        <v>0.99334974765950101</v>
      </c>
      <c r="C667">
        <v>0.81654676090516598</v>
      </c>
      <c r="D667">
        <v>0.743014809144665</v>
      </c>
      <c r="E667">
        <v>0.80124253264039602</v>
      </c>
      <c r="F667">
        <v>0.77316285120689698</v>
      </c>
      <c r="G667">
        <v>0.53032749699496395</v>
      </c>
      <c r="H667">
        <v>0.51764984020444305</v>
      </c>
      <c r="I667">
        <v>0.63924695745738902</v>
      </c>
      <c r="J667">
        <v>0.58281001493751206</v>
      </c>
      <c r="K667">
        <v>0.36938514013102203</v>
      </c>
      <c r="L667">
        <v>236.188814995699</v>
      </c>
      <c r="M667">
        <v>3.73337227310228</v>
      </c>
      <c r="N667">
        <v>66.708316115499898</v>
      </c>
      <c r="O667">
        <v>50.762766803864203</v>
      </c>
      <c r="P667">
        <v>-1.70430323324284E-2</v>
      </c>
      <c r="Q667">
        <v>8.76567688966986E-2</v>
      </c>
      <c r="R667">
        <v>0.7830844061576</v>
      </c>
      <c r="S667" t="s">
        <v>6528</v>
      </c>
      <c r="T667" t="s">
        <v>11720</v>
      </c>
      <c r="U667" t="s">
        <v>11720</v>
      </c>
      <c r="V667" t="s">
        <v>11720</v>
      </c>
      <c r="W667" t="s">
        <v>12373</v>
      </c>
      <c r="X667">
        <v>11</v>
      </c>
      <c r="Y667" t="s">
        <v>18170</v>
      </c>
      <c r="Z667" t="s">
        <v>23874</v>
      </c>
      <c r="AA667">
        <v>0.67535461367285887</v>
      </c>
      <c r="AB667" t="str">
        <f>HYPERLINK("Melting_Curves/meltCurve_F5H740_VDAC3.pdf", "Melting_Curves/meltCurve_F5H740_VDAC3.pdf")</f>
        <v>Melting_Curves/meltCurve_F5H740_VDAC3.pdf</v>
      </c>
    </row>
    <row r="668" spans="1:28" x14ac:dyDescent="0.25">
      <c r="A668" t="s">
        <v>672</v>
      </c>
      <c r="B668">
        <v>0.99334974765950101</v>
      </c>
      <c r="C668">
        <v>1.18284904570455</v>
      </c>
      <c r="D668">
        <v>1.8338521329889499</v>
      </c>
      <c r="E668">
        <v>2.2185845235822002</v>
      </c>
      <c r="F668">
        <v>1.2185456892150299</v>
      </c>
      <c r="G668">
        <v>1.14790030113057</v>
      </c>
      <c r="H668">
        <v>1.12731788293186</v>
      </c>
      <c r="I668">
        <v>1.3982017717350701</v>
      </c>
      <c r="J668">
        <v>0.49584466214371598</v>
      </c>
      <c r="K668">
        <v>0.16921693837937399</v>
      </c>
      <c r="L668">
        <v>15000</v>
      </c>
      <c r="M668">
        <v>224.31410818514601</v>
      </c>
      <c r="N668">
        <v>66.993866216991606</v>
      </c>
      <c r="O668">
        <v>66.865200036978706</v>
      </c>
      <c r="P668">
        <v>-0.69681415801984203</v>
      </c>
      <c r="Q668">
        <v>0.169154034228021</v>
      </c>
      <c r="R668">
        <v>0.20283868475483099</v>
      </c>
      <c r="S668" t="s">
        <v>6529</v>
      </c>
      <c r="T668" t="s">
        <v>11720</v>
      </c>
      <c r="U668" t="s">
        <v>11720</v>
      </c>
      <c r="V668" t="s">
        <v>11720</v>
      </c>
      <c r="W668" t="s">
        <v>11927</v>
      </c>
      <c r="X668">
        <v>32</v>
      </c>
      <c r="Y668" t="s">
        <v>17724</v>
      </c>
      <c r="Z668" t="s">
        <v>23875</v>
      </c>
      <c r="AA668">
        <v>0.91345005939669643</v>
      </c>
      <c r="AB668" t="str">
        <f>HYPERLINK("Melting_Curves/meltCurve_F5H780_TXNRD1.pdf", "Melting_Curves/meltCurve_F5H780_TXNRD1.pdf")</f>
        <v>Melting_Curves/meltCurve_F5H780_TXNRD1.pdf</v>
      </c>
    </row>
    <row r="669" spans="1:28" x14ac:dyDescent="0.25">
      <c r="A669" t="s">
        <v>673</v>
      </c>
      <c r="B669">
        <v>0.99334974765950101</v>
      </c>
      <c r="C669">
        <v>1.0211030797491101</v>
      </c>
      <c r="D669">
        <v>0.93664877859957396</v>
      </c>
      <c r="E669">
        <v>0.77165983442809105</v>
      </c>
      <c r="F669">
        <v>0.61807276229340302</v>
      </c>
      <c r="G669">
        <v>0.43772073333903999</v>
      </c>
      <c r="H669">
        <v>0.345801468116122</v>
      </c>
      <c r="I669">
        <v>0.420056981342804</v>
      </c>
      <c r="J669">
        <v>0.45175383683392101</v>
      </c>
      <c r="K669">
        <v>0.47981565684375299</v>
      </c>
      <c r="L669">
        <v>1228.50262748091</v>
      </c>
      <c r="M669">
        <v>24.0743100038896</v>
      </c>
      <c r="N669">
        <v>55.198326382369601</v>
      </c>
      <c r="O669">
        <v>50.681437675292401</v>
      </c>
      <c r="P669">
        <v>-6.9015883408109199E-2</v>
      </c>
      <c r="Q669">
        <v>0.41883804084437798</v>
      </c>
      <c r="R669">
        <v>0.97608976054459196</v>
      </c>
      <c r="S669" t="s">
        <v>6530</v>
      </c>
      <c r="T669" t="s">
        <v>11720</v>
      </c>
      <c r="U669" t="s">
        <v>11720</v>
      </c>
      <c r="V669" t="s">
        <v>11720</v>
      </c>
      <c r="W669" t="s">
        <v>12374</v>
      </c>
      <c r="X669">
        <v>7</v>
      </c>
      <c r="Y669" t="s">
        <v>18171</v>
      </c>
      <c r="Z669" t="s">
        <v>23876</v>
      </c>
      <c r="AA669">
        <v>0.6381594465044288</v>
      </c>
      <c r="AB669" t="str">
        <f>HYPERLINK("Melting_Curves/meltCurve_F5H7C4_MSRB3.pdf", "Melting_Curves/meltCurve_F5H7C4_MSRB3.pdf")</f>
        <v>Melting_Curves/meltCurve_F5H7C4_MSRB3.pdf</v>
      </c>
    </row>
    <row r="670" spans="1:28" x14ac:dyDescent="0.25">
      <c r="A670" t="s">
        <v>674</v>
      </c>
      <c r="B670">
        <v>0.99334974765950101</v>
      </c>
      <c r="C670">
        <v>0.96696664363229901</v>
      </c>
      <c r="D670">
        <v>0.84925039158430604</v>
      </c>
      <c r="E670">
        <v>0.87643973655024099</v>
      </c>
      <c r="F670">
        <v>0.67507278005038895</v>
      </c>
      <c r="G670">
        <v>0.54592918314121497</v>
      </c>
      <c r="H670">
        <v>0.42111339909892898</v>
      </c>
      <c r="I670">
        <v>0.36487031197184999</v>
      </c>
      <c r="J670">
        <v>0.28503842069350999</v>
      </c>
      <c r="K670">
        <v>0.239958469734908</v>
      </c>
      <c r="L670">
        <v>515.88189175642003</v>
      </c>
      <c r="M670">
        <v>9.0237942547088004</v>
      </c>
      <c r="N670">
        <v>58.600893407224603</v>
      </c>
      <c r="O670">
        <v>54.570984009222698</v>
      </c>
      <c r="P670">
        <v>-3.7276569697795199E-2</v>
      </c>
      <c r="Q670">
        <v>9.8934449576371403E-2</v>
      </c>
      <c r="R670">
        <v>0.98663439045593004</v>
      </c>
      <c r="S670" t="s">
        <v>6531</v>
      </c>
      <c r="T670" t="s">
        <v>11720</v>
      </c>
      <c r="U670" t="s">
        <v>11720</v>
      </c>
      <c r="V670" t="s">
        <v>11720</v>
      </c>
      <c r="W670" t="s">
        <v>12375</v>
      </c>
      <c r="X670">
        <v>22</v>
      </c>
      <c r="Y670" t="s">
        <v>18172</v>
      </c>
      <c r="Z670" t="s">
        <v>23877</v>
      </c>
      <c r="AA670">
        <v>0.6265593586955942</v>
      </c>
      <c r="AB670" t="str">
        <f>HYPERLINK("Melting_Curves/meltCurve_F5H7N9_MFGE8.pdf", "Melting_Curves/meltCurve_F5H7N9_MFGE8.pdf")</f>
        <v>Melting_Curves/meltCurve_F5H7N9_MFGE8.pdf</v>
      </c>
    </row>
    <row r="671" spans="1:28" x14ac:dyDescent="0.25">
      <c r="A671" t="s">
        <v>675</v>
      </c>
      <c r="B671">
        <v>0.99334974765950101</v>
      </c>
      <c r="C671">
        <v>1.0666723870397401</v>
      </c>
      <c r="D671">
        <v>1.0725102144557901</v>
      </c>
      <c r="E671">
        <v>1.39712474847007</v>
      </c>
      <c r="F671">
        <v>0.42283343962597902</v>
      </c>
      <c r="G671">
        <v>0.306653016398787</v>
      </c>
      <c r="H671">
        <v>0.197909214013266</v>
      </c>
      <c r="I671">
        <v>0.16947261877814801</v>
      </c>
      <c r="J671">
        <v>0.160894065611768</v>
      </c>
      <c r="K671">
        <v>0.129378152295645</v>
      </c>
      <c r="L671">
        <v>13201.233273514201</v>
      </c>
      <c r="M671">
        <v>250</v>
      </c>
      <c r="N671">
        <v>52.908066929938897</v>
      </c>
      <c r="O671">
        <v>52.801553635862</v>
      </c>
      <c r="P671">
        <v>-0.95539228987789804</v>
      </c>
      <c r="Q671">
        <v>0.19286084067457099</v>
      </c>
      <c r="R671">
        <v>0.91180369906492298</v>
      </c>
      <c r="S671" t="s">
        <v>6532</v>
      </c>
      <c r="T671" t="s">
        <v>11720</v>
      </c>
      <c r="U671" t="s">
        <v>11720</v>
      </c>
      <c r="V671" t="s">
        <v>11720</v>
      </c>
      <c r="W671" t="s">
        <v>12376</v>
      </c>
      <c r="X671">
        <v>10</v>
      </c>
      <c r="Y671" t="s">
        <v>18173</v>
      </c>
      <c r="Z671" t="s">
        <v>23878</v>
      </c>
      <c r="AA671">
        <v>0.53744773750068675</v>
      </c>
      <c r="AB671" t="str">
        <f>HYPERLINK("Melting_Curves/meltCurve_F5H801_OGDH.pdf", "Melting_Curves/meltCurve_F5H801_OGDH.pdf")</f>
        <v>Melting_Curves/meltCurve_F5H801_OGDH.pdf</v>
      </c>
    </row>
    <row r="672" spans="1:28" x14ac:dyDescent="0.25">
      <c r="A672" t="s">
        <v>676</v>
      </c>
      <c r="B672">
        <v>0.99334974765950101</v>
      </c>
      <c r="C672">
        <v>1.0930267208876701</v>
      </c>
      <c r="D672">
        <v>0.90548131646572805</v>
      </c>
      <c r="E672">
        <v>1.07662535405735</v>
      </c>
      <c r="F672">
        <v>0.99867818591900004</v>
      </c>
      <c r="G672">
        <v>0.83725313731493001</v>
      </c>
      <c r="H672">
        <v>1.0500122996296199</v>
      </c>
      <c r="I672">
        <v>1.3846369211494001</v>
      </c>
      <c r="J672">
        <v>1.25938278763176</v>
      </c>
      <c r="K672">
        <v>0.81087189135238003</v>
      </c>
      <c r="L672">
        <v>15000</v>
      </c>
      <c r="M672">
        <v>245.19334288229601</v>
      </c>
      <c r="O672">
        <v>61.172166762877801</v>
      </c>
      <c r="P672">
        <v>0.15194046448107101</v>
      </c>
      <c r="Q672">
        <v>1.1516276688251801</v>
      </c>
      <c r="R672">
        <v>0.19084331040771199</v>
      </c>
      <c r="S672" t="s">
        <v>6533</v>
      </c>
      <c r="T672" t="s">
        <v>11720</v>
      </c>
      <c r="U672" t="s">
        <v>11720</v>
      </c>
      <c r="V672" t="s">
        <v>11720</v>
      </c>
      <c r="W672" t="s">
        <v>12377</v>
      </c>
      <c r="X672">
        <v>1</v>
      </c>
      <c r="Y672" t="s">
        <v>18174</v>
      </c>
      <c r="Z672" t="s">
        <v>23879</v>
      </c>
      <c r="AA672">
        <v>1.0445807546991359</v>
      </c>
      <c r="AB672" t="str">
        <f>HYPERLINK("Melting_Curves/meltCurve_F5H843_SLC16A7.pdf", "Melting_Curves/meltCurve_F5H843_SLC16A7.pdf")</f>
        <v>Melting_Curves/meltCurve_F5H843_SLC16A7.pdf</v>
      </c>
    </row>
    <row r="673" spans="1:28" x14ac:dyDescent="0.25">
      <c r="A673" t="s">
        <v>677</v>
      </c>
      <c r="B673">
        <v>0.99334974765950101</v>
      </c>
      <c r="C673">
        <v>0.98460881971761505</v>
      </c>
      <c r="D673">
        <v>0.94132028036127202</v>
      </c>
      <c r="E673">
        <v>0.85909092925175001</v>
      </c>
      <c r="F673">
        <v>0.52340407438910996</v>
      </c>
      <c r="G673">
        <v>0.216411820295593</v>
      </c>
      <c r="H673">
        <v>0.148060940785919</v>
      </c>
      <c r="I673">
        <v>0.13059759531596599</v>
      </c>
      <c r="J673">
        <v>0.111238048965773</v>
      </c>
      <c r="K673">
        <v>9.2002266782663294E-2</v>
      </c>
      <c r="L673">
        <v>1428.79870787299</v>
      </c>
      <c r="M673">
        <v>27.060077565637201</v>
      </c>
      <c r="N673">
        <v>53.294908919941797</v>
      </c>
      <c r="O673">
        <v>52.515153523705898</v>
      </c>
      <c r="P673">
        <v>-0.114534697967968</v>
      </c>
      <c r="Q673">
        <v>0.11090457670748601</v>
      </c>
      <c r="R673">
        <v>0.99776228566749803</v>
      </c>
      <c r="S673" t="s">
        <v>6534</v>
      </c>
      <c r="T673" t="s">
        <v>11720</v>
      </c>
      <c r="U673" t="s">
        <v>11720</v>
      </c>
      <c r="V673" t="s">
        <v>11720</v>
      </c>
      <c r="W673" t="s">
        <v>12378</v>
      </c>
      <c r="X673">
        <v>10</v>
      </c>
      <c r="Y673" t="s">
        <v>18175</v>
      </c>
      <c r="Z673" t="s">
        <v>23880</v>
      </c>
      <c r="AA673">
        <v>0.49730902830686502</v>
      </c>
      <c r="AB673" t="str">
        <f>HYPERLINK("Melting_Curves/meltCurve_F5H860_INPP4A.pdf", "Melting_Curves/meltCurve_F5H860_INPP4A.pdf")</f>
        <v>Melting_Curves/meltCurve_F5H860_INPP4A.pdf</v>
      </c>
    </row>
    <row r="674" spans="1:28" x14ac:dyDescent="0.25">
      <c r="A674" t="s">
        <v>678</v>
      </c>
      <c r="B674">
        <v>0.99334974765950101</v>
      </c>
      <c r="C674">
        <v>0.94650016838519802</v>
      </c>
      <c r="D674">
        <v>1.0112160960231</v>
      </c>
      <c r="E674">
        <v>0.85550735925079502</v>
      </c>
      <c r="F674">
        <v>0.25488223253833098</v>
      </c>
      <c r="G674">
        <v>0.14761049874017701</v>
      </c>
      <c r="H674">
        <v>0.10421852830523901</v>
      </c>
      <c r="I674">
        <v>7.1702713792026404E-2</v>
      </c>
      <c r="J674">
        <v>5.2646219546856901E-2</v>
      </c>
      <c r="K674">
        <v>3.9335097348351999E-2</v>
      </c>
      <c r="L674">
        <v>2711.67954860397</v>
      </c>
      <c r="M674">
        <v>52.580512192902702</v>
      </c>
      <c r="N674">
        <v>51.745803300651403</v>
      </c>
      <c r="O674">
        <v>51.497515064551997</v>
      </c>
      <c r="P674">
        <v>-0.23459050106132401</v>
      </c>
      <c r="Q674">
        <v>8.0966014968649996E-2</v>
      </c>
      <c r="R674">
        <v>0.99429686070030199</v>
      </c>
      <c r="S674" t="s">
        <v>6535</v>
      </c>
      <c r="T674" t="s">
        <v>11720</v>
      </c>
      <c r="U674" t="s">
        <v>11720</v>
      </c>
      <c r="V674" t="s">
        <v>11720</v>
      </c>
      <c r="W674" t="s">
        <v>12379</v>
      </c>
      <c r="X674">
        <v>36</v>
      </c>
      <c r="Y674" t="s">
        <v>18176</v>
      </c>
      <c r="Z674" t="s">
        <v>23881</v>
      </c>
      <c r="AA674">
        <v>0.4373559567594475</v>
      </c>
      <c r="AB674" t="str">
        <f>HYPERLINK("Melting_Curves/meltCurve_F5H897_TRAP1.pdf", "Melting_Curves/meltCurve_F5H897_TRAP1.pdf")</f>
        <v>Melting_Curves/meltCurve_F5H897_TRAP1.pdf</v>
      </c>
    </row>
    <row r="675" spans="1:28" x14ac:dyDescent="0.25">
      <c r="A675" t="s">
        <v>679</v>
      </c>
      <c r="B675">
        <v>0.99334974765950101</v>
      </c>
      <c r="C675">
        <v>1.0073108921434599</v>
      </c>
      <c r="D675">
        <v>0.99796014693047397</v>
      </c>
      <c r="E675">
        <v>0.88376331142814102</v>
      </c>
      <c r="F675">
        <v>2.33472262950283</v>
      </c>
      <c r="G675">
        <v>1.12717352395092</v>
      </c>
      <c r="H675">
        <v>1.3011737027177099</v>
      </c>
      <c r="I675">
        <v>1.3086894684852199</v>
      </c>
      <c r="J675">
        <v>1.47294338070516</v>
      </c>
      <c r="K675">
        <v>0.65308272004964496</v>
      </c>
      <c r="L675">
        <v>12809.998800142401</v>
      </c>
      <c r="M675">
        <v>250</v>
      </c>
      <c r="O675">
        <v>51.236716221212703</v>
      </c>
      <c r="P675">
        <v>0.44674169726115398</v>
      </c>
      <c r="Q675">
        <v>1.3662332403495001</v>
      </c>
      <c r="R675">
        <v>0.194900747280463</v>
      </c>
      <c r="S675" t="s">
        <v>6536</v>
      </c>
      <c r="T675" t="s">
        <v>11720</v>
      </c>
      <c r="U675" t="s">
        <v>11720</v>
      </c>
      <c r="V675" t="s">
        <v>11720</v>
      </c>
      <c r="W675" t="s">
        <v>12380</v>
      </c>
      <c r="X675">
        <v>5</v>
      </c>
      <c r="Y675" t="s">
        <v>18177</v>
      </c>
      <c r="Z675" t="s">
        <v>23882</v>
      </c>
      <c r="AA675">
        <v>1.228984977887112</v>
      </c>
      <c r="AB675" t="str">
        <f>HYPERLINK("Melting_Curves/meltCurve_F5H8D7_XRCC1.pdf", "Melting_Curves/meltCurve_F5H8D7_XRCC1.pdf")</f>
        <v>Melting_Curves/meltCurve_F5H8D7_XRCC1.pdf</v>
      </c>
    </row>
    <row r="676" spans="1:28" x14ac:dyDescent="0.25">
      <c r="A676" t="s">
        <v>680</v>
      </c>
      <c r="B676">
        <v>0.99334974765950101</v>
      </c>
      <c r="C676">
        <v>1.02816322978349</v>
      </c>
      <c r="D676">
        <v>0.93284849273007397</v>
      </c>
      <c r="E676">
        <v>0.79279458796459901</v>
      </c>
      <c r="F676">
        <v>0.56345095420562896</v>
      </c>
      <c r="G676">
        <v>0.28513556842230697</v>
      </c>
      <c r="H676">
        <v>0.116276909164696</v>
      </c>
      <c r="I676">
        <v>9.7441299355199004E-2</v>
      </c>
      <c r="J676">
        <v>8.6798309348037395E-2</v>
      </c>
      <c r="K676">
        <v>6.7991668105565797E-2</v>
      </c>
      <c r="L676">
        <v>999.10812482435801</v>
      </c>
      <c r="M676">
        <v>18.7111998809408</v>
      </c>
      <c r="N676">
        <v>53.732684667680999</v>
      </c>
      <c r="O676">
        <v>52.797564464568701</v>
      </c>
      <c r="P676">
        <v>-8.3705189571514793E-2</v>
      </c>
      <c r="Q676">
        <v>5.5272991022482697E-2</v>
      </c>
      <c r="R676">
        <v>0.99823069648155205</v>
      </c>
      <c r="S676" t="s">
        <v>6537</v>
      </c>
      <c r="T676" t="s">
        <v>11720</v>
      </c>
      <c r="U676" t="s">
        <v>11720</v>
      </c>
      <c r="V676" t="s">
        <v>11720</v>
      </c>
      <c r="W676" t="s">
        <v>12381</v>
      </c>
      <c r="X676">
        <v>14</v>
      </c>
      <c r="Y676" t="s">
        <v>18178</v>
      </c>
      <c r="Z676" t="s">
        <v>23883</v>
      </c>
      <c r="AA676">
        <v>0.49156648635339872</v>
      </c>
      <c r="AB676" t="str">
        <f>HYPERLINK("Melting_Curves/meltCurve_F5H8H2_MVK.pdf", "Melting_Curves/meltCurve_F5H8H2_MVK.pdf")</f>
        <v>Melting_Curves/meltCurve_F5H8H2_MVK.pdf</v>
      </c>
    </row>
    <row r="677" spans="1:28" x14ac:dyDescent="0.25">
      <c r="A677" t="s">
        <v>681</v>
      </c>
      <c r="B677">
        <v>0.99334974765950101</v>
      </c>
      <c r="C677">
        <v>0.90629034731366498</v>
      </c>
      <c r="D677">
        <v>0.75333670538714204</v>
      </c>
      <c r="E677">
        <v>0.36816504975796099</v>
      </c>
      <c r="F677">
        <v>0.198531012206974</v>
      </c>
      <c r="G677">
        <v>0.14970563369899501</v>
      </c>
      <c r="H677">
        <v>0.12295736556242901</v>
      </c>
      <c r="I677">
        <v>0.13735865101280501</v>
      </c>
      <c r="J677">
        <v>0.117623958284854</v>
      </c>
      <c r="K677">
        <v>0.111244881859465</v>
      </c>
      <c r="L677">
        <v>1037.89395356206</v>
      </c>
      <c r="M677">
        <v>21.689685278733499</v>
      </c>
      <c r="N677">
        <v>48.4504403528721</v>
      </c>
      <c r="O677">
        <v>47.450775760774903</v>
      </c>
      <c r="P677">
        <v>-0.10084801493553899</v>
      </c>
      <c r="Q677">
        <v>0.117515547481315</v>
      </c>
      <c r="R677">
        <v>0.99867896247536403</v>
      </c>
      <c r="S677" t="s">
        <v>6538</v>
      </c>
      <c r="T677" t="s">
        <v>11720</v>
      </c>
      <c r="U677" t="s">
        <v>11720</v>
      </c>
      <c r="V677" t="s">
        <v>11720</v>
      </c>
      <c r="W677" t="s">
        <v>12382</v>
      </c>
      <c r="X677">
        <v>6</v>
      </c>
      <c r="Y677" t="s">
        <v>18179</v>
      </c>
      <c r="Z677" t="s">
        <v>23884</v>
      </c>
      <c r="AA677">
        <v>0.35906748604094352</v>
      </c>
      <c r="AB677" t="str">
        <f>HYPERLINK("Melting_Curves/meltCurve_F5H8J3_CLPTM1.pdf", "Melting_Curves/meltCurve_F5H8J3_CLPTM1.pdf")</f>
        <v>Melting_Curves/meltCurve_F5H8J3_CLPTM1.pdf</v>
      </c>
    </row>
    <row r="678" spans="1:28" x14ac:dyDescent="0.25">
      <c r="A678" t="s">
        <v>682</v>
      </c>
      <c r="B678">
        <v>0.99334974765950101</v>
      </c>
      <c r="C678">
        <v>0.86911768180036897</v>
      </c>
      <c r="D678">
        <v>0.371126234714591</v>
      </c>
      <c r="E678">
        <v>0.22125371022148599</v>
      </c>
      <c r="F678">
        <v>0.16677656764418899</v>
      </c>
      <c r="G678">
        <v>0.16821502168139299</v>
      </c>
      <c r="H678">
        <v>0.15082300089575301</v>
      </c>
      <c r="I678">
        <v>0.124136358150643</v>
      </c>
      <c r="J678">
        <v>0.123011090738313</v>
      </c>
      <c r="K678">
        <v>3.9221399246595297E-2</v>
      </c>
      <c r="L678">
        <v>1588.0768131692701</v>
      </c>
      <c r="M678">
        <v>35.410033812017303</v>
      </c>
      <c r="N678">
        <v>45.255705532218997</v>
      </c>
      <c r="O678">
        <v>44.705920819962799</v>
      </c>
      <c r="P678">
        <v>-0.17098730051024799</v>
      </c>
      <c r="Q678">
        <v>0.13650289691904899</v>
      </c>
      <c r="R678">
        <v>0.98383825542254499</v>
      </c>
      <c r="S678" t="s">
        <v>6539</v>
      </c>
      <c r="T678" t="s">
        <v>11720</v>
      </c>
      <c r="U678" t="s">
        <v>11720</v>
      </c>
      <c r="V678" t="s">
        <v>11720</v>
      </c>
      <c r="W678" t="s">
        <v>11832</v>
      </c>
      <c r="X678">
        <v>29</v>
      </c>
      <c r="Y678" t="s">
        <v>17626</v>
      </c>
      <c r="Z678" t="s">
        <v>23885</v>
      </c>
      <c r="AA678">
        <v>0.27985064378885</v>
      </c>
      <c r="AB678" t="str">
        <f>HYPERLINK("Melting_Curves/meltCurve_F5H8J4_EIF4G3.pdf", "Melting_Curves/meltCurve_F5H8J4_EIF4G3.pdf")</f>
        <v>Melting_Curves/meltCurve_F5H8J4_EIF4G3.pdf</v>
      </c>
    </row>
    <row r="679" spans="1:28" x14ac:dyDescent="0.25">
      <c r="A679" t="s">
        <v>683</v>
      </c>
      <c r="B679">
        <v>0.99334974765950101</v>
      </c>
      <c r="C679">
        <v>0.99118955276776799</v>
      </c>
      <c r="D679">
        <v>0.98679884815500996</v>
      </c>
      <c r="E679">
        <v>0.90568200297557999</v>
      </c>
      <c r="F679">
        <v>1.03844314057211</v>
      </c>
      <c r="G679">
        <v>0.618589550931542</v>
      </c>
      <c r="H679">
        <v>0.46592265302521702</v>
      </c>
      <c r="I679">
        <v>0.42071533198509398</v>
      </c>
      <c r="J679">
        <v>0.43277443659641301</v>
      </c>
      <c r="K679">
        <v>0.30212188009959901</v>
      </c>
      <c r="L679">
        <v>4919.0525121737201</v>
      </c>
      <c r="M679">
        <v>86.871634289944495</v>
      </c>
      <c r="N679">
        <v>57.727454333914601</v>
      </c>
      <c r="O679">
        <v>56.5943945192911</v>
      </c>
      <c r="P679">
        <v>-0.228357100445576</v>
      </c>
      <c r="Q679">
        <v>0.40492747773813098</v>
      </c>
      <c r="R679">
        <v>0.96656949571807105</v>
      </c>
      <c r="S679" t="s">
        <v>6540</v>
      </c>
      <c r="T679" t="s">
        <v>11720</v>
      </c>
      <c r="U679" t="s">
        <v>11720</v>
      </c>
      <c r="V679" t="s">
        <v>11720</v>
      </c>
      <c r="W679" t="s">
        <v>12383</v>
      </c>
      <c r="X679">
        <v>14</v>
      </c>
      <c r="Y679" t="s">
        <v>18180</v>
      </c>
      <c r="Z679" t="s">
        <v>23886</v>
      </c>
      <c r="AA679">
        <v>0.73517509054483199</v>
      </c>
      <c r="AB679" t="str">
        <f>HYPERLINK("Melting_Curves/meltCurve_F6PQP6_EPN2.pdf", "Melting_Curves/meltCurve_F6PQP6_EPN2.pdf")</f>
        <v>Melting_Curves/meltCurve_F6PQP6_EPN2.pdf</v>
      </c>
    </row>
    <row r="680" spans="1:28" x14ac:dyDescent="0.25">
      <c r="A680" t="s">
        <v>684</v>
      </c>
      <c r="B680">
        <v>0.99334974765950101</v>
      </c>
      <c r="C680">
        <v>0.90550581600730495</v>
      </c>
      <c r="D680">
        <v>0.84745223109276402</v>
      </c>
      <c r="E680">
        <v>0.47358137897633801</v>
      </c>
      <c r="F680">
        <v>0.34252631299098901</v>
      </c>
      <c r="G680">
        <v>0.18997130850804</v>
      </c>
      <c r="H680">
        <v>0.142877598845597</v>
      </c>
      <c r="I680">
        <v>0.102729260761121</v>
      </c>
      <c r="J680">
        <v>8.8751419731498096E-2</v>
      </c>
      <c r="K680">
        <v>7.1547907130424596E-2</v>
      </c>
      <c r="L680">
        <v>808.28335309095598</v>
      </c>
      <c r="M680">
        <v>16.270830730543899</v>
      </c>
      <c r="N680">
        <v>50.220727802202902</v>
      </c>
      <c r="O680">
        <v>48.944606542773798</v>
      </c>
      <c r="P680">
        <v>-7.6400411472710303E-2</v>
      </c>
      <c r="Q680">
        <v>8.07807738294396E-2</v>
      </c>
      <c r="R680">
        <v>0.99519588723905295</v>
      </c>
      <c r="S680" t="s">
        <v>6541</v>
      </c>
      <c r="T680" t="s">
        <v>11720</v>
      </c>
      <c r="U680" t="s">
        <v>11720</v>
      </c>
      <c r="V680" t="s">
        <v>11720</v>
      </c>
      <c r="W680" t="s">
        <v>12384</v>
      </c>
      <c r="X680">
        <v>3</v>
      </c>
      <c r="Y680" t="s">
        <v>18181</v>
      </c>
      <c r="Z680" t="s">
        <v>23887</v>
      </c>
      <c r="AA680">
        <v>0.39636180641007862</v>
      </c>
      <c r="AB680" t="str">
        <f>HYPERLINK("Melting_Curves/meltCurve_F6S0T5_KDM1A.pdf", "Melting_Curves/meltCurve_F6S0T5_KDM1A.pdf")</f>
        <v>Melting_Curves/meltCurve_F6S0T5_KDM1A.pdf</v>
      </c>
    </row>
    <row r="681" spans="1:28" x14ac:dyDescent="0.25">
      <c r="A681" t="s">
        <v>685</v>
      </c>
      <c r="B681">
        <v>0.99334974765950101</v>
      </c>
      <c r="C681">
        <v>1.0179161144840001</v>
      </c>
      <c r="D681">
        <v>1.0464301159545999</v>
      </c>
      <c r="E681">
        <v>0.90619826850262097</v>
      </c>
      <c r="F681">
        <v>0.38247201812678799</v>
      </c>
      <c r="G681">
        <v>0.15598802950799401</v>
      </c>
      <c r="H681">
        <v>0.11425695688479801</v>
      </c>
      <c r="I681">
        <v>0.10951188005637599</v>
      </c>
      <c r="J681">
        <v>0.10238255872902299</v>
      </c>
      <c r="K681">
        <v>7.1060332797060602E-2</v>
      </c>
      <c r="L681">
        <v>2533.9414531426</v>
      </c>
      <c r="M681">
        <v>48.591133170308197</v>
      </c>
      <c r="N681">
        <v>52.407854175522303</v>
      </c>
      <c r="O681">
        <v>52.060130309125299</v>
      </c>
      <c r="P681">
        <v>-0.20838170712472801</v>
      </c>
      <c r="Q681">
        <v>0.106967238897154</v>
      </c>
      <c r="R681">
        <v>0.99698348381948099</v>
      </c>
      <c r="S681" t="s">
        <v>6542</v>
      </c>
      <c r="T681" t="s">
        <v>11720</v>
      </c>
      <c r="U681" t="s">
        <v>11720</v>
      </c>
      <c r="V681" t="s">
        <v>11720</v>
      </c>
      <c r="W681" t="s">
        <v>12385</v>
      </c>
      <c r="X681">
        <v>17</v>
      </c>
      <c r="Y681" t="s">
        <v>18182</v>
      </c>
      <c r="Z681" t="s">
        <v>23888</v>
      </c>
      <c r="AA681">
        <v>0.47076828660062497</v>
      </c>
      <c r="AB681" t="str">
        <f>HYPERLINK("Melting_Curves/meltCurve_F6T1Q0_PDE12.pdf", "Melting_Curves/meltCurve_F6T1Q0_PDE12.pdf")</f>
        <v>Melting_Curves/meltCurve_F6T1Q0_PDE12.pdf</v>
      </c>
    </row>
    <row r="682" spans="1:28" x14ac:dyDescent="0.25">
      <c r="A682" t="s">
        <v>686</v>
      </c>
      <c r="B682">
        <v>0.99334974765950101</v>
      </c>
      <c r="C682">
        <v>0.87660503755080199</v>
      </c>
      <c r="D682">
        <v>0.89764817586932799</v>
      </c>
      <c r="E682">
        <v>0.95156351673335804</v>
      </c>
      <c r="F682">
        <v>0.28919293960238701</v>
      </c>
      <c r="G682">
        <v>0.264296778590696</v>
      </c>
      <c r="H682">
        <v>0.242121922972201</v>
      </c>
      <c r="I682">
        <v>0.12391886033010401</v>
      </c>
      <c r="J682">
        <v>0.19992913976902499</v>
      </c>
      <c r="K682">
        <v>0.14569577231890901</v>
      </c>
      <c r="L682">
        <v>4185.96481975605</v>
      </c>
      <c r="M682">
        <v>80.9912633095106</v>
      </c>
      <c r="N682">
        <v>52.001448500029099</v>
      </c>
      <c r="O682">
        <v>51.6526695642006</v>
      </c>
      <c r="P682">
        <v>-0.31557325195209102</v>
      </c>
      <c r="Q682">
        <v>0.19496510026889199</v>
      </c>
      <c r="R682">
        <v>0.96835528709534702</v>
      </c>
      <c r="S682" t="s">
        <v>6543</v>
      </c>
      <c r="T682" t="s">
        <v>11720</v>
      </c>
      <c r="U682" t="s">
        <v>11720</v>
      </c>
      <c r="V682" t="s">
        <v>11720</v>
      </c>
      <c r="W682" t="s">
        <v>12386</v>
      </c>
      <c r="X682">
        <v>7</v>
      </c>
      <c r="Y682" t="s">
        <v>17599</v>
      </c>
      <c r="Z682" t="s">
        <v>23889</v>
      </c>
      <c r="AA682">
        <v>0.50920051838984859</v>
      </c>
      <c r="AB682" t="str">
        <f>HYPERLINK("Melting_Curves/meltCurve_F6U1F2_BAG6.pdf", "Melting_Curves/meltCurve_F6U1F2_BAG6.pdf")</f>
        <v>Melting_Curves/meltCurve_F6U1F2_BAG6.pdf</v>
      </c>
    </row>
    <row r="683" spans="1:28" x14ac:dyDescent="0.25">
      <c r="A683" t="s">
        <v>687</v>
      </c>
      <c r="B683">
        <v>0.99334974765950101</v>
      </c>
      <c r="C683">
        <v>1.01064583194256</v>
      </c>
      <c r="D683">
        <v>0.96634234447474898</v>
      </c>
      <c r="E683">
        <v>0.91617008819166601</v>
      </c>
      <c r="F683">
        <v>0.84417190180832702</v>
      </c>
      <c r="G683">
        <v>0.65720927238497695</v>
      </c>
      <c r="H683">
        <v>0.53523666969767203</v>
      </c>
      <c r="I683">
        <v>0.85674442897435799</v>
      </c>
      <c r="J683">
        <v>0.70397249850445298</v>
      </c>
      <c r="K683">
        <v>0.58912341280327896</v>
      </c>
      <c r="L683">
        <v>1653.96892939551</v>
      </c>
      <c r="M683">
        <v>31.4516398532541</v>
      </c>
      <c r="O683">
        <v>52.376468230833297</v>
      </c>
      <c r="P683">
        <v>-5.02628839534245E-2</v>
      </c>
      <c r="Q683">
        <v>0.66519039631295196</v>
      </c>
      <c r="R683">
        <v>0.75831283110006498</v>
      </c>
      <c r="S683" t="s">
        <v>6544</v>
      </c>
      <c r="T683" t="s">
        <v>11720</v>
      </c>
      <c r="U683" t="s">
        <v>11720</v>
      </c>
      <c r="V683" t="s">
        <v>11720</v>
      </c>
      <c r="W683" t="s">
        <v>12387</v>
      </c>
      <c r="X683">
        <v>9</v>
      </c>
      <c r="Y683" t="s">
        <v>18183</v>
      </c>
      <c r="Z683" t="s">
        <v>23890</v>
      </c>
      <c r="AA683">
        <v>0.80763904304757439</v>
      </c>
      <c r="AB683" t="str">
        <f>HYPERLINK("Melting_Curves/meltCurve_F6U1T9_PPP3R1.pdf", "Melting_Curves/meltCurve_F6U1T9_PPP3R1.pdf")</f>
        <v>Melting_Curves/meltCurve_F6U1T9_PPP3R1.pdf</v>
      </c>
    </row>
    <row r="684" spans="1:28" x14ac:dyDescent="0.25">
      <c r="A684" t="s">
        <v>688</v>
      </c>
      <c r="B684">
        <v>0.99334974765950101</v>
      </c>
      <c r="C684">
        <v>0.78895687850934304</v>
      </c>
      <c r="D684">
        <v>0.81030826697726999</v>
      </c>
      <c r="E684">
        <v>0.43441576300504298</v>
      </c>
      <c r="F684">
        <v>0.16272670848374399</v>
      </c>
      <c r="G684">
        <v>0.109720234243121</v>
      </c>
      <c r="H684">
        <v>7.0176756691634604E-2</v>
      </c>
      <c r="I684">
        <v>8.8957361652043002E-2</v>
      </c>
      <c r="J684">
        <v>6.6981944831357901E-2</v>
      </c>
      <c r="K684">
        <v>3.5031602082296498E-2</v>
      </c>
      <c r="L684">
        <v>854.77066021772498</v>
      </c>
      <c r="M684">
        <v>17.580493804535301</v>
      </c>
      <c r="N684">
        <v>48.880713077518998</v>
      </c>
      <c r="O684">
        <v>48.004409592760901</v>
      </c>
      <c r="P684">
        <v>-8.7469967069325194E-2</v>
      </c>
      <c r="Q684">
        <v>4.46874969154799E-2</v>
      </c>
      <c r="R684">
        <v>0.97835867302544999</v>
      </c>
      <c r="S684" t="s">
        <v>6545</v>
      </c>
      <c r="T684" t="s">
        <v>11720</v>
      </c>
      <c r="U684" t="s">
        <v>11720</v>
      </c>
      <c r="V684" t="s">
        <v>11720</v>
      </c>
      <c r="W684" t="s">
        <v>12388</v>
      </c>
      <c r="X684">
        <v>1</v>
      </c>
      <c r="Y684" t="s">
        <v>18184</v>
      </c>
      <c r="Z684" t="s">
        <v>23891</v>
      </c>
      <c r="AA684">
        <v>0.33668555829821228</v>
      </c>
      <c r="AB684" t="str">
        <f>HYPERLINK("Melting_Curves/meltCurve_F6WCX7_MAP2K7.pdf", "Melting_Curves/meltCurve_F6WCX7_MAP2K7.pdf")</f>
        <v>Melting_Curves/meltCurve_F6WCX7_MAP2K7.pdf</v>
      </c>
    </row>
    <row r="685" spans="1:28" x14ac:dyDescent="0.25">
      <c r="A685" t="s">
        <v>689</v>
      </c>
      <c r="B685">
        <v>0.99334974765950101</v>
      </c>
      <c r="C685">
        <v>1.0259132400933499</v>
      </c>
      <c r="D685">
        <v>1.1816574263006501</v>
      </c>
      <c r="E685">
        <v>1.05961555382031</v>
      </c>
      <c r="F685">
        <v>1.1953283059950901</v>
      </c>
      <c r="G685">
        <v>1.8544091288023099</v>
      </c>
      <c r="H685">
        <v>1.9162533925934899</v>
      </c>
      <c r="I685">
        <v>1.6713958890923599</v>
      </c>
      <c r="J685">
        <v>0.95173516825023896</v>
      </c>
      <c r="K685">
        <v>0.29639743290958798</v>
      </c>
      <c r="L685">
        <v>15000</v>
      </c>
      <c r="M685">
        <v>221.27067923201599</v>
      </c>
      <c r="N685">
        <v>68.065675445093504</v>
      </c>
      <c r="O685">
        <v>67.784736536017505</v>
      </c>
      <c r="P685">
        <v>-0.57472656315442205</v>
      </c>
      <c r="Q685">
        <v>0.295746029953461</v>
      </c>
      <c r="R685">
        <v>1.72697597560003E-2</v>
      </c>
      <c r="S685" t="s">
        <v>6546</v>
      </c>
      <c r="T685" t="s">
        <v>11720</v>
      </c>
      <c r="U685" t="s">
        <v>11720</v>
      </c>
      <c r="V685" t="s">
        <v>11720</v>
      </c>
      <c r="W685" t="s">
        <v>12032</v>
      </c>
      <c r="X685">
        <v>11</v>
      </c>
      <c r="Y685" t="s">
        <v>18185</v>
      </c>
      <c r="Z685" t="s">
        <v>23892</v>
      </c>
      <c r="AA685">
        <v>0.94822619174755196</v>
      </c>
      <c r="AB685" t="str">
        <f>HYPERLINK("Melting_Curves/meltCurve_F6XY72_NME2.pdf", "Melting_Curves/meltCurve_F6XY72_NME2.pdf")</f>
        <v>Melting_Curves/meltCurve_F6XY72_NME2.pdf</v>
      </c>
    </row>
    <row r="686" spans="1:28" x14ac:dyDescent="0.25">
      <c r="A686" t="s">
        <v>690</v>
      </c>
      <c r="B686">
        <v>0.99334974765950101</v>
      </c>
      <c r="C686">
        <v>0.95563997459025996</v>
      </c>
      <c r="D686">
        <v>0.82432425751825</v>
      </c>
      <c r="E686">
        <v>0.73644922829112403</v>
      </c>
      <c r="F686">
        <v>1.02839422389683</v>
      </c>
      <c r="G686">
        <v>0.75433161850169494</v>
      </c>
      <c r="H686">
        <v>0.70461514663903801</v>
      </c>
      <c r="I686">
        <v>0.76968277508779703</v>
      </c>
      <c r="J686">
        <v>0.71626564884847699</v>
      </c>
      <c r="K686">
        <v>0.71769704593610095</v>
      </c>
      <c r="L686">
        <v>287.91724865723899</v>
      </c>
      <c r="M686">
        <v>5.2674164774492498</v>
      </c>
      <c r="O686">
        <v>48.268003174994597</v>
      </c>
      <c r="P686">
        <v>-1.0383659987539999E-2</v>
      </c>
      <c r="Q686">
        <v>0.62133611641401498</v>
      </c>
      <c r="R686">
        <v>0.51268954835653302</v>
      </c>
      <c r="S686" t="s">
        <v>6547</v>
      </c>
      <c r="T686" t="s">
        <v>11720</v>
      </c>
      <c r="U686" t="s">
        <v>11720</v>
      </c>
      <c r="V686" t="s">
        <v>11720</v>
      </c>
      <c r="W686" t="s">
        <v>12389</v>
      </c>
      <c r="X686">
        <v>18</v>
      </c>
      <c r="Y686" t="s">
        <v>17986</v>
      </c>
      <c r="Z686" t="s">
        <v>23893</v>
      </c>
      <c r="AA686">
        <v>0.81746390146932835</v>
      </c>
      <c r="AB686" t="str">
        <f>HYPERLINK("Melting_Curves/meltCurve_F8VP89_EIF4B.pdf", "Melting_Curves/meltCurve_F8VP89_EIF4B.pdf")</f>
        <v>Melting_Curves/meltCurve_F8VP89_EIF4B.pdf</v>
      </c>
    </row>
    <row r="687" spans="1:28" x14ac:dyDescent="0.25">
      <c r="A687" t="s">
        <v>691</v>
      </c>
      <c r="B687">
        <v>0.99334974765950101</v>
      </c>
      <c r="C687">
        <v>0.91542117509407395</v>
      </c>
      <c r="D687">
        <v>0.81893445293690903</v>
      </c>
      <c r="E687">
        <v>0.82555621620361097</v>
      </c>
      <c r="F687">
        <v>0.61109867113413596</v>
      </c>
      <c r="G687">
        <v>0.46888699129531802</v>
      </c>
      <c r="H687">
        <v>0.46348533625751598</v>
      </c>
      <c r="I687">
        <v>0.49373355604582603</v>
      </c>
      <c r="J687">
        <v>0.68898809829289598</v>
      </c>
      <c r="K687">
        <v>0.57765407200907304</v>
      </c>
      <c r="L687">
        <v>791.12430350744</v>
      </c>
      <c r="M687">
        <v>16.263473071582698</v>
      </c>
      <c r="O687">
        <v>47.926621281104197</v>
      </c>
      <c r="P687">
        <v>-3.9639777828296703E-2</v>
      </c>
      <c r="Q687">
        <v>0.53277854616773601</v>
      </c>
      <c r="R687">
        <v>0.81752197278017602</v>
      </c>
      <c r="S687" t="s">
        <v>6548</v>
      </c>
      <c r="T687" t="s">
        <v>11720</v>
      </c>
      <c r="U687" t="s">
        <v>11720</v>
      </c>
      <c r="V687" t="s">
        <v>11720</v>
      </c>
      <c r="W687" t="s">
        <v>12390</v>
      </c>
      <c r="X687">
        <v>1</v>
      </c>
      <c r="Y687" t="s">
        <v>18186</v>
      </c>
      <c r="Z687" t="s">
        <v>23894</v>
      </c>
      <c r="AA687">
        <v>0.67739242656219001</v>
      </c>
      <c r="AB687" t="str">
        <f>HYPERLINK("Melting_Curves/meltCurve_F8VP97_CNOT2.pdf", "Melting_Curves/meltCurve_F8VP97_CNOT2.pdf")</f>
        <v>Melting_Curves/meltCurve_F8VP97_CNOT2.pdf</v>
      </c>
    </row>
    <row r="688" spans="1:28" x14ac:dyDescent="0.25">
      <c r="A688" t="s">
        <v>692</v>
      </c>
      <c r="B688">
        <v>0.99334974765950101</v>
      </c>
      <c r="C688">
        <v>1.2068989833635</v>
      </c>
      <c r="D688">
        <v>1.1007551577066399</v>
      </c>
      <c r="E688">
        <v>0.73355736582406095</v>
      </c>
      <c r="F688">
        <v>0.23905137382941499</v>
      </c>
      <c r="G688">
        <v>0.176230583933394</v>
      </c>
      <c r="H688">
        <v>0.149503613023306</v>
      </c>
      <c r="I688">
        <v>0</v>
      </c>
      <c r="J688">
        <v>0</v>
      </c>
      <c r="K688">
        <v>0</v>
      </c>
      <c r="L688">
        <v>2053.7198258441499</v>
      </c>
      <c r="M688">
        <v>40.115681023682598</v>
      </c>
      <c r="N688">
        <v>51.3568531044236</v>
      </c>
      <c r="O688">
        <v>51.068213144946903</v>
      </c>
      <c r="P688">
        <v>-0.184717763229926</v>
      </c>
      <c r="Q688">
        <v>5.9401558786838699E-2</v>
      </c>
      <c r="R688">
        <v>0.96152264520875097</v>
      </c>
      <c r="S688" t="s">
        <v>6549</v>
      </c>
      <c r="T688" t="s">
        <v>11720</v>
      </c>
      <c r="U688" t="s">
        <v>11720</v>
      </c>
      <c r="V688" t="s">
        <v>11720</v>
      </c>
      <c r="W688" t="s">
        <v>12391</v>
      </c>
      <c r="X688">
        <v>2</v>
      </c>
      <c r="Y688" t="s">
        <v>18187</v>
      </c>
      <c r="Z688" t="s">
        <v>23895</v>
      </c>
      <c r="AA688">
        <v>0.41370839926690922</v>
      </c>
      <c r="AB688" t="str">
        <f>HYPERLINK("Melting_Curves/meltCurve_F8VPD4_CAD.pdf", "Melting_Curves/meltCurve_F8VPD4_CAD.pdf")</f>
        <v>Melting_Curves/meltCurve_F8VPD4_CAD.pdf</v>
      </c>
    </row>
    <row r="689" spans="1:28" x14ac:dyDescent="0.25">
      <c r="A689" t="s">
        <v>693</v>
      </c>
      <c r="B689">
        <v>0.99334974765950101</v>
      </c>
      <c r="C689">
        <v>0.91160380501714</v>
      </c>
      <c r="D689">
        <v>0.78973948011083195</v>
      </c>
      <c r="E689">
        <v>0.77062349408573905</v>
      </c>
      <c r="F689">
        <v>0.66997955461855696</v>
      </c>
      <c r="G689">
        <v>0.47471672889430899</v>
      </c>
      <c r="H689">
        <v>0.50095042658932099</v>
      </c>
      <c r="I689">
        <v>0.57442201104488699</v>
      </c>
      <c r="J689">
        <v>0.50047864281727195</v>
      </c>
      <c r="K689">
        <v>0.38792025698631399</v>
      </c>
      <c r="L689">
        <v>498.895656743421</v>
      </c>
      <c r="M689">
        <v>9.8842893821684097</v>
      </c>
      <c r="N689">
        <v>62.044034580337502</v>
      </c>
      <c r="O689">
        <v>48.537891877383501</v>
      </c>
      <c r="P689">
        <v>-2.9499486077655901E-2</v>
      </c>
      <c r="Q689">
        <v>0.42085260078240999</v>
      </c>
      <c r="R689">
        <v>0.92442993394425699</v>
      </c>
      <c r="S689" t="s">
        <v>6550</v>
      </c>
      <c r="T689" t="s">
        <v>11720</v>
      </c>
      <c r="U689" t="s">
        <v>11720</v>
      </c>
      <c r="V689" t="s">
        <v>11720</v>
      </c>
      <c r="W689" t="s">
        <v>12392</v>
      </c>
      <c r="X689">
        <v>1</v>
      </c>
      <c r="Y689" t="s">
        <v>18188</v>
      </c>
      <c r="Z689" t="s">
        <v>23896</v>
      </c>
      <c r="AA689">
        <v>0.64861394656900961</v>
      </c>
      <c r="AB689" t="str">
        <f>HYPERLINK("Melting_Curves/meltCurve_F8VPF7_HVCN1.pdf", "Melting_Curves/meltCurve_F8VPF7_HVCN1.pdf")</f>
        <v>Melting_Curves/meltCurve_F8VPF7_HVCN1.pdf</v>
      </c>
    </row>
    <row r="690" spans="1:28" x14ac:dyDescent="0.25">
      <c r="A690" t="s">
        <v>694</v>
      </c>
      <c r="B690">
        <v>0.99334974765950101</v>
      </c>
      <c r="C690">
        <v>1.09362151048161</v>
      </c>
      <c r="D690">
        <v>0.93547780840209704</v>
      </c>
      <c r="E690">
        <v>0.90648944086907102</v>
      </c>
      <c r="F690">
        <v>1.22788812282947</v>
      </c>
      <c r="G690">
        <v>0.94545001120960204</v>
      </c>
      <c r="H690">
        <v>0.94800027742017501</v>
      </c>
      <c r="I690">
        <v>1.5522308098078299</v>
      </c>
      <c r="J690">
        <v>1.3444114681866399</v>
      </c>
      <c r="K690">
        <v>0.93397249702882001</v>
      </c>
      <c r="L690">
        <v>15000</v>
      </c>
      <c r="M690">
        <v>240.95983811658601</v>
      </c>
      <c r="O690">
        <v>62.246757955642003</v>
      </c>
      <c r="P690">
        <v>0.267822406189131</v>
      </c>
      <c r="Q690">
        <v>1.2767444466069899</v>
      </c>
      <c r="R690">
        <v>0.35366255202855801</v>
      </c>
      <c r="S690" t="s">
        <v>6551</v>
      </c>
      <c r="T690" t="s">
        <v>11720</v>
      </c>
      <c r="U690" t="s">
        <v>11720</v>
      </c>
      <c r="V690" t="s">
        <v>11720</v>
      </c>
      <c r="W690" t="s">
        <v>12393</v>
      </c>
      <c r="X690">
        <v>5</v>
      </c>
      <c r="Y690" t="s">
        <v>18189</v>
      </c>
      <c r="Z690" t="s">
        <v>23897</v>
      </c>
      <c r="AA690">
        <v>1.0714501955714799</v>
      </c>
      <c r="AB690" t="str">
        <f>HYPERLINK("Melting_Curves/meltCurve_F8VQD4_C12orf75.pdf", "Melting_Curves/meltCurve_F8VQD4_C12orf75.pdf")</f>
        <v>Melting_Curves/meltCurve_F8VQD4_C12orf75.pdf</v>
      </c>
    </row>
    <row r="691" spans="1:28" x14ac:dyDescent="0.25">
      <c r="A691" t="s">
        <v>695</v>
      </c>
      <c r="B691">
        <v>0.99334974765950101</v>
      </c>
      <c r="C691">
        <v>1.10424581271124</v>
      </c>
      <c r="D691">
        <v>0.93251120561968703</v>
      </c>
      <c r="E691">
        <v>1.1831576328590201</v>
      </c>
      <c r="F691">
        <v>1.1946636150468199</v>
      </c>
      <c r="G691">
        <v>0.75957763584953997</v>
      </c>
      <c r="H691">
        <v>0.93938348225998203</v>
      </c>
      <c r="I691">
        <v>0.72422286770010702</v>
      </c>
      <c r="J691">
        <v>0.71901292787847504</v>
      </c>
      <c r="K691">
        <v>0.47297774470065701</v>
      </c>
      <c r="L691">
        <v>942.44585152556203</v>
      </c>
      <c r="M691">
        <v>13.451121509459099</v>
      </c>
      <c r="O691">
        <v>68.570288384485906</v>
      </c>
      <c r="P691">
        <v>-4.9048958498681003E-2</v>
      </c>
      <c r="Q691">
        <v>0</v>
      </c>
      <c r="R691">
        <v>0.70167071332611597</v>
      </c>
      <c r="S691" t="s">
        <v>6552</v>
      </c>
      <c r="T691" t="s">
        <v>11720</v>
      </c>
      <c r="U691" t="s">
        <v>11720</v>
      </c>
      <c r="V691" t="s">
        <v>11720</v>
      </c>
      <c r="W691" t="s">
        <v>12394</v>
      </c>
      <c r="X691">
        <v>13</v>
      </c>
      <c r="Y691" t="s">
        <v>18190</v>
      </c>
      <c r="Z691" t="s">
        <v>23898</v>
      </c>
      <c r="AA691">
        <v>0.89795541439330739</v>
      </c>
      <c r="AB691" t="str">
        <f>HYPERLINK("Melting_Curves/meltCurve_F8VQZ7_METAP2.pdf", "Melting_Curves/meltCurve_F8VQZ7_METAP2.pdf")</f>
        <v>Melting_Curves/meltCurve_F8VQZ7_METAP2.pdf</v>
      </c>
    </row>
    <row r="692" spans="1:28" x14ac:dyDescent="0.25">
      <c r="A692" t="s">
        <v>696</v>
      </c>
      <c r="B692">
        <v>0.99334974765950101</v>
      </c>
      <c r="C692">
        <v>1.0021618000849399</v>
      </c>
      <c r="D692">
        <v>0.75437934079010904</v>
      </c>
      <c r="E692">
        <v>0.76249043065925104</v>
      </c>
      <c r="F692">
        <v>0.53163836960967603</v>
      </c>
      <c r="G692">
        <v>0.34253886585326998</v>
      </c>
      <c r="H692">
        <v>0.204783518587007</v>
      </c>
      <c r="I692">
        <v>0.164226854038479</v>
      </c>
      <c r="J692">
        <v>8.4515334459611402E-2</v>
      </c>
      <c r="K692">
        <v>3.7313942432670201E-2</v>
      </c>
      <c r="L692">
        <v>603.60048723279999</v>
      </c>
      <c r="M692">
        <v>11.230066489954201</v>
      </c>
      <c r="N692">
        <v>53.748611567738301</v>
      </c>
      <c r="O692">
        <v>52.128818474954102</v>
      </c>
      <c r="P692">
        <v>-5.3874061972886397E-2</v>
      </c>
      <c r="Q692">
        <v>0</v>
      </c>
      <c r="R692">
        <v>0.98193805797101397</v>
      </c>
      <c r="S692" t="s">
        <v>6553</v>
      </c>
      <c r="T692" t="s">
        <v>11720</v>
      </c>
      <c r="U692" t="s">
        <v>11720</v>
      </c>
      <c r="V692" t="s">
        <v>11720</v>
      </c>
      <c r="W692" t="s">
        <v>12395</v>
      </c>
      <c r="X692">
        <v>1</v>
      </c>
      <c r="Y692" t="s">
        <v>18191</v>
      </c>
      <c r="Z692" t="s">
        <v>23899</v>
      </c>
      <c r="AA692">
        <v>0.48672400353969331</v>
      </c>
      <c r="AB692" t="str">
        <f>HYPERLINK("Melting_Curves/meltCurve_F8VRE8_TMEM19.pdf", "Melting_Curves/meltCurve_F8VRE8_TMEM19.pdf")</f>
        <v>Melting_Curves/meltCurve_F8VRE8_TMEM19.pdf</v>
      </c>
    </row>
    <row r="693" spans="1:28" x14ac:dyDescent="0.25">
      <c r="A693" t="s">
        <v>697</v>
      </c>
      <c r="B693">
        <v>0.99334974765950101</v>
      </c>
      <c r="C693">
        <v>1.02041769454375</v>
      </c>
      <c r="D693">
        <v>1.0151356717914399</v>
      </c>
      <c r="E693">
        <v>0.81129650041425505</v>
      </c>
      <c r="F693">
        <v>0.246274320217825</v>
      </c>
      <c r="G693">
        <v>0.175257622276316</v>
      </c>
      <c r="H693">
        <v>0.118073974707784</v>
      </c>
      <c r="I693">
        <v>0.108771120631128</v>
      </c>
      <c r="J693">
        <v>7.8951862725291505E-2</v>
      </c>
      <c r="K693">
        <v>6.3613503363822696E-2</v>
      </c>
      <c r="L693">
        <v>2601.5011404296501</v>
      </c>
      <c r="M693">
        <v>50.725579052276203</v>
      </c>
      <c r="N693">
        <v>51.529985820248598</v>
      </c>
      <c r="O693">
        <v>51.206272971957198</v>
      </c>
      <c r="P693">
        <v>-0.22119239893467399</v>
      </c>
      <c r="Q693">
        <v>0.106846874387288</v>
      </c>
      <c r="R693">
        <v>0.99556127843182896</v>
      </c>
      <c r="S693" t="s">
        <v>6554</v>
      </c>
      <c r="T693" t="s">
        <v>11720</v>
      </c>
      <c r="U693" t="s">
        <v>11720</v>
      </c>
      <c r="V693" t="s">
        <v>11720</v>
      </c>
      <c r="W693" t="s">
        <v>12396</v>
      </c>
      <c r="X693">
        <v>2</v>
      </c>
      <c r="Y693" t="s">
        <v>18192</v>
      </c>
      <c r="Z693" t="s">
        <v>23900</v>
      </c>
      <c r="AA693">
        <v>0.44480743475358392</v>
      </c>
      <c r="AB693" t="str">
        <f>HYPERLINK("Melting_Curves/meltCurve_F8VS47_NEK3.pdf", "Melting_Curves/meltCurve_F8VS47_NEK3.pdf")</f>
        <v>Melting_Curves/meltCurve_F8VS47_NEK3.pdf</v>
      </c>
    </row>
    <row r="694" spans="1:28" x14ac:dyDescent="0.25">
      <c r="A694" t="s">
        <v>698</v>
      </c>
      <c r="B694">
        <v>0.99334974765950101</v>
      </c>
      <c r="C694">
        <v>0.84400215489984098</v>
      </c>
      <c r="D694">
        <v>0.85799964830129105</v>
      </c>
      <c r="E694">
        <v>0.71363979902246799</v>
      </c>
      <c r="F694">
        <v>0.66817519458296304</v>
      </c>
      <c r="G694">
        <v>0.46474819977073001</v>
      </c>
      <c r="H694">
        <v>0.35907783242577201</v>
      </c>
      <c r="I694">
        <v>0.35642891113589598</v>
      </c>
      <c r="J694">
        <v>0.293913886560982</v>
      </c>
      <c r="K694">
        <v>0.27355815826304197</v>
      </c>
      <c r="L694">
        <v>444.45662833873098</v>
      </c>
      <c r="M694">
        <v>8.1793825137683491</v>
      </c>
      <c r="N694">
        <v>56.722678100784897</v>
      </c>
      <c r="O694">
        <v>51.380438750266897</v>
      </c>
      <c r="P694">
        <v>-3.4044661037398401E-2</v>
      </c>
      <c r="Q694">
        <v>0.14545595807022799</v>
      </c>
      <c r="R694">
        <v>0.98185491643778899</v>
      </c>
      <c r="S694" t="s">
        <v>6555</v>
      </c>
      <c r="T694" t="s">
        <v>11720</v>
      </c>
      <c r="U694" t="s">
        <v>11720</v>
      </c>
      <c r="V694" t="s">
        <v>11720</v>
      </c>
      <c r="W694" t="s">
        <v>12397</v>
      </c>
      <c r="X694">
        <v>2</v>
      </c>
      <c r="Y694" t="s">
        <v>18193</v>
      </c>
      <c r="Z694" t="s">
        <v>23901</v>
      </c>
      <c r="AA694">
        <v>0.58086344567848547</v>
      </c>
      <c r="AB694" t="str">
        <f>HYPERLINK("Melting_Curves/meltCurve_F8VSL3_NFYB.pdf", "Melting_Curves/meltCurve_F8VSL3_NFYB.pdf")</f>
        <v>Melting_Curves/meltCurve_F8VSL3_NFYB.pdf</v>
      </c>
    </row>
    <row r="695" spans="1:28" x14ac:dyDescent="0.25">
      <c r="A695" t="s">
        <v>699</v>
      </c>
      <c r="B695">
        <v>0.99334974765950101</v>
      </c>
      <c r="C695">
        <v>1.0271574182674601</v>
      </c>
      <c r="D695">
        <v>1.0959264779281599</v>
      </c>
      <c r="E695">
        <v>1.08223898863483</v>
      </c>
      <c r="F695">
        <v>0.88307274505675004</v>
      </c>
      <c r="G695">
        <v>0.35274449066682101</v>
      </c>
      <c r="H695">
        <v>0.19191401271931599</v>
      </c>
      <c r="I695">
        <v>0.190822752907401</v>
      </c>
      <c r="J695">
        <v>0.17064924255332001</v>
      </c>
      <c r="K695">
        <v>0.16272341684467601</v>
      </c>
      <c r="L695">
        <v>2457.1315636929899</v>
      </c>
      <c r="M695">
        <v>44.426736148771603</v>
      </c>
      <c r="N695">
        <v>55.851484080136601</v>
      </c>
      <c r="O695">
        <v>55.195811288024998</v>
      </c>
      <c r="P695">
        <v>-0.16588353427267</v>
      </c>
      <c r="Q695">
        <v>0.17562616370961801</v>
      </c>
      <c r="R695">
        <v>0.98883448586518696</v>
      </c>
      <c r="S695" t="s">
        <v>6556</v>
      </c>
      <c r="T695" t="s">
        <v>11720</v>
      </c>
      <c r="U695" t="s">
        <v>11720</v>
      </c>
      <c r="V695" t="s">
        <v>11720</v>
      </c>
      <c r="W695" t="s">
        <v>12398</v>
      </c>
      <c r="X695">
        <v>13</v>
      </c>
      <c r="Y695" t="s">
        <v>18194</v>
      </c>
      <c r="Z695" t="s">
        <v>23902</v>
      </c>
      <c r="AA695">
        <v>0.59880889702096263</v>
      </c>
      <c r="AB695" t="str">
        <f>HYPERLINK("Melting_Curves/meltCurve_F8VSZ4_PLXNA1.pdf", "Melting_Curves/meltCurve_F8VSZ4_PLXNA1.pdf")</f>
        <v>Melting_Curves/meltCurve_F8VSZ4_PLXNA1.pdf</v>
      </c>
    </row>
    <row r="696" spans="1:28" x14ac:dyDescent="0.25">
      <c r="A696" t="s">
        <v>700</v>
      </c>
      <c r="B696">
        <v>0.99334974765950101</v>
      </c>
      <c r="C696">
        <v>0.92545603182702096</v>
      </c>
      <c r="D696">
        <v>0.83958232281829703</v>
      </c>
      <c r="E696">
        <v>0.792064943039961</v>
      </c>
      <c r="F696">
        <v>0.70382893138067604</v>
      </c>
      <c r="G696">
        <v>0.61398480238625597</v>
      </c>
      <c r="H696">
        <v>0.44984601853722</v>
      </c>
      <c r="I696">
        <v>0.35393120574016301</v>
      </c>
      <c r="J696">
        <v>0.23515515395096201</v>
      </c>
      <c r="K696">
        <v>0.16591535380158801</v>
      </c>
      <c r="L696">
        <v>471.95763768902998</v>
      </c>
      <c r="M696">
        <v>8.0405522607373499</v>
      </c>
      <c r="N696">
        <v>58.697147851921002</v>
      </c>
      <c r="O696">
        <v>55.400502855307003</v>
      </c>
      <c r="P696">
        <v>-3.6324019157174099E-2</v>
      </c>
      <c r="Q696">
        <v>0</v>
      </c>
      <c r="R696">
        <v>0.98409793547603697</v>
      </c>
      <c r="S696" t="s">
        <v>6557</v>
      </c>
      <c r="T696" t="s">
        <v>11720</v>
      </c>
      <c r="U696" t="s">
        <v>11720</v>
      </c>
      <c r="V696" t="s">
        <v>11720</v>
      </c>
      <c r="W696" t="s">
        <v>12399</v>
      </c>
      <c r="X696">
        <v>9</v>
      </c>
      <c r="Y696" t="s">
        <v>18195</v>
      </c>
      <c r="Z696" t="s">
        <v>23903</v>
      </c>
      <c r="AA696">
        <v>0.62083257166080386</v>
      </c>
      <c r="AB696" t="str">
        <f>HYPERLINK("Melting_Curves/meltCurve_F8VU90_FKBP11.pdf", "Melting_Curves/meltCurve_F8VU90_FKBP11.pdf")</f>
        <v>Melting_Curves/meltCurve_F8VU90_FKBP11.pdf</v>
      </c>
    </row>
    <row r="697" spans="1:28" x14ac:dyDescent="0.25">
      <c r="A697" t="s">
        <v>701</v>
      </c>
      <c r="B697">
        <v>0.99334974765950101</v>
      </c>
      <c r="C697">
        <v>0.86184922438980804</v>
      </c>
      <c r="D697">
        <v>0.74826699242409001</v>
      </c>
      <c r="E697">
        <v>0.39963642856748199</v>
      </c>
      <c r="F697">
        <v>0.22074551954261401</v>
      </c>
      <c r="G697">
        <v>0.115571072307738</v>
      </c>
      <c r="H697">
        <v>8.9909790784242605E-2</v>
      </c>
      <c r="I697">
        <v>8.08731498933766E-2</v>
      </c>
      <c r="J697">
        <v>8.78167490631208E-2</v>
      </c>
      <c r="K697">
        <v>6.6123721387475798E-2</v>
      </c>
      <c r="L697">
        <v>843.29488200575497</v>
      </c>
      <c r="M697">
        <v>17.461257800539201</v>
      </c>
      <c r="N697">
        <v>48.689056429741498</v>
      </c>
      <c r="O697">
        <v>47.675114188123899</v>
      </c>
      <c r="P697">
        <v>-8.5537855654602493E-2</v>
      </c>
      <c r="Q697">
        <v>6.58633449581804E-2</v>
      </c>
      <c r="R697">
        <v>0.99722795796212405</v>
      </c>
      <c r="S697" t="s">
        <v>6558</v>
      </c>
      <c r="T697" t="s">
        <v>11720</v>
      </c>
      <c r="U697" t="s">
        <v>11720</v>
      </c>
      <c r="V697" t="s">
        <v>11720</v>
      </c>
      <c r="W697" t="s">
        <v>12400</v>
      </c>
      <c r="X697">
        <v>5</v>
      </c>
      <c r="Y697" t="s">
        <v>18196</v>
      </c>
      <c r="Z697" t="s">
        <v>23904</v>
      </c>
      <c r="AA697">
        <v>0.34165322486785837</v>
      </c>
      <c r="AB697" t="str">
        <f>HYPERLINK("Melting_Curves/meltCurve_F8VUJ3_POC1B_GALNT4.pdf", "Melting_Curves/meltCurve_F8VUJ3_POC1B_GALNT4.pdf")</f>
        <v>Melting_Curves/meltCurve_F8VUJ3_POC1B_GALNT4.pdf</v>
      </c>
    </row>
    <row r="698" spans="1:28" x14ac:dyDescent="0.25">
      <c r="A698" t="s">
        <v>702</v>
      </c>
      <c r="B698">
        <v>0.99334974765950101</v>
      </c>
      <c r="C698">
        <v>0.93053716316299895</v>
      </c>
      <c r="D698">
        <v>0.92296584482980604</v>
      </c>
      <c r="E698">
        <v>0.84425341395486297</v>
      </c>
      <c r="F698">
        <v>0.85549757422434902</v>
      </c>
      <c r="G698">
        <v>0.74751125513193295</v>
      </c>
      <c r="H698">
        <v>0.75798390774067204</v>
      </c>
      <c r="I698">
        <v>0.85525116059544803</v>
      </c>
      <c r="J698">
        <v>0.97341113777670896</v>
      </c>
      <c r="K698">
        <v>0.71661614663290696</v>
      </c>
      <c r="L698">
        <v>772.52107821074605</v>
      </c>
      <c r="M698">
        <v>16.8693602197609</v>
      </c>
      <c r="O698">
        <v>45.1653290313428</v>
      </c>
      <c r="P698">
        <v>-1.7460660451499601E-2</v>
      </c>
      <c r="Q698">
        <v>0.81301810408734299</v>
      </c>
      <c r="R698">
        <v>0.440155161893099</v>
      </c>
      <c r="S698" t="s">
        <v>6559</v>
      </c>
      <c r="T698" t="s">
        <v>11720</v>
      </c>
      <c r="U698" t="s">
        <v>11720</v>
      </c>
      <c r="V698" t="s">
        <v>11720</v>
      </c>
      <c r="W698" t="s">
        <v>12401</v>
      </c>
      <c r="X698">
        <v>6</v>
      </c>
      <c r="Y698" t="s">
        <v>18197</v>
      </c>
      <c r="Z698" t="s">
        <v>23905</v>
      </c>
      <c r="AA698">
        <v>0.85344523359005497</v>
      </c>
      <c r="AB698" t="str">
        <f>HYPERLINK("Melting_Curves/meltCurve_F8VV56_CD63.pdf", "Melting_Curves/meltCurve_F8VV56_CD63.pdf")</f>
        <v>Melting_Curves/meltCurve_F8VV56_CD63.pdf</v>
      </c>
    </row>
    <row r="699" spans="1:28" x14ac:dyDescent="0.25">
      <c r="A699" t="s">
        <v>703</v>
      </c>
      <c r="B699">
        <v>0.99334974765950101</v>
      </c>
      <c r="C699">
        <v>1.0626639078743101</v>
      </c>
      <c r="D699">
        <v>1.09662403069023</v>
      </c>
      <c r="E699">
        <v>0.97929999228083997</v>
      </c>
      <c r="F699">
        <v>0.41914652983068901</v>
      </c>
      <c r="G699">
        <v>0.205874686242735</v>
      </c>
      <c r="H699">
        <v>0.234189747792279</v>
      </c>
      <c r="I699">
        <v>0</v>
      </c>
      <c r="J699">
        <v>8.4824271905399401E-2</v>
      </c>
      <c r="K699">
        <v>0</v>
      </c>
      <c r="L699">
        <v>3162.2039191396798</v>
      </c>
      <c r="M699">
        <v>60.232587164303403</v>
      </c>
      <c r="N699">
        <v>52.700464247664698</v>
      </c>
      <c r="O699">
        <v>52.442108102634002</v>
      </c>
      <c r="P699">
        <v>-0.25772595662822501</v>
      </c>
      <c r="Q699">
        <v>0.102433576244084</v>
      </c>
      <c r="R699">
        <v>0.96888609910456402</v>
      </c>
      <c r="S699" t="s">
        <v>6560</v>
      </c>
      <c r="T699" t="s">
        <v>11720</v>
      </c>
      <c r="U699" t="s">
        <v>11720</v>
      </c>
      <c r="V699" t="s">
        <v>11720</v>
      </c>
      <c r="W699" t="s">
        <v>12402</v>
      </c>
      <c r="X699">
        <v>11</v>
      </c>
      <c r="Y699" t="s">
        <v>18198</v>
      </c>
      <c r="Z699" t="s">
        <v>23906</v>
      </c>
      <c r="AA699">
        <v>0.47784597158346059</v>
      </c>
      <c r="AB699" t="str">
        <f>HYPERLINK("Melting_Curves/meltCurve_F8VV59_NAP1L1.pdf", "Melting_Curves/meltCurve_F8VV59_NAP1L1.pdf")</f>
        <v>Melting_Curves/meltCurve_F8VV59_NAP1L1.pdf</v>
      </c>
    </row>
    <row r="700" spans="1:28" x14ac:dyDescent="0.25">
      <c r="A700" t="s">
        <v>704</v>
      </c>
      <c r="B700">
        <v>0.99334974765950101</v>
      </c>
      <c r="C700">
        <v>0.92332405566869802</v>
      </c>
      <c r="D700">
        <v>0.82225543059601502</v>
      </c>
      <c r="E700">
        <v>0.64945935506582997</v>
      </c>
      <c r="F700">
        <v>0.25641257708335002</v>
      </c>
      <c r="G700">
        <v>0.17457890543344601</v>
      </c>
      <c r="H700">
        <v>0.10145203138117199</v>
      </c>
      <c r="I700">
        <v>7.4729462409321906E-2</v>
      </c>
      <c r="J700">
        <v>7.9582035341479396E-2</v>
      </c>
      <c r="K700">
        <v>0.10481063564495301</v>
      </c>
      <c r="L700">
        <v>958.84339113734995</v>
      </c>
      <c r="M700">
        <v>19.0498720273259</v>
      </c>
      <c r="N700">
        <v>50.750395166731501</v>
      </c>
      <c r="O700">
        <v>49.788511938468403</v>
      </c>
      <c r="P700">
        <v>-8.8726658103183503E-2</v>
      </c>
      <c r="Q700">
        <v>7.2456972312546802E-2</v>
      </c>
      <c r="R700">
        <v>0.98675610839902705</v>
      </c>
      <c r="S700" t="s">
        <v>6561</v>
      </c>
      <c r="T700" t="s">
        <v>11720</v>
      </c>
      <c r="U700" t="s">
        <v>11720</v>
      </c>
      <c r="V700" t="s">
        <v>11720</v>
      </c>
      <c r="W700" t="s">
        <v>12403</v>
      </c>
      <c r="X700">
        <v>3</v>
      </c>
      <c r="Y700" t="s">
        <v>18199</v>
      </c>
      <c r="Z700" t="s">
        <v>23907</v>
      </c>
      <c r="AA700">
        <v>0.40609996249801428</v>
      </c>
      <c r="AB700" t="str">
        <f>HYPERLINK("Melting_Curves/meltCurve_F8VV64_TENC1.pdf", "Melting_Curves/meltCurve_F8VV64_TENC1.pdf")</f>
        <v>Melting_Curves/meltCurve_F8VV64_TENC1.pdf</v>
      </c>
    </row>
    <row r="701" spans="1:28" x14ac:dyDescent="0.25">
      <c r="A701" t="s">
        <v>705</v>
      </c>
      <c r="B701">
        <v>0.99334974765950101</v>
      </c>
      <c r="C701">
        <v>1.0018325787387401</v>
      </c>
      <c r="D701">
        <v>1.08619368122463</v>
      </c>
      <c r="E701">
        <v>0.83817206164241098</v>
      </c>
      <c r="F701">
        <v>0.41827982756007898</v>
      </c>
      <c r="G701">
        <v>0.32537678332404801</v>
      </c>
      <c r="H701">
        <v>0.25736952054803103</v>
      </c>
      <c r="I701">
        <v>0.29566387202179401</v>
      </c>
      <c r="J701">
        <v>0.18273653877964699</v>
      </c>
      <c r="K701">
        <v>8.3980231924402293E-2</v>
      </c>
      <c r="L701">
        <v>1990.49240852051</v>
      </c>
      <c r="M701">
        <v>38.510659143311599</v>
      </c>
      <c r="N701">
        <v>52.483617084572103</v>
      </c>
      <c r="O701">
        <v>51.5480101302309</v>
      </c>
      <c r="P701">
        <v>-0.145427818826531</v>
      </c>
      <c r="Q701">
        <v>0.22135878409479201</v>
      </c>
      <c r="R701">
        <v>0.96797855951993195</v>
      </c>
      <c r="S701" t="s">
        <v>6562</v>
      </c>
      <c r="T701" t="s">
        <v>11720</v>
      </c>
      <c r="U701" t="s">
        <v>11720</v>
      </c>
      <c r="V701" t="s">
        <v>11720</v>
      </c>
      <c r="W701" t="s">
        <v>12404</v>
      </c>
      <c r="X701">
        <v>1</v>
      </c>
      <c r="Y701" t="s">
        <v>18200</v>
      </c>
      <c r="Z701" t="s">
        <v>23908</v>
      </c>
      <c r="AA701">
        <v>0.52768758326612142</v>
      </c>
      <c r="AB701" t="str">
        <f>HYPERLINK("Melting_Curves/meltCurve_F8VVA2_DDX23.pdf", "Melting_Curves/meltCurve_F8VVA2_DDX23.pdf")</f>
        <v>Melting_Curves/meltCurve_F8VVA2_DDX23.pdf</v>
      </c>
    </row>
    <row r="702" spans="1:28" x14ac:dyDescent="0.25">
      <c r="A702" t="s">
        <v>706</v>
      </c>
      <c r="B702">
        <v>0.99334974765950101</v>
      </c>
      <c r="C702">
        <v>0.83621795680979705</v>
      </c>
      <c r="D702">
        <v>0.85940689242965296</v>
      </c>
      <c r="E702">
        <v>0.76065168157832697</v>
      </c>
      <c r="F702">
        <v>0.44509092330880701</v>
      </c>
      <c r="G702">
        <v>0.26577517821323798</v>
      </c>
      <c r="H702">
        <v>9.2812264201668798E-2</v>
      </c>
      <c r="I702">
        <v>4.57396028942001E-2</v>
      </c>
      <c r="J702">
        <v>4.0676482508032102E-2</v>
      </c>
      <c r="K702">
        <v>2.7610078451469199E-2</v>
      </c>
      <c r="L702">
        <v>762.31273513198403</v>
      </c>
      <c r="M702">
        <v>14.4784510105954</v>
      </c>
      <c r="N702">
        <v>52.651553230435098</v>
      </c>
      <c r="O702">
        <v>51.6776865818236</v>
      </c>
      <c r="P702">
        <v>-7.0050209699305296E-2</v>
      </c>
      <c r="Q702">
        <v>0</v>
      </c>
      <c r="R702">
        <v>0.98108204931732002</v>
      </c>
      <c r="S702" t="s">
        <v>6563</v>
      </c>
      <c r="T702" t="s">
        <v>11720</v>
      </c>
      <c r="U702" t="s">
        <v>11720</v>
      </c>
      <c r="V702" t="s">
        <v>11720</v>
      </c>
      <c r="W702" t="s">
        <v>12405</v>
      </c>
      <c r="X702">
        <v>6</v>
      </c>
      <c r="Y702" t="s">
        <v>18201</v>
      </c>
      <c r="Z702" t="s">
        <v>23909</v>
      </c>
      <c r="AA702">
        <v>0.44466866280939521</v>
      </c>
      <c r="AB702" t="str">
        <f>HYPERLINK("Melting_Curves/meltCurve_F8VVA7_COPZ1.pdf", "Melting_Curves/meltCurve_F8VVA7_COPZ1.pdf")</f>
        <v>Melting_Curves/meltCurve_F8VVA7_COPZ1.pdf</v>
      </c>
    </row>
    <row r="703" spans="1:28" x14ac:dyDescent="0.25">
      <c r="A703" t="s">
        <v>707</v>
      </c>
      <c r="B703">
        <v>0.99334974765950101</v>
      </c>
      <c r="C703">
        <v>0.93306119872022697</v>
      </c>
      <c r="D703">
        <v>0.91343800449451995</v>
      </c>
      <c r="E703">
        <v>0.71687155346716402</v>
      </c>
      <c r="F703">
        <v>0.461030803616998</v>
      </c>
      <c r="G703">
        <v>0.32900860438007101</v>
      </c>
      <c r="H703">
        <v>0.19683234633836899</v>
      </c>
      <c r="I703">
        <v>0.11390275112704699</v>
      </c>
      <c r="J703">
        <v>0.100720757840564</v>
      </c>
      <c r="K703">
        <v>7.6180260233807306E-2</v>
      </c>
      <c r="L703">
        <v>726.24395680280304</v>
      </c>
      <c r="M703">
        <v>13.771439742089701</v>
      </c>
      <c r="N703">
        <v>53.158048163996</v>
      </c>
      <c r="O703">
        <v>51.660839301915203</v>
      </c>
      <c r="P703">
        <v>-6.3197442764569206E-2</v>
      </c>
      <c r="Q703">
        <v>5.1842845790623801E-2</v>
      </c>
      <c r="R703">
        <v>0.99556184385920798</v>
      </c>
      <c r="S703" t="s">
        <v>6564</v>
      </c>
      <c r="T703" t="s">
        <v>11720</v>
      </c>
      <c r="U703" t="s">
        <v>11720</v>
      </c>
      <c r="V703" t="s">
        <v>11720</v>
      </c>
      <c r="W703" t="s">
        <v>12406</v>
      </c>
      <c r="X703">
        <v>5</v>
      </c>
      <c r="Y703" t="s">
        <v>18202</v>
      </c>
      <c r="Z703" t="s">
        <v>23910</v>
      </c>
      <c r="AA703">
        <v>0.47755666017796389</v>
      </c>
      <c r="AB703" t="str">
        <f>HYPERLINK("Melting_Curves/meltCurve_F8VW41_PACS2.pdf", "Melting_Curves/meltCurve_F8VW41_PACS2.pdf")</f>
        <v>Melting_Curves/meltCurve_F8VW41_PACS2.pdf</v>
      </c>
    </row>
    <row r="704" spans="1:28" x14ac:dyDescent="0.25">
      <c r="A704" t="s">
        <v>708</v>
      </c>
      <c r="B704">
        <v>0.99334974765950101</v>
      </c>
      <c r="C704">
        <v>1.0454487887580799</v>
      </c>
      <c r="D704">
        <v>0.88085584382135895</v>
      </c>
      <c r="E704">
        <v>0.96988133262746201</v>
      </c>
      <c r="F704">
        <v>1.1591393946136801</v>
      </c>
      <c r="G704">
        <v>0.77228819611857102</v>
      </c>
      <c r="H704">
        <v>0.65301364760619296</v>
      </c>
      <c r="I704">
        <v>0.71263748334811705</v>
      </c>
      <c r="J704">
        <v>0.72529496662202897</v>
      </c>
      <c r="K704">
        <v>0.56052821601000502</v>
      </c>
      <c r="L704">
        <v>14208.225244343001</v>
      </c>
      <c r="M704">
        <v>250</v>
      </c>
      <c r="O704">
        <v>56.8292656900122</v>
      </c>
      <c r="P704">
        <v>-0.37077225079447002</v>
      </c>
      <c r="Q704">
        <v>0.66286857411370803</v>
      </c>
      <c r="R704">
        <v>0.82117076493028196</v>
      </c>
      <c r="S704" t="s">
        <v>6565</v>
      </c>
      <c r="T704" t="s">
        <v>11720</v>
      </c>
      <c r="U704" t="s">
        <v>11720</v>
      </c>
      <c r="V704" t="s">
        <v>11720</v>
      </c>
      <c r="W704" t="s">
        <v>12407</v>
      </c>
      <c r="X704">
        <v>15</v>
      </c>
      <c r="Y704" t="s">
        <v>18203</v>
      </c>
      <c r="Z704" t="s">
        <v>23911</v>
      </c>
      <c r="AA704">
        <v>0.85206553016775233</v>
      </c>
      <c r="AB704" t="str">
        <f>HYPERLINK("Melting_Curves/meltCurve_F8VW96_CSRP2.pdf", "Melting_Curves/meltCurve_F8VW96_CSRP2.pdf")</f>
        <v>Melting_Curves/meltCurve_F8VW96_CSRP2.pdf</v>
      </c>
    </row>
    <row r="705" spans="1:28" x14ac:dyDescent="0.25">
      <c r="A705" t="s">
        <v>709</v>
      </c>
      <c r="B705">
        <v>0.99334974765950101</v>
      </c>
      <c r="C705">
        <v>1.02831820068278</v>
      </c>
      <c r="D705">
        <v>1.11374843436181</v>
      </c>
      <c r="E705">
        <v>0.910839832418189</v>
      </c>
      <c r="F705">
        <v>0.31979984460627803</v>
      </c>
      <c r="G705">
        <v>0.24604854931949999</v>
      </c>
      <c r="H705">
        <v>0.21589390869775099</v>
      </c>
      <c r="I705">
        <v>0.15319469945431399</v>
      </c>
      <c r="J705">
        <v>0.18009328780599801</v>
      </c>
      <c r="K705">
        <v>0.181965362997069</v>
      </c>
      <c r="L705">
        <v>3323.1768790200299</v>
      </c>
      <c r="M705">
        <v>64.383004082138697</v>
      </c>
      <c r="N705">
        <v>52.014624039925401</v>
      </c>
      <c r="O705">
        <v>51.566019582271103</v>
      </c>
      <c r="P705">
        <v>-0.25132585696035697</v>
      </c>
      <c r="Q705">
        <v>0.194826636514182</v>
      </c>
      <c r="R705">
        <v>0.98789538439764202</v>
      </c>
      <c r="S705" t="s">
        <v>6566</v>
      </c>
      <c r="T705" t="s">
        <v>11720</v>
      </c>
      <c r="U705" t="s">
        <v>11720</v>
      </c>
      <c r="V705" t="s">
        <v>11720</v>
      </c>
      <c r="W705" t="s">
        <v>12408</v>
      </c>
      <c r="X705">
        <v>8</v>
      </c>
      <c r="Y705" t="s">
        <v>18204</v>
      </c>
      <c r="Z705" t="s">
        <v>23912</v>
      </c>
      <c r="AA705">
        <v>0.50768615352154833</v>
      </c>
      <c r="AB705" t="str">
        <f>HYPERLINK("Melting_Curves/meltCurve_F8VWA6_MON2.pdf", "Melting_Curves/meltCurve_F8VWA6_MON2.pdf")</f>
        <v>Melting_Curves/meltCurve_F8VWA6_MON2.pdf</v>
      </c>
    </row>
    <row r="706" spans="1:28" x14ac:dyDescent="0.25">
      <c r="A706" t="s">
        <v>710</v>
      </c>
      <c r="B706">
        <v>0.99334974765950101</v>
      </c>
      <c r="C706">
        <v>0.92036566634983097</v>
      </c>
      <c r="D706">
        <v>0.73286654185266797</v>
      </c>
      <c r="E706">
        <v>0.93614412917111101</v>
      </c>
      <c r="F706">
        <v>1.0228200297471499</v>
      </c>
      <c r="G706">
        <v>0.85515823950847403</v>
      </c>
      <c r="H706">
        <v>0.90410837405670896</v>
      </c>
      <c r="I706">
        <v>1.2144186981670599</v>
      </c>
      <c r="J706">
        <v>1.25114318899554</v>
      </c>
      <c r="K706">
        <v>0.81863732672601097</v>
      </c>
      <c r="L706">
        <v>760.54456470853995</v>
      </c>
      <c r="M706">
        <v>11.994103956078501</v>
      </c>
      <c r="O706">
        <v>61.724319260038797</v>
      </c>
      <c r="P706">
        <v>2.1649823863440299E-3</v>
      </c>
      <c r="Q706">
        <v>1.04455516544196</v>
      </c>
      <c r="R706">
        <v>-3.7063066273783599E-2</v>
      </c>
      <c r="S706" t="s">
        <v>6567</v>
      </c>
      <c r="T706" t="s">
        <v>11720</v>
      </c>
      <c r="U706" t="s">
        <v>11720</v>
      </c>
      <c r="V706" t="s">
        <v>11720</v>
      </c>
      <c r="W706" t="s">
        <v>12409</v>
      </c>
      <c r="X706">
        <v>3</v>
      </c>
      <c r="Y706" t="s">
        <v>18205</v>
      </c>
      <c r="Z706" t="s">
        <v>23913</v>
      </c>
      <c r="AA706">
        <v>1.010833733977538</v>
      </c>
      <c r="AB706" t="str">
        <f>HYPERLINK("Melting_Curves/meltCurve_F8VWE0_TSPAN31.pdf", "Melting_Curves/meltCurve_F8VWE0_TSPAN31.pdf")</f>
        <v>Melting_Curves/meltCurve_F8VWE0_TSPAN31.pdf</v>
      </c>
    </row>
    <row r="707" spans="1:28" x14ac:dyDescent="0.25">
      <c r="A707" t="s">
        <v>711</v>
      </c>
      <c r="B707">
        <v>0.99334974765950101</v>
      </c>
      <c r="C707">
        <v>1.0501278357539101</v>
      </c>
      <c r="D707">
        <v>1.0506960530751099</v>
      </c>
      <c r="E707">
        <v>1.1831868906659599</v>
      </c>
      <c r="F707">
        <v>0.55350873249365595</v>
      </c>
      <c r="G707">
        <v>0.39816547610702402</v>
      </c>
      <c r="H707">
        <v>0.32216850493648003</v>
      </c>
      <c r="I707">
        <v>0.31714271189570598</v>
      </c>
      <c r="J707">
        <v>0.290637617242617</v>
      </c>
      <c r="K707">
        <v>0.19329187990433699</v>
      </c>
      <c r="L707">
        <v>13219.098322412299</v>
      </c>
      <c r="M707">
        <v>250</v>
      </c>
      <c r="N707">
        <v>53.075512169375898</v>
      </c>
      <c r="O707">
        <v>52.8730030103034</v>
      </c>
      <c r="P707">
        <v>-0.82239361515935205</v>
      </c>
      <c r="Q707">
        <v>0.30428119314191199</v>
      </c>
      <c r="R707">
        <v>0.95517256817891505</v>
      </c>
      <c r="S707" t="s">
        <v>6568</v>
      </c>
      <c r="T707" t="s">
        <v>11720</v>
      </c>
      <c r="U707" t="s">
        <v>11720</v>
      </c>
      <c r="V707" t="s">
        <v>11720</v>
      </c>
      <c r="W707" t="s">
        <v>12410</v>
      </c>
      <c r="X707">
        <v>5</v>
      </c>
      <c r="Y707" t="s">
        <v>18206</v>
      </c>
      <c r="Z707" t="s">
        <v>23914</v>
      </c>
      <c r="AA707">
        <v>0.6029573864690797</v>
      </c>
      <c r="AB707" t="str">
        <f>HYPERLINK("Melting_Curves/meltCurve_F8VXC8_SMARCC2.pdf", "Melting_Curves/meltCurve_F8VXC8_SMARCC2.pdf")</f>
        <v>Melting_Curves/meltCurve_F8VXC8_SMARCC2.pdf</v>
      </c>
    </row>
    <row r="708" spans="1:28" x14ac:dyDescent="0.25">
      <c r="A708" t="s">
        <v>712</v>
      </c>
      <c r="B708">
        <v>0.99334974765950101</v>
      </c>
      <c r="C708">
        <v>1.01003241641708</v>
      </c>
      <c r="D708">
        <v>0.82117057743908894</v>
      </c>
      <c r="E708">
        <v>0.75947387284155199</v>
      </c>
      <c r="F708">
        <v>0.66098757436121203</v>
      </c>
      <c r="G708">
        <v>0.495877149370753</v>
      </c>
      <c r="H708">
        <v>0.44958966862807798</v>
      </c>
      <c r="I708">
        <v>0.48773367243238502</v>
      </c>
      <c r="J708">
        <v>0.56434409974048105</v>
      </c>
      <c r="K708">
        <v>0.76560626705260704</v>
      </c>
      <c r="L708">
        <v>944.78855545054205</v>
      </c>
      <c r="M708">
        <v>19.4955712518023</v>
      </c>
      <c r="O708">
        <v>47.9604507708843</v>
      </c>
      <c r="P708">
        <v>-4.5164135453546597E-2</v>
      </c>
      <c r="Q708">
        <v>0.55558843902439303</v>
      </c>
      <c r="R708">
        <v>0.79198603052146099</v>
      </c>
      <c r="S708" t="s">
        <v>6569</v>
      </c>
      <c r="T708" t="s">
        <v>11720</v>
      </c>
      <c r="U708" t="s">
        <v>11720</v>
      </c>
      <c r="V708" t="s">
        <v>11720</v>
      </c>
      <c r="W708" t="s">
        <v>12411</v>
      </c>
      <c r="X708">
        <v>4</v>
      </c>
      <c r="Y708" t="s">
        <v>18207</v>
      </c>
      <c r="Z708" t="s">
        <v>23915</v>
      </c>
      <c r="AA708">
        <v>0.68754383136903874</v>
      </c>
      <c r="AB708" t="str">
        <f>HYPERLINK("Melting_Curves/meltCurve_F8VXG7_SCAF11.pdf", "Melting_Curves/meltCurve_F8VXG7_SCAF11.pdf")</f>
        <v>Melting_Curves/meltCurve_F8VXG7_SCAF11.pdf</v>
      </c>
    </row>
    <row r="709" spans="1:28" x14ac:dyDescent="0.25">
      <c r="A709" t="s">
        <v>713</v>
      </c>
      <c r="B709">
        <v>0.99334974765950101</v>
      </c>
      <c r="C709">
        <v>1.2085447240875899</v>
      </c>
      <c r="D709">
        <v>0.89799214136962902</v>
      </c>
      <c r="E709">
        <v>0.79111140434662897</v>
      </c>
      <c r="F709">
        <v>0.38214916237197399</v>
      </c>
      <c r="G709">
        <v>0.26866153127496001</v>
      </c>
      <c r="H709">
        <v>0.18131236760004199</v>
      </c>
      <c r="I709">
        <v>0.250274234999177</v>
      </c>
      <c r="J709">
        <v>0.20721124937941099</v>
      </c>
      <c r="K709">
        <v>7.3512264457394796E-2</v>
      </c>
      <c r="L709">
        <v>1605.92956819753</v>
      </c>
      <c r="M709">
        <v>31.229374508643001</v>
      </c>
      <c r="N709">
        <v>52.187292726236997</v>
      </c>
      <c r="O709">
        <v>51.214207281622201</v>
      </c>
      <c r="P709">
        <v>-0.124487803124865</v>
      </c>
      <c r="Q709">
        <v>0.183395907075598</v>
      </c>
      <c r="R709">
        <v>0.95128217262481896</v>
      </c>
      <c r="S709" t="s">
        <v>6570</v>
      </c>
      <c r="T709" t="s">
        <v>11720</v>
      </c>
      <c r="U709" t="s">
        <v>11720</v>
      </c>
      <c r="V709" t="s">
        <v>11720</v>
      </c>
      <c r="W709" t="s">
        <v>12412</v>
      </c>
      <c r="X709">
        <v>6</v>
      </c>
      <c r="Y709" t="s">
        <v>18208</v>
      </c>
      <c r="Z709" t="s">
        <v>23916</v>
      </c>
      <c r="AA709">
        <v>0.49912161822603929</v>
      </c>
      <c r="AB709" t="str">
        <f>HYPERLINK("Melting_Curves/meltCurve_F8VXI9_GIT2.pdf", "Melting_Curves/meltCurve_F8VXI9_GIT2.pdf")</f>
        <v>Melting_Curves/meltCurve_F8VXI9_GIT2.pdf</v>
      </c>
    </row>
    <row r="710" spans="1:28" x14ac:dyDescent="0.25">
      <c r="A710" t="s">
        <v>714</v>
      </c>
      <c r="B710">
        <v>0.99334974765950101</v>
      </c>
      <c r="C710">
        <v>0.882414862791428</v>
      </c>
      <c r="D710">
        <v>0.97546004490544902</v>
      </c>
      <c r="E710">
        <v>0.88742831473356798</v>
      </c>
      <c r="F710">
        <v>0.24797834717121001</v>
      </c>
      <c r="G710">
        <v>0.15461018351352199</v>
      </c>
      <c r="H710">
        <v>0.10340425408951399</v>
      </c>
      <c r="I710">
        <v>0.104150287079014</v>
      </c>
      <c r="J710">
        <v>9.0904244440578805E-2</v>
      </c>
      <c r="K710">
        <v>5.7254696872953703E-2</v>
      </c>
      <c r="L710">
        <v>3121.5955736564401</v>
      </c>
      <c r="M710">
        <v>60.508900673285801</v>
      </c>
      <c r="N710">
        <v>51.782218899576499</v>
      </c>
      <c r="O710">
        <v>51.532775657095101</v>
      </c>
      <c r="P710">
        <v>-0.26388624435657598</v>
      </c>
      <c r="Q710">
        <v>0.10103906621320501</v>
      </c>
      <c r="R710">
        <v>0.98809202284651299</v>
      </c>
      <c r="S710" t="s">
        <v>6571</v>
      </c>
      <c r="T710" t="s">
        <v>11720</v>
      </c>
      <c r="U710" t="s">
        <v>11720</v>
      </c>
      <c r="V710" t="s">
        <v>11720</v>
      </c>
      <c r="W710" t="s">
        <v>12413</v>
      </c>
      <c r="X710">
        <v>11</v>
      </c>
      <c r="Y710" t="s">
        <v>18198</v>
      </c>
      <c r="Z710" t="s">
        <v>23917</v>
      </c>
      <c r="AA710">
        <v>0.44970294300365132</v>
      </c>
      <c r="AB710" t="str">
        <f>HYPERLINK("Melting_Curves/meltCurve_F8VY35_NAP1L1.pdf", "Melting_Curves/meltCurve_F8VY35_NAP1L1.pdf")</f>
        <v>Melting_Curves/meltCurve_F8VY35_NAP1L1.pdf</v>
      </c>
    </row>
    <row r="711" spans="1:28" x14ac:dyDescent="0.25">
      <c r="A711" t="s">
        <v>715</v>
      </c>
      <c r="B711">
        <v>0.99334974765950101</v>
      </c>
      <c r="C711">
        <v>0.980613124884262</v>
      </c>
      <c r="D711">
        <v>0.83275419292548702</v>
      </c>
      <c r="E711">
        <v>0.56183510321809504</v>
      </c>
      <c r="F711">
        <v>0.35247525240387001</v>
      </c>
      <c r="G711">
        <v>0.18944884481270599</v>
      </c>
      <c r="H711">
        <v>0.16137835951162099</v>
      </c>
      <c r="I711">
        <v>0.13087635911933099</v>
      </c>
      <c r="J711">
        <v>0.13155977155005699</v>
      </c>
      <c r="K711">
        <v>0.107048771537021</v>
      </c>
      <c r="L711">
        <v>903.81099724531805</v>
      </c>
      <c r="M711">
        <v>18.074566239785501</v>
      </c>
      <c r="N711">
        <v>50.736369003473399</v>
      </c>
      <c r="O711">
        <v>49.404521989318297</v>
      </c>
      <c r="P711">
        <v>-8.0971421258073203E-2</v>
      </c>
      <c r="Q711">
        <v>0.11474270000324099</v>
      </c>
      <c r="R711">
        <v>0.99888634192152703</v>
      </c>
      <c r="S711" t="s">
        <v>6572</v>
      </c>
      <c r="T711" t="s">
        <v>11720</v>
      </c>
      <c r="U711" t="s">
        <v>11720</v>
      </c>
      <c r="V711" t="s">
        <v>11720</v>
      </c>
      <c r="W711" t="s">
        <v>12414</v>
      </c>
      <c r="X711">
        <v>6</v>
      </c>
      <c r="Y711" t="s">
        <v>18209</v>
      </c>
      <c r="Z711" t="s">
        <v>23918</v>
      </c>
      <c r="AA711">
        <v>0.42494125348410522</v>
      </c>
      <c r="AB711" t="str">
        <f>HYPERLINK("Melting_Curves/meltCurve_F8VYN9_ARL1.pdf", "Melting_Curves/meltCurve_F8VYN9_ARL1.pdf")</f>
        <v>Melting_Curves/meltCurve_F8VYN9_ARL1.pdf</v>
      </c>
    </row>
    <row r="712" spans="1:28" x14ac:dyDescent="0.25">
      <c r="A712" t="s">
        <v>716</v>
      </c>
      <c r="B712">
        <v>0.99334974765950101</v>
      </c>
      <c r="C712">
        <v>0.87485227228372497</v>
      </c>
      <c r="D712">
        <v>0.73991135843095301</v>
      </c>
      <c r="E712">
        <v>0.69216051708328497</v>
      </c>
      <c r="F712">
        <v>0.36513568453249501</v>
      </c>
      <c r="G712">
        <v>0.27064336661240401</v>
      </c>
      <c r="H712">
        <v>0.19854784120687599</v>
      </c>
      <c r="I712">
        <v>0.215594391853142</v>
      </c>
      <c r="J712">
        <v>0.19613590830500599</v>
      </c>
      <c r="K712">
        <v>0.16456606761751599</v>
      </c>
      <c r="L712">
        <v>636.32485335359399</v>
      </c>
      <c r="M712">
        <v>12.7015090042448</v>
      </c>
      <c r="N712">
        <v>51.4538554765006</v>
      </c>
      <c r="O712">
        <v>48.905224167866102</v>
      </c>
      <c r="P712">
        <v>-5.5707707118604399E-2</v>
      </c>
      <c r="Q712">
        <v>0.14218973732415199</v>
      </c>
      <c r="R712">
        <v>0.97405272500687101</v>
      </c>
      <c r="S712" t="s">
        <v>6573</v>
      </c>
      <c r="T712" t="s">
        <v>11720</v>
      </c>
      <c r="U712" t="s">
        <v>11720</v>
      </c>
      <c r="V712" t="s">
        <v>11720</v>
      </c>
      <c r="W712" t="s">
        <v>12415</v>
      </c>
      <c r="X712">
        <v>1</v>
      </c>
      <c r="Y712" t="s">
        <v>18210</v>
      </c>
      <c r="Z712" t="s">
        <v>23919</v>
      </c>
      <c r="AA712">
        <v>0.45792987007569141</v>
      </c>
      <c r="AB712" t="str">
        <f>HYPERLINK("Melting_Curves/meltCurve_F8VYY5_DNAJC14.pdf", "Melting_Curves/meltCurve_F8VYY5_DNAJC14.pdf")</f>
        <v>Melting_Curves/meltCurve_F8VYY5_DNAJC14.pdf</v>
      </c>
    </row>
    <row r="713" spans="1:28" x14ac:dyDescent="0.25">
      <c r="A713" t="s">
        <v>717</v>
      </c>
      <c r="B713">
        <v>0.99334974765950101</v>
      </c>
      <c r="C713">
        <v>0.88331645833541494</v>
      </c>
      <c r="D713">
        <v>0.84465292098639</v>
      </c>
      <c r="E713">
        <v>0.79288225507134202</v>
      </c>
      <c r="F713">
        <v>0.76457698407002594</v>
      </c>
      <c r="G713">
        <v>0.62984561911994297</v>
      </c>
      <c r="H713">
        <v>0.40254512950943</v>
      </c>
      <c r="I713">
        <v>0.28640511333405</v>
      </c>
      <c r="J713">
        <v>0.207008612889515</v>
      </c>
      <c r="K713">
        <v>0.182785370914268</v>
      </c>
      <c r="L713">
        <v>520.53568777182397</v>
      </c>
      <c r="M713">
        <v>8.9008811577011802</v>
      </c>
      <c r="N713">
        <v>58.481365873029198</v>
      </c>
      <c r="O713">
        <v>55.755347260311403</v>
      </c>
      <c r="P713">
        <v>-3.9940661849487302E-2</v>
      </c>
      <c r="Q713">
        <v>0</v>
      </c>
      <c r="R713">
        <v>0.97290478977148598</v>
      </c>
      <c r="S713" t="s">
        <v>6574</v>
      </c>
      <c r="T713" t="s">
        <v>11720</v>
      </c>
      <c r="U713" t="s">
        <v>11720</v>
      </c>
      <c r="V713" t="s">
        <v>11720</v>
      </c>
      <c r="W713" t="s">
        <v>12405</v>
      </c>
      <c r="X713">
        <v>4</v>
      </c>
      <c r="Y713" t="s">
        <v>18201</v>
      </c>
      <c r="Z713" t="s">
        <v>23920</v>
      </c>
      <c r="AA713">
        <v>0.61937275242642442</v>
      </c>
      <c r="AB713" t="str">
        <f>HYPERLINK("Melting_Curves/meltCurve_F8VYZ4_COPZ1.pdf", "Melting_Curves/meltCurve_F8VYZ4_COPZ1.pdf")</f>
        <v>Melting_Curves/meltCurve_F8VYZ4_COPZ1.pdf</v>
      </c>
    </row>
    <row r="714" spans="1:28" x14ac:dyDescent="0.25">
      <c r="A714" t="s">
        <v>718</v>
      </c>
      <c r="B714">
        <v>0.99334974765950101</v>
      </c>
      <c r="C714">
        <v>1.0620516341763</v>
      </c>
      <c r="D714">
        <v>1.0085587058971399</v>
      </c>
      <c r="E714">
        <v>0.82410098864540904</v>
      </c>
      <c r="F714">
        <v>0.75586551508544098</v>
      </c>
      <c r="G714">
        <v>0.52360657395531396</v>
      </c>
      <c r="H714">
        <v>0.48777402007340398</v>
      </c>
      <c r="I714">
        <v>0.91101257743351005</v>
      </c>
      <c r="J714">
        <v>0.85721522466955002</v>
      </c>
      <c r="K714">
        <v>0.99341797399861098</v>
      </c>
      <c r="L714">
        <v>7402.0290770492802</v>
      </c>
      <c r="M714">
        <v>148.97218400680299</v>
      </c>
      <c r="O714">
        <v>49.678367386084297</v>
      </c>
      <c r="P714">
        <v>-0.18381370846363401</v>
      </c>
      <c r="Q714">
        <v>0.75481153179669402</v>
      </c>
      <c r="R714">
        <v>0.39003572486816801</v>
      </c>
      <c r="S714" t="s">
        <v>6575</v>
      </c>
      <c r="T714" t="s">
        <v>11720</v>
      </c>
      <c r="U714" t="s">
        <v>11720</v>
      </c>
      <c r="V714" t="s">
        <v>11720</v>
      </c>
      <c r="W714" t="s">
        <v>12416</v>
      </c>
      <c r="X714">
        <v>7</v>
      </c>
      <c r="Y714" t="s">
        <v>18211</v>
      </c>
      <c r="Z714" t="s">
        <v>23921</v>
      </c>
      <c r="AA714">
        <v>0.83404576789240203</v>
      </c>
      <c r="AB714" t="str">
        <f>HYPERLINK("Melting_Curves/meltCurve_F8VZJ2_NACA.pdf", "Melting_Curves/meltCurve_F8VZJ2_NACA.pdf")</f>
        <v>Melting_Curves/meltCurve_F8VZJ2_NACA.pdf</v>
      </c>
    </row>
    <row r="715" spans="1:28" x14ac:dyDescent="0.25">
      <c r="A715" t="s">
        <v>719</v>
      </c>
      <c r="B715">
        <v>0.99334974765950101</v>
      </c>
      <c r="C715">
        <v>0.93969286919272499</v>
      </c>
      <c r="D715">
        <v>0.82373434522890598</v>
      </c>
      <c r="E715">
        <v>0.73633803264908304</v>
      </c>
      <c r="F715">
        <v>0.52914442786484195</v>
      </c>
      <c r="G715">
        <v>0.33780158294841001</v>
      </c>
      <c r="H715">
        <v>0.28473363364718701</v>
      </c>
      <c r="I715">
        <v>0.24832491122954101</v>
      </c>
      <c r="J715">
        <v>0.24667459353420501</v>
      </c>
      <c r="K715">
        <v>0.19674100930688099</v>
      </c>
      <c r="L715">
        <v>673.26334115992995</v>
      </c>
      <c r="M715">
        <v>12.9933006880996</v>
      </c>
      <c r="N715">
        <v>53.677363370345397</v>
      </c>
      <c r="O715">
        <v>50.634882584860499</v>
      </c>
      <c r="P715">
        <v>-5.25270611585089E-2</v>
      </c>
      <c r="Q715">
        <v>0.18135325268199401</v>
      </c>
      <c r="R715">
        <v>0.99237591215255405</v>
      </c>
      <c r="S715" t="s">
        <v>6576</v>
      </c>
      <c r="T715" t="s">
        <v>11720</v>
      </c>
      <c r="U715" t="s">
        <v>11720</v>
      </c>
      <c r="V715" t="s">
        <v>11720</v>
      </c>
      <c r="W715" t="s">
        <v>12417</v>
      </c>
      <c r="X715">
        <v>6</v>
      </c>
      <c r="Y715" t="s">
        <v>18212</v>
      </c>
      <c r="Z715" t="s">
        <v>23922</v>
      </c>
      <c r="AA715">
        <v>0.52656483926233588</v>
      </c>
      <c r="AB715" t="str">
        <f>HYPERLINK("Melting_Curves/meltCurve_F8W038_C17orf49.pdf", "Melting_Curves/meltCurve_F8W038_C17orf49.pdf")</f>
        <v>Melting_Curves/meltCurve_F8W038_C17orf49.pdf</v>
      </c>
    </row>
    <row r="716" spans="1:28" x14ac:dyDescent="0.25">
      <c r="A716" t="s">
        <v>720</v>
      </c>
      <c r="B716">
        <v>0.99334974765950101</v>
      </c>
      <c r="C716">
        <v>0.98861709305287604</v>
      </c>
      <c r="D716">
        <v>0.97198705184711198</v>
      </c>
      <c r="E716">
        <v>0.78033606303327396</v>
      </c>
      <c r="F716">
        <v>0.47259457534514498</v>
      </c>
      <c r="G716">
        <v>0.528476571520615</v>
      </c>
      <c r="H716">
        <v>0.38613442831268702</v>
      </c>
      <c r="I716">
        <v>0.36179162572148799</v>
      </c>
      <c r="J716">
        <v>0.243956118110599</v>
      </c>
      <c r="K716">
        <v>0.211133784257442</v>
      </c>
      <c r="L716">
        <v>696.60069774396004</v>
      </c>
      <c r="M716">
        <v>13.1753134140729</v>
      </c>
      <c r="N716">
        <v>55.564393207964898</v>
      </c>
      <c r="O716">
        <v>51.6981541894082</v>
      </c>
      <c r="P716">
        <v>-4.86874120050904E-2</v>
      </c>
      <c r="Q716">
        <v>0.23595675023865501</v>
      </c>
      <c r="R716">
        <v>0.95440686059483004</v>
      </c>
      <c r="S716" t="s">
        <v>6577</v>
      </c>
      <c r="T716" t="s">
        <v>11720</v>
      </c>
      <c r="U716" t="s">
        <v>11720</v>
      </c>
      <c r="V716" t="s">
        <v>11720</v>
      </c>
      <c r="W716" t="s">
        <v>12418</v>
      </c>
      <c r="X716">
        <v>1</v>
      </c>
      <c r="Y716" t="s">
        <v>18213</v>
      </c>
      <c r="Z716" t="s">
        <v>23923</v>
      </c>
      <c r="AA716">
        <v>0.58342015198556618</v>
      </c>
      <c r="AB716" t="str">
        <f>HYPERLINK("Melting_Curves/meltCurve_F8W1B3_CHPT1.pdf", "Melting_Curves/meltCurve_F8W1B3_CHPT1.pdf")</f>
        <v>Melting_Curves/meltCurve_F8W1B3_CHPT1.pdf</v>
      </c>
    </row>
    <row r="717" spans="1:28" x14ac:dyDescent="0.25">
      <c r="A717" t="s">
        <v>721</v>
      </c>
      <c r="B717">
        <v>0.99334974765950101</v>
      </c>
      <c r="C717">
        <v>0.81552853459575303</v>
      </c>
      <c r="D717">
        <v>0.98676745111428199</v>
      </c>
      <c r="E717">
        <v>0.79288697911959205</v>
      </c>
      <c r="F717">
        <v>0.65599493293087396</v>
      </c>
      <c r="G717">
        <v>0.42371905433059198</v>
      </c>
      <c r="H717">
        <v>0.339534202979136</v>
      </c>
      <c r="I717">
        <v>0.361764268181621</v>
      </c>
      <c r="J717">
        <v>0.19409275342041299</v>
      </c>
      <c r="K717">
        <v>0.21218931224732401</v>
      </c>
      <c r="L717">
        <v>619.67298217237806</v>
      </c>
      <c r="M717">
        <v>11.350320239755201</v>
      </c>
      <c r="N717">
        <v>56.327779389760401</v>
      </c>
      <c r="O717">
        <v>52.982888290589898</v>
      </c>
      <c r="P717">
        <v>-4.5678749493285299E-2</v>
      </c>
      <c r="Q717">
        <v>0.1473478440547</v>
      </c>
      <c r="R717">
        <v>0.95432606635906803</v>
      </c>
      <c r="S717" t="s">
        <v>6578</v>
      </c>
      <c r="T717" t="s">
        <v>11720</v>
      </c>
      <c r="U717" t="s">
        <v>11720</v>
      </c>
      <c r="V717" t="s">
        <v>11720</v>
      </c>
      <c r="W717" t="s">
        <v>12311</v>
      </c>
      <c r="X717">
        <v>1</v>
      </c>
      <c r="Z717" t="s">
        <v>23924</v>
      </c>
      <c r="AA717">
        <v>0.58401208633737534</v>
      </c>
      <c r="AB717" t="str">
        <f>HYPERLINK("Melting_Curves/meltCurve_F8W1H4_.pdf", "Melting_Curves/meltCurve_F8W1H4_.pdf")</f>
        <v>Melting_Curves/meltCurve_F8W1H4_.pdf</v>
      </c>
    </row>
    <row r="718" spans="1:28" x14ac:dyDescent="0.25">
      <c r="A718" t="s">
        <v>722</v>
      </c>
      <c r="B718">
        <v>0.99334974765950101</v>
      </c>
      <c r="C718">
        <v>1.03060775657921</v>
      </c>
      <c r="D718">
        <v>0.94029113401800102</v>
      </c>
      <c r="E718">
        <v>0.54286864638092902</v>
      </c>
      <c r="F718">
        <v>0.20173249788560099</v>
      </c>
      <c r="G718">
        <v>9.6421059056008396E-2</v>
      </c>
      <c r="H718">
        <v>9.9305157661277801E-2</v>
      </c>
      <c r="I718">
        <v>0.103768390022935</v>
      </c>
      <c r="J718">
        <v>8.24612092721657E-2</v>
      </c>
      <c r="K718">
        <v>7.6443644921919102E-2</v>
      </c>
      <c r="L718">
        <v>1671.6682064101699</v>
      </c>
      <c r="M718">
        <v>33.453715196395301</v>
      </c>
      <c r="N718">
        <v>50.259881113589003</v>
      </c>
      <c r="O718">
        <v>49.792036886777403</v>
      </c>
      <c r="P718">
        <v>-0.15321091065755599</v>
      </c>
      <c r="Q718">
        <v>8.7855946305301205E-2</v>
      </c>
      <c r="R718">
        <v>0.99879745264084496</v>
      </c>
      <c r="S718" t="s">
        <v>6579</v>
      </c>
      <c r="T718" t="s">
        <v>11720</v>
      </c>
      <c r="U718" t="s">
        <v>11720</v>
      </c>
      <c r="V718" t="s">
        <v>11720</v>
      </c>
      <c r="W718" t="s">
        <v>12419</v>
      </c>
      <c r="X718">
        <v>2</v>
      </c>
      <c r="Y718" t="s">
        <v>18214</v>
      </c>
      <c r="Z718" t="s">
        <v>23925</v>
      </c>
      <c r="AA718">
        <v>0.39550195721746761</v>
      </c>
      <c r="AB718" t="str">
        <f>HYPERLINK("Melting_Curves/meltCurve_F8W1I9_ACAD10.pdf", "Melting_Curves/meltCurve_F8W1I9_ACAD10.pdf")</f>
        <v>Melting_Curves/meltCurve_F8W1I9_ACAD10.pdf</v>
      </c>
    </row>
    <row r="719" spans="1:28" x14ac:dyDescent="0.25">
      <c r="A719" t="s">
        <v>723</v>
      </c>
      <c r="B719">
        <v>0.99334974765950101</v>
      </c>
      <c r="C719">
        <v>1.0074535995891201</v>
      </c>
      <c r="D719">
        <v>0.964502028250805</v>
      </c>
      <c r="E719">
        <v>1.1100433612243099</v>
      </c>
      <c r="F719">
        <v>0.85547105283123503</v>
      </c>
      <c r="G719">
        <v>0.861811604230456</v>
      </c>
      <c r="H719">
        <v>0.74629550355477103</v>
      </c>
      <c r="I719">
        <v>0.97692121894778094</v>
      </c>
      <c r="J719">
        <v>0.91091066204776905</v>
      </c>
      <c r="K719">
        <v>0.62539341848891505</v>
      </c>
      <c r="L719">
        <v>414.47193638251298</v>
      </c>
      <c r="M719">
        <v>4.8726964660529397</v>
      </c>
      <c r="Q719">
        <v>0</v>
      </c>
      <c r="R719">
        <v>0.44670812654535602</v>
      </c>
      <c r="S719" t="s">
        <v>6580</v>
      </c>
      <c r="T719" t="s">
        <v>11720</v>
      </c>
      <c r="U719" t="s">
        <v>11720</v>
      </c>
      <c r="V719" t="s">
        <v>11720</v>
      </c>
      <c r="W719" t="s">
        <v>12420</v>
      </c>
      <c r="X719">
        <v>1</v>
      </c>
      <c r="Y719" t="s">
        <v>18215</v>
      </c>
      <c r="Z719" t="s">
        <v>23926</v>
      </c>
      <c r="AA719">
        <v>0.91120674689311554</v>
      </c>
      <c r="AB719" t="str">
        <f>HYPERLINK("Melting_Curves/meltCurve_F8W1P7_SLC11A2.pdf", "Melting_Curves/meltCurve_F8W1P7_SLC11A2.pdf")</f>
        <v>Melting_Curves/meltCurve_F8W1P7_SLC11A2.pdf</v>
      </c>
    </row>
    <row r="720" spans="1:28" x14ac:dyDescent="0.25">
      <c r="A720" t="s">
        <v>724</v>
      </c>
      <c r="B720">
        <v>0.99334974765950101</v>
      </c>
      <c r="C720">
        <v>0.97438028194165405</v>
      </c>
      <c r="D720">
        <v>1.0570939589678201</v>
      </c>
      <c r="E720">
        <v>0.91402255895565598</v>
      </c>
      <c r="F720">
        <v>0.63616163369715795</v>
      </c>
      <c r="G720">
        <v>0.65879401647881997</v>
      </c>
      <c r="H720">
        <v>0.49940524193776398</v>
      </c>
      <c r="I720">
        <v>0.34386878800688497</v>
      </c>
      <c r="J720">
        <v>0.19115408022247801</v>
      </c>
      <c r="K720">
        <v>4.4635262799889198E-2</v>
      </c>
      <c r="L720">
        <v>672.48137667425999</v>
      </c>
      <c r="M720">
        <v>11.337042448365199</v>
      </c>
      <c r="N720">
        <v>59.317179054487298</v>
      </c>
      <c r="O720">
        <v>57.561516822079497</v>
      </c>
      <c r="P720">
        <v>-4.9253600667152703E-2</v>
      </c>
      <c r="Q720">
        <v>0</v>
      </c>
      <c r="R720">
        <v>0.95148401976872099</v>
      </c>
      <c r="S720" t="s">
        <v>6581</v>
      </c>
      <c r="T720" t="s">
        <v>11720</v>
      </c>
      <c r="U720" t="s">
        <v>11720</v>
      </c>
      <c r="V720" t="s">
        <v>11720</v>
      </c>
      <c r="W720" t="s">
        <v>12421</v>
      </c>
      <c r="X720">
        <v>1</v>
      </c>
      <c r="Y720" t="s">
        <v>18216</v>
      </c>
      <c r="Z720" t="s">
        <v>23927</v>
      </c>
      <c r="AA720">
        <v>0.64880247526246104</v>
      </c>
      <c r="AB720" t="str">
        <f>HYPERLINK("Melting_Curves/meltCurve_F8W1Q3_BTD.pdf", "Melting_Curves/meltCurve_F8W1Q3_BTD.pdf")</f>
        <v>Melting_Curves/meltCurve_F8W1Q3_BTD.pdf</v>
      </c>
    </row>
    <row r="721" spans="1:28" x14ac:dyDescent="0.25">
      <c r="A721" t="s">
        <v>725</v>
      </c>
      <c r="B721">
        <v>0.99334974765950101</v>
      </c>
      <c r="C721">
        <v>1.02495393000982</v>
      </c>
      <c r="D721">
        <v>1.01554931914914</v>
      </c>
      <c r="E721">
        <v>0.69538585259987795</v>
      </c>
      <c r="F721">
        <v>0.60624455879817296</v>
      </c>
      <c r="G721">
        <v>0.44055369907613101</v>
      </c>
      <c r="H721">
        <v>0.375305243132322</v>
      </c>
      <c r="I721">
        <v>0.48258930966088698</v>
      </c>
      <c r="J721">
        <v>0.46432653551693198</v>
      </c>
      <c r="K721">
        <v>0.65823816845526395</v>
      </c>
      <c r="L721">
        <v>1731.8471160127399</v>
      </c>
      <c r="M721">
        <v>34.800960576739698</v>
      </c>
      <c r="N721">
        <v>56.283150428927897</v>
      </c>
      <c r="O721">
        <v>49.6008876451981</v>
      </c>
      <c r="P721">
        <v>-8.9260542818399596E-2</v>
      </c>
      <c r="Q721">
        <v>0.49111908707105101</v>
      </c>
      <c r="R721">
        <v>0.90768973282556298</v>
      </c>
      <c r="S721" t="s">
        <v>6582</v>
      </c>
      <c r="T721" t="s">
        <v>11720</v>
      </c>
      <c r="U721" t="s">
        <v>11720</v>
      </c>
      <c r="V721" t="s">
        <v>11720</v>
      </c>
      <c r="W721" t="s">
        <v>12422</v>
      </c>
      <c r="X721">
        <v>2</v>
      </c>
      <c r="Y721" t="s">
        <v>18217</v>
      </c>
      <c r="Z721" t="s">
        <v>23928</v>
      </c>
      <c r="AA721">
        <v>0.65906948664017029</v>
      </c>
      <c r="AB721" t="str">
        <f>HYPERLINK("Melting_Curves/meltCurve_F8W1T6_RBMS2.pdf", "Melting_Curves/meltCurve_F8W1T6_RBMS2.pdf")</f>
        <v>Melting_Curves/meltCurve_F8W1T6_RBMS2.pdf</v>
      </c>
    </row>
    <row r="722" spans="1:28" x14ac:dyDescent="0.25">
      <c r="A722" t="s">
        <v>726</v>
      </c>
      <c r="B722">
        <v>0.99334974765950101</v>
      </c>
      <c r="C722">
        <v>1.0740137278380399</v>
      </c>
      <c r="D722">
        <v>0.94710690343584503</v>
      </c>
      <c r="E722">
        <v>0.87643692669678996</v>
      </c>
      <c r="F722">
        <v>0.58715749780111803</v>
      </c>
      <c r="G722">
        <v>0.28640053504167501</v>
      </c>
      <c r="H722">
        <v>0.218491790924559</v>
      </c>
      <c r="I722">
        <v>0.202709374224737</v>
      </c>
      <c r="J722">
        <v>0.18704015664809301</v>
      </c>
      <c r="K722">
        <v>0.171662172476618</v>
      </c>
      <c r="L722">
        <v>1443.9016996340999</v>
      </c>
      <c r="M722">
        <v>27.253381703047701</v>
      </c>
      <c r="N722">
        <v>53.898902681061102</v>
      </c>
      <c r="O722">
        <v>52.6978554833494</v>
      </c>
      <c r="P722">
        <v>-0.105280520203891</v>
      </c>
      <c r="Q722">
        <v>0.185715042672569</v>
      </c>
      <c r="R722">
        <v>0.99397640703955703</v>
      </c>
      <c r="S722" t="s">
        <v>6583</v>
      </c>
      <c r="T722" t="s">
        <v>11720</v>
      </c>
      <c r="U722" t="s">
        <v>11720</v>
      </c>
      <c r="V722" t="s">
        <v>11720</v>
      </c>
      <c r="W722" t="s">
        <v>12423</v>
      </c>
      <c r="X722">
        <v>12</v>
      </c>
      <c r="Y722" t="s">
        <v>18218</v>
      </c>
      <c r="Z722" t="s">
        <v>23929</v>
      </c>
      <c r="AA722">
        <v>0.54440807635153243</v>
      </c>
      <c r="AB722" t="str">
        <f>HYPERLINK("Melting_Curves/meltCurve_F8W6I7_HNRNPA1.pdf", "Melting_Curves/meltCurve_F8W6I7_HNRNPA1.pdf")</f>
        <v>Melting_Curves/meltCurve_F8W6I7_HNRNPA1.pdf</v>
      </c>
    </row>
    <row r="723" spans="1:28" x14ac:dyDescent="0.25">
      <c r="A723" t="s">
        <v>727</v>
      </c>
      <c r="B723">
        <v>0.99334974765950101</v>
      </c>
      <c r="C723">
        <v>0.86431614454300698</v>
      </c>
      <c r="D723">
        <v>0.63432084441324699</v>
      </c>
      <c r="E723">
        <v>0.26143188400238498</v>
      </c>
      <c r="F723">
        <v>0.194993272132269</v>
      </c>
      <c r="G723">
        <v>0.12785795428355201</v>
      </c>
      <c r="H723">
        <v>0.10381019034752099</v>
      </c>
      <c r="I723">
        <v>9.3735510982152395E-2</v>
      </c>
      <c r="J723">
        <v>9.7956971412163904E-2</v>
      </c>
      <c r="K723">
        <v>9.0673597119831001E-2</v>
      </c>
      <c r="L723">
        <v>965.91439241866897</v>
      </c>
      <c r="M723">
        <v>20.664128218697201</v>
      </c>
      <c r="N723">
        <v>47.239689680740902</v>
      </c>
      <c r="O723">
        <v>46.3123778863526</v>
      </c>
      <c r="P723">
        <v>-0.10066912593899301</v>
      </c>
      <c r="Q723">
        <v>9.7548523259831293E-2</v>
      </c>
      <c r="R723">
        <v>0.99814837862959704</v>
      </c>
      <c r="S723" t="s">
        <v>6584</v>
      </c>
      <c r="T723" t="s">
        <v>11720</v>
      </c>
      <c r="U723" t="s">
        <v>11720</v>
      </c>
      <c r="V723" t="s">
        <v>11720</v>
      </c>
      <c r="W723" t="s">
        <v>12424</v>
      </c>
      <c r="X723">
        <v>4</v>
      </c>
      <c r="Y723" t="s">
        <v>18219</v>
      </c>
      <c r="Z723" t="s">
        <v>23930</v>
      </c>
      <c r="AA723">
        <v>0.31282428340067597</v>
      </c>
      <c r="AB723" t="str">
        <f>HYPERLINK("Melting_Curves/meltCurve_F8W6N8_TRIM5.pdf", "Melting_Curves/meltCurve_F8W6N8_TRIM5.pdf")</f>
        <v>Melting_Curves/meltCurve_F8W6N8_TRIM5.pdf</v>
      </c>
    </row>
    <row r="724" spans="1:28" x14ac:dyDescent="0.25">
      <c r="A724" t="s">
        <v>728</v>
      </c>
      <c r="B724">
        <v>0.99334974765950101</v>
      </c>
      <c r="C724">
        <v>0.96752072917467102</v>
      </c>
      <c r="D724">
        <v>0.92169843880073499</v>
      </c>
      <c r="E724">
        <v>0.74381447151860103</v>
      </c>
      <c r="F724">
        <v>0.57046145419400995</v>
      </c>
      <c r="G724">
        <v>0.27033988065563502</v>
      </c>
      <c r="H724">
        <v>0.16049891703862701</v>
      </c>
      <c r="I724">
        <v>0.14869893969391801</v>
      </c>
      <c r="J724">
        <v>0.139534916872563</v>
      </c>
      <c r="K724">
        <v>0.123559766411661</v>
      </c>
      <c r="L724">
        <v>933.90626719980298</v>
      </c>
      <c r="M724">
        <v>17.699693943322899</v>
      </c>
      <c r="N724">
        <v>53.481328370418403</v>
      </c>
      <c r="O724">
        <v>52.104273090914504</v>
      </c>
      <c r="P724">
        <v>-7.5954860280816397E-2</v>
      </c>
      <c r="Q724">
        <v>0.105664955905984</v>
      </c>
      <c r="R724">
        <v>0.997444411820817</v>
      </c>
      <c r="S724" t="s">
        <v>6585</v>
      </c>
      <c r="T724" t="s">
        <v>11720</v>
      </c>
      <c r="U724" t="s">
        <v>11720</v>
      </c>
      <c r="V724" t="s">
        <v>11720</v>
      </c>
      <c r="W724" t="s">
        <v>12425</v>
      </c>
      <c r="X724">
        <v>22</v>
      </c>
      <c r="Y724" t="s">
        <v>18220</v>
      </c>
      <c r="Z724" t="s">
        <v>23931</v>
      </c>
      <c r="AA724">
        <v>0.50128708326924842</v>
      </c>
      <c r="AB724" t="str">
        <f>HYPERLINK("Melting_Curves/meltCurve_F8W717_EML1.pdf", "Melting_Curves/meltCurve_F8W717_EML1.pdf")</f>
        <v>Melting_Curves/meltCurve_F8W717_EML1.pdf</v>
      </c>
    </row>
    <row r="725" spans="1:28" x14ac:dyDescent="0.25">
      <c r="A725" t="s">
        <v>729</v>
      </c>
      <c r="B725">
        <v>0.99334974765950101</v>
      </c>
      <c r="C725">
        <v>0.98969774548546596</v>
      </c>
      <c r="D725">
        <v>0.76618896714904206</v>
      </c>
      <c r="E725">
        <v>0.83504686606686995</v>
      </c>
      <c r="F725">
        <v>0.78414194452044395</v>
      </c>
      <c r="G725">
        <v>0.60778088015549603</v>
      </c>
      <c r="H725">
        <v>0.62343751638697498</v>
      </c>
      <c r="I725">
        <v>0.59943826762248198</v>
      </c>
      <c r="J725">
        <v>0.821536890851575</v>
      </c>
      <c r="K725">
        <v>0.79043940988084005</v>
      </c>
      <c r="L725">
        <v>839.67820642228696</v>
      </c>
      <c r="M725">
        <v>18.249159388402301</v>
      </c>
      <c r="O725">
        <v>45.470056082051599</v>
      </c>
      <c r="P725">
        <v>-2.98194479492787E-2</v>
      </c>
      <c r="Q725">
        <v>0.70281840273694496</v>
      </c>
      <c r="R725">
        <v>0.61816798026841302</v>
      </c>
      <c r="S725" t="s">
        <v>6586</v>
      </c>
      <c r="T725" t="s">
        <v>11720</v>
      </c>
      <c r="U725" t="s">
        <v>11720</v>
      </c>
      <c r="V725" t="s">
        <v>11720</v>
      </c>
      <c r="W725" t="s">
        <v>12426</v>
      </c>
      <c r="X725">
        <v>25</v>
      </c>
      <c r="Y725" t="s">
        <v>18221</v>
      </c>
      <c r="Z725" t="s">
        <v>23932</v>
      </c>
      <c r="AA725">
        <v>0.76802429414818219</v>
      </c>
      <c r="AB725" t="str">
        <f>HYPERLINK("Melting_Curves/meltCurve_F8W726_UBAP2L.pdf", "Melting_Curves/meltCurve_F8W726_UBAP2L.pdf")</f>
        <v>Melting_Curves/meltCurve_F8W726_UBAP2L.pdf</v>
      </c>
    </row>
    <row r="726" spans="1:28" x14ac:dyDescent="0.25">
      <c r="A726" t="s">
        <v>730</v>
      </c>
      <c r="B726">
        <v>0.99334974765950101</v>
      </c>
      <c r="C726">
        <v>1.0005991444872799</v>
      </c>
      <c r="D726">
        <v>1.08386181725457</v>
      </c>
      <c r="E726">
        <v>1.3237387219779799</v>
      </c>
      <c r="F726">
        <v>1.81016764746206</v>
      </c>
      <c r="G726">
        <v>1.76556779333226</v>
      </c>
      <c r="H726">
        <v>1.40653347978411</v>
      </c>
      <c r="I726">
        <v>0.46846039404614098</v>
      </c>
      <c r="J726">
        <v>0.30979521310237002</v>
      </c>
      <c r="K726">
        <v>0.20589690669623101</v>
      </c>
      <c r="L726">
        <v>15000</v>
      </c>
      <c r="M726">
        <v>235.30031459271899</v>
      </c>
      <c r="N726">
        <v>63.945348126892</v>
      </c>
      <c r="O726">
        <v>63.743731954860401</v>
      </c>
      <c r="P726">
        <v>-0.68490406100976797</v>
      </c>
      <c r="Q726">
        <v>0.25782793759474198</v>
      </c>
      <c r="R726">
        <v>0.47332742020200602</v>
      </c>
      <c r="S726" t="s">
        <v>6587</v>
      </c>
      <c r="T726" t="s">
        <v>11720</v>
      </c>
      <c r="U726" t="s">
        <v>11720</v>
      </c>
      <c r="V726" t="s">
        <v>11720</v>
      </c>
      <c r="W726" t="s">
        <v>12427</v>
      </c>
      <c r="X726">
        <v>5</v>
      </c>
      <c r="Y726" t="s">
        <v>18222</v>
      </c>
      <c r="Z726" t="s">
        <v>23933</v>
      </c>
      <c r="AA726">
        <v>0.84543301821688088</v>
      </c>
      <c r="AB726" t="str">
        <f>HYPERLINK("Melting_Curves/meltCurve_F8W7D6_GPHN.pdf", "Melting_Curves/meltCurve_F8W7D6_GPHN.pdf")</f>
        <v>Melting_Curves/meltCurve_F8W7D6_GPHN.pdf</v>
      </c>
    </row>
    <row r="727" spans="1:28" x14ac:dyDescent="0.25">
      <c r="A727" t="s">
        <v>731</v>
      </c>
      <c r="B727">
        <v>0.99334974765950101</v>
      </c>
      <c r="C727">
        <v>0.86625994513422999</v>
      </c>
      <c r="D727">
        <v>0.82830587863008998</v>
      </c>
      <c r="E727">
        <v>0.99933181342755095</v>
      </c>
      <c r="F727">
        <v>0.89453055421702798</v>
      </c>
      <c r="G727">
        <v>0.811050318348157</v>
      </c>
      <c r="H727">
        <v>0.70708316303687102</v>
      </c>
      <c r="I727">
        <v>0.70061016553876998</v>
      </c>
      <c r="J727">
        <v>0.56322091104890504</v>
      </c>
      <c r="K727">
        <v>0.50846620099919804</v>
      </c>
      <c r="L727">
        <v>386.45707466456901</v>
      </c>
      <c r="M727">
        <v>5.4007560851390997</v>
      </c>
      <c r="O727">
        <v>63.524271139322799</v>
      </c>
      <c r="P727">
        <v>-2.1354471133994302E-2</v>
      </c>
      <c r="Q727">
        <v>0</v>
      </c>
      <c r="R727">
        <v>0.84319473692681801</v>
      </c>
      <c r="S727" t="s">
        <v>6588</v>
      </c>
      <c r="T727" t="s">
        <v>11720</v>
      </c>
      <c r="U727" t="s">
        <v>11720</v>
      </c>
      <c r="V727" t="s">
        <v>11720</v>
      </c>
      <c r="W727" t="s">
        <v>12428</v>
      </c>
      <c r="X727">
        <v>2</v>
      </c>
      <c r="Y727" t="s">
        <v>18223</v>
      </c>
      <c r="Z727" t="s">
        <v>23934</v>
      </c>
      <c r="AA727">
        <v>0.80729874201598839</v>
      </c>
      <c r="AB727" t="str">
        <f>HYPERLINK("Melting_Curves/meltCurve_F8W7E6_SLC4A7.pdf", "Melting_Curves/meltCurve_F8W7E6_SLC4A7.pdf")</f>
        <v>Melting_Curves/meltCurve_F8W7E6_SLC4A7.pdf</v>
      </c>
    </row>
    <row r="728" spans="1:28" x14ac:dyDescent="0.25">
      <c r="A728" t="s">
        <v>732</v>
      </c>
      <c r="B728">
        <v>0.99334974765950101</v>
      </c>
      <c r="C728">
        <v>0.89914832806417999</v>
      </c>
      <c r="D728">
        <v>0.97067057636893705</v>
      </c>
      <c r="E728">
        <v>0.87602934441159996</v>
      </c>
      <c r="F728">
        <v>1.1649697229973599</v>
      </c>
      <c r="G728">
        <v>0.88237065901299405</v>
      </c>
      <c r="H728">
        <v>1.1802705954450801</v>
      </c>
      <c r="I728">
        <v>0.92450593821353</v>
      </c>
      <c r="J728">
        <v>1.84871415040939</v>
      </c>
      <c r="K728">
        <v>0.98544553903218202</v>
      </c>
      <c r="L728">
        <v>15000</v>
      </c>
      <c r="M728">
        <v>229.97874853652101</v>
      </c>
      <c r="O728">
        <v>65.218480107055399</v>
      </c>
      <c r="P728">
        <v>0.36723670169353201</v>
      </c>
      <c r="Q728">
        <v>1.41657103848375</v>
      </c>
      <c r="R728">
        <v>0.37963307938777202</v>
      </c>
      <c r="S728" t="s">
        <v>6589</v>
      </c>
      <c r="T728" t="s">
        <v>11720</v>
      </c>
      <c r="U728" t="s">
        <v>11720</v>
      </c>
      <c r="V728" t="s">
        <v>11720</v>
      </c>
      <c r="W728" t="s">
        <v>12429</v>
      </c>
      <c r="X728">
        <v>5</v>
      </c>
      <c r="Y728" t="s">
        <v>18224</v>
      </c>
      <c r="Z728" t="s">
        <v>23935</v>
      </c>
      <c r="AA728">
        <v>1.066269845111226</v>
      </c>
      <c r="AB728" t="str">
        <f>HYPERLINK("Melting_Curves/meltCurve_F8W7Q4_FAM162A.pdf", "Melting_Curves/meltCurve_F8W7Q4_FAM162A.pdf")</f>
        <v>Melting_Curves/meltCurve_F8W7Q4_FAM162A.pdf</v>
      </c>
    </row>
    <row r="729" spans="1:28" x14ac:dyDescent="0.25">
      <c r="A729" t="s">
        <v>733</v>
      </c>
      <c r="B729">
        <v>0.99334974765950101</v>
      </c>
      <c r="C729">
        <v>1.0012085298400899</v>
      </c>
      <c r="D729">
        <v>0.78852587500084104</v>
      </c>
      <c r="E729">
        <v>0.87077246530517605</v>
      </c>
      <c r="F729">
        <v>0.713422007483549</v>
      </c>
      <c r="G729">
        <v>0.327359073761264</v>
      </c>
      <c r="H729">
        <v>0.15506352356199399</v>
      </c>
      <c r="I729">
        <v>0.13541495650142901</v>
      </c>
      <c r="J729">
        <v>0.195622736261307</v>
      </c>
      <c r="K729">
        <v>8.3575879573227693E-2</v>
      </c>
      <c r="L729">
        <v>1065.8648164393601</v>
      </c>
      <c r="M729">
        <v>19.6095203515947</v>
      </c>
      <c r="N729">
        <v>54.971377730297696</v>
      </c>
      <c r="O729">
        <v>53.798658497756499</v>
      </c>
      <c r="P729">
        <v>-8.2127079940383596E-2</v>
      </c>
      <c r="Q729">
        <v>9.8770127359378998E-2</v>
      </c>
      <c r="R729">
        <v>0.96417042053388702</v>
      </c>
      <c r="S729" t="s">
        <v>6590</v>
      </c>
      <c r="T729" t="s">
        <v>11720</v>
      </c>
      <c r="U729" t="s">
        <v>11720</v>
      </c>
      <c r="V729" t="s">
        <v>11720</v>
      </c>
      <c r="W729" t="s">
        <v>12430</v>
      </c>
      <c r="X729">
        <v>7</v>
      </c>
      <c r="Y729" t="s">
        <v>18225</v>
      </c>
      <c r="Z729" t="s">
        <v>23936</v>
      </c>
      <c r="AA729">
        <v>0.54254685163046679</v>
      </c>
      <c r="AB729" t="str">
        <f>HYPERLINK("Melting_Curves/meltCurve_F8W8I6_TIA1.pdf", "Melting_Curves/meltCurve_F8W8I6_TIA1.pdf")</f>
        <v>Melting_Curves/meltCurve_F8W8I6_TIA1.pdf</v>
      </c>
    </row>
    <row r="730" spans="1:28" x14ac:dyDescent="0.25">
      <c r="A730" t="s">
        <v>734</v>
      </c>
      <c r="B730">
        <v>0.99334974765950101</v>
      </c>
      <c r="C730">
        <v>1.0429837538893501</v>
      </c>
      <c r="D730">
        <v>0.94665528253105902</v>
      </c>
      <c r="E730">
        <v>0.84377789420369298</v>
      </c>
      <c r="F730">
        <v>0.710645942535157</v>
      </c>
      <c r="G730">
        <v>0.55908356473523502</v>
      </c>
      <c r="H730">
        <v>0.51529469520523097</v>
      </c>
      <c r="I730">
        <v>0.46243382857482201</v>
      </c>
      <c r="J730">
        <v>0.48182263132884201</v>
      </c>
      <c r="K730">
        <v>0.50314731432416904</v>
      </c>
      <c r="L730">
        <v>1025.9319083830401</v>
      </c>
      <c r="M730">
        <v>19.632396437366999</v>
      </c>
      <c r="N730">
        <v>62.0100012112405</v>
      </c>
      <c r="O730">
        <v>51.723982157620497</v>
      </c>
      <c r="P730">
        <v>-4.9610506881016397E-2</v>
      </c>
      <c r="Q730">
        <v>0.477198377204332</v>
      </c>
      <c r="R730">
        <v>0.99085796259197501</v>
      </c>
      <c r="S730" t="s">
        <v>6591</v>
      </c>
      <c r="T730" t="s">
        <v>11720</v>
      </c>
      <c r="U730" t="s">
        <v>11720</v>
      </c>
      <c r="V730" t="s">
        <v>11720</v>
      </c>
      <c r="W730" t="s">
        <v>12431</v>
      </c>
      <c r="X730">
        <v>4</v>
      </c>
      <c r="Y730" t="s">
        <v>18226</v>
      </c>
      <c r="Z730" t="s">
        <v>23937</v>
      </c>
      <c r="AA730">
        <v>0.6982659294314093</v>
      </c>
      <c r="AB730" t="str">
        <f>HYPERLINK("Melting_Curves/meltCurve_F8W8M3_PPP1R12B.pdf", "Melting_Curves/meltCurve_F8W8M3_PPP1R12B.pdf")</f>
        <v>Melting_Curves/meltCurve_F8W8M3_PPP1R12B.pdf</v>
      </c>
    </row>
    <row r="731" spans="1:28" x14ac:dyDescent="0.25">
      <c r="A731" t="s">
        <v>735</v>
      </c>
      <c r="B731">
        <v>0.99334974765950101</v>
      </c>
      <c r="C731">
        <v>0.90882030913925604</v>
      </c>
      <c r="D731">
        <v>0.77255462789235696</v>
      </c>
      <c r="E731">
        <v>0.32671614949936301</v>
      </c>
      <c r="F731">
        <v>0.184582236723424</v>
      </c>
      <c r="G731">
        <v>0.13949378111145799</v>
      </c>
      <c r="H731">
        <v>0.108715265703792</v>
      </c>
      <c r="I731">
        <v>0.10831458988859299</v>
      </c>
      <c r="J731">
        <v>3.5422807823719399E-2</v>
      </c>
      <c r="K731">
        <v>6.2436770677615702E-2</v>
      </c>
      <c r="L731">
        <v>1065.13632524021</v>
      </c>
      <c r="M731">
        <v>22.188030030517002</v>
      </c>
      <c r="N731">
        <v>48.389188059332596</v>
      </c>
      <c r="O731">
        <v>47.620181866575301</v>
      </c>
      <c r="P731">
        <v>-0.10707931443080999</v>
      </c>
      <c r="Q731">
        <v>8.0761320729506397E-2</v>
      </c>
      <c r="R731">
        <v>0.994770983868279</v>
      </c>
      <c r="S731" t="s">
        <v>6592</v>
      </c>
      <c r="T731" t="s">
        <v>11720</v>
      </c>
      <c r="U731" t="s">
        <v>11720</v>
      </c>
      <c r="V731" t="s">
        <v>11720</v>
      </c>
      <c r="W731" t="s">
        <v>12432</v>
      </c>
      <c r="X731">
        <v>2</v>
      </c>
      <c r="Y731" t="s">
        <v>18227</v>
      </c>
      <c r="Z731" t="s">
        <v>23938</v>
      </c>
      <c r="AA731">
        <v>0.33651878630165671</v>
      </c>
      <c r="AB731" t="str">
        <f>HYPERLINK("Melting_Curves/meltCurve_F8W8M9_UNC13B.pdf", "Melting_Curves/meltCurve_F8W8M9_UNC13B.pdf")</f>
        <v>Melting_Curves/meltCurve_F8W8M9_UNC13B.pdf</v>
      </c>
    </row>
    <row r="732" spans="1:28" x14ac:dyDescent="0.25">
      <c r="A732" t="s">
        <v>736</v>
      </c>
      <c r="B732">
        <v>0.99334974765950101</v>
      </c>
      <c r="C732">
        <v>1.0407341281503799</v>
      </c>
      <c r="D732">
        <v>0.92367327610910799</v>
      </c>
      <c r="E732">
        <v>0.57707307630720095</v>
      </c>
      <c r="F732">
        <v>0.462248568559884</v>
      </c>
      <c r="G732">
        <v>0.24005653635663901</v>
      </c>
      <c r="H732">
        <v>0.24564203867291801</v>
      </c>
      <c r="I732">
        <v>0.20929054722746901</v>
      </c>
      <c r="J732">
        <v>0.20547462135050701</v>
      </c>
      <c r="K732">
        <v>0.206501070576249</v>
      </c>
      <c r="L732">
        <v>1072.6456959616901</v>
      </c>
      <c r="M732">
        <v>21.335204509348799</v>
      </c>
      <c r="N732">
        <v>51.575512251025401</v>
      </c>
      <c r="O732">
        <v>49.840419942678501</v>
      </c>
      <c r="P732">
        <v>-8.4767155188874496E-2</v>
      </c>
      <c r="Q732">
        <v>0.20793369435810199</v>
      </c>
      <c r="R732">
        <v>0.99018486014269402</v>
      </c>
      <c r="S732" t="s">
        <v>6593</v>
      </c>
      <c r="T732" t="s">
        <v>11720</v>
      </c>
      <c r="U732" t="s">
        <v>11720</v>
      </c>
      <c r="V732" t="s">
        <v>11720</v>
      </c>
      <c r="W732" t="s">
        <v>12433</v>
      </c>
      <c r="X732">
        <v>3</v>
      </c>
      <c r="Y732" t="s">
        <v>18228</v>
      </c>
      <c r="Z732" t="s">
        <v>23939</v>
      </c>
      <c r="AA732">
        <v>0.48895545041041538</v>
      </c>
      <c r="AB732" t="str">
        <f>HYPERLINK("Melting_Curves/meltCurve_F8W930_IGF2BP2.pdf", "Melting_Curves/meltCurve_F8W930_IGF2BP2.pdf")</f>
        <v>Melting_Curves/meltCurve_F8W930_IGF2BP2.pdf</v>
      </c>
    </row>
    <row r="733" spans="1:28" x14ac:dyDescent="0.25">
      <c r="A733" t="s">
        <v>737</v>
      </c>
      <c r="B733">
        <v>0.99334974765950101</v>
      </c>
      <c r="C733">
        <v>0.90986032329935995</v>
      </c>
      <c r="D733">
        <v>1.4136086375736201</v>
      </c>
      <c r="E733">
        <v>0.89389282042849405</v>
      </c>
      <c r="F733">
        <v>6.9716442779754001E-2</v>
      </c>
      <c r="G733">
        <v>7.77568456328354E-2</v>
      </c>
      <c r="H733">
        <v>0.108812685146762</v>
      </c>
      <c r="I733">
        <v>0</v>
      </c>
      <c r="J733">
        <v>0</v>
      </c>
      <c r="K733">
        <v>0</v>
      </c>
      <c r="L733">
        <v>4825.80416707308</v>
      </c>
      <c r="M733">
        <v>94.424776098143994</v>
      </c>
      <c r="N733">
        <v>51.149465186862798</v>
      </c>
      <c r="O733">
        <v>51.084483804495797</v>
      </c>
      <c r="P733">
        <v>-0.44483003197273802</v>
      </c>
      <c r="Q733">
        <v>3.7375094721805897E-2</v>
      </c>
      <c r="R733">
        <v>0.92794042182480196</v>
      </c>
      <c r="S733" t="s">
        <v>6594</v>
      </c>
      <c r="T733" t="s">
        <v>11720</v>
      </c>
      <c r="U733" t="s">
        <v>11720</v>
      </c>
      <c r="V733" t="s">
        <v>11720</v>
      </c>
      <c r="W733" t="s">
        <v>12434</v>
      </c>
      <c r="X733">
        <v>1</v>
      </c>
      <c r="Y733" t="s">
        <v>18229</v>
      </c>
      <c r="Z733" t="s">
        <v>23940</v>
      </c>
      <c r="AA733">
        <v>0.39438958102603749</v>
      </c>
      <c r="AB733" t="str">
        <f>HYPERLINK("Melting_Curves/meltCurve_F8W9B4_RFC5.pdf", "Melting_Curves/meltCurve_F8W9B4_RFC5.pdf")</f>
        <v>Melting_Curves/meltCurve_F8W9B4_RFC5.pdf</v>
      </c>
    </row>
    <row r="734" spans="1:28" x14ac:dyDescent="0.25">
      <c r="A734" t="s">
        <v>738</v>
      </c>
      <c r="B734">
        <v>0.99334974765950101</v>
      </c>
      <c r="C734">
        <v>0.93994610979125304</v>
      </c>
      <c r="D734">
        <v>0.73720727970797595</v>
      </c>
      <c r="E734">
        <v>0.39181141457776603</v>
      </c>
      <c r="F734">
        <v>0.30613574391269599</v>
      </c>
      <c r="G734">
        <v>0.19502958531473499</v>
      </c>
      <c r="H734">
        <v>0.14447736695740299</v>
      </c>
      <c r="I734">
        <v>0.14199902545988499</v>
      </c>
      <c r="J734">
        <v>0.180684877514179</v>
      </c>
      <c r="K734">
        <v>0.14279803345777001</v>
      </c>
      <c r="L734">
        <v>931.14400034525102</v>
      </c>
      <c r="M734">
        <v>19.4167679797836</v>
      </c>
      <c r="N734">
        <v>48.868138648587603</v>
      </c>
      <c r="O734">
        <v>47.455682968627698</v>
      </c>
      <c r="P734">
        <v>-8.6739057079149903E-2</v>
      </c>
      <c r="Q734">
        <v>0.15205031285006601</v>
      </c>
      <c r="R734">
        <v>0.99615531611473995</v>
      </c>
      <c r="S734" t="s">
        <v>6595</v>
      </c>
      <c r="T734" t="s">
        <v>11720</v>
      </c>
      <c r="U734" t="s">
        <v>11720</v>
      </c>
      <c r="V734" t="s">
        <v>11720</v>
      </c>
      <c r="W734" t="s">
        <v>12435</v>
      </c>
      <c r="X734">
        <v>16</v>
      </c>
      <c r="Y734" t="s">
        <v>18230</v>
      </c>
      <c r="Z734" t="s">
        <v>23941</v>
      </c>
      <c r="AA734">
        <v>0.38976032560715729</v>
      </c>
      <c r="AB734" t="str">
        <f>HYPERLINK("Melting_Curves/meltCurve_F8WA11_CLASP1.pdf", "Melting_Curves/meltCurve_F8WA11_CLASP1.pdf")</f>
        <v>Melting_Curves/meltCurve_F8WA11_CLASP1.pdf</v>
      </c>
    </row>
    <row r="735" spans="1:28" x14ac:dyDescent="0.25">
      <c r="A735" t="s">
        <v>739</v>
      </c>
      <c r="B735">
        <v>0.99334974765950101</v>
      </c>
      <c r="C735">
        <v>0.99246626168848096</v>
      </c>
      <c r="D735">
        <v>0.90305253116782902</v>
      </c>
      <c r="E735">
        <v>0.452444437079142</v>
      </c>
      <c r="F735">
        <v>0.30212829651343898</v>
      </c>
      <c r="G735">
        <v>0.151018337905414</v>
      </c>
      <c r="H735">
        <v>0.12453929292854</v>
      </c>
      <c r="I735">
        <v>0.10317967227739799</v>
      </c>
      <c r="J735">
        <v>0.10930348855835401</v>
      </c>
      <c r="K735">
        <v>8.1211480523560406E-2</v>
      </c>
      <c r="L735">
        <v>1176.4466015190401</v>
      </c>
      <c r="M735">
        <v>23.786215513400499</v>
      </c>
      <c r="N735">
        <v>49.962357565883003</v>
      </c>
      <c r="O735">
        <v>49.113572067055102</v>
      </c>
      <c r="P735">
        <v>-0.108183398235595</v>
      </c>
      <c r="Q735">
        <v>0.106510057803142</v>
      </c>
      <c r="R735">
        <v>0.99568928099708098</v>
      </c>
      <c r="S735" t="s">
        <v>6596</v>
      </c>
      <c r="T735" t="s">
        <v>11720</v>
      </c>
      <c r="U735" t="s">
        <v>11720</v>
      </c>
      <c r="V735" t="s">
        <v>11720</v>
      </c>
      <c r="W735" t="s">
        <v>12436</v>
      </c>
      <c r="X735">
        <v>8</v>
      </c>
      <c r="Y735" t="s">
        <v>18231</v>
      </c>
      <c r="Z735" t="s">
        <v>23942</v>
      </c>
      <c r="AA735">
        <v>0.39702446878906561</v>
      </c>
      <c r="AB735" t="str">
        <f>HYPERLINK("Melting_Curves/meltCurve_F8WA39_MTMR1.pdf", "Melting_Curves/meltCurve_F8WA39_MTMR1.pdf")</f>
        <v>Melting_Curves/meltCurve_F8WA39_MTMR1.pdf</v>
      </c>
    </row>
    <row r="736" spans="1:28" x14ac:dyDescent="0.25">
      <c r="A736" t="s">
        <v>740</v>
      </c>
      <c r="B736">
        <v>0.99334974765950101</v>
      </c>
      <c r="C736">
        <v>1.00151145096032</v>
      </c>
      <c r="D736">
        <v>1.0793565125082401</v>
      </c>
      <c r="E736">
        <v>0.70855058254880898</v>
      </c>
      <c r="F736">
        <v>0.50902074636805805</v>
      </c>
      <c r="G736">
        <v>0.40920842443050998</v>
      </c>
      <c r="H736">
        <v>0.32461543995552</v>
      </c>
      <c r="I736">
        <v>0.25525141301160598</v>
      </c>
      <c r="J736">
        <v>0.160915320753204</v>
      </c>
      <c r="K736">
        <v>0.157421599948707</v>
      </c>
      <c r="L736">
        <v>913.75579926067201</v>
      </c>
      <c r="M736">
        <v>17.420157615105001</v>
      </c>
      <c r="N736">
        <v>53.982807011548303</v>
      </c>
      <c r="O736">
        <v>51.777341664641703</v>
      </c>
      <c r="P736">
        <v>-6.7736998318544905E-2</v>
      </c>
      <c r="Q736">
        <v>0.19471570146780501</v>
      </c>
      <c r="R736">
        <v>0.96651852888512102</v>
      </c>
      <c r="S736" t="s">
        <v>6597</v>
      </c>
      <c r="T736" t="s">
        <v>11720</v>
      </c>
      <c r="U736" t="s">
        <v>11720</v>
      </c>
      <c r="V736" t="s">
        <v>11720</v>
      </c>
      <c r="W736" t="s">
        <v>12437</v>
      </c>
      <c r="X736">
        <v>1</v>
      </c>
      <c r="Y736" t="s">
        <v>18232</v>
      </c>
      <c r="Z736" t="s">
        <v>23943</v>
      </c>
      <c r="AA736">
        <v>0.54306146877079575</v>
      </c>
      <c r="AB736" t="str">
        <f>HYPERLINK("Melting_Curves/meltCurve_F8WAC3_UCKL1.pdf", "Melting_Curves/meltCurve_F8WAC3_UCKL1.pdf")</f>
        <v>Melting_Curves/meltCurve_F8WAC3_UCKL1.pdf</v>
      </c>
    </row>
    <row r="737" spans="1:28" x14ac:dyDescent="0.25">
      <c r="A737" t="s">
        <v>741</v>
      </c>
      <c r="B737">
        <v>0.99334974765950101</v>
      </c>
      <c r="C737">
        <v>0.86397314757663501</v>
      </c>
      <c r="D737">
        <v>0.63356455611784601</v>
      </c>
      <c r="E737">
        <v>0.353099908750522</v>
      </c>
      <c r="F737">
        <v>0.22028897915086801</v>
      </c>
      <c r="G737">
        <v>0.14650988505959101</v>
      </c>
      <c r="H737">
        <v>0.14574934823815699</v>
      </c>
      <c r="I737">
        <v>0.12604907700308601</v>
      </c>
      <c r="J737">
        <v>0.10951988643459</v>
      </c>
      <c r="K737">
        <v>8.3693583310524206E-2</v>
      </c>
      <c r="L737">
        <v>824.36565276220995</v>
      </c>
      <c r="M737">
        <v>17.500203829174399</v>
      </c>
      <c r="N737">
        <v>47.770369905527801</v>
      </c>
      <c r="O737">
        <v>46.503876003638901</v>
      </c>
      <c r="P737">
        <v>-8.3922644616089004E-2</v>
      </c>
      <c r="Q737">
        <v>0.108007367604463</v>
      </c>
      <c r="R737">
        <v>0.99756373502224405</v>
      </c>
      <c r="S737" t="s">
        <v>6598</v>
      </c>
      <c r="T737" t="s">
        <v>11720</v>
      </c>
      <c r="U737" t="s">
        <v>11720</v>
      </c>
      <c r="V737" t="s">
        <v>11720</v>
      </c>
      <c r="W737" t="s">
        <v>12438</v>
      </c>
      <c r="X737">
        <v>1</v>
      </c>
      <c r="Y737" t="s">
        <v>18233</v>
      </c>
      <c r="Z737" t="s">
        <v>23944</v>
      </c>
      <c r="AA737">
        <v>0.33669314616513257</v>
      </c>
      <c r="AB737" t="str">
        <f>HYPERLINK("Melting_Curves/meltCurve_F8WAF5_NABP1.pdf", "Melting_Curves/meltCurve_F8WAF5_NABP1.pdf")</f>
        <v>Melting_Curves/meltCurve_F8WAF5_NABP1.pdf</v>
      </c>
    </row>
    <row r="738" spans="1:28" x14ac:dyDescent="0.25">
      <c r="A738" t="s">
        <v>742</v>
      </c>
      <c r="B738">
        <v>0.99334974765950101</v>
      </c>
      <c r="C738">
        <v>1.2259306158143599</v>
      </c>
      <c r="D738">
        <v>1.0143516668557799</v>
      </c>
      <c r="E738">
        <v>0.81098959378797497</v>
      </c>
      <c r="F738">
        <v>1.1181722694115199</v>
      </c>
      <c r="G738">
        <v>0.68519623709389399</v>
      </c>
      <c r="H738">
        <v>0.50454870039806399</v>
      </c>
      <c r="I738">
        <v>0.17539814485496599</v>
      </c>
      <c r="J738">
        <v>0.61609630057488496</v>
      </c>
      <c r="K738">
        <v>0.28280836310858298</v>
      </c>
      <c r="L738">
        <v>3212.3819303706</v>
      </c>
      <c r="M738">
        <v>56.321141799392002</v>
      </c>
      <c r="N738">
        <v>58.598963648201803</v>
      </c>
      <c r="O738">
        <v>56.965102231478198</v>
      </c>
      <c r="P738">
        <v>-0.151125296100041</v>
      </c>
      <c r="Q738">
        <v>0.38858744033500198</v>
      </c>
      <c r="R738">
        <v>0.80254406002200696</v>
      </c>
      <c r="S738" t="s">
        <v>6599</v>
      </c>
      <c r="T738" t="s">
        <v>11720</v>
      </c>
      <c r="U738" t="s">
        <v>11720</v>
      </c>
      <c r="V738" t="s">
        <v>11720</v>
      </c>
      <c r="W738" t="s">
        <v>12439</v>
      </c>
      <c r="X738">
        <v>1</v>
      </c>
      <c r="Y738" t="s">
        <v>18234</v>
      </c>
      <c r="Z738" t="s">
        <v>23945</v>
      </c>
      <c r="AA738">
        <v>0.7370160339500561</v>
      </c>
      <c r="AB738" t="str">
        <f>HYPERLINK("Melting_Curves/meltCurve_F8WAT8_DENND2A.pdf", "Melting_Curves/meltCurve_F8WAT8_DENND2A.pdf")</f>
        <v>Melting_Curves/meltCurve_F8WAT8_DENND2A.pdf</v>
      </c>
    </row>
    <row r="739" spans="1:28" x14ac:dyDescent="0.25">
      <c r="A739" t="s">
        <v>743</v>
      </c>
      <c r="B739">
        <v>0.99334974765950101</v>
      </c>
      <c r="C739">
        <v>1.00162808906527</v>
      </c>
      <c r="D739">
        <v>1.0398666628278399</v>
      </c>
      <c r="E739">
        <v>0.91671937923567104</v>
      </c>
      <c r="F739">
        <v>0.522914713536763</v>
      </c>
      <c r="G739">
        <v>0.329227088028895</v>
      </c>
      <c r="H739">
        <v>0.33056872679507399</v>
      </c>
      <c r="I739">
        <v>0.34330387177416199</v>
      </c>
      <c r="J739">
        <v>0.29886314648106299</v>
      </c>
      <c r="K739">
        <v>0.244595689998479</v>
      </c>
      <c r="L739">
        <v>2438.1338842815799</v>
      </c>
      <c r="M739">
        <v>46.780948355907199</v>
      </c>
      <c r="N739">
        <v>53.197067360528401</v>
      </c>
      <c r="O739">
        <v>52.023117368137797</v>
      </c>
      <c r="P739">
        <v>-0.155926300455905</v>
      </c>
      <c r="Q739">
        <v>0.30640446609983002</v>
      </c>
      <c r="R739">
        <v>0.99268685212498098</v>
      </c>
      <c r="S739" t="s">
        <v>6600</v>
      </c>
      <c r="T739" t="s">
        <v>11720</v>
      </c>
      <c r="U739" t="s">
        <v>11720</v>
      </c>
      <c r="V739" t="s">
        <v>11720</v>
      </c>
      <c r="W739" t="s">
        <v>12440</v>
      </c>
      <c r="X739">
        <v>2</v>
      </c>
      <c r="Y739" t="s">
        <v>18235</v>
      </c>
      <c r="Z739" t="s">
        <v>23946</v>
      </c>
      <c r="AA739">
        <v>0.58839569972332062</v>
      </c>
      <c r="AB739" t="str">
        <f>HYPERLINK("Melting_Curves/meltCurve_F8WBK5_MRPL40.pdf", "Melting_Curves/meltCurve_F8WBK5_MRPL40.pdf")</f>
        <v>Melting_Curves/meltCurve_F8WBK5_MRPL40.pdf</v>
      </c>
    </row>
    <row r="740" spans="1:28" x14ac:dyDescent="0.25">
      <c r="A740" t="s">
        <v>744</v>
      </c>
      <c r="B740">
        <v>0.99334974765950101</v>
      </c>
      <c r="C740">
        <v>1.0002973356926199</v>
      </c>
      <c r="D740">
        <v>0.94645522831178197</v>
      </c>
      <c r="E740">
        <v>0.87253555661235305</v>
      </c>
      <c r="F740">
        <v>0.66724545973500804</v>
      </c>
      <c r="G740">
        <v>0.49778511348483001</v>
      </c>
      <c r="H740">
        <v>0.467770624182554</v>
      </c>
      <c r="I740">
        <v>0.54098153281382899</v>
      </c>
      <c r="J740">
        <v>0.92901926865575002</v>
      </c>
      <c r="K740">
        <v>0.48508668894954698</v>
      </c>
      <c r="L740">
        <v>2152.3132076055899</v>
      </c>
      <c r="M740">
        <v>42.225104721038001</v>
      </c>
      <c r="O740">
        <v>50.8584479805548</v>
      </c>
      <c r="P740">
        <v>-8.6064103301330505E-2</v>
      </c>
      <c r="Q740">
        <v>0.58535776835188202</v>
      </c>
      <c r="R740">
        <v>0.67013861159902299</v>
      </c>
      <c r="S740" t="s">
        <v>6601</v>
      </c>
      <c r="T740" t="s">
        <v>11720</v>
      </c>
      <c r="U740" t="s">
        <v>11720</v>
      </c>
      <c r="V740" t="s">
        <v>11720</v>
      </c>
      <c r="W740" t="s">
        <v>12441</v>
      </c>
      <c r="X740">
        <v>2</v>
      </c>
      <c r="Y740" t="s">
        <v>18236</v>
      </c>
      <c r="Z740" t="s">
        <v>23947</v>
      </c>
      <c r="AA740">
        <v>0.73832116095591427</v>
      </c>
      <c r="AB740" t="str">
        <f>HYPERLINK("Melting_Curves/meltCurve_F8WCD0_RNF149.pdf", "Melting_Curves/meltCurve_F8WCD0_RNF149.pdf")</f>
        <v>Melting_Curves/meltCurve_F8WCD0_RNF149.pdf</v>
      </c>
    </row>
    <row r="741" spans="1:28" x14ac:dyDescent="0.25">
      <c r="A741" t="s">
        <v>745</v>
      </c>
      <c r="B741">
        <v>0.99334974765950101</v>
      </c>
      <c r="C741">
        <v>1.13389121242535</v>
      </c>
      <c r="D741">
        <v>1.1804419042483301</v>
      </c>
      <c r="E741">
        <v>1.26377556773084</v>
      </c>
      <c r="F741">
        <v>1.85188015333942</v>
      </c>
      <c r="G741">
        <v>2.3840827671757299</v>
      </c>
      <c r="H741">
        <v>1.8002808167719899</v>
      </c>
      <c r="I741">
        <v>0.70701554006460099</v>
      </c>
      <c r="J741">
        <v>1.19626914150609</v>
      </c>
      <c r="K741">
        <v>3.0871428096249298</v>
      </c>
      <c r="L741">
        <v>1471.8754480985999</v>
      </c>
      <c r="M741">
        <v>31.3865907704355</v>
      </c>
      <c r="O741">
        <v>46.7059059399473</v>
      </c>
      <c r="P741">
        <v>8.4001052346582603E-2</v>
      </c>
      <c r="Q741">
        <v>1.5</v>
      </c>
      <c r="R741">
        <v>9.6442155949758995E-2</v>
      </c>
      <c r="S741" t="s">
        <v>6602</v>
      </c>
      <c r="T741" t="s">
        <v>11720</v>
      </c>
      <c r="U741" t="s">
        <v>11720</v>
      </c>
      <c r="V741" t="s">
        <v>11720</v>
      </c>
      <c r="W741" t="s">
        <v>12442</v>
      </c>
      <c r="X741">
        <v>1</v>
      </c>
      <c r="Y741" t="s">
        <v>18237</v>
      </c>
      <c r="Z741" t="s">
        <v>23948</v>
      </c>
      <c r="AA741">
        <v>1.382359877325674</v>
      </c>
      <c r="AB741" t="str">
        <f>HYPERLINK("Melting_Curves/meltCurve_F8WCP6_KIF21A.pdf", "Melting_Curves/meltCurve_F8WCP6_KIF21A.pdf")</f>
        <v>Melting_Curves/meltCurve_F8WCP6_KIF21A.pdf</v>
      </c>
    </row>
    <row r="742" spans="1:28" x14ac:dyDescent="0.25">
      <c r="A742" t="s">
        <v>746</v>
      </c>
      <c r="B742">
        <v>0.99334974765950101</v>
      </c>
      <c r="C742">
        <v>0.98376703342677496</v>
      </c>
      <c r="D742">
        <v>0.972770463231173</v>
      </c>
      <c r="E742">
        <v>0.75373316387673395</v>
      </c>
      <c r="F742">
        <v>0.27717257622097702</v>
      </c>
      <c r="G742">
        <v>0.156633709617989</v>
      </c>
      <c r="H742">
        <v>0.13071961633759399</v>
      </c>
      <c r="I742">
        <v>8.9552819448708604E-2</v>
      </c>
      <c r="J742">
        <v>8.4903085397865494E-2</v>
      </c>
      <c r="K742">
        <v>7.5905173479511603E-2</v>
      </c>
      <c r="L742">
        <v>2007.4949895295499</v>
      </c>
      <c r="M742">
        <v>39.215403802301203</v>
      </c>
      <c r="N742">
        <v>51.491860936785102</v>
      </c>
      <c r="O742">
        <v>51.058914788528597</v>
      </c>
      <c r="P742">
        <v>-0.17237958115423499</v>
      </c>
      <c r="Q742">
        <v>0.102241090187947</v>
      </c>
      <c r="R742">
        <v>0.99738353681191905</v>
      </c>
      <c r="S742" t="s">
        <v>6603</v>
      </c>
      <c r="T742" t="s">
        <v>11720</v>
      </c>
      <c r="U742" t="s">
        <v>11720</v>
      </c>
      <c r="V742" t="s">
        <v>11720</v>
      </c>
      <c r="W742" t="s">
        <v>12443</v>
      </c>
      <c r="X742">
        <v>10</v>
      </c>
      <c r="Y742" t="s">
        <v>18238</v>
      </c>
      <c r="Z742" t="s">
        <v>23949</v>
      </c>
      <c r="AA742">
        <v>0.44045533972861539</v>
      </c>
      <c r="AB742" t="str">
        <f>HYPERLINK("Melting_Curves/meltCurve_F8WD04_ATL1.pdf", "Melting_Curves/meltCurve_F8WD04_ATL1.pdf")</f>
        <v>Melting_Curves/meltCurve_F8WD04_ATL1.pdf</v>
      </c>
    </row>
    <row r="743" spans="1:28" x14ac:dyDescent="0.25">
      <c r="A743" t="s">
        <v>747</v>
      </c>
      <c r="B743">
        <v>0.99334974765950101</v>
      </c>
      <c r="C743">
        <v>0.74670906176109597</v>
      </c>
      <c r="D743">
        <v>0.52022796063091503</v>
      </c>
      <c r="E743">
        <v>0.391632056609654</v>
      </c>
      <c r="F743">
        <v>0.26141022696537403</v>
      </c>
      <c r="G743">
        <v>0.224270557683733</v>
      </c>
      <c r="H743">
        <v>0.252748101327256</v>
      </c>
      <c r="I743">
        <v>0.28139002345291497</v>
      </c>
      <c r="J743">
        <v>0.29649849136740097</v>
      </c>
      <c r="K743">
        <v>0.28412121366830201</v>
      </c>
      <c r="L743">
        <v>932.36852066733604</v>
      </c>
      <c r="M743">
        <v>20.899309510792499</v>
      </c>
      <c r="N743">
        <v>46.311133592830799</v>
      </c>
      <c r="O743">
        <v>44.209979702854703</v>
      </c>
      <c r="P743">
        <v>-8.6546593628643101E-2</v>
      </c>
      <c r="Q743">
        <v>0.26770432119187698</v>
      </c>
      <c r="R743">
        <v>0.97969506630587699</v>
      </c>
      <c r="S743" t="s">
        <v>6604</v>
      </c>
      <c r="T743" t="s">
        <v>11720</v>
      </c>
      <c r="U743" t="s">
        <v>11720</v>
      </c>
      <c r="V743" t="s">
        <v>11720</v>
      </c>
      <c r="W743" t="s">
        <v>12444</v>
      </c>
      <c r="X743">
        <v>1</v>
      </c>
      <c r="Y743" t="s">
        <v>18239</v>
      </c>
      <c r="Z743" t="s">
        <v>23950</v>
      </c>
      <c r="AA743">
        <v>0.39201976698377727</v>
      </c>
      <c r="AB743" t="str">
        <f>HYPERLINK("Melting_Curves/meltCurve_F8WDA4_PHC3.pdf", "Melting_Curves/meltCurve_F8WDA4_PHC3.pdf")</f>
        <v>Melting_Curves/meltCurve_F8WDA4_PHC3.pdf</v>
      </c>
    </row>
    <row r="744" spans="1:28" x14ac:dyDescent="0.25">
      <c r="A744" t="s">
        <v>748</v>
      </c>
      <c r="B744">
        <v>0.99334974765950101</v>
      </c>
      <c r="C744">
        <v>1.1605844056449299</v>
      </c>
      <c r="D744">
        <v>1.61967312815986</v>
      </c>
      <c r="E744">
        <v>2.2481539872160501</v>
      </c>
      <c r="F744">
        <v>6.5438989588127097</v>
      </c>
      <c r="G744">
        <v>3.11688426719906</v>
      </c>
      <c r="H744">
        <v>0.56092976369720604</v>
      </c>
      <c r="I744">
        <v>0.52167408877213906</v>
      </c>
      <c r="J744">
        <v>0.42059615542587703</v>
      </c>
      <c r="K744">
        <v>0.39472646993428701</v>
      </c>
      <c r="L744">
        <v>15000</v>
      </c>
      <c r="M744">
        <v>247.239031312549</v>
      </c>
      <c r="N744">
        <v>61.219590859954998</v>
      </c>
      <c r="O744">
        <v>60.666038478592696</v>
      </c>
      <c r="P744">
        <v>-0.56478612468751599</v>
      </c>
      <c r="Q744">
        <v>0.445664380133937</v>
      </c>
      <c r="R744">
        <v>-0.14224712970573999</v>
      </c>
      <c r="S744" t="s">
        <v>6605</v>
      </c>
      <c r="T744" t="s">
        <v>11720</v>
      </c>
      <c r="U744" t="s">
        <v>11720</v>
      </c>
      <c r="V744" t="s">
        <v>11720</v>
      </c>
      <c r="W744" t="s">
        <v>12445</v>
      </c>
      <c r="X744">
        <v>1</v>
      </c>
      <c r="Y744" t="s">
        <v>18240</v>
      </c>
      <c r="Z744" t="s">
        <v>23951</v>
      </c>
      <c r="AA744">
        <v>0.82766256665934135</v>
      </c>
      <c r="AB744" t="str">
        <f>HYPERLINK("Melting_Curves/meltCurve_F8WDZ1_PELP1.pdf", "Melting_Curves/meltCurve_F8WDZ1_PELP1.pdf")</f>
        <v>Melting_Curves/meltCurve_F8WDZ1_PELP1.pdf</v>
      </c>
    </row>
    <row r="745" spans="1:28" x14ac:dyDescent="0.25">
      <c r="A745" t="s">
        <v>749</v>
      </c>
      <c r="B745">
        <v>0.99334974765950101</v>
      </c>
      <c r="C745">
        <v>1.2525646352175199</v>
      </c>
      <c r="D745">
        <v>1.26750897657538</v>
      </c>
      <c r="E745">
        <v>0.85571854259392999</v>
      </c>
      <c r="F745">
        <v>0.69665843703168995</v>
      </c>
      <c r="G745">
        <v>0.31295855413391599</v>
      </c>
      <c r="H745">
        <v>0.268424549777392</v>
      </c>
      <c r="I745">
        <v>0.28840432936304</v>
      </c>
      <c r="J745">
        <v>0.31156919441300601</v>
      </c>
      <c r="K745">
        <v>0.203370418531373</v>
      </c>
      <c r="L745">
        <v>1765.76509181752</v>
      </c>
      <c r="M745">
        <v>33.113154351783201</v>
      </c>
      <c r="N745">
        <v>54.535686544051501</v>
      </c>
      <c r="O745">
        <v>53.1318339617495</v>
      </c>
      <c r="P745">
        <v>-0.11525905771405701</v>
      </c>
      <c r="Q745">
        <v>0.26024595462421202</v>
      </c>
      <c r="R745">
        <v>0.90655561519329897</v>
      </c>
      <c r="S745" t="s">
        <v>6606</v>
      </c>
      <c r="T745" t="s">
        <v>11720</v>
      </c>
      <c r="U745" t="s">
        <v>11720</v>
      </c>
      <c r="V745" t="s">
        <v>11720</v>
      </c>
      <c r="W745" t="s">
        <v>12446</v>
      </c>
      <c r="X745">
        <v>1</v>
      </c>
      <c r="Y745" t="s">
        <v>18241</v>
      </c>
      <c r="Z745" t="s">
        <v>23952</v>
      </c>
      <c r="AA745">
        <v>0.5927934348839875</v>
      </c>
      <c r="AB745" t="str">
        <f>HYPERLINK("Melting_Curves/meltCurve_F8WE88_MYO5A.pdf", "Melting_Curves/meltCurve_F8WE88_MYO5A.pdf")</f>
        <v>Melting_Curves/meltCurve_F8WE88_MYO5A.pdf</v>
      </c>
    </row>
    <row r="746" spans="1:28" x14ac:dyDescent="0.25">
      <c r="A746" t="s">
        <v>750</v>
      </c>
      <c r="B746">
        <v>0.99334974765950101</v>
      </c>
      <c r="C746">
        <v>1.0271408363423</v>
      </c>
      <c r="D746">
        <v>0.79898723940601801</v>
      </c>
      <c r="E746">
        <v>0.746676514447285</v>
      </c>
      <c r="F746">
        <v>0.84141006355400105</v>
      </c>
      <c r="G746">
        <v>0.62733487007146005</v>
      </c>
      <c r="H746">
        <v>0.74705466143090005</v>
      </c>
      <c r="I746">
        <v>0.71917092165568397</v>
      </c>
      <c r="J746">
        <v>0.95635129084803505</v>
      </c>
      <c r="K746">
        <v>0.86181707897112203</v>
      </c>
      <c r="L746">
        <v>11375.0804059526</v>
      </c>
      <c r="M746">
        <v>250</v>
      </c>
      <c r="O746">
        <v>45.497406305690703</v>
      </c>
      <c r="P746">
        <v>-0.294401514818174</v>
      </c>
      <c r="Q746">
        <v>0.785687897888665</v>
      </c>
      <c r="R746">
        <v>0.52691136549358797</v>
      </c>
      <c r="S746" t="s">
        <v>6607</v>
      </c>
      <c r="T746" t="s">
        <v>11720</v>
      </c>
      <c r="U746" t="s">
        <v>11720</v>
      </c>
      <c r="V746" t="s">
        <v>11720</v>
      </c>
      <c r="W746" t="s">
        <v>12447</v>
      </c>
      <c r="X746">
        <v>3</v>
      </c>
      <c r="Y746" t="s">
        <v>18242</v>
      </c>
      <c r="Z746" t="s">
        <v>23953</v>
      </c>
      <c r="AA746">
        <v>0.8249978608645766</v>
      </c>
      <c r="AB746" t="str">
        <f>HYPERLINK("Melting_Curves/meltCurve_F8WE91_DNMT3A.pdf", "Melting_Curves/meltCurve_F8WE91_DNMT3A.pdf")</f>
        <v>Melting_Curves/meltCurve_F8WE91_DNMT3A.pdf</v>
      </c>
    </row>
    <row r="747" spans="1:28" x14ac:dyDescent="0.25">
      <c r="A747" t="s">
        <v>751</v>
      </c>
      <c r="B747">
        <v>0.99334974765950101</v>
      </c>
      <c r="C747">
        <v>0.95023904767954404</v>
      </c>
      <c r="D747">
        <v>0.81523845121099503</v>
      </c>
      <c r="E747">
        <v>0.42991406740556598</v>
      </c>
      <c r="F747">
        <v>0.222908994596312</v>
      </c>
      <c r="G747">
        <v>0.140404623435743</v>
      </c>
      <c r="H747">
        <v>8.5943467370256807E-2</v>
      </c>
      <c r="I747">
        <v>7.4175807573803307E-2</v>
      </c>
      <c r="J747">
        <v>7.7359731882159097E-2</v>
      </c>
      <c r="K747">
        <v>6.5676531250811396E-2</v>
      </c>
      <c r="L747">
        <v>1028.4368910511</v>
      </c>
      <c r="M747">
        <v>21.013420605418901</v>
      </c>
      <c r="N747">
        <v>49.3130187066647</v>
      </c>
      <c r="O747">
        <v>48.5051456620251</v>
      </c>
      <c r="P747">
        <v>-0.10038699165899</v>
      </c>
      <c r="Q747">
        <v>7.3134363482740897E-2</v>
      </c>
      <c r="R747">
        <v>0.99946277287781005</v>
      </c>
      <c r="S747" t="s">
        <v>6608</v>
      </c>
      <c r="T747" t="s">
        <v>11720</v>
      </c>
      <c r="U747" t="s">
        <v>11720</v>
      </c>
      <c r="V747" t="s">
        <v>11720</v>
      </c>
      <c r="W747" t="s">
        <v>12448</v>
      </c>
      <c r="X747">
        <v>1</v>
      </c>
      <c r="Y747" t="s">
        <v>18243</v>
      </c>
      <c r="Z747" t="s">
        <v>23954</v>
      </c>
      <c r="AA747">
        <v>0.36114144825235611</v>
      </c>
      <c r="AB747" t="str">
        <f>HYPERLINK("Melting_Curves/meltCurve_F8WEC0_MMADHC.pdf", "Melting_Curves/meltCurve_F8WEC0_MMADHC.pdf")</f>
        <v>Melting_Curves/meltCurve_F8WEC0_MMADHC.pdf</v>
      </c>
    </row>
    <row r="748" spans="1:28" x14ac:dyDescent="0.25">
      <c r="A748" t="s">
        <v>752</v>
      </c>
      <c r="B748">
        <v>0.99334974765950101</v>
      </c>
      <c r="C748">
        <v>0.929636213088882</v>
      </c>
      <c r="D748">
        <v>0.74748624309683298</v>
      </c>
      <c r="E748">
        <v>0.83192935014709002</v>
      </c>
      <c r="F748">
        <v>0.48791436265412802</v>
      </c>
      <c r="G748">
        <v>0.33147187532129702</v>
      </c>
      <c r="H748">
        <v>0.26121082646337501</v>
      </c>
      <c r="I748">
        <v>0.24605297775908</v>
      </c>
      <c r="J748">
        <v>0.20035926089443701</v>
      </c>
      <c r="K748">
        <v>0.16836853380806799</v>
      </c>
      <c r="L748">
        <v>609.89138532783898</v>
      </c>
      <c r="M748">
        <v>11.629146978733401</v>
      </c>
      <c r="N748">
        <v>53.792580727983399</v>
      </c>
      <c r="O748">
        <v>50.966230522008502</v>
      </c>
      <c r="P748">
        <v>-4.9849020718382202E-2</v>
      </c>
      <c r="Q748">
        <v>0.12635876910375601</v>
      </c>
      <c r="R748">
        <v>0.95869873140816098</v>
      </c>
      <c r="S748" t="s">
        <v>6609</v>
      </c>
      <c r="T748" t="s">
        <v>11720</v>
      </c>
      <c r="U748" t="s">
        <v>11720</v>
      </c>
      <c r="V748" t="s">
        <v>11720</v>
      </c>
      <c r="W748" t="s">
        <v>12449</v>
      </c>
      <c r="X748">
        <v>5</v>
      </c>
      <c r="Y748" t="s">
        <v>18244</v>
      </c>
      <c r="Z748" t="s">
        <v>23955</v>
      </c>
      <c r="AA748">
        <v>0.51569200731443599</v>
      </c>
      <c r="AB748" t="str">
        <f>HYPERLINK("Melting_Curves/meltCurve_F8WF48_SEC62.pdf", "Melting_Curves/meltCurve_F8WF48_SEC62.pdf")</f>
        <v>Melting_Curves/meltCurve_F8WF48_SEC62.pdf</v>
      </c>
    </row>
    <row r="749" spans="1:28" x14ac:dyDescent="0.25">
      <c r="A749" t="s">
        <v>753</v>
      </c>
      <c r="B749">
        <v>0.99334974765950101</v>
      </c>
      <c r="C749">
        <v>1.01744531193357</v>
      </c>
      <c r="D749">
        <v>1.03185370733286</v>
      </c>
      <c r="E749">
        <v>1.1217223734002799</v>
      </c>
      <c r="F749">
        <v>1.2003474714131099</v>
      </c>
      <c r="G749">
        <v>0.55880537322145996</v>
      </c>
      <c r="H749">
        <v>0.374213544904416</v>
      </c>
      <c r="I749">
        <v>0.41066255847940902</v>
      </c>
      <c r="J749">
        <v>0.328631189178408</v>
      </c>
      <c r="K749">
        <v>0.32577652678458402</v>
      </c>
      <c r="L749">
        <v>14204.6132133631</v>
      </c>
      <c r="M749">
        <v>250</v>
      </c>
      <c r="N749">
        <v>57.108952337974102</v>
      </c>
      <c r="O749">
        <v>56.814806193015997</v>
      </c>
      <c r="P749">
        <v>-0.70423866737948304</v>
      </c>
      <c r="Q749">
        <v>0.35982094591151498</v>
      </c>
      <c r="R749">
        <v>0.94895324858558805</v>
      </c>
      <c r="S749" t="s">
        <v>6610</v>
      </c>
      <c r="T749" t="s">
        <v>11720</v>
      </c>
      <c r="U749" t="s">
        <v>11720</v>
      </c>
      <c r="V749" t="s">
        <v>11720</v>
      </c>
      <c r="W749" t="s">
        <v>12450</v>
      </c>
      <c r="X749">
        <v>8</v>
      </c>
      <c r="Y749" t="s">
        <v>18245</v>
      </c>
      <c r="Z749" t="s">
        <v>23956</v>
      </c>
      <c r="AA749">
        <v>0.71877882298477991</v>
      </c>
      <c r="AB749" t="str">
        <f>HYPERLINK("Melting_Curves/meltCurve_F8WJN3_CPSF6.pdf", "Melting_Curves/meltCurve_F8WJN3_CPSF6.pdf")</f>
        <v>Melting_Curves/meltCurve_F8WJN3_CPSF6.pdf</v>
      </c>
    </row>
    <row r="750" spans="1:28" x14ac:dyDescent="0.25">
      <c r="A750" t="s">
        <v>754</v>
      </c>
      <c r="B750">
        <v>0.99334974765950101</v>
      </c>
      <c r="C750">
        <v>0.963500448228921</v>
      </c>
      <c r="D750">
        <v>1.07318225164553</v>
      </c>
      <c r="E750">
        <v>1.0519743870378799</v>
      </c>
      <c r="F750">
        <v>1.50700302288947</v>
      </c>
      <c r="G750">
        <v>0.37230420095231898</v>
      </c>
      <c r="H750">
        <v>0.14379710879785301</v>
      </c>
      <c r="I750">
        <v>0.10557626423926</v>
      </c>
      <c r="J750">
        <v>0.10540282656809399</v>
      </c>
      <c r="K750">
        <v>8.9079055456241105E-2</v>
      </c>
      <c r="L750">
        <v>14200.054798376401</v>
      </c>
      <c r="M750">
        <v>250</v>
      </c>
      <c r="N750">
        <v>56.857302159856701</v>
      </c>
      <c r="O750">
        <v>56.796569315641698</v>
      </c>
      <c r="P750">
        <v>-0.97831169401519802</v>
      </c>
      <c r="Q750">
        <v>0.11096379757333499</v>
      </c>
      <c r="R750">
        <v>0.89408780778244801</v>
      </c>
      <c r="S750" t="s">
        <v>6611</v>
      </c>
      <c r="T750" t="s">
        <v>11720</v>
      </c>
      <c r="U750" t="s">
        <v>11720</v>
      </c>
      <c r="V750" t="s">
        <v>11720</v>
      </c>
      <c r="W750" t="s">
        <v>12451</v>
      </c>
      <c r="X750">
        <v>21</v>
      </c>
      <c r="Y750" t="s">
        <v>18246</v>
      </c>
      <c r="Z750" t="s">
        <v>23957</v>
      </c>
      <c r="AA750">
        <v>0.6089191888718819</v>
      </c>
      <c r="AB750" t="str">
        <f>HYPERLINK("Melting_Curves/meltCurve_G3V0I5_NDUFV1.pdf", "Melting_Curves/meltCurve_G3V0I5_NDUFV1.pdf")</f>
        <v>Melting_Curves/meltCurve_G3V0I5_NDUFV1.pdf</v>
      </c>
    </row>
    <row r="751" spans="1:28" x14ac:dyDescent="0.25">
      <c r="A751" t="s">
        <v>755</v>
      </c>
      <c r="B751">
        <v>0.99334974765950101</v>
      </c>
      <c r="C751">
        <v>0.95474660729882699</v>
      </c>
      <c r="D751">
        <v>0.85238387918719105</v>
      </c>
      <c r="E751">
        <v>0.64090940680984698</v>
      </c>
      <c r="F751">
        <v>0.33719678344577803</v>
      </c>
      <c r="G751">
        <v>0.24511556432853299</v>
      </c>
      <c r="H751">
        <v>0.20257551621921699</v>
      </c>
      <c r="I751">
        <v>0.19267713657568999</v>
      </c>
      <c r="J751">
        <v>0.150674206649619</v>
      </c>
      <c r="K751">
        <v>0.120951427809351</v>
      </c>
      <c r="L751">
        <v>927.69509523633099</v>
      </c>
      <c r="M751">
        <v>18.446980868774101</v>
      </c>
      <c r="N751">
        <v>51.270054997178804</v>
      </c>
      <c r="O751">
        <v>49.710001743226002</v>
      </c>
      <c r="P751">
        <v>-7.8990296501118704E-2</v>
      </c>
      <c r="Q751">
        <v>0.14860186995997901</v>
      </c>
      <c r="R751">
        <v>0.99348772277453001</v>
      </c>
      <c r="S751" t="s">
        <v>6612</v>
      </c>
      <c r="T751" t="s">
        <v>11720</v>
      </c>
      <c r="U751" t="s">
        <v>11720</v>
      </c>
      <c r="V751" t="s">
        <v>11720</v>
      </c>
      <c r="W751" t="s">
        <v>12452</v>
      </c>
      <c r="X751">
        <v>6</v>
      </c>
      <c r="Y751" t="s">
        <v>18247</v>
      </c>
      <c r="Z751" t="s">
        <v>23958</v>
      </c>
      <c r="AA751">
        <v>0.45444071757744958</v>
      </c>
      <c r="AB751" t="str">
        <f>HYPERLINK("Melting_Curves/meltCurve_G3V0I6_OTUD4.pdf", "Melting_Curves/meltCurve_G3V0I6_OTUD4.pdf")</f>
        <v>Melting_Curves/meltCurve_G3V0I6_OTUD4.pdf</v>
      </c>
    </row>
    <row r="752" spans="1:28" x14ac:dyDescent="0.25">
      <c r="A752" t="s">
        <v>756</v>
      </c>
      <c r="B752">
        <v>0.99334974765950101</v>
      </c>
      <c r="C752">
        <v>1.22121224303737</v>
      </c>
      <c r="D752">
        <v>0.85841611601332701</v>
      </c>
      <c r="E752">
        <v>0.930859282859957</v>
      </c>
      <c r="F752">
        <v>0.76397579459328901</v>
      </c>
      <c r="G752">
        <v>0.43289184148295301</v>
      </c>
      <c r="H752">
        <v>0.28248383133182398</v>
      </c>
      <c r="I752">
        <v>0.26602310113602301</v>
      </c>
      <c r="J752">
        <v>0.23448634632746701</v>
      </c>
      <c r="K752">
        <v>0.12825364857260599</v>
      </c>
      <c r="L752">
        <v>1112.6122613879199</v>
      </c>
      <c r="M752">
        <v>20.1672591020079</v>
      </c>
      <c r="N752">
        <v>56.394954885386703</v>
      </c>
      <c r="O752">
        <v>54.6353681399424</v>
      </c>
      <c r="P752">
        <v>-7.59090455851507E-2</v>
      </c>
      <c r="Q752">
        <v>0.17744116179610001</v>
      </c>
      <c r="R752">
        <v>0.94460106773099894</v>
      </c>
      <c r="S752" t="s">
        <v>6613</v>
      </c>
      <c r="T752" t="s">
        <v>11720</v>
      </c>
      <c r="U752" t="s">
        <v>11720</v>
      </c>
      <c r="V752" t="s">
        <v>11720</v>
      </c>
      <c r="W752" t="s">
        <v>12453</v>
      </c>
      <c r="X752">
        <v>1</v>
      </c>
      <c r="Y752" t="s">
        <v>18248</v>
      </c>
      <c r="Z752" t="s">
        <v>23959</v>
      </c>
      <c r="AA752">
        <v>0.60412896975519248</v>
      </c>
      <c r="AB752" t="str">
        <f>HYPERLINK("Melting_Curves/meltCurve_G3V120_FAM91A1.pdf", "Melting_Curves/meltCurve_G3V120_FAM91A1.pdf")</f>
        <v>Melting_Curves/meltCurve_G3V120_FAM91A1.pdf</v>
      </c>
    </row>
    <row r="753" spans="1:28" x14ac:dyDescent="0.25">
      <c r="A753" t="s">
        <v>757</v>
      </c>
      <c r="B753">
        <v>0.99334974765950101</v>
      </c>
      <c r="C753">
        <v>0.96274469486964998</v>
      </c>
      <c r="D753">
        <v>0.76592704750033003</v>
      </c>
      <c r="E753">
        <v>0.303815362060114</v>
      </c>
      <c r="F753">
        <v>0.19403094140671201</v>
      </c>
      <c r="G753">
        <v>0.13241932868754699</v>
      </c>
      <c r="H753">
        <v>0.105463329188037</v>
      </c>
      <c r="I753">
        <v>8.1407832928870993E-2</v>
      </c>
      <c r="J753">
        <v>8.0156669919676599E-2</v>
      </c>
      <c r="K753">
        <v>6.4436128631921705E-2</v>
      </c>
      <c r="L753">
        <v>1195.3056024751099</v>
      </c>
      <c r="M753">
        <v>24.957659716990499</v>
      </c>
      <c r="N753">
        <v>48.278687578131503</v>
      </c>
      <c r="O753">
        <v>47.5890302334724</v>
      </c>
      <c r="P753">
        <v>-0.119271455520222</v>
      </c>
      <c r="Q753">
        <v>9.0309567064075905E-2</v>
      </c>
      <c r="R753">
        <v>0.99763959215876896</v>
      </c>
      <c r="S753" t="s">
        <v>6614</v>
      </c>
      <c r="T753" t="s">
        <v>11720</v>
      </c>
      <c r="U753" t="s">
        <v>11720</v>
      </c>
      <c r="V753" t="s">
        <v>11720</v>
      </c>
      <c r="W753" t="s">
        <v>12454</v>
      </c>
      <c r="X753">
        <v>16</v>
      </c>
      <c r="Y753" t="s">
        <v>18249</v>
      </c>
      <c r="Z753" t="s">
        <v>23960</v>
      </c>
      <c r="AA753">
        <v>0.33773141060586243</v>
      </c>
      <c r="AB753" t="str">
        <f>HYPERLINK("Melting_Curves/meltCurve_G3V169_CASP1.pdf", "Melting_Curves/meltCurve_G3V169_CASP1.pdf")</f>
        <v>Melting_Curves/meltCurve_G3V169_CASP1.pdf</v>
      </c>
    </row>
    <row r="754" spans="1:28" x14ac:dyDescent="0.25">
      <c r="A754" t="s">
        <v>758</v>
      </c>
      <c r="B754">
        <v>0.99334974765950101</v>
      </c>
      <c r="C754">
        <v>0.90561058975971997</v>
      </c>
      <c r="D754">
        <v>0.79126937053107005</v>
      </c>
      <c r="E754">
        <v>0.42532996670234302</v>
      </c>
      <c r="F754">
        <v>0.21782207909676499</v>
      </c>
      <c r="G754">
        <v>0.149377268840481</v>
      </c>
      <c r="H754">
        <v>0.107412896510145</v>
      </c>
      <c r="I754">
        <v>0.14354479103571599</v>
      </c>
      <c r="J754">
        <v>8.4696047447986506E-2</v>
      </c>
      <c r="K754">
        <v>7.4095862254229997E-2</v>
      </c>
      <c r="L754">
        <v>965.94945791851296</v>
      </c>
      <c r="M754">
        <v>19.892470218263</v>
      </c>
      <c r="N754">
        <v>49.074999182355597</v>
      </c>
      <c r="O754">
        <v>48.075806124913903</v>
      </c>
      <c r="P754">
        <v>-9.3677025955565804E-2</v>
      </c>
      <c r="Q754">
        <v>9.4441438475037998E-2</v>
      </c>
      <c r="R754">
        <v>0.99640292605862402</v>
      </c>
      <c r="S754" t="s">
        <v>6615</v>
      </c>
      <c r="T754" t="s">
        <v>11720</v>
      </c>
      <c r="U754" t="s">
        <v>11720</v>
      </c>
      <c r="V754" t="s">
        <v>11720</v>
      </c>
      <c r="W754" t="s">
        <v>12455</v>
      </c>
      <c r="X754">
        <v>6</v>
      </c>
      <c r="Y754" t="s">
        <v>18250</v>
      </c>
      <c r="Z754" t="s">
        <v>23961</v>
      </c>
      <c r="AA754">
        <v>0.36567505037887799</v>
      </c>
      <c r="AB754" t="str">
        <f>HYPERLINK("Melting_Curves/meltCurve_G3V1A6_GSDMD.pdf", "Melting_Curves/meltCurve_G3V1A6_GSDMD.pdf")</f>
        <v>Melting_Curves/meltCurve_G3V1A6_GSDMD.pdf</v>
      </c>
    </row>
    <row r="755" spans="1:28" x14ac:dyDescent="0.25">
      <c r="A755" t="s">
        <v>759</v>
      </c>
      <c r="B755">
        <v>0.99334974765950101</v>
      </c>
      <c r="C755">
        <v>0.97256457055736001</v>
      </c>
      <c r="D755">
        <v>1.0221366259509801</v>
      </c>
      <c r="E755">
        <v>0.92590415325955799</v>
      </c>
      <c r="F755">
        <v>1.03529661573012</v>
      </c>
      <c r="G755">
        <v>1.1927835770995601</v>
      </c>
      <c r="H755">
        <v>1.3845545768846801</v>
      </c>
      <c r="I755">
        <v>1.52562511314172</v>
      </c>
      <c r="J755">
        <v>1.28958229439383</v>
      </c>
      <c r="K755">
        <v>1.11436338156088</v>
      </c>
      <c r="L755">
        <v>14230.006118021</v>
      </c>
      <c r="M755">
        <v>250</v>
      </c>
      <c r="O755">
        <v>56.916385450294001</v>
      </c>
      <c r="P755">
        <v>0.36076096685992398</v>
      </c>
      <c r="Q755">
        <v>1.3285313434574699</v>
      </c>
      <c r="R755">
        <v>0.72507330105203405</v>
      </c>
      <c r="S755" t="s">
        <v>6616</v>
      </c>
      <c r="T755" t="s">
        <v>11720</v>
      </c>
      <c r="U755" t="s">
        <v>11720</v>
      </c>
      <c r="V755" t="s">
        <v>11720</v>
      </c>
      <c r="W755" t="s">
        <v>12456</v>
      </c>
      <c r="X755">
        <v>2</v>
      </c>
      <c r="Y755" t="s">
        <v>18251</v>
      </c>
      <c r="Z755" t="s">
        <v>23962</v>
      </c>
      <c r="AA755">
        <v>1.1432065795223529</v>
      </c>
      <c r="AB755" t="str">
        <f>HYPERLINK("Melting_Curves/meltCurve_G3V1B5_DSCAML1.pdf", "Melting_Curves/meltCurve_G3V1B5_DSCAML1.pdf")</f>
        <v>Melting_Curves/meltCurve_G3V1B5_DSCAML1.pdf</v>
      </c>
    </row>
    <row r="756" spans="1:28" x14ac:dyDescent="0.25">
      <c r="A756" t="s">
        <v>760</v>
      </c>
      <c r="B756">
        <v>0.99334974765950101</v>
      </c>
      <c r="C756">
        <v>0.89901517445576196</v>
      </c>
      <c r="D756">
        <v>0.84996233678192501</v>
      </c>
      <c r="E756">
        <v>0.66474456361188705</v>
      </c>
      <c r="F756">
        <v>0.22806677448711299</v>
      </c>
      <c r="G756">
        <v>0.14998298938635901</v>
      </c>
      <c r="H756">
        <v>0.119698089950832</v>
      </c>
      <c r="I756">
        <v>7.8079735825525201E-2</v>
      </c>
      <c r="J756">
        <v>4.3186856439726702E-2</v>
      </c>
      <c r="K756">
        <v>3.20473127493279E-2</v>
      </c>
      <c r="L756">
        <v>1028.3489446419301</v>
      </c>
      <c r="M756">
        <v>20.3444313452659</v>
      </c>
      <c r="N756">
        <v>50.811967854405999</v>
      </c>
      <c r="O756">
        <v>50.066176152131902</v>
      </c>
      <c r="P756">
        <v>-9.6477014535067199E-2</v>
      </c>
      <c r="Q756">
        <v>5.0337047887656E-2</v>
      </c>
      <c r="R756">
        <v>0.98195604311239904</v>
      </c>
      <c r="S756" t="s">
        <v>6617</v>
      </c>
      <c r="T756" t="s">
        <v>11720</v>
      </c>
      <c r="U756" t="s">
        <v>11720</v>
      </c>
      <c r="V756" t="s">
        <v>11720</v>
      </c>
      <c r="W756" t="s">
        <v>12457</v>
      </c>
      <c r="X756">
        <v>8</v>
      </c>
      <c r="Y756" t="s">
        <v>18252</v>
      </c>
      <c r="Z756" t="s">
        <v>23963</v>
      </c>
      <c r="AA756">
        <v>0.39697921897073418</v>
      </c>
      <c r="AB756" t="str">
        <f>HYPERLINK("Melting_Curves/meltCurve_G3V1K3_PON2.pdf", "Melting_Curves/meltCurve_G3V1K3_PON2.pdf")</f>
        <v>Melting_Curves/meltCurve_G3V1K3_PON2.pdf</v>
      </c>
    </row>
    <row r="757" spans="1:28" x14ac:dyDescent="0.25">
      <c r="A757" t="s">
        <v>761</v>
      </c>
      <c r="B757">
        <v>0.99334974765950101</v>
      </c>
      <c r="C757">
        <v>1.09826199773063</v>
      </c>
      <c r="D757">
        <v>0.93568565360800504</v>
      </c>
      <c r="E757">
        <v>0.75556371493694596</v>
      </c>
      <c r="F757">
        <v>0.69032689084559196</v>
      </c>
      <c r="G757">
        <v>0.478949340001325</v>
      </c>
      <c r="H757">
        <v>0.34743123092183098</v>
      </c>
      <c r="I757">
        <v>0.23541252854820999</v>
      </c>
      <c r="J757">
        <v>0.28368166611513201</v>
      </c>
      <c r="K757">
        <v>0.23459257144995099</v>
      </c>
      <c r="L757">
        <v>770.50389199564302</v>
      </c>
      <c r="M757">
        <v>14.230816665055</v>
      </c>
      <c r="N757">
        <v>56.2246775550162</v>
      </c>
      <c r="O757">
        <v>53.107844602166999</v>
      </c>
      <c r="P757">
        <v>-5.3280310544380302E-2</v>
      </c>
      <c r="Q757">
        <v>0.20475365643160601</v>
      </c>
      <c r="R757">
        <v>0.97851824359241402</v>
      </c>
      <c r="S757" t="s">
        <v>6618</v>
      </c>
      <c r="T757" t="s">
        <v>11720</v>
      </c>
      <c r="U757" t="s">
        <v>11720</v>
      </c>
      <c r="V757" t="s">
        <v>11720</v>
      </c>
      <c r="W757" t="s">
        <v>12458</v>
      </c>
      <c r="X757">
        <v>40</v>
      </c>
      <c r="Y757" t="s">
        <v>18253</v>
      </c>
      <c r="Z757" t="s">
        <v>23964</v>
      </c>
      <c r="AA757">
        <v>0.59689242093281014</v>
      </c>
      <c r="AB757" t="str">
        <f>HYPERLINK("Melting_Curves/meltCurve_G3V1L9_TJP1.pdf", "Melting_Curves/meltCurve_G3V1L9_TJP1.pdf")</f>
        <v>Melting_Curves/meltCurve_G3V1L9_TJP1.pdf</v>
      </c>
    </row>
    <row r="758" spans="1:28" x14ac:dyDescent="0.25">
      <c r="A758" t="s">
        <v>762</v>
      </c>
      <c r="B758">
        <v>0.99334974765950101</v>
      </c>
      <c r="C758">
        <v>0.97333095560146599</v>
      </c>
      <c r="D758">
        <v>0.79388756180129705</v>
      </c>
      <c r="E758">
        <v>0.70756954456589205</v>
      </c>
      <c r="F758">
        <v>0.62635045509947096</v>
      </c>
      <c r="G758">
        <v>0.54984820231244202</v>
      </c>
      <c r="H758">
        <v>0.48544171984130602</v>
      </c>
      <c r="I758">
        <v>0.50836961635008504</v>
      </c>
      <c r="J758">
        <v>0.52818388028470797</v>
      </c>
      <c r="K758">
        <v>0.36434772973940399</v>
      </c>
      <c r="L758">
        <v>574.52395230389402</v>
      </c>
      <c r="M758">
        <v>11.5367537666004</v>
      </c>
      <c r="N758">
        <v>60.462082165254898</v>
      </c>
      <c r="O758">
        <v>48.373699243195297</v>
      </c>
      <c r="P758">
        <v>-3.37185998395041E-2</v>
      </c>
      <c r="Q758">
        <v>0.43462932871321602</v>
      </c>
      <c r="R758">
        <v>0.952147845612205</v>
      </c>
      <c r="S758" t="s">
        <v>6619</v>
      </c>
      <c r="T758" t="s">
        <v>11720</v>
      </c>
      <c r="U758" t="s">
        <v>11720</v>
      </c>
      <c r="V758" t="s">
        <v>11720</v>
      </c>
      <c r="W758" t="s">
        <v>12459</v>
      </c>
      <c r="X758">
        <v>3</v>
      </c>
      <c r="Y758" t="s">
        <v>18254</v>
      </c>
      <c r="Z758" t="s">
        <v>23965</v>
      </c>
      <c r="AA758">
        <v>0.64036852314351311</v>
      </c>
      <c r="AB758" t="str">
        <f>HYPERLINK("Melting_Curves/meltCurve_G3V1N2_HBA2.pdf", "Melting_Curves/meltCurve_G3V1N2_HBA2.pdf")</f>
        <v>Melting_Curves/meltCurve_G3V1N2_HBA2.pdf</v>
      </c>
    </row>
    <row r="759" spans="1:28" x14ac:dyDescent="0.25">
      <c r="A759" t="s">
        <v>763</v>
      </c>
      <c r="B759">
        <v>0.99334974765950101</v>
      </c>
      <c r="C759">
        <v>1.0188940601730501</v>
      </c>
      <c r="D759">
        <v>1.03122267062232</v>
      </c>
      <c r="E759">
        <v>0.94402760574093603</v>
      </c>
      <c r="F759">
        <v>0.91158227679121995</v>
      </c>
      <c r="G759">
        <v>0.53887672714246104</v>
      </c>
      <c r="H759">
        <v>0.27121141742440302</v>
      </c>
      <c r="I759">
        <v>0.207104848489889</v>
      </c>
      <c r="J759">
        <v>0.15037407658695101</v>
      </c>
      <c r="K759">
        <v>0.10529726442883</v>
      </c>
      <c r="L759">
        <v>1406.7628084084799</v>
      </c>
      <c r="M759">
        <v>24.697796422321701</v>
      </c>
      <c r="N759">
        <v>57.628171353463301</v>
      </c>
      <c r="O759">
        <v>56.589559486406102</v>
      </c>
      <c r="P759">
        <v>-9.5509346014101604E-2</v>
      </c>
      <c r="Q759">
        <v>0.124657851754405</v>
      </c>
      <c r="R759">
        <v>0.996300553493497</v>
      </c>
      <c r="S759" t="s">
        <v>6620</v>
      </c>
      <c r="T759" t="s">
        <v>11720</v>
      </c>
      <c r="U759" t="s">
        <v>11720</v>
      </c>
      <c r="V759" t="s">
        <v>11720</v>
      </c>
      <c r="W759" t="s">
        <v>12460</v>
      </c>
      <c r="X759">
        <v>15</v>
      </c>
      <c r="Y759" t="s">
        <v>18255</v>
      </c>
      <c r="Z759" t="s">
        <v>23966</v>
      </c>
      <c r="AA759">
        <v>0.62753317761046568</v>
      </c>
      <c r="AB759" t="str">
        <f>HYPERLINK("Melting_Curves/meltCurve_G3V1P3_LOH12CR1.pdf", "Melting_Curves/meltCurve_G3V1P3_LOH12CR1.pdf")</f>
        <v>Melting_Curves/meltCurve_G3V1P3_LOH12CR1.pdf</v>
      </c>
    </row>
    <row r="760" spans="1:28" x14ac:dyDescent="0.25">
      <c r="A760" t="s">
        <v>764</v>
      </c>
      <c r="B760">
        <v>0.99334974765950101</v>
      </c>
      <c r="C760">
        <v>0.93824270032204504</v>
      </c>
      <c r="D760">
        <v>0.82502066333617097</v>
      </c>
      <c r="E760">
        <v>0.78110013397215206</v>
      </c>
      <c r="F760">
        <v>0.83876766919034396</v>
      </c>
      <c r="G760">
        <v>0.52868116849065905</v>
      </c>
      <c r="H760">
        <v>0.56140409564967197</v>
      </c>
      <c r="I760">
        <v>0.68829054349538299</v>
      </c>
      <c r="J760">
        <v>0.87768164925046199</v>
      </c>
      <c r="K760">
        <v>0.84986161797062398</v>
      </c>
      <c r="L760">
        <v>915.51001410825199</v>
      </c>
      <c r="M760">
        <v>20.136192541179799</v>
      </c>
      <c r="O760">
        <v>45.024604099071702</v>
      </c>
      <c r="P760">
        <v>-3.1144389952346301E-2</v>
      </c>
      <c r="Q760">
        <v>0.72145292884220102</v>
      </c>
      <c r="R760">
        <v>0.434049001430448</v>
      </c>
      <c r="S760" t="s">
        <v>6621</v>
      </c>
      <c r="T760" t="s">
        <v>11720</v>
      </c>
      <c r="U760" t="s">
        <v>11720</v>
      </c>
      <c r="V760" t="s">
        <v>11720</v>
      </c>
      <c r="W760" t="s">
        <v>12461</v>
      </c>
      <c r="X760">
        <v>6</v>
      </c>
      <c r="Y760" t="s">
        <v>18256</v>
      </c>
      <c r="Z760" t="s">
        <v>23967</v>
      </c>
      <c r="AA760">
        <v>0.77662920095311228</v>
      </c>
      <c r="AB760" t="str">
        <f>HYPERLINK("Melting_Curves/meltCurve_G3V1R3_ZEB1.pdf", "Melting_Curves/meltCurve_G3V1R3_ZEB1.pdf")</f>
        <v>Melting_Curves/meltCurve_G3V1R3_ZEB1.pdf</v>
      </c>
    </row>
    <row r="761" spans="1:28" x14ac:dyDescent="0.25">
      <c r="A761" t="s">
        <v>765</v>
      </c>
      <c r="B761">
        <v>0.99334974765950101</v>
      </c>
      <c r="C761">
        <v>1.0257019348496099</v>
      </c>
      <c r="D761">
        <v>0.98577333504289399</v>
      </c>
      <c r="E761">
        <v>1.00491686920013</v>
      </c>
      <c r="F761">
        <v>1.05072574283039</v>
      </c>
      <c r="G761">
        <v>0.86133143967700798</v>
      </c>
      <c r="H761">
        <v>0.71147923575337002</v>
      </c>
      <c r="I761">
        <v>0.66200329515033496</v>
      </c>
      <c r="J761">
        <v>0.60979761785147502</v>
      </c>
      <c r="K761">
        <v>0.31575718949727599</v>
      </c>
      <c r="L761">
        <v>818.02681640182504</v>
      </c>
      <c r="M761">
        <v>12.1630399411086</v>
      </c>
      <c r="N761">
        <v>67.255133079674806</v>
      </c>
      <c r="O761">
        <v>65.514594494039002</v>
      </c>
      <c r="P761">
        <v>-4.6424093588556599E-2</v>
      </c>
      <c r="Q761">
        <v>0</v>
      </c>
      <c r="R761">
        <v>0.944878555986153</v>
      </c>
      <c r="S761" t="s">
        <v>6622</v>
      </c>
      <c r="T761" t="s">
        <v>11720</v>
      </c>
      <c r="U761" t="s">
        <v>11720</v>
      </c>
      <c r="V761" t="s">
        <v>11720</v>
      </c>
      <c r="W761" t="s">
        <v>12462</v>
      </c>
      <c r="X761">
        <v>8</v>
      </c>
      <c r="Y761" t="s">
        <v>18257</v>
      </c>
      <c r="Z761" t="s">
        <v>23968</v>
      </c>
      <c r="AA761">
        <v>0.84088389351566917</v>
      </c>
      <c r="AB761" t="str">
        <f>HYPERLINK("Melting_Curves/meltCurve_G3V1R9_ISYNA1.pdf", "Melting_Curves/meltCurve_G3V1R9_ISYNA1.pdf")</f>
        <v>Melting_Curves/meltCurve_G3V1R9_ISYNA1.pdf</v>
      </c>
    </row>
    <row r="762" spans="1:28" x14ac:dyDescent="0.25">
      <c r="A762" t="s">
        <v>766</v>
      </c>
      <c r="B762">
        <v>0.99334974765950101</v>
      </c>
      <c r="C762">
        <v>0.92796436780971303</v>
      </c>
      <c r="D762">
        <v>0.76151990775537903</v>
      </c>
      <c r="E762">
        <v>0.56638975297660699</v>
      </c>
      <c r="F762">
        <v>0.33463696595694398</v>
      </c>
      <c r="G762">
        <v>0.25505118959911499</v>
      </c>
      <c r="H762">
        <v>0.211188696870241</v>
      </c>
      <c r="I762">
        <v>0.178848578480234</v>
      </c>
      <c r="J762">
        <v>0.20417125814577</v>
      </c>
      <c r="K762">
        <v>0.18671268243306</v>
      </c>
      <c r="L762">
        <v>789.64037973105496</v>
      </c>
      <c r="M762">
        <v>16.1034995334761</v>
      </c>
      <c r="N762">
        <v>50.395629451558399</v>
      </c>
      <c r="O762">
        <v>48.297852747133</v>
      </c>
      <c r="P762">
        <v>-6.8668094882267994E-2</v>
      </c>
      <c r="Q762">
        <v>0.176261525423691</v>
      </c>
      <c r="R762">
        <v>0.99549935346117902</v>
      </c>
      <c r="S762" t="s">
        <v>6623</v>
      </c>
      <c r="T762" t="s">
        <v>11720</v>
      </c>
      <c r="U762" t="s">
        <v>11720</v>
      </c>
      <c r="V762" t="s">
        <v>11720</v>
      </c>
      <c r="W762" t="s">
        <v>12463</v>
      </c>
      <c r="X762">
        <v>1</v>
      </c>
      <c r="Y762" t="s">
        <v>18258</v>
      </c>
      <c r="Z762" t="s">
        <v>23969</v>
      </c>
      <c r="AA762">
        <v>0.44209071485573731</v>
      </c>
      <c r="AB762" t="str">
        <f>HYPERLINK("Melting_Curves/meltCurve_G3V1T4_NUP107.pdf", "Melting_Curves/meltCurve_G3V1T4_NUP107.pdf")</f>
        <v>Melting_Curves/meltCurve_G3V1T4_NUP107.pdf</v>
      </c>
    </row>
    <row r="763" spans="1:28" x14ac:dyDescent="0.25">
      <c r="A763" t="s">
        <v>767</v>
      </c>
      <c r="B763">
        <v>0.99334974765950101</v>
      </c>
      <c r="C763">
        <v>0.92792728525016299</v>
      </c>
      <c r="D763">
        <v>0.74714134015506595</v>
      </c>
      <c r="E763">
        <v>0.44541866137243102</v>
      </c>
      <c r="F763">
        <v>0.31819543848148801</v>
      </c>
      <c r="G763">
        <v>0.26574071603739102</v>
      </c>
      <c r="H763">
        <v>0.25315276715701301</v>
      </c>
      <c r="I763">
        <v>0.25233645505893498</v>
      </c>
      <c r="J763">
        <v>0.24817753417111499</v>
      </c>
      <c r="K763">
        <v>0.26808602117889702</v>
      </c>
      <c r="L763">
        <v>1020.0534418315</v>
      </c>
      <c r="M763">
        <v>21.491000760500899</v>
      </c>
      <c r="N763">
        <v>49.056858480773798</v>
      </c>
      <c r="O763">
        <v>47.058964938347003</v>
      </c>
      <c r="P763">
        <v>-8.5499792121995002E-2</v>
      </c>
      <c r="Q763">
        <v>0.25114056604607199</v>
      </c>
      <c r="R763">
        <v>0.99945057421345795</v>
      </c>
      <c r="S763" t="s">
        <v>6624</v>
      </c>
      <c r="T763" t="s">
        <v>11720</v>
      </c>
      <c r="U763" t="s">
        <v>11720</v>
      </c>
      <c r="V763" t="s">
        <v>11720</v>
      </c>
      <c r="W763" t="s">
        <v>12464</v>
      </c>
      <c r="X763">
        <v>5</v>
      </c>
      <c r="Y763" t="s">
        <v>18259</v>
      </c>
      <c r="Z763" t="s">
        <v>23970</v>
      </c>
      <c r="AA763">
        <v>0.44668773006503659</v>
      </c>
      <c r="AB763" t="str">
        <f>HYPERLINK("Melting_Curves/meltCurve_G3V1U0_ATF7IP.pdf", "Melting_Curves/meltCurve_G3V1U0_ATF7IP.pdf")</f>
        <v>Melting_Curves/meltCurve_G3V1U0_ATF7IP.pdf</v>
      </c>
    </row>
    <row r="764" spans="1:28" x14ac:dyDescent="0.25">
      <c r="A764" t="s">
        <v>768</v>
      </c>
      <c r="B764">
        <v>0.99334974765950101</v>
      </c>
      <c r="C764">
        <v>1.2057943026892</v>
      </c>
      <c r="D764">
        <v>1.54511035402328</v>
      </c>
      <c r="E764">
        <v>1.4402038281144001</v>
      </c>
      <c r="F764">
        <v>0.48697967708213502</v>
      </c>
      <c r="G764">
        <v>0.31416683130141698</v>
      </c>
      <c r="H764">
        <v>0.18332617572993701</v>
      </c>
      <c r="I764">
        <v>0.14773003970834001</v>
      </c>
      <c r="J764">
        <v>0.102471893544177</v>
      </c>
      <c r="K764">
        <v>8.4059778979319405E-2</v>
      </c>
      <c r="L764">
        <v>13225.0886078693</v>
      </c>
      <c r="M764">
        <v>250</v>
      </c>
      <c r="N764">
        <v>52.986090190050099</v>
      </c>
      <c r="O764">
        <v>52.896959694884401</v>
      </c>
      <c r="P764">
        <v>-0.98499161761224896</v>
      </c>
      <c r="Q764">
        <v>0.16635086104921301</v>
      </c>
      <c r="R764">
        <v>0.81613580479548897</v>
      </c>
      <c r="S764" t="s">
        <v>6625</v>
      </c>
      <c r="T764" t="s">
        <v>11720</v>
      </c>
      <c r="U764" t="s">
        <v>11720</v>
      </c>
      <c r="V764" t="s">
        <v>11720</v>
      </c>
      <c r="W764" t="s">
        <v>12465</v>
      </c>
      <c r="X764">
        <v>4</v>
      </c>
      <c r="Y764" t="s">
        <v>18260</v>
      </c>
      <c r="Z764" t="s">
        <v>23971</v>
      </c>
      <c r="AA764">
        <v>0.52490723524934735</v>
      </c>
      <c r="AB764" t="str">
        <f>HYPERLINK("Melting_Curves/meltCurve_G3V203_RPL18.pdf", "Melting_Curves/meltCurve_G3V203_RPL18.pdf")</f>
        <v>Melting_Curves/meltCurve_G3V203_RPL18.pdf</v>
      </c>
    </row>
    <row r="765" spans="1:28" x14ac:dyDescent="0.25">
      <c r="A765" t="s">
        <v>769</v>
      </c>
      <c r="B765">
        <v>0.99334974765950101</v>
      </c>
      <c r="C765">
        <v>0.91330115430940295</v>
      </c>
      <c r="D765">
        <v>0.80825450468458704</v>
      </c>
      <c r="E765">
        <v>0.77231521100391298</v>
      </c>
      <c r="F765">
        <v>0.61876422238321305</v>
      </c>
      <c r="G765">
        <v>0.43724758334094799</v>
      </c>
      <c r="H765">
        <v>0.15752824682522101</v>
      </c>
      <c r="I765">
        <v>0.11195165897522801</v>
      </c>
      <c r="J765">
        <v>6.24081504237688E-2</v>
      </c>
      <c r="K765">
        <v>5.5804240799370998E-2</v>
      </c>
      <c r="L765">
        <v>667.93683632940201</v>
      </c>
      <c r="M765">
        <v>12.244245909424</v>
      </c>
      <c r="N765">
        <v>54.551079803175497</v>
      </c>
      <c r="O765">
        <v>53.1572008284964</v>
      </c>
      <c r="P765">
        <v>-5.7597915881663297E-2</v>
      </c>
      <c r="Q765">
        <v>0</v>
      </c>
      <c r="R765">
        <v>0.98153842536170799</v>
      </c>
      <c r="S765" t="s">
        <v>6626</v>
      </c>
      <c r="T765" t="s">
        <v>11720</v>
      </c>
      <c r="U765" t="s">
        <v>11720</v>
      </c>
      <c r="V765" t="s">
        <v>11720</v>
      </c>
      <c r="W765" t="s">
        <v>12466</v>
      </c>
      <c r="X765">
        <v>14</v>
      </c>
      <c r="Y765" t="s">
        <v>18261</v>
      </c>
      <c r="Z765" t="s">
        <v>23972</v>
      </c>
      <c r="AA765">
        <v>0.50932568231622866</v>
      </c>
      <c r="AB765" t="str">
        <f>HYPERLINK("Melting_Curves/meltCurve_G3V2F7_TMEM189.pdf", "Melting_Curves/meltCurve_G3V2F7_TMEM189.pdf")</f>
        <v>Melting_Curves/meltCurve_G3V2F7_TMEM189.pdf</v>
      </c>
    </row>
    <row r="766" spans="1:28" x14ac:dyDescent="0.25">
      <c r="A766" t="s">
        <v>770</v>
      </c>
      <c r="B766">
        <v>0.99334974765950101</v>
      </c>
      <c r="C766">
        <v>0.99050774768238603</v>
      </c>
      <c r="D766">
        <v>0.83487950119615295</v>
      </c>
      <c r="E766">
        <v>0.673952655422556</v>
      </c>
      <c r="F766">
        <v>0.40750089181229299</v>
      </c>
      <c r="G766">
        <v>0.20622934226887099</v>
      </c>
      <c r="H766">
        <v>0.149238531736896</v>
      </c>
      <c r="I766">
        <v>0.13514169525129399</v>
      </c>
      <c r="J766">
        <v>0.124902597785069</v>
      </c>
      <c r="K766">
        <v>0.116271211055856</v>
      </c>
      <c r="L766">
        <v>894.41519122500995</v>
      </c>
      <c r="M766">
        <v>17.5092344963725</v>
      </c>
      <c r="N766">
        <v>51.769797403121103</v>
      </c>
      <c r="O766">
        <v>50.430128933165101</v>
      </c>
      <c r="P766">
        <v>-7.7801906110380403E-2</v>
      </c>
      <c r="Q766">
        <v>0.103708572151596</v>
      </c>
      <c r="R766">
        <v>0.99576866866640301</v>
      </c>
      <c r="S766" t="s">
        <v>6627</v>
      </c>
      <c r="T766" t="s">
        <v>11720</v>
      </c>
      <c r="U766" t="s">
        <v>11720</v>
      </c>
      <c r="V766" t="s">
        <v>11720</v>
      </c>
      <c r="W766" t="s">
        <v>12467</v>
      </c>
      <c r="X766">
        <v>5</v>
      </c>
      <c r="Y766" t="s">
        <v>18262</v>
      </c>
      <c r="Z766" t="s">
        <v>23973</v>
      </c>
      <c r="AA766">
        <v>0.45066381474919059</v>
      </c>
      <c r="AB766" t="str">
        <f>HYPERLINK("Melting_Curves/meltCurve_G3V2U7_ACYP1.pdf", "Melting_Curves/meltCurve_G3V2U7_ACYP1.pdf")</f>
        <v>Melting_Curves/meltCurve_G3V2U7_ACYP1.pdf</v>
      </c>
    </row>
    <row r="767" spans="1:28" x14ac:dyDescent="0.25">
      <c r="A767" t="s">
        <v>771</v>
      </c>
      <c r="B767">
        <v>0.99334974765950101</v>
      </c>
      <c r="C767">
        <v>1.04094394142466</v>
      </c>
      <c r="D767">
        <v>0.78506500734503504</v>
      </c>
      <c r="E767">
        <v>1.1240987719997499</v>
      </c>
      <c r="F767">
        <v>0.915989669475472</v>
      </c>
      <c r="G767">
        <v>1.14352936004311</v>
      </c>
      <c r="H767">
        <v>1.07205927189154</v>
      </c>
      <c r="I767">
        <v>2.2502328245738901</v>
      </c>
      <c r="J767">
        <v>1.3762434977314499</v>
      </c>
      <c r="K767">
        <v>0.94229438531902499</v>
      </c>
      <c r="L767">
        <v>15000</v>
      </c>
      <c r="M767">
        <v>244.125852702591</v>
      </c>
      <c r="O767">
        <v>61.439594341005701</v>
      </c>
      <c r="P767">
        <v>0.49667859890237598</v>
      </c>
      <c r="Q767">
        <v>1.5</v>
      </c>
      <c r="R767">
        <v>0.36097430326746599</v>
      </c>
      <c r="S767" t="s">
        <v>6628</v>
      </c>
      <c r="T767" t="s">
        <v>11720</v>
      </c>
      <c r="U767" t="s">
        <v>11720</v>
      </c>
      <c r="V767" t="s">
        <v>11720</v>
      </c>
      <c r="W767" t="s">
        <v>12468</v>
      </c>
      <c r="X767">
        <v>2</v>
      </c>
      <c r="Y767" t="s">
        <v>18263</v>
      </c>
      <c r="Z767" t="s">
        <v>23974</v>
      </c>
      <c r="AA767">
        <v>1.142548160533289</v>
      </c>
      <c r="AB767" t="str">
        <f>HYPERLINK("Melting_Curves/meltCurve_G3V3D2_SPATA7.pdf", "Melting_Curves/meltCurve_G3V3D2_SPATA7.pdf")</f>
        <v>Melting_Curves/meltCurve_G3V3D2_SPATA7.pdf</v>
      </c>
    </row>
    <row r="768" spans="1:28" x14ac:dyDescent="0.25">
      <c r="A768" t="s">
        <v>772</v>
      </c>
      <c r="B768">
        <v>0.99334974765950101</v>
      </c>
      <c r="C768">
        <v>1.0722992655715</v>
      </c>
      <c r="D768">
        <v>1.2775159917035599</v>
      </c>
      <c r="E768">
        <v>1.7967269204223599</v>
      </c>
      <c r="F768">
        <v>0.77864365890484299</v>
      </c>
      <c r="G768">
        <v>0.28396642393112298</v>
      </c>
      <c r="H768">
        <v>0.17558865604631399</v>
      </c>
      <c r="I768">
        <v>0.146411365069787</v>
      </c>
      <c r="J768">
        <v>0.12127250084373201</v>
      </c>
      <c r="K768">
        <v>0.104451182892227</v>
      </c>
      <c r="L768">
        <v>2937.2311232488601</v>
      </c>
      <c r="M768">
        <v>53.834168832237403</v>
      </c>
      <c r="N768">
        <v>54.917905789284298</v>
      </c>
      <c r="O768">
        <v>54.485574466337901</v>
      </c>
      <c r="P768">
        <v>-0.21052683281130899</v>
      </c>
      <c r="Q768">
        <v>0.14770327902185401</v>
      </c>
      <c r="R768">
        <v>0.76925492518720795</v>
      </c>
      <c r="S768" t="s">
        <v>6629</v>
      </c>
      <c r="T768" t="s">
        <v>11720</v>
      </c>
      <c r="U768" t="s">
        <v>11720</v>
      </c>
      <c r="V768" t="s">
        <v>11720</v>
      </c>
      <c r="W768" t="s">
        <v>12469</v>
      </c>
      <c r="X768">
        <v>10</v>
      </c>
      <c r="Y768" t="s">
        <v>18264</v>
      </c>
      <c r="Z768" t="s">
        <v>23975</v>
      </c>
      <c r="AA768">
        <v>0.56313952815082602</v>
      </c>
      <c r="AB768" t="str">
        <f>HYPERLINK("Melting_Curves/meltCurve_G3V3G9_DCAF8.pdf", "Melting_Curves/meltCurve_G3V3G9_DCAF8.pdf")</f>
        <v>Melting_Curves/meltCurve_G3V3G9_DCAF8.pdf</v>
      </c>
    </row>
    <row r="769" spans="1:28" x14ac:dyDescent="0.25">
      <c r="A769" t="s">
        <v>773</v>
      </c>
      <c r="B769">
        <v>0.99334974765950101</v>
      </c>
      <c r="C769">
        <v>0.96423603889947695</v>
      </c>
      <c r="D769">
        <v>0.865238390190322</v>
      </c>
      <c r="E769">
        <v>0.537220142127244</v>
      </c>
      <c r="F769">
        <v>0.23686659088077699</v>
      </c>
      <c r="G769">
        <v>0.151310697529843</v>
      </c>
      <c r="H769">
        <v>0.11829642256770299</v>
      </c>
      <c r="I769">
        <v>0.105269419328409</v>
      </c>
      <c r="J769">
        <v>9.7342813308738299E-2</v>
      </c>
      <c r="K769">
        <v>8.3425185567929397E-2</v>
      </c>
      <c r="L769">
        <v>1146.4890154314901</v>
      </c>
      <c r="M769">
        <v>23.077034313089602</v>
      </c>
      <c r="N769">
        <v>50.138859527298997</v>
      </c>
      <c r="O769">
        <v>49.3124008264422</v>
      </c>
      <c r="P769">
        <v>-0.105879953416778</v>
      </c>
      <c r="Q769">
        <v>9.5014001299689302E-2</v>
      </c>
      <c r="R769">
        <v>0.99835011398011797</v>
      </c>
      <c r="S769" t="s">
        <v>6630</v>
      </c>
      <c r="T769" t="s">
        <v>11720</v>
      </c>
      <c r="U769" t="s">
        <v>11720</v>
      </c>
      <c r="V769" t="s">
        <v>11720</v>
      </c>
      <c r="W769" t="s">
        <v>12470</v>
      </c>
      <c r="X769">
        <v>12</v>
      </c>
      <c r="Y769" t="s">
        <v>18265</v>
      </c>
      <c r="Z769" t="s">
        <v>23976</v>
      </c>
      <c r="AA769">
        <v>0.3965305200044803</v>
      </c>
      <c r="AB769" t="str">
        <f>HYPERLINK("Melting_Curves/meltCurve_G3V3R7_ATXN3.pdf", "Melting_Curves/meltCurve_G3V3R7_ATXN3.pdf")</f>
        <v>Melting_Curves/meltCurve_G3V3R7_ATXN3.pdf</v>
      </c>
    </row>
    <row r="770" spans="1:28" x14ac:dyDescent="0.25">
      <c r="A770" t="s">
        <v>774</v>
      </c>
      <c r="B770">
        <v>0.99334974765950101</v>
      </c>
      <c r="C770">
        <v>0.80098282960178302</v>
      </c>
      <c r="D770">
        <v>0.61190424728860804</v>
      </c>
      <c r="E770">
        <v>0.49197975966038698</v>
      </c>
      <c r="F770">
        <v>0.405793342258087</v>
      </c>
      <c r="G770">
        <v>0.32006424091214902</v>
      </c>
      <c r="H770">
        <v>0.28232958249659201</v>
      </c>
      <c r="I770">
        <v>0.40137193182374198</v>
      </c>
      <c r="J770">
        <v>0.38169242501002099</v>
      </c>
      <c r="K770">
        <v>0.46260732300686203</v>
      </c>
      <c r="L770">
        <v>886.05956861787104</v>
      </c>
      <c r="M770">
        <v>19.702050133655501</v>
      </c>
      <c r="N770">
        <v>48.337010325401899</v>
      </c>
      <c r="O770">
        <v>44.517333979768701</v>
      </c>
      <c r="P770">
        <v>-6.9364564876623999E-2</v>
      </c>
      <c r="Q770">
        <v>0.37309695890911698</v>
      </c>
      <c r="R770">
        <v>0.94356470586478502</v>
      </c>
      <c r="S770" t="s">
        <v>6631</v>
      </c>
      <c r="T770" t="s">
        <v>11720</v>
      </c>
      <c r="U770" t="s">
        <v>11720</v>
      </c>
      <c r="V770" t="s">
        <v>11720</v>
      </c>
      <c r="W770" t="s">
        <v>12471</v>
      </c>
      <c r="X770">
        <v>1</v>
      </c>
      <c r="Y770" t="s">
        <v>18266</v>
      </c>
      <c r="Z770" t="s">
        <v>23977</v>
      </c>
      <c r="AA770">
        <v>0.48803953839860792</v>
      </c>
      <c r="AB770" t="str">
        <f>HYPERLINK("Melting_Curves/meltCurve_G3V416_SIX4.pdf", "Melting_Curves/meltCurve_G3V416_SIX4.pdf")</f>
        <v>Melting_Curves/meltCurve_G3V416_SIX4.pdf</v>
      </c>
    </row>
    <row r="771" spans="1:28" x14ac:dyDescent="0.25">
      <c r="A771" t="s">
        <v>775</v>
      </c>
      <c r="B771">
        <v>0.99334974765950101</v>
      </c>
      <c r="C771">
        <v>0.90845251472021005</v>
      </c>
      <c r="D771">
        <v>0.845942784495607</v>
      </c>
      <c r="E771">
        <v>0.64657093298448198</v>
      </c>
      <c r="F771">
        <v>0.41351526622703699</v>
      </c>
      <c r="G771">
        <v>0.25383350828911699</v>
      </c>
      <c r="H771">
        <v>0.29608705234195198</v>
      </c>
      <c r="I771">
        <v>0.26204504935601203</v>
      </c>
      <c r="J771">
        <v>0.32728090130464599</v>
      </c>
      <c r="K771">
        <v>0.27116182459328098</v>
      </c>
      <c r="L771">
        <v>942.18801583482002</v>
      </c>
      <c r="M771">
        <v>19.030884730678501</v>
      </c>
      <c r="N771">
        <v>51.566983159978697</v>
      </c>
      <c r="O771">
        <v>48.971447070793197</v>
      </c>
      <c r="P771">
        <v>-7.1302913406479901E-2</v>
      </c>
      <c r="Q771">
        <v>0.26610505555789898</v>
      </c>
      <c r="R771">
        <v>0.982699106946055</v>
      </c>
      <c r="S771" t="s">
        <v>6632</v>
      </c>
      <c r="T771" t="s">
        <v>11720</v>
      </c>
      <c r="U771" t="s">
        <v>11720</v>
      </c>
      <c r="V771" t="s">
        <v>11720</v>
      </c>
      <c r="W771" t="s">
        <v>12472</v>
      </c>
      <c r="X771">
        <v>1</v>
      </c>
      <c r="Y771" t="s">
        <v>18267</v>
      </c>
      <c r="Z771" t="s">
        <v>23978</v>
      </c>
      <c r="AA771">
        <v>0.51000977893095278</v>
      </c>
      <c r="AB771" t="str">
        <f>HYPERLINK("Melting_Curves/meltCurve_G3V4K3_VIPAS39.pdf", "Melting_Curves/meltCurve_G3V4K3_VIPAS39.pdf")</f>
        <v>Melting_Curves/meltCurve_G3V4K3_VIPAS39.pdf</v>
      </c>
    </row>
    <row r="772" spans="1:28" x14ac:dyDescent="0.25">
      <c r="A772" t="s">
        <v>776</v>
      </c>
      <c r="B772">
        <v>0.99334974765950101</v>
      </c>
      <c r="C772">
        <v>0.97679489954320697</v>
      </c>
      <c r="D772">
        <v>0.85427526777986096</v>
      </c>
      <c r="E772">
        <v>0.72891522878635995</v>
      </c>
      <c r="F772">
        <v>0.67584245379295005</v>
      </c>
      <c r="G772">
        <v>0.469054157571694</v>
      </c>
      <c r="H772">
        <v>0.47863747817866398</v>
      </c>
      <c r="I772">
        <v>0.31286964779007098</v>
      </c>
      <c r="J772">
        <v>0.252255333902273</v>
      </c>
      <c r="K772">
        <v>0.19389236593912701</v>
      </c>
      <c r="L772">
        <v>434.83160536273101</v>
      </c>
      <c r="M772">
        <v>7.5405692794839903</v>
      </c>
      <c r="N772">
        <v>57.665637571549098</v>
      </c>
      <c r="O772">
        <v>54.028428652029099</v>
      </c>
      <c r="P772">
        <v>-3.49408564139604E-2</v>
      </c>
      <c r="Q772">
        <v>0</v>
      </c>
      <c r="R772">
        <v>0.98204979199097597</v>
      </c>
      <c r="S772" t="s">
        <v>6633</v>
      </c>
      <c r="T772" t="s">
        <v>11720</v>
      </c>
      <c r="U772" t="s">
        <v>11720</v>
      </c>
      <c r="V772" t="s">
        <v>11720</v>
      </c>
      <c r="W772" t="s">
        <v>12473</v>
      </c>
      <c r="X772">
        <v>1</v>
      </c>
      <c r="Y772" t="s">
        <v>18268</v>
      </c>
      <c r="Z772" t="s">
        <v>23979</v>
      </c>
      <c r="AA772">
        <v>0.59337501261414161</v>
      </c>
      <c r="AB772" t="str">
        <f>HYPERLINK("Melting_Curves/meltCurve_G3V4P7_AP4S1.pdf", "Melting_Curves/meltCurve_G3V4P7_AP4S1.pdf")</f>
        <v>Melting_Curves/meltCurve_G3V4P7_AP4S1.pdf</v>
      </c>
    </row>
    <row r="773" spans="1:28" x14ac:dyDescent="0.25">
      <c r="A773" t="s">
        <v>777</v>
      </c>
      <c r="B773">
        <v>0.99334974765950101</v>
      </c>
      <c r="C773">
        <v>0.99932493098396402</v>
      </c>
      <c r="D773">
        <v>1.01396473937806</v>
      </c>
      <c r="E773">
        <v>0.90425502387221002</v>
      </c>
      <c r="F773">
        <v>0.61558570560427806</v>
      </c>
      <c r="G773">
        <v>0.59400063673357295</v>
      </c>
      <c r="H773">
        <v>0.40599427792940801</v>
      </c>
      <c r="I773">
        <v>0.40427138459707401</v>
      </c>
      <c r="J773">
        <v>0.31748779820575301</v>
      </c>
      <c r="K773">
        <v>0.260551521756337</v>
      </c>
      <c r="L773">
        <v>763.87615651676799</v>
      </c>
      <c r="M773">
        <v>13.8926116249177</v>
      </c>
      <c r="N773">
        <v>58.137490198986399</v>
      </c>
      <c r="O773">
        <v>53.882676429453198</v>
      </c>
      <c r="P773">
        <v>-4.7406239565954703E-2</v>
      </c>
      <c r="Q773">
        <v>0.26463761698203497</v>
      </c>
      <c r="R773">
        <v>0.96953010930209105</v>
      </c>
      <c r="S773" t="s">
        <v>6634</v>
      </c>
      <c r="T773" t="s">
        <v>11720</v>
      </c>
      <c r="U773" t="s">
        <v>11720</v>
      </c>
      <c r="V773" t="s">
        <v>11720</v>
      </c>
      <c r="W773" t="s">
        <v>12474</v>
      </c>
      <c r="X773">
        <v>8</v>
      </c>
      <c r="Y773" t="s">
        <v>18269</v>
      </c>
      <c r="Z773" t="s">
        <v>23980</v>
      </c>
      <c r="AA773">
        <v>0.64726541270294136</v>
      </c>
      <c r="AB773" t="str">
        <f>HYPERLINK("Melting_Curves/meltCurve_G3V4U0_FBLN5.pdf", "Melting_Curves/meltCurve_G3V4U0_FBLN5.pdf")</f>
        <v>Melting_Curves/meltCurve_G3V4U0_FBLN5.pdf</v>
      </c>
    </row>
    <row r="774" spans="1:28" x14ac:dyDescent="0.25">
      <c r="A774" t="s">
        <v>778</v>
      </c>
      <c r="B774">
        <v>0.99334974765950101</v>
      </c>
      <c r="C774">
        <v>0.93960810822245699</v>
      </c>
      <c r="D774">
        <v>0.95024278712379595</v>
      </c>
      <c r="E774">
        <v>0.86758993394964901</v>
      </c>
      <c r="F774">
        <v>0.84576151022618096</v>
      </c>
      <c r="G774">
        <v>0.77532098598201604</v>
      </c>
      <c r="H774">
        <v>0.75195705042130401</v>
      </c>
      <c r="I774">
        <v>1.07679354205734</v>
      </c>
      <c r="J774">
        <v>0.99378714572214599</v>
      </c>
      <c r="K774">
        <v>0.97781526300434396</v>
      </c>
      <c r="L774">
        <v>1130.7885997416799</v>
      </c>
      <c r="M774">
        <v>26.252421670194199</v>
      </c>
      <c r="O774">
        <v>42.826090156347298</v>
      </c>
      <c r="P774">
        <v>-1.51230673601767E-2</v>
      </c>
      <c r="Q774">
        <v>0.90131888485369605</v>
      </c>
      <c r="R774">
        <v>8.3958854348460399E-2</v>
      </c>
      <c r="S774" t="s">
        <v>6635</v>
      </c>
      <c r="T774" t="s">
        <v>11720</v>
      </c>
      <c r="U774" t="s">
        <v>11720</v>
      </c>
      <c r="V774" t="s">
        <v>11720</v>
      </c>
      <c r="W774" t="s">
        <v>12475</v>
      </c>
      <c r="X774">
        <v>35</v>
      </c>
      <c r="Y774" t="s">
        <v>18270</v>
      </c>
      <c r="Z774" t="s">
        <v>23981</v>
      </c>
      <c r="AA774">
        <v>0.91266210557161243</v>
      </c>
      <c r="AB774" t="str">
        <f>HYPERLINK("Melting_Curves/meltCurve_G3V511_LTBP2.pdf", "Melting_Curves/meltCurve_G3V511_LTBP2.pdf")</f>
        <v>Melting_Curves/meltCurve_G3V511_LTBP2.pdf</v>
      </c>
    </row>
    <row r="775" spans="1:28" x14ac:dyDescent="0.25">
      <c r="A775" t="s">
        <v>779</v>
      </c>
      <c r="B775">
        <v>0.99334974765950101</v>
      </c>
      <c r="C775">
        <v>0.96160789655318102</v>
      </c>
      <c r="D775">
        <v>0.91333559591773905</v>
      </c>
      <c r="E775">
        <v>0.70548219587611605</v>
      </c>
      <c r="F775">
        <v>0.634104971175937</v>
      </c>
      <c r="G775">
        <v>0.47905928203395098</v>
      </c>
      <c r="H775">
        <v>0.41829936983305099</v>
      </c>
      <c r="I775">
        <v>0.44594759642863402</v>
      </c>
      <c r="J775">
        <v>0.42030644722829602</v>
      </c>
      <c r="K775">
        <v>0.380004268863394</v>
      </c>
      <c r="L775">
        <v>769.60730481547603</v>
      </c>
      <c r="M775">
        <v>15.1404037367619</v>
      </c>
      <c r="N775">
        <v>56.558055163001299</v>
      </c>
      <c r="O775">
        <v>49.9693349049654</v>
      </c>
      <c r="P775">
        <v>-4.6055131075995098E-2</v>
      </c>
      <c r="Q775">
        <v>0.39205845154212099</v>
      </c>
      <c r="R775">
        <v>0.99275264814259601</v>
      </c>
      <c r="S775" t="s">
        <v>6636</v>
      </c>
      <c r="T775" t="s">
        <v>11720</v>
      </c>
      <c r="U775" t="s">
        <v>11720</v>
      </c>
      <c r="V775" t="s">
        <v>11720</v>
      </c>
      <c r="W775" t="s">
        <v>12476</v>
      </c>
      <c r="X775">
        <v>7</v>
      </c>
      <c r="Y775" t="s">
        <v>18271</v>
      </c>
      <c r="Z775" t="s">
        <v>23982</v>
      </c>
      <c r="AA775">
        <v>0.62545502603041847</v>
      </c>
      <c r="AB775" t="str">
        <f>HYPERLINK("Melting_Curves/meltCurve_G3V583_FAM177A1.pdf", "Melting_Curves/meltCurve_G3V583_FAM177A1.pdf")</f>
        <v>Melting_Curves/meltCurve_G3V583_FAM177A1.pdf</v>
      </c>
    </row>
    <row r="776" spans="1:28" x14ac:dyDescent="0.25">
      <c r="A776" t="s">
        <v>780</v>
      </c>
      <c r="B776">
        <v>0.99334974765950101</v>
      </c>
      <c r="C776">
        <v>1.0472900859032199</v>
      </c>
      <c r="D776">
        <v>0.96623899316234396</v>
      </c>
      <c r="E776">
        <v>0.85598814994364703</v>
      </c>
      <c r="F776">
        <v>0.58408873233646996</v>
      </c>
      <c r="G776">
        <v>0.35746943751825599</v>
      </c>
      <c r="H776">
        <v>0.32510804674813298</v>
      </c>
      <c r="I776">
        <v>0.34196883740148998</v>
      </c>
      <c r="J776">
        <v>0.41033339707458599</v>
      </c>
      <c r="K776">
        <v>0.38385245791533601</v>
      </c>
      <c r="L776">
        <v>1783.42712688918</v>
      </c>
      <c r="M776">
        <v>34.358696663020702</v>
      </c>
      <c r="N776">
        <v>53.8894239672372</v>
      </c>
      <c r="O776">
        <v>51.7312631089886</v>
      </c>
      <c r="P776">
        <v>-0.10646647950136801</v>
      </c>
      <c r="Q776">
        <v>0.35880889108630298</v>
      </c>
      <c r="R776">
        <v>0.98903576974169805</v>
      </c>
      <c r="S776" t="s">
        <v>6637</v>
      </c>
      <c r="T776" t="s">
        <v>11720</v>
      </c>
      <c r="U776" t="s">
        <v>11720</v>
      </c>
      <c r="V776" t="s">
        <v>11720</v>
      </c>
      <c r="W776" t="s">
        <v>12477</v>
      </c>
      <c r="X776">
        <v>12</v>
      </c>
      <c r="Y776" t="s">
        <v>18272</v>
      </c>
      <c r="Z776" t="s">
        <v>23983</v>
      </c>
      <c r="AA776">
        <v>0.61639975569318706</v>
      </c>
      <c r="AB776" t="str">
        <f>HYPERLINK("Melting_Curves/meltCurve_G3V599_CTAGE5.pdf", "Melting_Curves/meltCurve_G3V599_CTAGE5.pdf")</f>
        <v>Melting_Curves/meltCurve_G3V599_CTAGE5.pdf</v>
      </c>
    </row>
    <row r="777" spans="1:28" x14ac:dyDescent="0.25">
      <c r="A777" t="s">
        <v>781</v>
      </c>
      <c r="B777">
        <v>0.99334974765950101</v>
      </c>
      <c r="C777">
        <v>0.95012722484283596</v>
      </c>
      <c r="D777">
        <v>0.96646549803119497</v>
      </c>
      <c r="E777">
        <v>0.81139219883152602</v>
      </c>
      <c r="F777">
        <v>0.79031295942243396</v>
      </c>
      <c r="G777">
        <v>0.37615055893896199</v>
      </c>
      <c r="H777">
        <v>0.21244958850468801</v>
      </c>
      <c r="I777">
        <v>0.12656227571141701</v>
      </c>
      <c r="J777">
        <v>0.11571620912616901</v>
      </c>
      <c r="K777">
        <v>0</v>
      </c>
      <c r="L777">
        <v>887.52536010241897</v>
      </c>
      <c r="M777">
        <v>15.8629642557881</v>
      </c>
      <c r="N777">
        <v>55.949541834856703</v>
      </c>
      <c r="O777">
        <v>55.083013601029698</v>
      </c>
      <c r="P777">
        <v>-7.2001558067466803E-2</v>
      </c>
      <c r="Q777">
        <v>0</v>
      </c>
      <c r="R777">
        <v>0.98743794190370104</v>
      </c>
      <c r="S777" t="s">
        <v>6638</v>
      </c>
      <c r="T777" t="s">
        <v>11720</v>
      </c>
      <c r="U777" t="s">
        <v>11720</v>
      </c>
      <c r="V777" t="s">
        <v>11720</v>
      </c>
      <c r="W777" t="s">
        <v>12478</v>
      </c>
      <c r="X777">
        <v>2</v>
      </c>
      <c r="Y777" t="s">
        <v>18273</v>
      </c>
      <c r="Z777" t="s">
        <v>23984</v>
      </c>
      <c r="AA777">
        <v>0.54859097209178143</v>
      </c>
      <c r="AB777" t="str">
        <f>HYPERLINK("Melting_Curves/meltCurve_G3V5I3_SERPINA3.pdf", "Melting_Curves/meltCurve_G3V5I3_SERPINA3.pdf")</f>
        <v>Melting_Curves/meltCurve_G3V5I3_SERPINA3.pdf</v>
      </c>
    </row>
    <row r="778" spans="1:28" x14ac:dyDescent="0.25">
      <c r="A778" t="s">
        <v>782</v>
      </c>
      <c r="B778">
        <v>0.99334974765950101</v>
      </c>
      <c r="C778">
        <v>0.88795278003431799</v>
      </c>
      <c r="D778">
        <v>0.72598730838606396</v>
      </c>
      <c r="E778">
        <v>0.31070599818371503</v>
      </c>
      <c r="F778">
        <v>0.20104684233744699</v>
      </c>
      <c r="G778">
        <v>0.11582035931504001</v>
      </c>
      <c r="H778">
        <v>0.10175970227373</v>
      </c>
      <c r="I778">
        <v>7.77658326832531E-2</v>
      </c>
      <c r="J778">
        <v>9.5944916992827603E-2</v>
      </c>
      <c r="K778">
        <v>7.7544574971593394E-2</v>
      </c>
      <c r="L778">
        <v>988.40345551122095</v>
      </c>
      <c r="M778">
        <v>20.753385517936401</v>
      </c>
      <c r="N778">
        <v>48.057727091617501</v>
      </c>
      <c r="O778">
        <v>47.190557473127797</v>
      </c>
      <c r="P778">
        <v>-0.100600046781195</v>
      </c>
      <c r="Q778">
        <v>8.5019124698737403E-2</v>
      </c>
      <c r="R778">
        <v>0.99787583434196703</v>
      </c>
      <c r="S778" t="s">
        <v>6639</v>
      </c>
      <c r="T778" t="s">
        <v>11720</v>
      </c>
      <c r="U778" t="s">
        <v>11720</v>
      </c>
      <c r="V778" t="s">
        <v>11720</v>
      </c>
      <c r="W778" t="s">
        <v>12479</v>
      </c>
      <c r="X778">
        <v>14</v>
      </c>
      <c r="Y778" t="s">
        <v>18274</v>
      </c>
      <c r="Z778" t="s">
        <v>23985</v>
      </c>
      <c r="AA778">
        <v>0.32972420329286811</v>
      </c>
      <c r="AB778" t="str">
        <f>HYPERLINK("Melting_Curves/meltCurve_G3V5N8_ZFYVE1.pdf", "Melting_Curves/meltCurve_G3V5N8_ZFYVE1.pdf")</f>
        <v>Melting_Curves/meltCurve_G3V5N8_ZFYVE1.pdf</v>
      </c>
    </row>
    <row r="779" spans="1:28" x14ac:dyDescent="0.25">
      <c r="A779" t="s">
        <v>783</v>
      </c>
      <c r="B779">
        <v>0.99334974765950101</v>
      </c>
      <c r="C779">
        <v>1.0400028154733401</v>
      </c>
      <c r="D779">
        <v>0.85396532202794795</v>
      </c>
      <c r="E779">
        <v>0.77070401525422805</v>
      </c>
      <c r="F779">
        <v>0.30704998378744802</v>
      </c>
      <c r="G779">
        <v>0.138192279997014</v>
      </c>
      <c r="H779">
        <v>8.0342137101776706E-2</v>
      </c>
      <c r="I779">
        <v>7.4087962505299698E-2</v>
      </c>
      <c r="J779">
        <v>5.0346267225571999E-2</v>
      </c>
      <c r="K779">
        <v>3.0063917881631999E-2</v>
      </c>
      <c r="L779">
        <v>1475.3485812940701</v>
      </c>
      <c r="M779">
        <v>28.6424060022307</v>
      </c>
      <c r="N779">
        <v>51.725611518276203</v>
      </c>
      <c r="O779">
        <v>51.260116575761401</v>
      </c>
      <c r="P779">
        <v>-0.13180661291059301</v>
      </c>
      <c r="Q779">
        <v>5.6452251157647099E-2</v>
      </c>
      <c r="R779">
        <v>0.98690945897464499</v>
      </c>
      <c r="S779" t="s">
        <v>6640</v>
      </c>
      <c r="T779" t="s">
        <v>11720</v>
      </c>
      <c r="U779" t="s">
        <v>11720</v>
      </c>
      <c r="V779" t="s">
        <v>11720</v>
      </c>
      <c r="W779" t="s">
        <v>12480</v>
      </c>
      <c r="X779">
        <v>6</v>
      </c>
      <c r="Y779" t="s">
        <v>18275</v>
      </c>
      <c r="Z779" t="s">
        <v>23986</v>
      </c>
      <c r="AA779">
        <v>0.42499512971972941</v>
      </c>
      <c r="AB779" t="str">
        <f>HYPERLINK("Melting_Curves/meltCurve_G3V5T0_GSTZ1.pdf", "Melting_Curves/meltCurve_G3V5T0_GSTZ1.pdf")</f>
        <v>Melting_Curves/meltCurve_G3V5T0_GSTZ1.pdf</v>
      </c>
    </row>
    <row r="780" spans="1:28" x14ac:dyDescent="0.25">
      <c r="A780" t="s">
        <v>784</v>
      </c>
      <c r="B780">
        <v>0.99334974765950101</v>
      </c>
      <c r="C780">
        <v>0.88998295811917405</v>
      </c>
      <c r="D780">
        <v>0.83124597604707395</v>
      </c>
      <c r="E780">
        <v>0.69947206842098597</v>
      </c>
      <c r="F780">
        <v>0.58342901833677496</v>
      </c>
      <c r="G780">
        <v>0.35405288913181099</v>
      </c>
      <c r="H780">
        <v>0.267057719015865</v>
      </c>
      <c r="I780">
        <v>0.24981540186415099</v>
      </c>
      <c r="J780">
        <v>0.20492356863383199</v>
      </c>
      <c r="K780">
        <v>0.168029762292255</v>
      </c>
      <c r="L780">
        <v>547.74319332699099</v>
      </c>
      <c r="M780">
        <v>10.3494006617771</v>
      </c>
      <c r="N780">
        <v>54.140507094528701</v>
      </c>
      <c r="O780">
        <v>51.063461167624901</v>
      </c>
      <c r="P780">
        <v>-4.5436392792996702E-2</v>
      </c>
      <c r="Q780">
        <v>0.103658062931198</v>
      </c>
      <c r="R780">
        <v>0.99336945888978001</v>
      </c>
      <c r="S780" t="s">
        <v>6641</v>
      </c>
      <c r="T780" t="s">
        <v>11720</v>
      </c>
      <c r="U780" t="s">
        <v>11720</v>
      </c>
      <c r="V780" t="s">
        <v>11720</v>
      </c>
      <c r="W780" t="s">
        <v>12481</v>
      </c>
      <c r="X780">
        <v>5</v>
      </c>
      <c r="Y780" t="s">
        <v>18276</v>
      </c>
      <c r="Z780" t="s">
        <v>23987</v>
      </c>
      <c r="AA780">
        <v>0.51978045848887733</v>
      </c>
      <c r="AB780" t="str">
        <f>HYPERLINK("Melting_Curves/meltCurve_G3V5T9_CDK2.pdf", "Melting_Curves/meltCurve_G3V5T9_CDK2.pdf")</f>
        <v>Melting_Curves/meltCurve_G3V5T9_CDK2.pdf</v>
      </c>
    </row>
    <row r="781" spans="1:28" x14ac:dyDescent="0.25">
      <c r="A781" t="s">
        <v>785</v>
      </c>
      <c r="B781">
        <v>0.99334974765950101</v>
      </c>
      <c r="C781">
        <v>0.97998854472470798</v>
      </c>
      <c r="D781">
        <v>1.3609852300766301</v>
      </c>
      <c r="E781">
        <v>1.72639974612336</v>
      </c>
      <c r="F781">
        <v>2.52257747510511</v>
      </c>
      <c r="G781">
        <v>6.1146019604838804</v>
      </c>
      <c r="H781">
        <v>8.6232649895163291</v>
      </c>
      <c r="I781">
        <v>8.0099501284609609</v>
      </c>
      <c r="J781">
        <v>7.0444808583435599</v>
      </c>
      <c r="K781">
        <v>7.2730561806854599</v>
      </c>
      <c r="S781" t="s">
        <v>6642</v>
      </c>
      <c r="T781" t="s">
        <v>11720</v>
      </c>
      <c r="U781" t="s">
        <v>11721</v>
      </c>
      <c r="V781" t="s">
        <v>11720</v>
      </c>
      <c r="W781" t="s">
        <v>12482</v>
      </c>
      <c r="X781">
        <v>5</v>
      </c>
      <c r="Y781" t="s">
        <v>18277</v>
      </c>
      <c r="Z781" t="s">
        <v>23988</v>
      </c>
      <c r="AB781" t="str">
        <f>HYPERLINK("Melting_Curves/meltCurve_G3V5W1_WARS.pdf", "Melting_Curves/meltCurve_G3V5W1_WARS.pdf")</f>
        <v>Melting_Curves/meltCurve_G3V5W1_WARS.pdf</v>
      </c>
    </row>
    <row r="782" spans="1:28" x14ac:dyDescent="0.25">
      <c r="A782" t="s">
        <v>786</v>
      </c>
      <c r="B782">
        <v>0.99334974765950101</v>
      </c>
      <c r="C782">
        <v>1.0029495925291501</v>
      </c>
      <c r="D782">
        <v>0.91209977871883596</v>
      </c>
      <c r="E782">
        <v>0.86654897095337302</v>
      </c>
      <c r="F782">
        <v>1.0740213203031901</v>
      </c>
      <c r="G782">
        <v>2.22339058007943</v>
      </c>
      <c r="H782">
        <v>2.7695166491832799</v>
      </c>
      <c r="I782">
        <v>3.3243854577940799</v>
      </c>
      <c r="J782">
        <v>2.3855615131637098</v>
      </c>
      <c r="K782">
        <v>1.47032610542819</v>
      </c>
      <c r="L782">
        <v>13342.7514118526</v>
      </c>
      <c r="M782">
        <v>250</v>
      </c>
      <c r="O782">
        <v>53.367590115928898</v>
      </c>
      <c r="P782">
        <v>0.58556138446772898</v>
      </c>
      <c r="Q782">
        <v>1.5</v>
      </c>
      <c r="R782">
        <v>0.137190647545606</v>
      </c>
      <c r="S782" t="s">
        <v>6643</v>
      </c>
      <c r="T782" t="s">
        <v>11720</v>
      </c>
      <c r="U782" t="s">
        <v>11720</v>
      </c>
      <c r="V782" t="s">
        <v>11720</v>
      </c>
      <c r="W782" t="s">
        <v>12483</v>
      </c>
      <c r="X782">
        <v>12</v>
      </c>
      <c r="Y782" t="s">
        <v>18278</v>
      </c>
      <c r="Z782" t="s">
        <v>23989</v>
      </c>
      <c r="AA782">
        <v>1.277103073234356</v>
      </c>
      <c r="AB782" t="str">
        <f>HYPERLINK("Melting_Curves/meltCurve_G3V5Z7_PSMA6.pdf", "Melting_Curves/meltCurve_G3V5Z7_PSMA6.pdf")</f>
        <v>Melting_Curves/meltCurve_G3V5Z7_PSMA6.pdf</v>
      </c>
    </row>
    <row r="783" spans="1:28" x14ac:dyDescent="0.25">
      <c r="A783" t="s">
        <v>787</v>
      </c>
      <c r="B783">
        <v>0.99334974765950101</v>
      </c>
      <c r="C783">
        <v>0.97376084631177695</v>
      </c>
      <c r="D783">
        <v>0.99486799234954204</v>
      </c>
      <c r="E783">
        <v>0.88361205656990205</v>
      </c>
      <c r="F783">
        <v>0.63775025017979003</v>
      </c>
      <c r="G783">
        <v>0.22795105932565901</v>
      </c>
      <c r="H783">
        <v>0.146167181484266</v>
      </c>
      <c r="I783">
        <v>0.102889543848216</v>
      </c>
      <c r="J783">
        <v>0.100330249521182</v>
      </c>
      <c r="K783">
        <v>7.8881773044984005E-2</v>
      </c>
      <c r="L783">
        <v>1478.4501565374201</v>
      </c>
      <c r="M783">
        <v>27.537412636889101</v>
      </c>
      <c r="N783">
        <v>54.089074591398997</v>
      </c>
      <c r="O783">
        <v>53.408059940882701</v>
      </c>
      <c r="P783">
        <v>-0.117019417219236</v>
      </c>
      <c r="Q783">
        <v>9.2184715679798898E-2</v>
      </c>
      <c r="R783">
        <v>0.99876348093341505</v>
      </c>
      <c r="S783" t="s">
        <v>6644</v>
      </c>
      <c r="T783" t="s">
        <v>11720</v>
      </c>
      <c r="U783" t="s">
        <v>11720</v>
      </c>
      <c r="V783" t="s">
        <v>11720</v>
      </c>
      <c r="W783" t="s">
        <v>12484</v>
      </c>
      <c r="X783">
        <v>4</v>
      </c>
      <c r="Y783" t="s">
        <v>18279</v>
      </c>
      <c r="Z783" t="s">
        <v>23990</v>
      </c>
      <c r="AA783">
        <v>0.51341733204647277</v>
      </c>
      <c r="AB783" t="str">
        <f>HYPERLINK("Melting_Curves/meltCurve_G3XA81_TMEM48.pdf", "Melting_Curves/meltCurve_G3XA81_TMEM48.pdf")</f>
        <v>Melting_Curves/meltCurve_G3XA81_TMEM48.pdf</v>
      </c>
    </row>
    <row r="784" spans="1:28" x14ac:dyDescent="0.25">
      <c r="A784" t="s">
        <v>788</v>
      </c>
      <c r="B784">
        <v>0.99334974765950101</v>
      </c>
      <c r="C784">
        <v>1.06148456620819</v>
      </c>
      <c r="D784">
        <v>0.93973188826181697</v>
      </c>
      <c r="E784">
        <v>0.67669560193103295</v>
      </c>
      <c r="F784">
        <v>0.57125118976964295</v>
      </c>
      <c r="G784">
        <v>0.33102916267324101</v>
      </c>
      <c r="H784">
        <v>0.31660384178918599</v>
      </c>
      <c r="I784">
        <v>0.35191108231854101</v>
      </c>
      <c r="J784">
        <v>0.51163730321537604</v>
      </c>
      <c r="K784">
        <v>0.458418052014402</v>
      </c>
      <c r="L784">
        <v>1348.36116596025</v>
      </c>
      <c r="M784">
        <v>26.951170563869201</v>
      </c>
      <c r="N784">
        <v>53.148452390575002</v>
      </c>
      <c r="O784">
        <v>49.7567756637063</v>
      </c>
      <c r="P784">
        <v>-8.16338706854422E-2</v>
      </c>
      <c r="Q784">
        <v>0.39716196283351102</v>
      </c>
      <c r="R784">
        <v>0.94031509178186201</v>
      </c>
      <c r="S784" t="s">
        <v>6645</v>
      </c>
      <c r="T784" t="s">
        <v>11720</v>
      </c>
      <c r="U784" t="s">
        <v>11720</v>
      </c>
      <c r="V784" t="s">
        <v>11720</v>
      </c>
      <c r="W784" t="s">
        <v>12485</v>
      </c>
      <c r="X784">
        <v>5</v>
      </c>
      <c r="Y784" t="s">
        <v>18280</v>
      </c>
      <c r="Z784" t="s">
        <v>23991</v>
      </c>
      <c r="AA784">
        <v>0.6033390175575063</v>
      </c>
      <c r="AB784" t="str">
        <f>HYPERLINK("Melting_Curves/meltCurve_G3XAA0_ARID1B.pdf", "Melting_Curves/meltCurve_G3XAA0_ARID1B.pdf")</f>
        <v>Melting_Curves/meltCurve_G3XAA0_ARID1B.pdf</v>
      </c>
    </row>
    <row r="785" spans="1:28" x14ac:dyDescent="0.25">
      <c r="A785" t="s">
        <v>789</v>
      </c>
      <c r="B785">
        <v>0.99334974765950101</v>
      </c>
      <c r="C785">
        <v>0.98653307635255105</v>
      </c>
      <c r="D785">
        <v>0.87625080396932697</v>
      </c>
      <c r="E785">
        <v>0.65928921942409702</v>
      </c>
      <c r="F785">
        <v>0.260009254848168</v>
      </c>
      <c r="G785">
        <v>0.161038773105254</v>
      </c>
      <c r="H785">
        <v>0.13723465508768901</v>
      </c>
      <c r="I785">
        <v>0.122933484946852</v>
      </c>
      <c r="J785">
        <v>0.11875606568494899</v>
      </c>
      <c r="K785">
        <v>8.7729674979196204E-2</v>
      </c>
      <c r="L785">
        <v>1348.3590499235499</v>
      </c>
      <c r="M785">
        <v>26.705818654670502</v>
      </c>
      <c r="N785">
        <v>50.966180066884903</v>
      </c>
      <c r="O785">
        <v>50.208784437081903</v>
      </c>
      <c r="P785">
        <v>-0.11827580548989799</v>
      </c>
      <c r="Q785">
        <v>0.11054245570896901</v>
      </c>
      <c r="R785">
        <v>0.99317489479230003</v>
      </c>
      <c r="S785" t="s">
        <v>6646</v>
      </c>
      <c r="T785" t="s">
        <v>11720</v>
      </c>
      <c r="U785" t="s">
        <v>11720</v>
      </c>
      <c r="V785" t="s">
        <v>11720</v>
      </c>
      <c r="W785" t="s">
        <v>12486</v>
      </c>
      <c r="X785">
        <v>11</v>
      </c>
      <c r="Y785" t="s">
        <v>18281</v>
      </c>
      <c r="Z785" t="s">
        <v>23992</v>
      </c>
      <c r="AA785">
        <v>0.42854102688534901</v>
      </c>
      <c r="AB785" t="str">
        <f>HYPERLINK("Melting_Curves/meltCurve_G3XAH6_PAPOLA.pdf", "Melting_Curves/meltCurve_G3XAH6_PAPOLA.pdf")</f>
        <v>Melting_Curves/meltCurve_G3XAH6_PAPOLA.pdf</v>
      </c>
    </row>
    <row r="786" spans="1:28" x14ac:dyDescent="0.25">
      <c r="A786" t="s">
        <v>790</v>
      </c>
      <c r="B786">
        <v>0.99334974765950101</v>
      </c>
      <c r="C786">
        <v>0.99154180246347801</v>
      </c>
      <c r="D786">
        <v>1.09915688487221</v>
      </c>
      <c r="E786">
        <v>1.10785604639562</v>
      </c>
      <c r="F786">
        <v>0.815055010101703</v>
      </c>
      <c r="G786">
        <v>0.31035108978967701</v>
      </c>
      <c r="H786">
        <v>0.21884361903783101</v>
      </c>
      <c r="I786">
        <v>0.23414213833175099</v>
      </c>
      <c r="J786">
        <v>0.18187259892636101</v>
      </c>
      <c r="K786">
        <v>0.15095657327725201</v>
      </c>
      <c r="L786">
        <v>2474.0665311812199</v>
      </c>
      <c r="M786">
        <v>45.325437358376902</v>
      </c>
      <c r="N786">
        <v>55.191660212931701</v>
      </c>
      <c r="O786">
        <v>54.478579581062398</v>
      </c>
      <c r="P786">
        <v>-0.16716387462798701</v>
      </c>
      <c r="Q786">
        <v>0.19631555024321501</v>
      </c>
      <c r="R786">
        <v>0.98196284057501404</v>
      </c>
      <c r="S786" t="s">
        <v>6647</v>
      </c>
      <c r="T786" t="s">
        <v>11720</v>
      </c>
      <c r="U786" t="s">
        <v>11720</v>
      </c>
      <c r="V786" t="s">
        <v>11720</v>
      </c>
      <c r="W786" t="s">
        <v>12487</v>
      </c>
      <c r="X786">
        <v>64</v>
      </c>
      <c r="Y786" t="s">
        <v>18282</v>
      </c>
      <c r="Z786" t="s">
        <v>23993</v>
      </c>
      <c r="AA786">
        <v>0.58938193594279087</v>
      </c>
      <c r="AB786" t="str">
        <f>HYPERLINK("Melting_Curves/meltCurve_G3XAI2_LAMB1.pdf", "Melting_Curves/meltCurve_G3XAI2_LAMB1.pdf")</f>
        <v>Melting_Curves/meltCurve_G3XAI2_LAMB1.pdf</v>
      </c>
    </row>
    <row r="787" spans="1:28" x14ac:dyDescent="0.25">
      <c r="A787" t="s">
        <v>791</v>
      </c>
      <c r="B787">
        <v>0.99334974765950101</v>
      </c>
      <c r="C787">
        <v>1.0192523408771801</v>
      </c>
      <c r="D787">
        <v>1.11404614456117</v>
      </c>
      <c r="E787">
        <v>1.0862416725653901</v>
      </c>
      <c r="F787">
        <v>0.726589228026853</v>
      </c>
      <c r="G787">
        <v>0.76927515386344503</v>
      </c>
      <c r="H787">
        <v>0.68043839412222795</v>
      </c>
      <c r="I787">
        <v>0.81704612947103605</v>
      </c>
      <c r="J787">
        <v>0.74109780187912999</v>
      </c>
      <c r="K787">
        <v>0.59137359727458005</v>
      </c>
      <c r="L787">
        <v>13054.3302669115</v>
      </c>
      <c r="M787">
        <v>250</v>
      </c>
      <c r="O787">
        <v>52.213979501962498</v>
      </c>
      <c r="P787">
        <v>-0.33535683828712398</v>
      </c>
      <c r="Q787">
        <v>0.71983495902702099</v>
      </c>
      <c r="R787">
        <v>0.83188123123301205</v>
      </c>
      <c r="S787" t="s">
        <v>6648</v>
      </c>
      <c r="T787" t="s">
        <v>11720</v>
      </c>
      <c r="U787" t="s">
        <v>11720</v>
      </c>
      <c r="V787" t="s">
        <v>11720</v>
      </c>
      <c r="W787" t="s">
        <v>12488</v>
      </c>
      <c r="X787">
        <v>4</v>
      </c>
      <c r="Y787" t="s">
        <v>18283</v>
      </c>
      <c r="Z787" t="s">
        <v>23994</v>
      </c>
      <c r="AA787">
        <v>0.83395617543206368</v>
      </c>
      <c r="AB787" t="str">
        <f>HYPERLINK("Melting_Curves/meltCurve_G3XAN8_TIMM8B.pdf", "Melting_Curves/meltCurve_G3XAN8_TIMM8B.pdf")</f>
        <v>Melting_Curves/meltCurve_G3XAN8_TIMM8B.pdf</v>
      </c>
    </row>
    <row r="788" spans="1:28" x14ac:dyDescent="0.25">
      <c r="A788" t="s">
        <v>792</v>
      </c>
      <c r="B788">
        <v>0.99334974765950101</v>
      </c>
      <c r="C788">
        <v>0.83672318841223003</v>
      </c>
      <c r="D788">
        <v>0.92461459122523804</v>
      </c>
      <c r="E788">
        <v>0.82213199417726102</v>
      </c>
      <c r="F788">
        <v>0.50230699906403398</v>
      </c>
      <c r="G788">
        <v>0.294365059625531</v>
      </c>
      <c r="H788">
        <v>0.20779592208342601</v>
      </c>
      <c r="I788">
        <v>0.14042465887335001</v>
      </c>
      <c r="J788">
        <v>0.18166364092096601</v>
      </c>
      <c r="K788">
        <v>0.20454849727062299</v>
      </c>
      <c r="L788">
        <v>1127.8964671666099</v>
      </c>
      <c r="M788">
        <v>21.554265590253198</v>
      </c>
      <c r="N788">
        <v>53.338297249257799</v>
      </c>
      <c r="O788">
        <v>51.884051371327502</v>
      </c>
      <c r="P788">
        <v>-8.6456623591907797E-2</v>
      </c>
      <c r="Q788">
        <v>0.16756873672876199</v>
      </c>
      <c r="R788">
        <v>0.97113809971511</v>
      </c>
      <c r="S788" t="s">
        <v>6649</v>
      </c>
      <c r="T788" t="s">
        <v>11720</v>
      </c>
      <c r="U788" t="s">
        <v>11720</v>
      </c>
      <c r="V788" t="s">
        <v>11720</v>
      </c>
      <c r="W788" t="s">
        <v>12489</v>
      </c>
      <c r="X788">
        <v>4</v>
      </c>
      <c r="Y788" t="s">
        <v>18284</v>
      </c>
      <c r="Z788" t="s">
        <v>23995</v>
      </c>
      <c r="AA788">
        <v>0.51970556209699204</v>
      </c>
      <c r="AB788" t="str">
        <f>HYPERLINK("Melting_Curves/meltCurve_G3XAP3_ABCB8.pdf", "Melting_Curves/meltCurve_G3XAP3_ABCB8.pdf")</f>
        <v>Melting_Curves/meltCurve_G3XAP3_ABCB8.pdf</v>
      </c>
    </row>
    <row r="789" spans="1:28" x14ac:dyDescent="0.25">
      <c r="A789" t="s">
        <v>793</v>
      </c>
      <c r="B789">
        <v>0.99334974765950101</v>
      </c>
      <c r="C789">
        <v>0.90458151558144295</v>
      </c>
      <c r="D789">
        <v>0.82138707097780905</v>
      </c>
      <c r="E789">
        <v>0.62450045726314396</v>
      </c>
      <c r="F789">
        <v>0.29823631308552601</v>
      </c>
      <c r="G789">
        <v>0.18937640878543399</v>
      </c>
      <c r="H789">
        <v>0.13870602989015501</v>
      </c>
      <c r="I789">
        <v>0.12227178715392201</v>
      </c>
      <c r="J789">
        <v>8.8027479660366906E-2</v>
      </c>
      <c r="K789">
        <v>6.07534273473532E-2</v>
      </c>
      <c r="L789">
        <v>813.54643468608106</v>
      </c>
      <c r="M789">
        <v>16.157943365636001</v>
      </c>
      <c r="N789">
        <v>50.828237073963102</v>
      </c>
      <c r="O789">
        <v>49.597356288842299</v>
      </c>
      <c r="P789">
        <v>-7.5703786088543598E-2</v>
      </c>
      <c r="Q789">
        <v>7.0568766530337002E-2</v>
      </c>
      <c r="R789">
        <v>0.99142866161287102</v>
      </c>
      <c r="S789" t="s">
        <v>6650</v>
      </c>
      <c r="T789" t="s">
        <v>11720</v>
      </c>
      <c r="U789" t="s">
        <v>11720</v>
      </c>
      <c r="V789" t="s">
        <v>11720</v>
      </c>
      <c r="W789" t="s">
        <v>12490</v>
      </c>
      <c r="X789">
        <v>4</v>
      </c>
      <c r="Y789" t="s">
        <v>18285</v>
      </c>
      <c r="Z789" t="s">
        <v>23996</v>
      </c>
      <c r="AA789">
        <v>0.4104379416454243</v>
      </c>
      <c r="AB789" t="str">
        <f>HYPERLINK("Melting_Curves/meltCurve_G3XAP6_COMP.pdf", "Melting_Curves/meltCurve_G3XAP6_COMP.pdf")</f>
        <v>Melting_Curves/meltCurve_G3XAP6_COMP.pdf</v>
      </c>
    </row>
    <row r="790" spans="1:28" x14ac:dyDescent="0.25">
      <c r="A790" t="s">
        <v>794</v>
      </c>
      <c r="B790">
        <v>0.99334974765950101</v>
      </c>
      <c r="C790">
        <v>1.0253758764285299</v>
      </c>
      <c r="D790">
        <v>0.99699354007612295</v>
      </c>
      <c r="E790">
        <v>0.73087752200089595</v>
      </c>
      <c r="F790">
        <v>0.48301057262967201</v>
      </c>
      <c r="G790">
        <v>0.37056293327064799</v>
      </c>
      <c r="H790">
        <v>0.317787160203573</v>
      </c>
      <c r="I790">
        <v>0.32008932713299898</v>
      </c>
      <c r="J790">
        <v>0.33637387323291401</v>
      </c>
      <c r="K790">
        <v>0.27738246487513002</v>
      </c>
      <c r="L790">
        <v>1449.1920321090199</v>
      </c>
      <c r="M790">
        <v>28.481808228194801</v>
      </c>
      <c r="N790">
        <v>52.731207474756701</v>
      </c>
      <c r="O790">
        <v>50.632474883595002</v>
      </c>
      <c r="P790">
        <v>-9.6204458341476506E-2</v>
      </c>
      <c r="Q790">
        <v>0.31590990885757497</v>
      </c>
      <c r="R790">
        <v>0.995240434793219</v>
      </c>
      <c r="S790" t="s">
        <v>6651</v>
      </c>
      <c r="T790" t="s">
        <v>11720</v>
      </c>
      <c r="U790" t="s">
        <v>11720</v>
      </c>
      <c r="V790" t="s">
        <v>11720</v>
      </c>
      <c r="W790" t="s">
        <v>12491</v>
      </c>
      <c r="X790">
        <v>16</v>
      </c>
      <c r="Y790" t="s">
        <v>18286</v>
      </c>
      <c r="Z790" t="s">
        <v>23997</v>
      </c>
      <c r="AA790">
        <v>0.5687999250646798</v>
      </c>
      <c r="AB790" t="str">
        <f>HYPERLINK("Melting_Curves/meltCurve_G5E972_TMPO.pdf", "Melting_Curves/meltCurve_G5E972_TMPO.pdf")</f>
        <v>Melting_Curves/meltCurve_G5E972_TMPO.pdf</v>
      </c>
    </row>
    <row r="791" spans="1:28" x14ac:dyDescent="0.25">
      <c r="A791" t="s">
        <v>795</v>
      </c>
      <c r="B791">
        <v>0.99334974765950101</v>
      </c>
      <c r="C791">
        <v>0.923583113141906</v>
      </c>
      <c r="D791">
        <v>0.88737770996433196</v>
      </c>
      <c r="E791">
        <v>1.0335486897297099</v>
      </c>
      <c r="F791">
        <v>1.00575474318645</v>
      </c>
      <c r="G791">
        <v>0.88995687763942799</v>
      </c>
      <c r="H791">
        <v>0.743846301923485</v>
      </c>
      <c r="I791">
        <v>0.613176156857687</v>
      </c>
      <c r="J791">
        <v>0.58298955782006401</v>
      </c>
      <c r="K791">
        <v>0.37985442673606701</v>
      </c>
      <c r="L791">
        <v>819.09053971072694</v>
      </c>
      <c r="M791">
        <v>12.3980962248285</v>
      </c>
      <c r="N791">
        <v>67.462623814130893</v>
      </c>
      <c r="O791">
        <v>64.417656384110998</v>
      </c>
      <c r="P791">
        <v>-4.26783997584416E-2</v>
      </c>
      <c r="Q791">
        <v>0.113199770695061</v>
      </c>
      <c r="R791">
        <v>0.93312483813496006</v>
      </c>
      <c r="S791" t="s">
        <v>6652</v>
      </c>
      <c r="T791" t="s">
        <v>11720</v>
      </c>
      <c r="U791" t="s">
        <v>11720</v>
      </c>
      <c r="V791" t="s">
        <v>11720</v>
      </c>
      <c r="W791" t="s">
        <v>12492</v>
      </c>
      <c r="X791">
        <v>5</v>
      </c>
      <c r="Y791" t="s">
        <v>18287</v>
      </c>
      <c r="Z791" t="s">
        <v>23998</v>
      </c>
      <c r="AA791">
        <v>0.83927203733494704</v>
      </c>
      <c r="AB791" t="str">
        <f>HYPERLINK("Melting_Curves/meltCurve_G5E994_GPR107.pdf", "Melting_Curves/meltCurve_G5E994_GPR107.pdf")</f>
        <v>Melting_Curves/meltCurve_G5E994_GPR107.pdf</v>
      </c>
    </row>
    <row r="792" spans="1:28" x14ac:dyDescent="0.25">
      <c r="A792" t="s">
        <v>796</v>
      </c>
      <c r="B792">
        <v>0.99334974765950101</v>
      </c>
      <c r="C792">
        <v>0.87814578869523297</v>
      </c>
      <c r="D792">
        <v>0.471100851569282</v>
      </c>
      <c r="E792">
        <v>0.33212522288795399</v>
      </c>
      <c r="F792">
        <v>0.288710996970445</v>
      </c>
      <c r="G792">
        <v>0.235568721288721</v>
      </c>
      <c r="H792">
        <v>0.275657340202075</v>
      </c>
      <c r="I792">
        <v>0.131053955738933</v>
      </c>
      <c r="J792">
        <v>0.12510228257741199</v>
      </c>
      <c r="K792">
        <v>0.106399713522108</v>
      </c>
      <c r="L792">
        <v>966.24297716033198</v>
      </c>
      <c r="M792">
        <v>21.225021540638402</v>
      </c>
      <c r="N792">
        <v>46.534764649802099</v>
      </c>
      <c r="O792">
        <v>45.125448455211597</v>
      </c>
      <c r="P792">
        <v>-9.5871224333209507E-2</v>
      </c>
      <c r="Q792">
        <v>0.18471312593736799</v>
      </c>
      <c r="R792">
        <v>0.95670224642397605</v>
      </c>
      <c r="S792" t="s">
        <v>6653</v>
      </c>
      <c r="T792" t="s">
        <v>11720</v>
      </c>
      <c r="U792" t="s">
        <v>11720</v>
      </c>
      <c r="V792" t="s">
        <v>11720</v>
      </c>
      <c r="W792" t="s">
        <v>11944</v>
      </c>
      <c r="X792">
        <v>8</v>
      </c>
      <c r="Y792" t="s">
        <v>18288</v>
      </c>
      <c r="Z792" t="s">
        <v>23999</v>
      </c>
      <c r="AA792">
        <v>0.34622769150056681</v>
      </c>
      <c r="AB792" t="str">
        <f>HYPERLINK("Melting_Curves/meltCurve_G5E9A6_USP11.pdf", "Melting_Curves/meltCurve_G5E9A6_USP11.pdf")</f>
        <v>Melting_Curves/meltCurve_G5E9A6_USP11.pdf</v>
      </c>
    </row>
    <row r="793" spans="1:28" x14ac:dyDescent="0.25">
      <c r="A793" t="s">
        <v>797</v>
      </c>
      <c r="B793">
        <v>0.99334974765950101</v>
      </c>
      <c r="C793">
        <v>0.94195093756289106</v>
      </c>
      <c r="D793">
        <v>0.94824128161451804</v>
      </c>
      <c r="E793">
        <v>0.39548246977793999</v>
      </c>
      <c r="F793">
        <v>0.16772369945794699</v>
      </c>
      <c r="G793">
        <v>0.121912648099197</v>
      </c>
      <c r="H793">
        <v>7.5408156932117304E-2</v>
      </c>
      <c r="I793">
        <v>6.8296428049935798E-2</v>
      </c>
      <c r="J793">
        <v>5.6197339342045599E-2</v>
      </c>
      <c r="K793">
        <v>3.7424202778508997E-2</v>
      </c>
      <c r="L793">
        <v>1671.43807928561</v>
      </c>
      <c r="M793">
        <v>33.976079629128598</v>
      </c>
      <c r="N793">
        <v>49.420431547364501</v>
      </c>
      <c r="O793">
        <v>49.025070526999102</v>
      </c>
      <c r="P793">
        <v>-0.16080048072809799</v>
      </c>
      <c r="Q793">
        <v>7.1909013092341004E-2</v>
      </c>
      <c r="R793">
        <v>0.99518188344871195</v>
      </c>
      <c r="S793" t="s">
        <v>6654</v>
      </c>
      <c r="T793" t="s">
        <v>11720</v>
      </c>
      <c r="U793" t="s">
        <v>11720</v>
      </c>
      <c r="V793" t="s">
        <v>11720</v>
      </c>
      <c r="W793" t="s">
        <v>12493</v>
      </c>
      <c r="X793">
        <v>9</v>
      </c>
      <c r="Y793" t="s">
        <v>18289</v>
      </c>
      <c r="Z793" t="s">
        <v>24000</v>
      </c>
      <c r="AA793">
        <v>0.36075316494420961</v>
      </c>
      <c r="AB793" t="str">
        <f>HYPERLINK("Melting_Curves/meltCurve_G5E9C8_SOS1.pdf", "Melting_Curves/meltCurve_G5E9C8_SOS1.pdf")</f>
        <v>Melting_Curves/meltCurve_G5E9C8_SOS1.pdf</v>
      </c>
    </row>
    <row r="794" spans="1:28" x14ac:dyDescent="0.25">
      <c r="A794" t="s">
        <v>798</v>
      </c>
      <c r="B794">
        <v>0.99334974765950101</v>
      </c>
      <c r="C794">
        <v>0.95269122111281301</v>
      </c>
      <c r="D794">
        <v>0.54362785202308805</v>
      </c>
      <c r="E794">
        <v>0.364512000085632</v>
      </c>
      <c r="F794">
        <v>0.337950425501442</v>
      </c>
      <c r="G794">
        <v>0.25741350958819798</v>
      </c>
      <c r="H794">
        <v>0.157662421217062</v>
      </c>
      <c r="I794">
        <v>0.12533418657541401</v>
      </c>
      <c r="J794">
        <v>4.1827427712259203E-2</v>
      </c>
      <c r="K794">
        <v>7.1116137201758203E-2</v>
      </c>
      <c r="L794">
        <v>663.779258174956</v>
      </c>
      <c r="M794">
        <v>13.932661851686399</v>
      </c>
      <c r="N794">
        <v>48.377134654901099</v>
      </c>
      <c r="O794">
        <v>46.692685462471204</v>
      </c>
      <c r="P794">
        <v>-6.7489424444604401E-2</v>
      </c>
      <c r="Q794">
        <v>9.5409740953392705E-2</v>
      </c>
      <c r="R794">
        <v>0.95623691015730505</v>
      </c>
      <c r="S794" t="s">
        <v>6655</v>
      </c>
      <c r="T794" t="s">
        <v>11720</v>
      </c>
      <c r="U794" t="s">
        <v>11720</v>
      </c>
      <c r="V794" t="s">
        <v>11720</v>
      </c>
      <c r="W794" t="s">
        <v>12494</v>
      </c>
      <c r="X794">
        <v>2</v>
      </c>
      <c r="Y794" t="s">
        <v>18290</v>
      </c>
      <c r="Z794" t="s">
        <v>24001</v>
      </c>
      <c r="AA794">
        <v>0.35325919266837508</v>
      </c>
      <c r="AB794" t="str">
        <f>HYPERLINK("Melting_Curves/meltCurve_G5E9P3_NKIRAS1.pdf", "Melting_Curves/meltCurve_G5E9P3_NKIRAS1.pdf")</f>
        <v>Melting_Curves/meltCurve_G5E9P3_NKIRAS1.pdf</v>
      </c>
    </row>
    <row r="795" spans="1:28" x14ac:dyDescent="0.25">
      <c r="A795" t="s">
        <v>799</v>
      </c>
      <c r="B795">
        <v>0.99334974765950101</v>
      </c>
      <c r="C795">
        <v>1.0058370593421699</v>
      </c>
      <c r="D795">
        <v>0.77619297062622306</v>
      </c>
      <c r="E795">
        <v>0.364939175236695</v>
      </c>
      <c r="F795">
        <v>0.228715606402283</v>
      </c>
      <c r="G795">
        <v>0.18270073985767901</v>
      </c>
      <c r="H795">
        <v>0.130499722399603</v>
      </c>
      <c r="I795">
        <v>0.11896758189137201</v>
      </c>
      <c r="J795">
        <v>9.7826398832158601E-2</v>
      </c>
      <c r="K795">
        <v>9.0804253715536007E-2</v>
      </c>
      <c r="L795">
        <v>1153.6194873766899</v>
      </c>
      <c r="M795">
        <v>23.937348883623802</v>
      </c>
      <c r="N795">
        <v>48.747307718904501</v>
      </c>
      <c r="O795">
        <v>47.860720491546402</v>
      </c>
      <c r="P795">
        <v>-0.110147316277351</v>
      </c>
      <c r="Q795">
        <v>0.11909285005153</v>
      </c>
      <c r="R795">
        <v>0.99504524125601701</v>
      </c>
      <c r="S795" t="s">
        <v>6656</v>
      </c>
      <c r="T795" t="s">
        <v>11720</v>
      </c>
      <c r="U795" t="s">
        <v>11720</v>
      </c>
      <c r="V795" t="s">
        <v>11720</v>
      </c>
      <c r="W795" t="s">
        <v>12495</v>
      </c>
      <c r="X795">
        <v>10</v>
      </c>
      <c r="Y795" t="s">
        <v>18291</v>
      </c>
      <c r="Z795" t="s">
        <v>24002</v>
      </c>
      <c r="AA795">
        <v>0.36820912245036858</v>
      </c>
      <c r="AB795" t="str">
        <f>HYPERLINK("Melting_Curves/meltCurve_G5EA30_CELF1.pdf", "Melting_Curves/meltCurve_G5EA30_CELF1.pdf")</f>
        <v>Melting_Curves/meltCurve_G5EA30_CELF1.pdf</v>
      </c>
    </row>
    <row r="796" spans="1:28" x14ac:dyDescent="0.25">
      <c r="A796" t="s">
        <v>800</v>
      </c>
      <c r="B796">
        <v>0.99334974765950101</v>
      </c>
      <c r="C796">
        <v>1.0965793803022099</v>
      </c>
      <c r="D796">
        <v>1.0528184303805601</v>
      </c>
      <c r="E796">
        <v>1.2727551897276901</v>
      </c>
      <c r="F796">
        <v>1.0758908172691699</v>
      </c>
      <c r="G796">
        <v>1.19097020026052</v>
      </c>
      <c r="H796">
        <v>1.0322742065170301</v>
      </c>
      <c r="I796">
        <v>0.946958459085114</v>
      </c>
      <c r="J796">
        <v>0.28531254173428799</v>
      </c>
      <c r="K796">
        <v>0.201858706212973</v>
      </c>
      <c r="L796">
        <v>6844.9525292896697</v>
      </c>
      <c r="M796">
        <v>104.300184840784</v>
      </c>
      <c r="N796">
        <v>65.952101546605206</v>
      </c>
      <c r="O796">
        <v>65.603308332311599</v>
      </c>
      <c r="P796">
        <v>-0.317658454309032</v>
      </c>
      <c r="Q796">
        <v>0.20078973314613799</v>
      </c>
      <c r="R796">
        <v>0.89250990777574502</v>
      </c>
      <c r="S796" t="s">
        <v>6657</v>
      </c>
      <c r="T796" t="s">
        <v>11720</v>
      </c>
      <c r="U796" t="s">
        <v>11720</v>
      </c>
      <c r="V796" t="s">
        <v>11720</v>
      </c>
      <c r="W796" t="s">
        <v>12496</v>
      </c>
      <c r="X796">
        <v>13</v>
      </c>
      <c r="Y796" t="s">
        <v>18292</v>
      </c>
      <c r="Z796" t="s">
        <v>24003</v>
      </c>
      <c r="AA796">
        <v>0.88401368568951688</v>
      </c>
      <c r="AB796" t="str">
        <f>HYPERLINK("Melting_Curves/meltCurve_G5EA37_WIPI1.pdf", "Melting_Curves/meltCurve_G5EA37_WIPI1.pdf")</f>
        <v>Melting_Curves/meltCurve_G5EA37_WIPI1.pdf</v>
      </c>
    </row>
    <row r="797" spans="1:28" x14ac:dyDescent="0.25">
      <c r="A797" t="s">
        <v>801</v>
      </c>
      <c r="B797">
        <v>0.99334974765950101</v>
      </c>
      <c r="C797">
        <v>0.97176294061465696</v>
      </c>
      <c r="D797">
        <v>1.00593394488801</v>
      </c>
      <c r="E797">
        <v>0.58365324129866003</v>
      </c>
      <c r="F797">
        <v>0.410847475795176</v>
      </c>
      <c r="G797">
        <v>0.27057251622607498</v>
      </c>
      <c r="H797">
        <v>0.21619943461303301</v>
      </c>
      <c r="I797">
        <v>0.19852545910417699</v>
      </c>
      <c r="J797">
        <v>0.18402206383816999</v>
      </c>
      <c r="K797">
        <v>0.32114871911044901</v>
      </c>
      <c r="L797">
        <v>1425.59643660195</v>
      </c>
      <c r="M797">
        <v>28.4728070962598</v>
      </c>
      <c r="N797">
        <v>51.218067041792601</v>
      </c>
      <c r="O797">
        <v>49.8236715981879</v>
      </c>
      <c r="P797">
        <v>-0.109141046626216</v>
      </c>
      <c r="Q797">
        <v>0.23607613062111901</v>
      </c>
      <c r="R797">
        <v>0.98133224901946003</v>
      </c>
      <c r="S797" t="s">
        <v>6658</v>
      </c>
      <c r="T797" t="s">
        <v>11720</v>
      </c>
      <c r="U797" t="s">
        <v>11720</v>
      </c>
      <c r="V797" t="s">
        <v>11720</v>
      </c>
      <c r="W797" t="s">
        <v>12497</v>
      </c>
      <c r="X797">
        <v>4</v>
      </c>
      <c r="Y797" t="s">
        <v>18293</v>
      </c>
      <c r="Z797" t="s">
        <v>24004</v>
      </c>
      <c r="AA797">
        <v>0.4977239449269556</v>
      </c>
      <c r="AB797" t="str">
        <f>HYPERLINK("Melting_Curves/meltCurve_G5EA42_TMOD2.pdf", "Melting_Curves/meltCurve_G5EA42_TMOD2.pdf")</f>
        <v>Melting_Curves/meltCurve_G5EA42_TMOD2.pdf</v>
      </c>
    </row>
    <row r="798" spans="1:28" x14ac:dyDescent="0.25">
      <c r="A798" t="s">
        <v>802</v>
      </c>
      <c r="B798">
        <v>0.99334974765950101</v>
      </c>
      <c r="C798">
        <v>0.94348810995606003</v>
      </c>
      <c r="D798">
        <v>0.82683077810365002</v>
      </c>
      <c r="E798">
        <v>0.34641286300009599</v>
      </c>
      <c r="F798">
        <v>0.15708431361928399</v>
      </c>
      <c r="G798">
        <v>0.104252029223624</v>
      </c>
      <c r="H798">
        <v>8.3648770524584706E-2</v>
      </c>
      <c r="I798">
        <v>7.1893875232256793E-2</v>
      </c>
      <c r="J798">
        <v>7.4154646751714695E-2</v>
      </c>
      <c r="K798">
        <v>6.3780321020951006E-2</v>
      </c>
      <c r="L798">
        <v>1284.38593393877</v>
      </c>
      <c r="M798">
        <v>26.5343335855151</v>
      </c>
      <c r="N798">
        <v>48.699474603883701</v>
      </c>
      <c r="O798">
        <v>48.132257187519301</v>
      </c>
      <c r="P798">
        <v>-0.12759602778106299</v>
      </c>
      <c r="Q798">
        <v>7.4192744071412506E-2</v>
      </c>
      <c r="R798">
        <v>0.99911063408071599</v>
      </c>
      <c r="S798" t="s">
        <v>6659</v>
      </c>
      <c r="T798" t="s">
        <v>11720</v>
      </c>
      <c r="U798" t="s">
        <v>11720</v>
      </c>
      <c r="V798" t="s">
        <v>11720</v>
      </c>
      <c r="W798" t="s">
        <v>12498</v>
      </c>
      <c r="X798">
        <v>52</v>
      </c>
      <c r="Y798" t="s">
        <v>18294</v>
      </c>
      <c r="Z798" t="s">
        <v>24005</v>
      </c>
      <c r="AA798">
        <v>0.34078672294819318</v>
      </c>
      <c r="AB798" t="str">
        <f>HYPERLINK("Melting_Curves/meltCurve_G5EA52_PDIA3.pdf", "Melting_Curves/meltCurve_G5EA52_PDIA3.pdf")</f>
        <v>Melting_Curves/meltCurve_G5EA52_PDIA3.pdf</v>
      </c>
    </row>
    <row r="799" spans="1:28" x14ac:dyDescent="0.25">
      <c r="A799" t="s">
        <v>803</v>
      </c>
      <c r="B799">
        <v>0.99334974765950101</v>
      </c>
      <c r="C799">
        <v>0.98003070120028701</v>
      </c>
      <c r="D799">
        <v>0.82944565179606</v>
      </c>
      <c r="E799">
        <v>0.62026965060615602</v>
      </c>
      <c r="F799">
        <v>0.455331058056751</v>
      </c>
      <c r="G799">
        <v>0.290154519790007</v>
      </c>
      <c r="H799">
        <v>0.23217116724030301</v>
      </c>
      <c r="I799">
        <v>0.27716990309545703</v>
      </c>
      <c r="J799">
        <v>0.24766494342248399</v>
      </c>
      <c r="K799">
        <v>0.19876243685890499</v>
      </c>
      <c r="L799">
        <v>831.015389021342</v>
      </c>
      <c r="M799">
        <v>16.593435807817698</v>
      </c>
      <c r="N799">
        <v>51.868256304709199</v>
      </c>
      <c r="O799">
        <v>49.3705648435187</v>
      </c>
      <c r="P799">
        <v>-6.5733826250383598E-2</v>
      </c>
      <c r="Q799">
        <v>0.21773993532359501</v>
      </c>
      <c r="R799">
        <v>0.99456829908182298</v>
      </c>
      <c r="S799" t="s">
        <v>6660</v>
      </c>
      <c r="T799" t="s">
        <v>11720</v>
      </c>
      <c r="U799" t="s">
        <v>11720</v>
      </c>
      <c r="V799" t="s">
        <v>11720</v>
      </c>
      <c r="W799" t="s">
        <v>12499</v>
      </c>
      <c r="X799">
        <v>7</v>
      </c>
      <c r="Y799" t="s">
        <v>18295</v>
      </c>
      <c r="Z799" t="s">
        <v>24006</v>
      </c>
      <c r="AA799">
        <v>0.49611587771720372</v>
      </c>
      <c r="AB799" t="str">
        <f>HYPERLINK("Melting_Curves/meltCurve_G8JL86_COBLL1.pdf", "Melting_Curves/meltCurve_G8JL86_COBLL1.pdf")</f>
        <v>Melting_Curves/meltCurve_G8JL86_COBLL1.pdf</v>
      </c>
    </row>
    <row r="800" spans="1:28" x14ac:dyDescent="0.25">
      <c r="A800" t="s">
        <v>804</v>
      </c>
      <c r="B800">
        <v>0.99334974765950101</v>
      </c>
      <c r="C800">
        <v>0.96755250173350105</v>
      </c>
      <c r="D800">
        <v>1.12298018031325</v>
      </c>
      <c r="E800">
        <v>0.92532874771243601</v>
      </c>
      <c r="F800">
        <v>1.04004794894877</v>
      </c>
      <c r="G800">
        <v>0.72649690692226698</v>
      </c>
      <c r="H800">
        <v>0.44221389927909599</v>
      </c>
      <c r="I800">
        <v>0.30005071919079701</v>
      </c>
      <c r="J800">
        <v>0.39309832088937702</v>
      </c>
      <c r="K800">
        <v>0.28381068306594098</v>
      </c>
      <c r="L800">
        <v>2093.2962220865502</v>
      </c>
      <c r="M800">
        <v>36.218994425746999</v>
      </c>
      <c r="N800">
        <v>59.515677763789697</v>
      </c>
      <c r="O800">
        <v>57.620204234303003</v>
      </c>
      <c r="P800">
        <v>-0.106156346085703</v>
      </c>
      <c r="Q800">
        <v>0.32447260985084903</v>
      </c>
      <c r="R800">
        <v>0.96507800404948496</v>
      </c>
      <c r="S800" t="s">
        <v>6661</v>
      </c>
      <c r="T800" t="s">
        <v>11720</v>
      </c>
      <c r="U800" t="s">
        <v>11720</v>
      </c>
      <c r="V800" t="s">
        <v>11720</v>
      </c>
      <c r="W800" t="s">
        <v>12500</v>
      </c>
      <c r="X800">
        <v>15</v>
      </c>
      <c r="Y800" t="s">
        <v>18296</v>
      </c>
      <c r="Z800" t="s">
        <v>24007</v>
      </c>
      <c r="AA800">
        <v>0.72838164272240158</v>
      </c>
      <c r="AB800" t="str">
        <f>HYPERLINK("Melting_Curves/meltCurve_G8JLA2_MYL6.pdf", "Melting_Curves/meltCurve_G8JLA2_MYL6.pdf")</f>
        <v>Melting_Curves/meltCurve_G8JLA2_MYL6.pdf</v>
      </c>
    </row>
    <row r="801" spans="1:28" x14ac:dyDescent="0.25">
      <c r="A801" t="s">
        <v>805</v>
      </c>
      <c r="B801">
        <v>0.99334974765950101</v>
      </c>
      <c r="C801">
        <v>0.82526028692596898</v>
      </c>
      <c r="D801">
        <v>0.52959531278815397</v>
      </c>
      <c r="E801">
        <v>0.21844759498063601</v>
      </c>
      <c r="F801">
        <v>0.16718016665274299</v>
      </c>
      <c r="G801">
        <v>0.15943196126135001</v>
      </c>
      <c r="H801">
        <v>0.152211197665408</v>
      </c>
      <c r="I801">
        <v>0.14320924088881101</v>
      </c>
      <c r="J801">
        <v>0.109009132101526</v>
      </c>
      <c r="K801">
        <v>9.4398657447244405E-2</v>
      </c>
      <c r="L801">
        <v>1062.1764085300899</v>
      </c>
      <c r="M801">
        <v>23.2820108335554</v>
      </c>
      <c r="N801">
        <v>46.213043495619999</v>
      </c>
      <c r="O801">
        <v>45.289612279137103</v>
      </c>
      <c r="P801">
        <v>-0.111975826888735</v>
      </c>
      <c r="Q801">
        <v>0.12872620315398101</v>
      </c>
      <c r="R801">
        <v>0.99613707877767399</v>
      </c>
      <c r="S801" t="s">
        <v>6662</v>
      </c>
      <c r="T801" t="s">
        <v>11720</v>
      </c>
      <c r="U801" t="s">
        <v>11720</v>
      </c>
      <c r="V801" t="s">
        <v>11720</v>
      </c>
      <c r="W801" t="s">
        <v>12501</v>
      </c>
      <c r="X801">
        <v>7</v>
      </c>
      <c r="Y801" t="s">
        <v>18297</v>
      </c>
      <c r="Z801" t="s">
        <v>24008</v>
      </c>
      <c r="AA801">
        <v>0.30173792641039843</v>
      </c>
      <c r="AB801" t="str">
        <f>HYPERLINK("Melting_Curves/meltCurve_G8JLB3_PUS1.pdf", "Melting_Curves/meltCurve_G8JLB3_PUS1.pdf")</f>
        <v>Melting_Curves/meltCurve_G8JLB3_PUS1.pdf</v>
      </c>
    </row>
    <row r="802" spans="1:28" x14ac:dyDescent="0.25">
      <c r="A802" t="s">
        <v>806</v>
      </c>
      <c r="B802">
        <v>0.99334974765950101</v>
      </c>
      <c r="C802">
        <v>0.98905035436324995</v>
      </c>
      <c r="D802">
        <v>1.0895125247502599</v>
      </c>
      <c r="E802">
        <v>1.01549147800944</v>
      </c>
      <c r="F802">
        <v>0.94589044061210803</v>
      </c>
      <c r="G802">
        <v>0.60230356730213697</v>
      </c>
      <c r="H802">
        <v>0.22550871119497601</v>
      </c>
      <c r="I802">
        <v>0.16098443361355999</v>
      </c>
      <c r="J802">
        <v>0.13908769335497001</v>
      </c>
      <c r="K802">
        <v>9.0145866369959401E-2</v>
      </c>
      <c r="L802">
        <v>1860.59698985875</v>
      </c>
      <c r="M802">
        <v>32.426699215315097</v>
      </c>
      <c r="N802">
        <v>57.8462323039724</v>
      </c>
      <c r="O802">
        <v>57.161648351080601</v>
      </c>
      <c r="P802">
        <v>-0.12546732670217001</v>
      </c>
      <c r="Q802">
        <v>0.11531112444914</v>
      </c>
      <c r="R802">
        <v>0.99387463570578105</v>
      </c>
      <c r="S802" t="s">
        <v>6663</v>
      </c>
      <c r="T802" t="s">
        <v>11720</v>
      </c>
      <c r="U802" t="s">
        <v>11720</v>
      </c>
      <c r="V802" t="s">
        <v>11720</v>
      </c>
      <c r="W802" t="s">
        <v>12502</v>
      </c>
      <c r="X802">
        <v>6</v>
      </c>
      <c r="Y802" t="s">
        <v>18298</v>
      </c>
      <c r="Z802" t="s">
        <v>24009</v>
      </c>
      <c r="AA802">
        <v>0.6329207966995315</v>
      </c>
      <c r="AB802" t="str">
        <f>HYPERLINK("Melting_Curves/meltCurve_G8JLI5_WDR45.pdf", "Melting_Curves/meltCurve_G8JLI5_WDR45.pdf")</f>
        <v>Melting_Curves/meltCurve_G8JLI5_WDR45.pdf</v>
      </c>
    </row>
    <row r="803" spans="1:28" x14ac:dyDescent="0.25">
      <c r="A803" t="s">
        <v>807</v>
      </c>
      <c r="B803">
        <v>0.99334974765950101</v>
      </c>
      <c r="C803">
        <v>0.97202487121706704</v>
      </c>
      <c r="D803">
        <v>0.91681914295064304</v>
      </c>
      <c r="E803">
        <v>0.64224384902606502</v>
      </c>
      <c r="F803">
        <v>0.50232719217789601</v>
      </c>
      <c r="G803">
        <v>0.34142176072477398</v>
      </c>
      <c r="H803">
        <v>0.26367073773438199</v>
      </c>
      <c r="I803">
        <v>0.25831597714167798</v>
      </c>
      <c r="J803">
        <v>0.19237340798434999</v>
      </c>
      <c r="K803">
        <v>0.15168570741828499</v>
      </c>
      <c r="L803">
        <v>767.39655236782596</v>
      </c>
      <c r="M803">
        <v>14.9064325387734</v>
      </c>
      <c r="N803">
        <v>53.029637822380501</v>
      </c>
      <c r="O803">
        <v>50.581035714349497</v>
      </c>
      <c r="P803">
        <v>-6.0679998495797E-2</v>
      </c>
      <c r="Q803">
        <v>0.17647917059785101</v>
      </c>
      <c r="R803">
        <v>0.99380762349921303</v>
      </c>
      <c r="S803" t="s">
        <v>6664</v>
      </c>
      <c r="T803" t="s">
        <v>11720</v>
      </c>
      <c r="U803" t="s">
        <v>11720</v>
      </c>
      <c r="V803" t="s">
        <v>11720</v>
      </c>
      <c r="W803" t="s">
        <v>12503</v>
      </c>
      <c r="X803">
        <v>10</v>
      </c>
      <c r="Y803" t="s">
        <v>18299</v>
      </c>
      <c r="Z803" t="s">
        <v>24010</v>
      </c>
      <c r="AA803">
        <v>0.51056144508251622</v>
      </c>
      <c r="AB803" t="str">
        <f>HYPERLINK("Melting_Curves/meltCurve_G8JLI6_LEPREL2.pdf", "Melting_Curves/meltCurve_G8JLI6_LEPREL2.pdf")</f>
        <v>Melting_Curves/meltCurve_G8JLI6_LEPREL2.pdf</v>
      </c>
    </row>
    <row r="804" spans="1:28" x14ac:dyDescent="0.25">
      <c r="A804" t="s">
        <v>808</v>
      </c>
      <c r="B804">
        <v>0.99334974765950101</v>
      </c>
      <c r="C804">
        <v>0.99530128518482697</v>
      </c>
      <c r="D804">
        <v>0.95035105329355096</v>
      </c>
      <c r="E804">
        <v>0.79688224757511905</v>
      </c>
      <c r="F804">
        <v>0.84132464028079901</v>
      </c>
      <c r="G804">
        <v>0.51054633140214301</v>
      </c>
      <c r="H804">
        <v>0.45290034504307802</v>
      </c>
      <c r="I804">
        <v>0.50618847925924804</v>
      </c>
      <c r="J804">
        <v>0.57425558747156802</v>
      </c>
      <c r="K804">
        <v>0.49197856094304299</v>
      </c>
      <c r="L804">
        <v>1050.6910261943599</v>
      </c>
      <c r="M804">
        <v>19.9451407932428</v>
      </c>
      <c r="N804">
        <v>64.941698004105703</v>
      </c>
      <c r="O804">
        <v>52.158080846249</v>
      </c>
      <c r="P804">
        <v>-4.8907493915161797E-2</v>
      </c>
      <c r="Q804">
        <v>0.48842952648022298</v>
      </c>
      <c r="R804">
        <v>0.92546477711407904</v>
      </c>
      <c r="S804" t="s">
        <v>6665</v>
      </c>
      <c r="T804" t="s">
        <v>11720</v>
      </c>
      <c r="U804" t="s">
        <v>11720</v>
      </c>
      <c r="V804" t="s">
        <v>11720</v>
      </c>
      <c r="W804" t="s">
        <v>12504</v>
      </c>
      <c r="X804">
        <v>34</v>
      </c>
      <c r="Y804" t="s">
        <v>18300</v>
      </c>
      <c r="Z804" t="s">
        <v>24011</v>
      </c>
      <c r="AA804">
        <v>0.71172420430630745</v>
      </c>
      <c r="AB804" t="str">
        <f>HYPERLINK("Melting_Curves/meltCurve_G8JLK4_TACC1.pdf", "Melting_Curves/meltCurve_G8JLK4_TACC1.pdf")</f>
        <v>Melting_Curves/meltCurve_G8JLK4_TACC1.pdf</v>
      </c>
    </row>
    <row r="805" spans="1:28" x14ac:dyDescent="0.25">
      <c r="A805" t="s">
        <v>809</v>
      </c>
      <c r="B805">
        <v>0.99334974765950101</v>
      </c>
      <c r="C805">
        <v>1.0129076517056801</v>
      </c>
      <c r="D805">
        <v>1.0036462817702501</v>
      </c>
      <c r="E805">
        <v>0.86606839436032701</v>
      </c>
      <c r="F805">
        <v>0.66401420854234305</v>
      </c>
      <c r="G805">
        <v>0.58932687250554705</v>
      </c>
      <c r="H805">
        <v>0.517280495315251</v>
      </c>
      <c r="I805">
        <v>0.29122832293911</v>
      </c>
      <c r="J805">
        <v>9.0268557361054103E-2</v>
      </c>
      <c r="K805">
        <v>5.97470471387175E-2</v>
      </c>
      <c r="L805">
        <v>678.86774280117004</v>
      </c>
      <c r="M805">
        <v>11.608963316241301</v>
      </c>
      <c r="N805">
        <v>58.4779080887931</v>
      </c>
      <c r="O805">
        <v>56.8234765758232</v>
      </c>
      <c r="P805">
        <v>-5.10886715438559E-2</v>
      </c>
      <c r="Q805">
        <v>0</v>
      </c>
      <c r="R805">
        <v>0.96160382860077098</v>
      </c>
      <c r="S805" t="s">
        <v>6666</v>
      </c>
      <c r="T805" t="s">
        <v>11720</v>
      </c>
      <c r="U805" t="s">
        <v>11720</v>
      </c>
      <c r="V805" t="s">
        <v>11720</v>
      </c>
      <c r="W805" t="s">
        <v>12505</v>
      </c>
      <c r="X805">
        <v>2</v>
      </c>
      <c r="Y805" t="s">
        <v>18301</v>
      </c>
      <c r="Z805" t="s">
        <v>24012</v>
      </c>
      <c r="AA805">
        <v>0.62593664272736571</v>
      </c>
      <c r="AB805" t="str">
        <f>HYPERLINK("Melting_Curves/meltCurve_G8JLL2_PPT2.pdf", "Melting_Curves/meltCurve_G8JLL2_PPT2.pdf")</f>
        <v>Melting_Curves/meltCurve_G8JLL2_PPT2.pdf</v>
      </c>
    </row>
    <row r="806" spans="1:28" x14ac:dyDescent="0.25">
      <c r="A806" t="s">
        <v>810</v>
      </c>
      <c r="B806">
        <v>0.99334974765950101</v>
      </c>
      <c r="C806">
        <v>0.969438899033498</v>
      </c>
      <c r="D806">
        <v>0.96515881857656904</v>
      </c>
      <c r="E806">
        <v>0.79669787034197603</v>
      </c>
      <c r="F806">
        <v>0.62131046154446401</v>
      </c>
      <c r="G806">
        <v>0.42846189585483202</v>
      </c>
      <c r="H806">
        <v>0.32910501088716798</v>
      </c>
      <c r="I806">
        <v>0.276671841986108</v>
      </c>
      <c r="J806">
        <v>0.25794394462898701</v>
      </c>
      <c r="K806">
        <v>0.17219980787511099</v>
      </c>
      <c r="L806">
        <v>774.402637142956</v>
      </c>
      <c r="M806">
        <v>14.3999794051631</v>
      </c>
      <c r="N806">
        <v>55.593222737717603</v>
      </c>
      <c r="O806">
        <v>52.772806692815898</v>
      </c>
      <c r="P806">
        <v>-5.5429116071151897E-2</v>
      </c>
      <c r="Q806">
        <v>0.18755335559209901</v>
      </c>
      <c r="R806">
        <v>0.99548004764473097</v>
      </c>
      <c r="S806" t="s">
        <v>6667</v>
      </c>
      <c r="T806" t="s">
        <v>11720</v>
      </c>
      <c r="U806" t="s">
        <v>11720</v>
      </c>
      <c r="V806" t="s">
        <v>11720</v>
      </c>
      <c r="W806" t="s">
        <v>12506</v>
      </c>
      <c r="X806">
        <v>2</v>
      </c>
      <c r="Y806" t="s">
        <v>18302</v>
      </c>
      <c r="Z806" t="s">
        <v>24013</v>
      </c>
      <c r="AA806">
        <v>0.5784293836534673</v>
      </c>
      <c r="AB806" t="str">
        <f>HYPERLINK("Melting_Curves/meltCurve_G8JLL7_MVB12B.pdf", "Melting_Curves/meltCurve_G8JLL7_MVB12B.pdf")</f>
        <v>Melting_Curves/meltCurve_G8JLL7_MVB12B.pdf</v>
      </c>
    </row>
    <row r="807" spans="1:28" x14ac:dyDescent="0.25">
      <c r="A807" t="s">
        <v>811</v>
      </c>
      <c r="B807">
        <v>0.99334974765950101</v>
      </c>
      <c r="C807">
        <v>1.06271154666932</v>
      </c>
      <c r="D807">
        <v>1.07507071100666</v>
      </c>
      <c r="E807">
        <v>0.96162551629612203</v>
      </c>
      <c r="F807">
        <v>0.71681324593332696</v>
      </c>
      <c r="G807">
        <v>0.45222300241275398</v>
      </c>
      <c r="H807">
        <v>0.343246095601146</v>
      </c>
      <c r="I807">
        <v>0.17969920558190999</v>
      </c>
      <c r="J807">
        <v>0.17065235090240199</v>
      </c>
      <c r="K807">
        <v>0.12133062513363101</v>
      </c>
      <c r="L807">
        <v>1062.59696879032</v>
      </c>
      <c r="M807">
        <v>19.074449610761</v>
      </c>
      <c r="N807">
        <v>56.619956976489298</v>
      </c>
      <c r="O807">
        <v>55.106408653134501</v>
      </c>
      <c r="P807">
        <v>-7.50913565897742E-2</v>
      </c>
      <c r="Q807">
        <v>0.13227325007275301</v>
      </c>
      <c r="R807">
        <v>0.98312628958541504</v>
      </c>
      <c r="S807" t="s">
        <v>6668</v>
      </c>
      <c r="T807" t="s">
        <v>11720</v>
      </c>
      <c r="U807" t="s">
        <v>11720</v>
      </c>
      <c r="V807" t="s">
        <v>11720</v>
      </c>
      <c r="W807" t="s">
        <v>12507</v>
      </c>
      <c r="X807">
        <v>3</v>
      </c>
      <c r="Y807" t="s">
        <v>18303</v>
      </c>
      <c r="Z807" t="s">
        <v>24014</v>
      </c>
      <c r="AA807">
        <v>0.59867118088137228</v>
      </c>
      <c r="AB807" t="str">
        <f>HYPERLINK("Melting_Curves/meltCurve_G8JLM0_PRKAG2.pdf", "Melting_Curves/meltCurve_G8JLM0_PRKAG2.pdf")</f>
        <v>Melting_Curves/meltCurve_G8JLM0_PRKAG2.pdf</v>
      </c>
    </row>
    <row r="808" spans="1:28" x14ac:dyDescent="0.25">
      <c r="A808" t="s">
        <v>812</v>
      </c>
      <c r="B808">
        <v>0.99334974765950101</v>
      </c>
      <c r="C808">
        <v>0.89986196437696597</v>
      </c>
      <c r="D808">
        <v>0.83777171650287996</v>
      </c>
      <c r="E808">
        <v>0.26438278476912802</v>
      </c>
      <c r="F808">
        <v>0.10953414311405101</v>
      </c>
      <c r="G808">
        <v>5.9010051648156703E-2</v>
      </c>
      <c r="H808">
        <v>4.9337574599383503E-2</v>
      </c>
      <c r="I808">
        <v>0</v>
      </c>
      <c r="J808">
        <v>1.30565791386509E-2</v>
      </c>
      <c r="K808">
        <v>0</v>
      </c>
      <c r="L808">
        <v>1371.4145459921799</v>
      </c>
      <c r="M808">
        <v>28.4152467430043</v>
      </c>
      <c r="N808">
        <v>48.338130162888497</v>
      </c>
      <c r="O808">
        <v>48.0261935724808</v>
      </c>
      <c r="P808">
        <v>-0.14473518739812699</v>
      </c>
      <c r="Q808">
        <v>2.1507878401089E-2</v>
      </c>
      <c r="R808">
        <v>0.99389582092933504</v>
      </c>
      <c r="S808" t="s">
        <v>6669</v>
      </c>
      <c r="T808" t="s">
        <v>11720</v>
      </c>
      <c r="U808" t="s">
        <v>11720</v>
      </c>
      <c r="V808" t="s">
        <v>11720</v>
      </c>
      <c r="W808" t="s">
        <v>12508</v>
      </c>
      <c r="X808">
        <v>1</v>
      </c>
      <c r="Y808" t="s">
        <v>18304</v>
      </c>
      <c r="Z808" t="s">
        <v>24015</v>
      </c>
      <c r="AA808">
        <v>0.29763870221059902</v>
      </c>
      <c r="AB808" t="str">
        <f>HYPERLINK("Melting_Curves/meltCurve_H0UI80_TH1L.pdf", "Melting_Curves/meltCurve_H0UI80_TH1L.pdf")</f>
        <v>Melting_Curves/meltCurve_H0UI80_TH1L.pdf</v>
      </c>
    </row>
    <row r="809" spans="1:28" x14ac:dyDescent="0.25">
      <c r="A809" t="s">
        <v>813</v>
      </c>
      <c r="B809">
        <v>0.99334974765950101</v>
      </c>
      <c r="C809">
        <v>0.89497283323305699</v>
      </c>
      <c r="D809">
        <v>0.74487786361583197</v>
      </c>
      <c r="E809">
        <v>0.69882555365268195</v>
      </c>
      <c r="F809">
        <v>0.75958805324349898</v>
      </c>
      <c r="G809">
        <v>0.364346008932115</v>
      </c>
      <c r="H809">
        <v>0.28116172258824501</v>
      </c>
      <c r="I809">
        <v>0.24185354159133901</v>
      </c>
      <c r="J809">
        <v>0.303561876008827</v>
      </c>
      <c r="K809">
        <v>0.23349198469450999</v>
      </c>
      <c r="L809">
        <v>472.87244747067598</v>
      </c>
      <c r="M809">
        <v>8.7789848347795196</v>
      </c>
      <c r="N809">
        <v>55.401156580806301</v>
      </c>
      <c r="O809">
        <v>51.288597032763001</v>
      </c>
      <c r="P809">
        <v>-3.8197411327008102E-2</v>
      </c>
      <c r="Q809">
        <v>0.108083696522707</v>
      </c>
      <c r="R809">
        <v>0.92688251626092699</v>
      </c>
      <c r="S809" t="s">
        <v>6670</v>
      </c>
      <c r="T809" t="s">
        <v>11720</v>
      </c>
      <c r="U809" t="s">
        <v>11720</v>
      </c>
      <c r="V809" t="s">
        <v>11720</v>
      </c>
      <c r="W809" t="s">
        <v>12509</v>
      </c>
      <c r="X809">
        <v>1</v>
      </c>
      <c r="Y809" t="s">
        <v>18305</v>
      </c>
      <c r="Z809" t="s">
        <v>24016</v>
      </c>
      <c r="AA809">
        <v>0.55007231778758614</v>
      </c>
      <c r="AB809" t="str">
        <f>HYPERLINK("Melting_Curves/meltCurve_H0Y2M6_CLCN7.pdf", "Melting_Curves/meltCurve_H0Y2M6_CLCN7.pdf")</f>
        <v>Melting_Curves/meltCurve_H0Y2M6_CLCN7.pdf</v>
      </c>
    </row>
    <row r="810" spans="1:28" x14ac:dyDescent="0.25">
      <c r="A810" t="s">
        <v>814</v>
      </c>
      <c r="B810">
        <v>0.99334974765950101</v>
      </c>
      <c r="C810">
        <v>1.09004558461789</v>
      </c>
      <c r="D810">
        <v>1.16545791574008</v>
      </c>
      <c r="E810">
        <v>1.4641845592595799</v>
      </c>
      <c r="F810">
        <v>1.8130090440675199</v>
      </c>
      <c r="G810">
        <v>1.8704647114170101</v>
      </c>
      <c r="H810">
        <v>0.85258246385023895</v>
      </c>
      <c r="I810">
        <v>0.331429457719842</v>
      </c>
      <c r="J810">
        <v>0.23647608668882</v>
      </c>
      <c r="K810">
        <v>0.19846832486004201</v>
      </c>
      <c r="L810">
        <v>4558.8267883032804</v>
      </c>
      <c r="M810">
        <v>73.134990029735505</v>
      </c>
      <c r="N810">
        <v>62.829156792388197</v>
      </c>
      <c r="O810">
        <v>62.287859029965198</v>
      </c>
      <c r="P810">
        <v>-0.22928150070527201</v>
      </c>
      <c r="Q810">
        <v>0.21889916105458601</v>
      </c>
      <c r="R810">
        <v>0.50290831549010795</v>
      </c>
      <c r="S810" t="s">
        <v>6671</v>
      </c>
      <c r="T810" t="s">
        <v>11720</v>
      </c>
      <c r="U810" t="s">
        <v>11720</v>
      </c>
      <c r="V810" t="s">
        <v>11720</v>
      </c>
      <c r="W810" t="s">
        <v>12510</v>
      </c>
      <c r="X810">
        <v>21</v>
      </c>
      <c r="Y810" t="s">
        <v>18306</v>
      </c>
      <c r="Z810" t="s">
        <v>24017</v>
      </c>
      <c r="AA810">
        <v>0.80140473972042481</v>
      </c>
      <c r="AB810" t="str">
        <f>HYPERLINK("Melting_Curves/meltCurve_H0Y360_AMPD2.pdf", "Melting_Curves/meltCurve_H0Y360_AMPD2.pdf")</f>
        <v>Melting_Curves/meltCurve_H0Y360_AMPD2.pdf</v>
      </c>
    </row>
    <row r="811" spans="1:28" x14ac:dyDescent="0.25">
      <c r="A811" t="s">
        <v>815</v>
      </c>
      <c r="B811">
        <v>0.99334974765950101</v>
      </c>
      <c r="C811">
        <v>0.98764271983260599</v>
      </c>
      <c r="D811">
        <v>0.62093094336765497</v>
      </c>
      <c r="E811">
        <v>0.215740744471106</v>
      </c>
      <c r="F811">
        <v>0.136451482878021</v>
      </c>
      <c r="G811">
        <v>8.2716325320793704E-2</v>
      </c>
      <c r="H811">
        <v>7.3849641053967005E-2</v>
      </c>
      <c r="I811">
        <v>7.0053810758111595E-2</v>
      </c>
      <c r="J811">
        <v>7.2278947123012097E-2</v>
      </c>
      <c r="K811">
        <v>5.8173032148495202E-2</v>
      </c>
      <c r="L811">
        <v>1338.91741095985</v>
      </c>
      <c r="M811">
        <v>28.6305234316102</v>
      </c>
      <c r="N811">
        <v>47.039208626619804</v>
      </c>
      <c r="O811">
        <v>46.539016870550299</v>
      </c>
      <c r="P811">
        <v>-0.14199448987812399</v>
      </c>
      <c r="Q811">
        <v>7.6757063739699802E-2</v>
      </c>
      <c r="R811">
        <v>0.99636111315138298</v>
      </c>
      <c r="S811" t="s">
        <v>6672</v>
      </c>
      <c r="T811" t="s">
        <v>11720</v>
      </c>
      <c r="U811" t="s">
        <v>11720</v>
      </c>
      <c r="V811" t="s">
        <v>11720</v>
      </c>
      <c r="W811" t="s">
        <v>12511</v>
      </c>
      <c r="X811">
        <v>7</v>
      </c>
      <c r="Y811" t="s">
        <v>18307</v>
      </c>
      <c r="Z811" t="s">
        <v>24018</v>
      </c>
      <c r="AA811">
        <v>0.2911012550283118</v>
      </c>
      <c r="AB811" t="str">
        <f>HYPERLINK("Melting_Curves/meltCurve_H0Y4G9_MYD88.pdf", "Melting_Curves/meltCurve_H0Y4G9_MYD88.pdf")</f>
        <v>Melting_Curves/meltCurve_H0Y4G9_MYD88.pdf</v>
      </c>
    </row>
    <row r="812" spans="1:28" x14ac:dyDescent="0.25">
      <c r="A812" t="s">
        <v>816</v>
      </c>
      <c r="B812">
        <v>0.99334974765950101</v>
      </c>
      <c r="C812">
        <v>0.98099305955957705</v>
      </c>
      <c r="D812">
        <v>0.93763474080118303</v>
      </c>
      <c r="E812">
        <v>0.74887793234971101</v>
      </c>
      <c r="F812">
        <v>0.72943024291299796</v>
      </c>
      <c r="G812">
        <v>0.31484225182647602</v>
      </c>
      <c r="H812">
        <v>0.244475342018419</v>
      </c>
      <c r="I812">
        <v>0.38260358465653599</v>
      </c>
      <c r="J812">
        <v>0.32610647547460803</v>
      </c>
      <c r="K812">
        <v>8.1341171041737895E-2</v>
      </c>
      <c r="L812">
        <v>861.97313474069199</v>
      </c>
      <c r="M812">
        <v>16.142046799341301</v>
      </c>
      <c r="N812">
        <v>55.154472075589602</v>
      </c>
      <c r="O812">
        <v>52.599877197867897</v>
      </c>
      <c r="P812">
        <v>-6.1315295060703101E-2</v>
      </c>
      <c r="Q812">
        <v>0.20086152165488799</v>
      </c>
      <c r="R812">
        <v>0.93240343101725998</v>
      </c>
      <c r="S812" t="s">
        <v>6673</v>
      </c>
      <c r="T812" t="s">
        <v>11720</v>
      </c>
      <c r="U812" t="s">
        <v>11720</v>
      </c>
      <c r="V812" t="s">
        <v>11720</v>
      </c>
      <c r="W812" t="s">
        <v>12512</v>
      </c>
      <c r="X812">
        <v>2</v>
      </c>
      <c r="Y812" t="s">
        <v>18308</v>
      </c>
      <c r="Z812" t="s">
        <v>24019</v>
      </c>
      <c r="AA812">
        <v>0.57305873499175963</v>
      </c>
      <c r="AB812" t="str">
        <f>HYPERLINK("Melting_Curves/meltCurve_H0Y4Y2_NAPEPLD.pdf", "Melting_Curves/meltCurve_H0Y4Y2_NAPEPLD.pdf")</f>
        <v>Melting_Curves/meltCurve_H0Y4Y2_NAPEPLD.pdf</v>
      </c>
    </row>
    <row r="813" spans="1:28" x14ac:dyDescent="0.25">
      <c r="A813" t="s">
        <v>817</v>
      </c>
      <c r="B813">
        <v>0.99334974765950101</v>
      </c>
      <c r="C813">
        <v>0.83568711436471699</v>
      </c>
      <c r="D813">
        <v>0.52609647371235502</v>
      </c>
      <c r="E813">
        <v>0.37813228639935298</v>
      </c>
      <c r="F813">
        <v>0.31231488973635202</v>
      </c>
      <c r="G813">
        <v>0.22638424292944501</v>
      </c>
      <c r="H813">
        <v>0.20230246449332001</v>
      </c>
      <c r="I813">
        <v>0.21081726339736401</v>
      </c>
      <c r="J813">
        <v>0.21634451197164301</v>
      </c>
      <c r="K813">
        <v>0.164887979276301</v>
      </c>
      <c r="L813">
        <v>822.34946008328302</v>
      </c>
      <c r="M813">
        <v>17.972054874787698</v>
      </c>
      <c r="N813">
        <v>47.141566909605601</v>
      </c>
      <c r="O813">
        <v>45.201883343324297</v>
      </c>
      <c r="P813">
        <v>-7.9021053865832705E-2</v>
      </c>
      <c r="Q813">
        <v>0.20504958061335199</v>
      </c>
      <c r="R813">
        <v>0.98550072001976496</v>
      </c>
      <c r="S813" t="s">
        <v>6674</v>
      </c>
      <c r="T813" t="s">
        <v>11720</v>
      </c>
      <c r="U813" t="s">
        <v>11720</v>
      </c>
      <c r="V813" t="s">
        <v>11720</v>
      </c>
      <c r="W813" t="s">
        <v>12513</v>
      </c>
      <c r="X813">
        <v>20</v>
      </c>
      <c r="Y813" t="s">
        <v>18309</v>
      </c>
      <c r="Z813" t="s">
        <v>24020</v>
      </c>
      <c r="AA813">
        <v>0.37357467442434722</v>
      </c>
      <c r="AB813" t="str">
        <f>HYPERLINK("Melting_Curves/meltCurve_H0Y507_SH3PXD2A.pdf", "Melting_Curves/meltCurve_H0Y507_SH3PXD2A.pdf")</f>
        <v>Melting_Curves/meltCurve_H0Y507_SH3PXD2A.pdf</v>
      </c>
    </row>
    <row r="814" spans="1:28" x14ac:dyDescent="0.25">
      <c r="A814" t="s">
        <v>818</v>
      </c>
      <c r="B814">
        <v>0.99334974765950101</v>
      </c>
      <c r="C814">
        <v>0.88606206707176705</v>
      </c>
      <c r="D814">
        <v>1.03376341283472</v>
      </c>
      <c r="E814">
        <v>1.1032536803095201</v>
      </c>
      <c r="F814">
        <v>1.11430559259836</v>
      </c>
      <c r="G814">
        <v>0.82942663214852597</v>
      </c>
      <c r="H814">
        <v>0.30937382362594201</v>
      </c>
      <c r="I814">
        <v>0.18210272671062</v>
      </c>
      <c r="J814">
        <v>0.215912468158624</v>
      </c>
      <c r="K814">
        <v>0.142294311160615</v>
      </c>
      <c r="L814">
        <v>2733.0699208348501</v>
      </c>
      <c r="M814">
        <v>46.518841661485901</v>
      </c>
      <c r="N814">
        <v>59.301375478369103</v>
      </c>
      <c r="O814">
        <v>58.643647086580401</v>
      </c>
      <c r="P814">
        <v>-0.16359084332823501</v>
      </c>
      <c r="Q814">
        <v>0.17508269720925401</v>
      </c>
      <c r="R814">
        <v>0.97279575822289999</v>
      </c>
      <c r="S814" t="s">
        <v>6675</v>
      </c>
      <c r="T814" t="s">
        <v>11720</v>
      </c>
      <c r="U814" t="s">
        <v>11720</v>
      </c>
      <c r="V814" t="s">
        <v>11720</v>
      </c>
      <c r="W814" t="s">
        <v>12514</v>
      </c>
      <c r="X814">
        <v>4</v>
      </c>
      <c r="Y814" t="s">
        <v>18310</v>
      </c>
      <c r="Z814" t="s">
        <v>24021</v>
      </c>
      <c r="AA814">
        <v>0.69315044184679098</v>
      </c>
      <c r="AB814" t="str">
        <f>HYPERLINK("Melting_Curves/meltCurve_H0Y547_ATP11A.pdf", "Melting_Curves/meltCurve_H0Y547_ATP11A.pdf")</f>
        <v>Melting_Curves/meltCurve_H0Y547_ATP11A.pdf</v>
      </c>
    </row>
    <row r="815" spans="1:28" x14ac:dyDescent="0.25">
      <c r="A815" t="s">
        <v>819</v>
      </c>
      <c r="B815">
        <v>0.99334974765950101</v>
      </c>
      <c r="C815">
        <v>0.86001776397855201</v>
      </c>
      <c r="D815">
        <v>0.98195552626958404</v>
      </c>
      <c r="E815">
        <v>1.10521898290457</v>
      </c>
      <c r="F815">
        <v>0.89018105538313097</v>
      </c>
      <c r="G815">
        <v>0.55668427815036403</v>
      </c>
      <c r="H815">
        <v>0.24824452413169901</v>
      </c>
      <c r="I815">
        <v>0.15817853777548599</v>
      </c>
      <c r="J815">
        <v>0.13125583734540999</v>
      </c>
      <c r="K815">
        <v>0.25326524205434803</v>
      </c>
      <c r="L815">
        <v>1931.25459297411</v>
      </c>
      <c r="M815">
        <v>34.0809625910926</v>
      </c>
      <c r="N815">
        <v>57.399256853651998</v>
      </c>
      <c r="O815">
        <v>56.472635433852503</v>
      </c>
      <c r="P815">
        <v>-0.12426650484332299</v>
      </c>
      <c r="Q815">
        <v>0.176357866639302</v>
      </c>
      <c r="R815">
        <v>0.96786739802528099</v>
      </c>
      <c r="S815" t="s">
        <v>6676</v>
      </c>
      <c r="T815" t="s">
        <v>11720</v>
      </c>
      <c r="U815" t="s">
        <v>11720</v>
      </c>
      <c r="V815" t="s">
        <v>11720</v>
      </c>
      <c r="W815" t="s">
        <v>12515</v>
      </c>
      <c r="X815">
        <v>1</v>
      </c>
      <c r="Y815" t="s">
        <v>18311</v>
      </c>
      <c r="Z815" t="s">
        <v>24022</v>
      </c>
      <c r="AA815">
        <v>0.63828318320582833</v>
      </c>
      <c r="AB815" t="str">
        <f>HYPERLINK("Melting_Curves/meltCurve_H0Y589_PHF8.pdf", "Melting_Curves/meltCurve_H0Y589_PHF8.pdf")</f>
        <v>Melting_Curves/meltCurve_H0Y589_PHF8.pdf</v>
      </c>
    </row>
    <row r="816" spans="1:28" x14ac:dyDescent="0.25">
      <c r="A816" t="s">
        <v>820</v>
      </c>
      <c r="B816">
        <v>0.99334974765950101</v>
      </c>
      <c r="C816">
        <v>0.93620257850593003</v>
      </c>
      <c r="D816">
        <v>0.58982737009918595</v>
      </c>
      <c r="E816">
        <v>0.55394338076711602</v>
      </c>
      <c r="F816">
        <v>0.70139875460739398</v>
      </c>
      <c r="G816">
        <v>0.46293053147658902</v>
      </c>
      <c r="H816">
        <v>0.37177778408892098</v>
      </c>
      <c r="I816">
        <v>0.32868170977122402</v>
      </c>
      <c r="J816">
        <v>0.32865810529158401</v>
      </c>
      <c r="K816">
        <v>0.39771695811343399</v>
      </c>
      <c r="L816">
        <v>462.69800961337103</v>
      </c>
      <c r="M816">
        <v>9.4979396650046706</v>
      </c>
      <c r="N816">
        <v>54.382867906565799</v>
      </c>
      <c r="O816">
        <v>46.702713752451899</v>
      </c>
      <c r="P816">
        <v>-3.4889927213050703E-2</v>
      </c>
      <c r="Q816">
        <v>0.31417116394467598</v>
      </c>
      <c r="R816">
        <v>0.85321720507060195</v>
      </c>
      <c r="S816" t="s">
        <v>6677</v>
      </c>
      <c r="T816" t="s">
        <v>11720</v>
      </c>
      <c r="U816" t="s">
        <v>11720</v>
      </c>
      <c r="V816" t="s">
        <v>11720</v>
      </c>
      <c r="W816" t="s">
        <v>12516</v>
      </c>
      <c r="X816">
        <v>2</v>
      </c>
      <c r="Y816" t="s">
        <v>18312</v>
      </c>
      <c r="Z816" t="s">
        <v>24023</v>
      </c>
      <c r="AA816">
        <v>0.55043956538943417</v>
      </c>
      <c r="AB816" t="str">
        <f>HYPERLINK("Melting_Curves/meltCurve_H0Y599_DOCK4.pdf", "Melting_Curves/meltCurve_H0Y599_DOCK4.pdf")</f>
        <v>Melting_Curves/meltCurve_H0Y599_DOCK4.pdf</v>
      </c>
    </row>
    <row r="817" spans="1:28" x14ac:dyDescent="0.25">
      <c r="A817" t="s">
        <v>821</v>
      </c>
      <c r="B817">
        <v>0.99334974765950101</v>
      </c>
      <c r="C817">
        <v>0.93343818866689499</v>
      </c>
      <c r="D817">
        <v>0.83431622086257395</v>
      </c>
      <c r="E817">
        <v>0.76591143133799899</v>
      </c>
      <c r="F817">
        <v>0.64005200873319701</v>
      </c>
      <c r="G817">
        <v>0.59876370440359905</v>
      </c>
      <c r="H817">
        <v>0.52940490794137496</v>
      </c>
      <c r="I817">
        <v>0.52110158105940896</v>
      </c>
      <c r="J817">
        <v>0.412336151791864</v>
      </c>
      <c r="K817">
        <v>0.30209440843909502</v>
      </c>
      <c r="L817">
        <v>323.53415460061802</v>
      </c>
      <c r="M817">
        <v>5.3037002117871896</v>
      </c>
      <c r="N817">
        <v>61.664618942957702</v>
      </c>
      <c r="O817">
        <v>53.947544567138799</v>
      </c>
      <c r="P817">
        <v>-2.4016343069050702E-2</v>
      </c>
      <c r="Q817">
        <v>2.7715147600229299E-2</v>
      </c>
      <c r="R817">
        <v>0.96781715611813401</v>
      </c>
      <c r="S817" t="s">
        <v>6678</v>
      </c>
      <c r="T817" t="s">
        <v>11720</v>
      </c>
      <c r="U817" t="s">
        <v>11720</v>
      </c>
      <c r="V817" t="s">
        <v>11720</v>
      </c>
      <c r="W817" t="s">
        <v>12517</v>
      </c>
      <c r="X817">
        <v>3</v>
      </c>
      <c r="Y817" t="s">
        <v>18313</v>
      </c>
      <c r="Z817" t="s">
        <v>24024</v>
      </c>
      <c r="AA817">
        <v>0.65213590224899309</v>
      </c>
      <c r="AB817" t="str">
        <f>HYPERLINK("Melting_Curves/meltCurve_H0Y5A1_PTGDS.pdf", "Melting_Curves/meltCurve_H0Y5A1_PTGDS.pdf")</f>
        <v>Melting_Curves/meltCurve_H0Y5A1_PTGDS.pdf</v>
      </c>
    </row>
    <row r="818" spans="1:28" x14ac:dyDescent="0.25">
      <c r="A818" t="s">
        <v>822</v>
      </c>
      <c r="B818">
        <v>0.99334974765950101</v>
      </c>
      <c r="C818">
        <v>0.92732047520285399</v>
      </c>
      <c r="D818">
        <v>0.886303911416367</v>
      </c>
      <c r="E818">
        <v>0.72338910055896999</v>
      </c>
      <c r="F818">
        <v>0.43489106461927401</v>
      </c>
      <c r="G818">
        <v>0.31733914515213002</v>
      </c>
      <c r="H818">
        <v>0.21922208180679301</v>
      </c>
      <c r="I818">
        <v>0.231324781865933</v>
      </c>
      <c r="J818">
        <v>0.134277183411497</v>
      </c>
      <c r="K818">
        <v>0.11207427502822399</v>
      </c>
      <c r="L818">
        <v>757.48093943943104</v>
      </c>
      <c r="M818">
        <v>14.612371370640901</v>
      </c>
      <c r="N818">
        <v>52.867699147191402</v>
      </c>
      <c r="O818">
        <v>50.8964874557713</v>
      </c>
      <c r="P818">
        <v>-6.2895626771697105E-2</v>
      </c>
      <c r="Q818">
        <v>0.123808676523827</v>
      </c>
      <c r="R818">
        <v>0.98972713342032104</v>
      </c>
      <c r="S818" t="s">
        <v>6679</v>
      </c>
      <c r="T818" t="s">
        <v>11720</v>
      </c>
      <c r="U818" t="s">
        <v>11720</v>
      </c>
      <c r="V818" t="s">
        <v>11720</v>
      </c>
      <c r="W818" t="s">
        <v>12518</v>
      </c>
      <c r="X818">
        <v>15</v>
      </c>
      <c r="Y818" t="s">
        <v>18314</v>
      </c>
      <c r="Z818" t="s">
        <v>24025</v>
      </c>
      <c r="AA818">
        <v>0.49006966032789451</v>
      </c>
      <c r="AB818" t="str">
        <f>HYPERLINK("Melting_Curves/meltCurve_H0Y5B0_EPB41L2.pdf", "Melting_Curves/meltCurve_H0Y5B0_EPB41L2.pdf")</f>
        <v>Melting_Curves/meltCurve_H0Y5B0_EPB41L2.pdf</v>
      </c>
    </row>
    <row r="819" spans="1:28" x14ac:dyDescent="0.25">
      <c r="A819" t="s">
        <v>823</v>
      </c>
      <c r="B819">
        <v>0.99334974765950101</v>
      </c>
      <c r="C819">
        <v>0.92162781071397304</v>
      </c>
      <c r="D819">
        <v>0.72741987999244595</v>
      </c>
      <c r="E819">
        <v>0.60118607194178297</v>
      </c>
      <c r="F819">
        <v>0.65361312835968499</v>
      </c>
      <c r="G819">
        <v>0.454204736753685</v>
      </c>
      <c r="H819">
        <v>0.245465863741641</v>
      </c>
      <c r="I819">
        <v>0.29288327902023698</v>
      </c>
      <c r="J819">
        <v>0.18864327252801999</v>
      </c>
      <c r="K819">
        <v>0.167593404454912</v>
      </c>
      <c r="L819">
        <v>405.12761846684401</v>
      </c>
      <c r="M819">
        <v>7.4060823936920297</v>
      </c>
      <c r="N819">
        <v>54.702013377837901</v>
      </c>
      <c r="O819">
        <v>51.138578472361097</v>
      </c>
      <c r="P819">
        <v>-3.6260485916526003E-2</v>
      </c>
      <c r="Q819">
        <v>0</v>
      </c>
      <c r="R819">
        <v>0.96202082266806699</v>
      </c>
      <c r="S819" t="s">
        <v>6680</v>
      </c>
      <c r="T819" t="s">
        <v>11720</v>
      </c>
      <c r="U819" t="s">
        <v>11720</v>
      </c>
      <c r="V819" t="s">
        <v>11720</v>
      </c>
      <c r="W819" t="s">
        <v>12519</v>
      </c>
      <c r="X819">
        <v>6</v>
      </c>
      <c r="Y819" t="s">
        <v>18100</v>
      </c>
      <c r="Z819" t="s">
        <v>24026</v>
      </c>
      <c r="AA819">
        <v>0.51963637534274754</v>
      </c>
      <c r="AB819" t="str">
        <f>HYPERLINK("Melting_Curves/meltCurve_H0Y5C2_ATE1.pdf", "Melting_Curves/meltCurve_H0Y5C2_ATE1.pdf")</f>
        <v>Melting_Curves/meltCurve_H0Y5C2_ATE1.pdf</v>
      </c>
    </row>
    <row r="820" spans="1:28" x14ac:dyDescent="0.25">
      <c r="A820" t="s">
        <v>824</v>
      </c>
      <c r="B820">
        <v>0.99334974765950101</v>
      </c>
      <c r="C820">
        <v>0.976269311257143</v>
      </c>
      <c r="D820">
        <v>0.94032333918822297</v>
      </c>
      <c r="E820">
        <v>0.58745619808332095</v>
      </c>
      <c r="F820">
        <v>0.21396321279913</v>
      </c>
      <c r="G820">
        <v>9.2251768990271099E-2</v>
      </c>
      <c r="H820">
        <v>7.5378092495034604E-2</v>
      </c>
      <c r="I820">
        <v>6.4773772694832907E-2</v>
      </c>
      <c r="J820">
        <v>5.6323524961406697E-2</v>
      </c>
      <c r="K820">
        <v>5.6365139225945E-2</v>
      </c>
      <c r="L820">
        <v>1557.6316366661399</v>
      </c>
      <c r="M820">
        <v>30.945813703632499</v>
      </c>
      <c r="N820">
        <v>50.549107482437698</v>
      </c>
      <c r="O820">
        <v>50.125397260923499</v>
      </c>
      <c r="P820">
        <v>-0.14482795028432799</v>
      </c>
      <c r="Q820">
        <v>6.1648421648398899E-2</v>
      </c>
      <c r="R820">
        <v>0.99941510267835598</v>
      </c>
      <c r="S820" t="s">
        <v>6681</v>
      </c>
      <c r="T820" t="s">
        <v>11720</v>
      </c>
      <c r="U820" t="s">
        <v>11720</v>
      </c>
      <c r="V820" t="s">
        <v>11720</v>
      </c>
      <c r="W820" t="s">
        <v>12520</v>
      </c>
      <c r="X820">
        <v>2</v>
      </c>
      <c r="Y820" t="s">
        <v>18315</v>
      </c>
      <c r="Z820" t="s">
        <v>24027</v>
      </c>
      <c r="AA820">
        <v>0.39036577198925659</v>
      </c>
      <c r="AB820" t="str">
        <f>HYPERLINK("Melting_Curves/meltCurve_H0Y5Y0_PREP.pdf", "Melting_Curves/meltCurve_H0Y5Y0_PREP.pdf")</f>
        <v>Melting_Curves/meltCurve_H0Y5Y0_PREP.pdf</v>
      </c>
    </row>
    <row r="821" spans="1:28" x14ac:dyDescent="0.25">
      <c r="A821" t="s">
        <v>825</v>
      </c>
      <c r="B821">
        <v>0.99334974765950101</v>
      </c>
      <c r="C821">
        <v>0.95934136182812901</v>
      </c>
      <c r="D821">
        <v>0.81588091540069196</v>
      </c>
      <c r="E821">
        <v>0.70821815547654099</v>
      </c>
      <c r="F821">
        <v>0.474384287981791</v>
      </c>
      <c r="G821">
        <v>0.37304400863561499</v>
      </c>
      <c r="H821">
        <v>0.225127144172245</v>
      </c>
      <c r="I821">
        <v>0.193020493736281</v>
      </c>
      <c r="J821">
        <v>0.148715992752087</v>
      </c>
      <c r="K821">
        <v>0.120946821286777</v>
      </c>
      <c r="L821">
        <v>605.63193988892101</v>
      </c>
      <c r="M821">
        <v>11.5242047754894</v>
      </c>
      <c r="N821">
        <v>53.349694848385603</v>
      </c>
      <c r="O821">
        <v>51.045330263677698</v>
      </c>
      <c r="P821">
        <v>-5.1994159904989401E-2</v>
      </c>
      <c r="Q821">
        <v>7.9047647768158896E-2</v>
      </c>
      <c r="R821">
        <v>0.99404520580286804</v>
      </c>
      <c r="S821" t="s">
        <v>6682</v>
      </c>
      <c r="T821" t="s">
        <v>11720</v>
      </c>
      <c r="U821" t="s">
        <v>11720</v>
      </c>
      <c r="V821" t="s">
        <v>11720</v>
      </c>
      <c r="W821" t="s">
        <v>12521</v>
      </c>
      <c r="X821">
        <v>4</v>
      </c>
      <c r="Y821" t="s">
        <v>18316</v>
      </c>
      <c r="Z821" t="s">
        <v>24028</v>
      </c>
      <c r="AA821">
        <v>0.49283895266304228</v>
      </c>
      <c r="AB821" t="str">
        <f>HYPERLINK("Melting_Curves/meltCurve_H0Y614_UFM1.pdf", "Melting_Curves/meltCurve_H0Y614_UFM1.pdf")</f>
        <v>Melting_Curves/meltCurve_H0Y614_UFM1.pdf</v>
      </c>
    </row>
    <row r="822" spans="1:28" x14ac:dyDescent="0.25">
      <c r="A822" t="s">
        <v>826</v>
      </c>
      <c r="B822">
        <v>0.99334974765950101</v>
      </c>
      <c r="C822">
        <v>1.0470962476651899</v>
      </c>
      <c r="D822">
        <v>0.89848977669355401</v>
      </c>
      <c r="E822">
        <v>0.75299318513551206</v>
      </c>
      <c r="F822">
        <v>0.587927318068726</v>
      </c>
      <c r="G822">
        <v>0.240935296223521</v>
      </c>
      <c r="H822">
        <v>0.23843466105445801</v>
      </c>
      <c r="I822">
        <v>0.252928685776387</v>
      </c>
      <c r="J822">
        <v>0.30250504975904402</v>
      </c>
      <c r="K822">
        <v>0.196176491590102</v>
      </c>
      <c r="L822">
        <v>1150.4055763454701</v>
      </c>
      <c r="M822">
        <v>22.152668311561001</v>
      </c>
      <c r="N822">
        <v>53.376253474111401</v>
      </c>
      <c r="O822">
        <v>51.513169510791201</v>
      </c>
      <c r="P822">
        <v>-8.3260405284926203E-2</v>
      </c>
      <c r="Q822">
        <v>0.225571571323325</v>
      </c>
      <c r="R822">
        <v>0.97830221631591197</v>
      </c>
      <c r="S822" t="s">
        <v>6683</v>
      </c>
      <c r="T822" t="s">
        <v>11720</v>
      </c>
      <c r="U822" t="s">
        <v>11720</v>
      </c>
      <c r="V822" t="s">
        <v>11720</v>
      </c>
      <c r="W822" t="s">
        <v>12522</v>
      </c>
      <c r="X822">
        <v>17</v>
      </c>
      <c r="Y822" t="s">
        <v>18317</v>
      </c>
      <c r="Z822" t="s">
        <v>24029</v>
      </c>
      <c r="AA822">
        <v>0.5424446089639291</v>
      </c>
      <c r="AB822" t="str">
        <f>HYPERLINK("Melting_Curves/meltCurve_H0Y6A0_ARFGAP3.pdf", "Melting_Curves/meltCurve_H0Y6A0_ARFGAP3.pdf")</f>
        <v>Melting_Curves/meltCurve_H0Y6A0_ARFGAP3.pdf</v>
      </c>
    </row>
    <row r="823" spans="1:28" x14ac:dyDescent="0.25">
      <c r="A823" t="s">
        <v>827</v>
      </c>
      <c r="B823">
        <v>0.99334974765950101</v>
      </c>
      <c r="C823">
        <v>1.04179745865735</v>
      </c>
      <c r="D823">
        <v>0.87284642668064605</v>
      </c>
      <c r="E823">
        <v>0.78092254273452</v>
      </c>
      <c r="F823">
        <v>0.70995174732321997</v>
      </c>
      <c r="G823">
        <v>0.410422156273548</v>
      </c>
      <c r="H823">
        <v>0.31531321355990199</v>
      </c>
      <c r="I823">
        <v>0.22766597423648599</v>
      </c>
      <c r="J823">
        <v>0.14375814861055999</v>
      </c>
      <c r="K823">
        <v>7.3842648804979594E-2</v>
      </c>
      <c r="L823">
        <v>625.84586662249103</v>
      </c>
      <c r="M823">
        <v>11.136644433556601</v>
      </c>
      <c r="N823">
        <v>56.196991531885203</v>
      </c>
      <c r="O823">
        <v>54.476301855921101</v>
      </c>
      <c r="P823">
        <v>-5.1124183059889097E-2</v>
      </c>
      <c r="Q823">
        <v>0</v>
      </c>
      <c r="R823">
        <v>0.98778593759278599</v>
      </c>
      <c r="S823" t="s">
        <v>6684</v>
      </c>
      <c r="T823" t="s">
        <v>11720</v>
      </c>
      <c r="U823" t="s">
        <v>11720</v>
      </c>
      <c r="V823" t="s">
        <v>11720</v>
      </c>
      <c r="W823" t="s">
        <v>12523</v>
      </c>
      <c r="X823">
        <v>10</v>
      </c>
      <c r="Y823" t="s">
        <v>18318</v>
      </c>
      <c r="Z823" t="s">
        <v>24030</v>
      </c>
      <c r="AA823">
        <v>0.55996930933581168</v>
      </c>
      <c r="AB823" t="str">
        <f>HYPERLINK("Melting_Curves/meltCurve_H0Y6C3_PYCRL.pdf", "Melting_Curves/meltCurve_H0Y6C3_PYCRL.pdf")</f>
        <v>Melting_Curves/meltCurve_H0Y6C3_PYCRL.pdf</v>
      </c>
    </row>
    <row r="824" spans="1:28" x14ac:dyDescent="0.25">
      <c r="A824" t="s">
        <v>828</v>
      </c>
      <c r="B824">
        <v>0.99334974765950101</v>
      </c>
      <c r="C824">
        <v>1.00474871610328</v>
      </c>
      <c r="D824">
        <v>0.94816579213928898</v>
      </c>
      <c r="E824">
        <v>0.85546458753989196</v>
      </c>
      <c r="F824">
        <v>0.98095282872203005</v>
      </c>
      <c r="G824">
        <v>0.84718143474320995</v>
      </c>
      <c r="H824">
        <v>0.640855728067662</v>
      </c>
      <c r="I824">
        <v>0.66244822346033905</v>
      </c>
      <c r="J824">
        <v>0.370282576110817</v>
      </c>
      <c r="K824">
        <v>0.152341104877288</v>
      </c>
      <c r="L824">
        <v>947.64602638216797</v>
      </c>
      <c r="M824">
        <v>14.682433749075701</v>
      </c>
      <c r="N824">
        <v>64.542843897469993</v>
      </c>
      <c r="O824">
        <v>63.3810080701369</v>
      </c>
      <c r="P824">
        <v>-5.7919742826069903E-2</v>
      </c>
      <c r="Q824">
        <v>0</v>
      </c>
      <c r="R824">
        <v>0.93459132346260598</v>
      </c>
      <c r="S824" t="s">
        <v>6685</v>
      </c>
      <c r="T824" t="s">
        <v>11720</v>
      </c>
      <c r="U824" t="s">
        <v>11720</v>
      </c>
      <c r="V824" t="s">
        <v>11720</v>
      </c>
      <c r="W824" t="s">
        <v>12524</v>
      </c>
      <c r="X824">
        <v>2</v>
      </c>
      <c r="Y824" t="s">
        <v>18319</v>
      </c>
      <c r="Z824" t="s">
        <v>24031</v>
      </c>
      <c r="AA824">
        <v>0.79565535287808797</v>
      </c>
      <c r="AB824" t="str">
        <f>HYPERLINK("Melting_Curves/meltCurve_H0Y6J0_NME4.pdf", "Melting_Curves/meltCurve_H0Y6J0_NME4.pdf")</f>
        <v>Melting_Curves/meltCurve_H0Y6J0_NME4.pdf</v>
      </c>
    </row>
    <row r="825" spans="1:28" x14ac:dyDescent="0.25">
      <c r="A825" t="s">
        <v>829</v>
      </c>
      <c r="B825">
        <v>0.99334974765950101</v>
      </c>
      <c r="C825">
        <v>1.0440030472249</v>
      </c>
      <c r="D825">
        <v>0.76667800473269998</v>
      </c>
      <c r="E825">
        <v>0.79977798496595198</v>
      </c>
      <c r="F825">
        <v>0.48572971083529598</v>
      </c>
      <c r="G825">
        <v>0.31875327934240899</v>
      </c>
      <c r="H825">
        <v>0.302133393293464</v>
      </c>
      <c r="I825">
        <v>0.27840201366488598</v>
      </c>
      <c r="J825">
        <v>0.35287329071927898</v>
      </c>
      <c r="K825">
        <v>0.38020177536822902</v>
      </c>
      <c r="L825">
        <v>988.467932333406</v>
      </c>
      <c r="M825">
        <v>19.527562618789499</v>
      </c>
      <c r="N825">
        <v>53.218187915447501</v>
      </c>
      <c r="O825">
        <v>50.097234345717098</v>
      </c>
      <c r="P825">
        <v>-6.7500945949080002E-2</v>
      </c>
      <c r="Q825">
        <v>0.307340132472533</v>
      </c>
      <c r="R825">
        <v>0.93807958076459397</v>
      </c>
      <c r="S825" t="s">
        <v>6686</v>
      </c>
      <c r="T825" t="s">
        <v>11720</v>
      </c>
      <c r="U825" t="s">
        <v>11720</v>
      </c>
      <c r="V825" t="s">
        <v>11720</v>
      </c>
      <c r="W825" t="s">
        <v>12525</v>
      </c>
      <c r="X825">
        <v>2</v>
      </c>
      <c r="Y825" t="s">
        <v>18320</v>
      </c>
      <c r="Z825" t="s">
        <v>24032</v>
      </c>
      <c r="AA825">
        <v>0.56259169508116968</v>
      </c>
      <c r="AB825" t="str">
        <f>HYPERLINK("Melting_Curves/meltCurve_H0Y6K5_SP3.pdf", "Melting_Curves/meltCurve_H0Y6K5_SP3.pdf")</f>
        <v>Melting_Curves/meltCurve_H0Y6K5_SP3.pdf</v>
      </c>
    </row>
    <row r="826" spans="1:28" x14ac:dyDescent="0.25">
      <c r="A826" t="s">
        <v>830</v>
      </c>
      <c r="B826">
        <v>0.99334974765950101</v>
      </c>
      <c r="C826">
        <v>1.01609059739727</v>
      </c>
      <c r="D826">
        <v>0.91975474220087905</v>
      </c>
      <c r="E826">
        <v>0.87160777245107102</v>
      </c>
      <c r="F826">
        <v>1.1930302197438301</v>
      </c>
      <c r="G826">
        <v>0.99010296317715996</v>
      </c>
      <c r="H826">
        <v>1.2589551849920799</v>
      </c>
      <c r="I826">
        <v>1.61217865218768</v>
      </c>
      <c r="J826">
        <v>1.6644241657785199</v>
      </c>
      <c r="K826">
        <v>1.4671231575002801</v>
      </c>
      <c r="L826">
        <v>15000</v>
      </c>
      <c r="M826">
        <v>245.97334452342099</v>
      </c>
      <c r="O826">
        <v>60.978186282002099</v>
      </c>
      <c r="P826">
        <v>0.50422405106578705</v>
      </c>
      <c r="Q826">
        <v>1.5</v>
      </c>
      <c r="R826">
        <v>0.86801374569642398</v>
      </c>
      <c r="S826" t="s">
        <v>6687</v>
      </c>
      <c r="T826" t="s">
        <v>11720</v>
      </c>
      <c r="U826" t="s">
        <v>11720</v>
      </c>
      <c r="V826" t="s">
        <v>11720</v>
      </c>
      <c r="W826" t="s">
        <v>12526</v>
      </c>
      <c r="X826">
        <v>16</v>
      </c>
      <c r="Y826" t="s">
        <v>18321</v>
      </c>
      <c r="Z826" t="s">
        <v>24033</v>
      </c>
      <c r="AA826">
        <v>1.150241096495886</v>
      </c>
      <c r="AB826" t="str">
        <f>HYPERLINK("Melting_Curves/meltCurve_H0Y7A7_CALM2.pdf", "Melting_Curves/meltCurve_H0Y7A7_CALM2.pdf")</f>
        <v>Melting_Curves/meltCurve_H0Y7A7_CALM2.pdf</v>
      </c>
    </row>
    <row r="827" spans="1:28" x14ac:dyDescent="0.25">
      <c r="A827" t="s">
        <v>831</v>
      </c>
      <c r="B827">
        <v>0.99334974765950101</v>
      </c>
      <c r="C827">
        <v>1.03666599714313</v>
      </c>
      <c r="D827">
        <v>0.66360859619767898</v>
      </c>
      <c r="E827">
        <v>0.654640045522489</v>
      </c>
      <c r="F827">
        <v>0.63655682337719699</v>
      </c>
      <c r="G827">
        <v>0.37575232881596399</v>
      </c>
      <c r="H827">
        <v>0.212959282216029</v>
      </c>
      <c r="I827">
        <v>0.32650746581300799</v>
      </c>
      <c r="J827">
        <v>0.40329103171131397</v>
      </c>
      <c r="K827">
        <v>0.25320353452588701</v>
      </c>
      <c r="L827">
        <v>598.994211452831</v>
      </c>
      <c r="M827">
        <v>11.8940849402822</v>
      </c>
      <c r="N827">
        <v>53.648053731380301</v>
      </c>
      <c r="O827">
        <v>49.000406485127598</v>
      </c>
      <c r="P827">
        <v>-4.49921329030364E-2</v>
      </c>
      <c r="Q827">
        <v>0.25876335669795197</v>
      </c>
      <c r="R827">
        <v>0.89272231440651995</v>
      </c>
      <c r="S827" t="s">
        <v>6688</v>
      </c>
      <c r="T827" t="s">
        <v>11720</v>
      </c>
      <c r="U827" t="s">
        <v>11720</v>
      </c>
      <c r="V827" t="s">
        <v>11720</v>
      </c>
      <c r="W827" t="s">
        <v>12527</v>
      </c>
      <c r="X827">
        <v>1</v>
      </c>
      <c r="Y827" t="s">
        <v>18322</v>
      </c>
      <c r="Z827" t="s">
        <v>24034</v>
      </c>
      <c r="AA827">
        <v>0.5402115556924072</v>
      </c>
      <c r="AB827" t="str">
        <f>HYPERLINK("Melting_Curves/meltCurve_H0Y7U4_THOC2.pdf", "Melting_Curves/meltCurve_H0Y7U4_THOC2.pdf")</f>
        <v>Melting_Curves/meltCurve_H0Y7U4_THOC2.pdf</v>
      </c>
    </row>
    <row r="828" spans="1:28" x14ac:dyDescent="0.25">
      <c r="A828" t="s">
        <v>832</v>
      </c>
      <c r="B828">
        <v>0.99334974765950101</v>
      </c>
      <c r="C828">
        <v>0.83154188007286201</v>
      </c>
      <c r="D828">
        <v>1.1174955363883201</v>
      </c>
      <c r="E828">
        <v>0.87429462106991496</v>
      </c>
      <c r="F828">
        <v>0.53951178410671397</v>
      </c>
      <c r="G828">
        <v>0.21240771589697999</v>
      </c>
      <c r="H828">
        <v>8.7169780708530695E-2</v>
      </c>
      <c r="I828">
        <v>6.6533346962667106E-2</v>
      </c>
      <c r="J828">
        <v>5.9850860293888301E-2</v>
      </c>
      <c r="K828">
        <v>3.8720680046937898E-2</v>
      </c>
      <c r="L828">
        <v>1490.5029271737501</v>
      </c>
      <c r="M828">
        <v>27.9879461770565</v>
      </c>
      <c r="N828">
        <v>53.486630457814897</v>
      </c>
      <c r="O828">
        <v>52.985526064092703</v>
      </c>
      <c r="P828">
        <v>-0.12452417435320701</v>
      </c>
      <c r="Q828">
        <v>5.7033825922716601E-2</v>
      </c>
      <c r="R828">
        <v>0.97316817190361005</v>
      </c>
      <c r="S828" t="s">
        <v>6689</v>
      </c>
      <c r="T828" t="s">
        <v>11720</v>
      </c>
      <c r="U828" t="s">
        <v>11720</v>
      </c>
      <c r="V828" t="s">
        <v>11720</v>
      </c>
      <c r="W828" t="s">
        <v>12528</v>
      </c>
      <c r="X828">
        <v>2</v>
      </c>
      <c r="Y828" t="s">
        <v>18323</v>
      </c>
      <c r="Z828" t="s">
        <v>24035</v>
      </c>
      <c r="AA828">
        <v>0.48069395435465118</v>
      </c>
      <c r="AB828" t="str">
        <f>HYPERLINK("Melting_Curves/meltCurve_H0Y7X5_PLXNB2.pdf", "Melting_Curves/meltCurve_H0Y7X5_PLXNB2.pdf")</f>
        <v>Melting_Curves/meltCurve_H0Y7X5_PLXNB2.pdf</v>
      </c>
    </row>
    <row r="829" spans="1:28" x14ac:dyDescent="0.25">
      <c r="A829" t="s">
        <v>833</v>
      </c>
      <c r="B829">
        <v>0.99334974765950101</v>
      </c>
      <c r="C829">
        <v>0.87419202822742104</v>
      </c>
      <c r="D829">
        <v>0.61711070941430202</v>
      </c>
      <c r="E829">
        <v>0.38220263743857402</v>
      </c>
      <c r="F829">
        <v>0.30918302581162299</v>
      </c>
      <c r="G829">
        <v>0.23116768689390299</v>
      </c>
      <c r="H829">
        <v>0.20249032958035901</v>
      </c>
      <c r="I829">
        <v>0.213979510152743</v>
      </c>
      <c r="J829">
        <v>0.20205693627312801</v>
      </c>
      <c r="K829">
        <v>0.120657733089523</v>
      </c>
      <c r="L829">
        <v>800.04872597875601</v>
      </c>
      <c r="M829">
        <v>17.1145032566791</v>
      </c>
      <c r="N829">
        <v>48.033303602265804</v>
      </c>
      <c r="O829">
        <v>46.122607800629098</v>
      </c>
      <c r="P829">
        <v>-7.5716226164360301E-2</v>
      </c>
      <c r="Q829">
        <v>0.18384565372971501</v>
      </c>
      <c r="R829">
        <v>0.98973985530259301</v>
      </c>
      <c r="S829" t="s">
        <v>6690</v>
      </c>
      <c r="T829" t="s">
        <v>11720</v>
      </c>
      <c r="U829" t="s">
        <v>11720</v>
      </c>
      <c r="V829" t="s">
        <v>11720</v>
      </c>
      <c r="W829" t="s">
        <v>12529</v>
      </c>
      <c r="X829">
        <v>4</v>
      </c>
      <c r="Y829" t="s">
        <v>18324</v>
      </c>
      <c r="Z829" t="s">
        <v>24036</v>
      </c>
      <c r="AA829">
        <v>0.38442806757877418</v>
      </c>
      <c r="AB829" t="str">
        <f>HYPERLINK("Melting_Curves/meltCurve_H0Y860_STIM2.pdf", "Melting_Curves/meltCurve_H0Y860_STIM2.pdf")</f>
        <v>Melting_Curves/meltCurve_H0Y860_STIM2.pdf</v>
      </c>
    </row>
    <row r="830" spans="1:28" x14ac:dyDescent="0.25">
      <c r="A830" t="s">
        <v>834</v>
      </c>
      <c r="B830">
        <v>0.99334974765950101</v>
      </c>
      <c r="C830">
        <v>0.96826781427500497</v>
      </c>
      <c r="D830">
        <v>0.89033321885829197</v>
      </c>
      <c r="E830">
        <v>0.80146455993478705</v>
      </c>
      <c r="F830">
        <v>0.67804218180120202</v>
      </c>
      <c r="G830">
        <v>0.56346915750873405</v>
      </c>
      <c r="H830">
        <v>0.43877572436381401</v>
      </c>
      <c r="I830">
        <v>0.33792960090325902</v>
      </c>
      <c r="J830">
        <v>0.25615848870861702</v>
      </c>
      <c r="K830">
        <v>0.156779406822807</v>
      </c>
      <c r="L830">
        <v>490.80135082824</v>
      </c>
      <c r="M830">
        <v>8.4023330090172195</v>
      </c>
      <c r="N830">
        <v>58.412512780655</v>
      </c>
      <c r="O830">
        <v>55.385030295355797</v>
      </c>
      <c r="P830">
        <v>-3.7962605250174003E-2</v>
      </c>
      <c r="Q830">
        <v>0</v>
      </c>
      <c r="R830">
        <v>0.99508695157623395</v>
      </c>
      <c r="S830" t="s">
        <v>6691</v>
      </c>
      <c r="T830" t="s">
        <v>11720</v>
      </c>
      <c r="U830" t="s">
        <v>11720</v>
      </c>
      <c r="V830" t="s">
        <v>11720</v>
      </c>
      <c r="W830" t="s">
        <v>12530</v>
      </c>
      <c r="X830">
        <v>2</v>
      </c>
      <c r="Y830" t="s">
        <v>18325</v>
      </c>
      <c r="Z830" t="s">
        <v>24037</v>
      </c>
      <c r="AA830">
        <v>0.61558820393770519</v>
      </c>
      <c r="AB830" t="str">
        <f>HYPERLINK("Melting_Curves/meltCurve_H0Y870_TMEM222.pdf", "Melting_Curves/meltCurve_H0Y870_TMEM222.pdf")</f>
        <v>Melting_Curves/meltCurve_H0Y870_TMEM222.pdf</v>
      </c>
    </row>
    <row r="831" spans="1:28" x14ac:dyDescent="0.25">
      <c r="A831" t="s">
        <v>835</v>
      </c>
      <c r="B831">
        <v>0.99334974765950101</v>
      </c>
      <c r="C831">
        <v>1.03354220378133</v>
      </c>
      <c r="D831">
        <v>0.954682969690133</v>
      </c>
      <c r="E831">
        <v>0.71796201123943004</v>
      </c>
      <c r="F831">
        <v>0.23949417670216899</v>
      </c>
      <c r="G831">
        <v>0.14905812376920499</v>
      </c>
      <c r="H831">
        <v>0.12891879137211201</v>
      </c>
      <c r="I831">
        <v>0.11338881725677701</v>
      </c>
      <c r="J831">
        <v>0.131953886829248</v>
      </c>
      <c r="K831">
        <v>0.13062142230151899</v>
      </c>
      <c r="L831">
        <v>2275.8157822704402</v>
      </c>
      <c r="M831">
        <v>44.801612491988699</v>
      </c>
      <c r="N831">
        <v>51.136601387617198</v>
      </c>
      <c r="O831">
        <v>50.696710150980898</v>
      </c>
      <c r="P831">
        <v>-0.19254672401467801</v>
      </c>
      <c r="Q831">
        <v>0.12847089882710699</v>
      </c>
      <c r="R831">
        <v>0.99797398075277</v>
      </c>
      <c r="S831" t="s">
        <v>6692</v>
      </c>
      <c r="T831" t="s">
        <v>11720</v>
      </c>
      <c r="U831" t="s">
        <v>11720</v>
      </c>
      <c r="V831" t="s">
        <v>11720</v>
      </c>
      <c r="W831" t="s">
        <v>12531</v>
      </c>
      <c r="X831">
        <v>6</v>
      </c>
      <c r="Y831" t="s">
        <v>18326</v>
      </c>
      <c r="Z831" t="s">
        <v>24038</v>
      </c>
      <c r="AA831">
        <v>0.44458805005518742</v>
      </c>
      <c r="AB831" t="str">
        <f>HYPERLINK("Melting_Curves/meltCurve_H0Y8E6_MCM2.pdf", "Melting_Curves/meltCurve_H0Y8E6_MCM2.pdf")</f>
        <v>Melting_Curves/meltCurve_H0Y8E6_MCM2.pdf</v>
      </c>
    </row>
    <row r="832" spans="1:28" x14ac:dyDescent="0.25">
      <c r="A832" t="s">
        <v>836</v>
      </c>
      <c r="B832">
        <v>0.99334974765950101</v>
      </c>
      <c r="C832">
        <v>0.95192494338393396</v>
      </c>
      <c r="D832">
        <v>1.0434387049257901</v>
      </c>
      <c r="E832">
        <v>0.85591537507626703</v>
      </c>
      <c r="F832">
        <v>1.0590400658530199</v>
      </c>
      <c r="G832">
        <v>0.89713592099903305</v>
      </c>
      <c r="H832">
        <v>0.549609007829162</v>
      </c>
      <c r="I832">
        <v>0.38426585415379</v>
      </c>
      <c r="J832">
        <v>0.30338744461594802</v>
      </c>
      <c r="K832">
        <v>0.191280012637046</v>
      </c>
      <c r="L832">
        <v>1643.0400242804899</v>
      </c>
      <c r="M832">
        <v>27.065967344760601</v>
      </c>
      <c r="N832">
        <v>61.9382507853962</v>
      </c>
      <c r="O832">
        <v>60.376560622641797</v>
      </c>
      <c r="P832">
        <v>-8.8727295848670201E-2</v>
      </c>
      <c r="Q832">
        <v>0.208305496175547</v>
      </c>
      <c r="R832">
        <v>0.96571176191172203</v>
      </c>
      <c r="S832" t="s">
        <v>6693</v>
      </c>
      <c r="T832" t="s">
        <v>11720</v>
      </c>
      <c r="U832" t="s">
        <v>11720</v>
      </c>
      <c r="V832" t="s">
        <v>11720</v>
      </c>
      <c r="W832" t="s">
        <v>12532</v>
      </c>
      <c r="X832">
        <v>1</v>
      </c>
      <c r="Y832" t="s">
        <v>18327</v>
      </c>
      <c r="Z832" t="s">
        <v>24039</v>
      </c>
      <c r="AA832">
        <v>0.75969750592457674</v>
      </c>
      <c r="AB832" t="str">
        <f>HYPERLINK("Melting_Curves/meltCurve_H0Y8H1_CHIC2.pdf", "Melting_Curves/meltCurve_H0Y8H1_CHIC2.pdf")</f>
        <v>Melting_Curves/meltCurve_H0Y8H1_CHIC2.pdf</v>
      </c>
    </row>
    <row r="833" spans="1:28" x14ac:dyDescent="0.25">
      <c r="A833" t="s">
        <v>837</v>
      </c>
      <c r="B833">
        <v>0.99334974765950101</v>
      </c>
      <c r="C833">
        <v>0.93330409197221798</v>
      </c>
      <c r="D833">
        <v>0.70048407526217804</v>
      </c>
      <c r="E833">
        <v>0.23473778957381899</v>
      </c>
      <c r="F833">
        <v>0.17652824464115399</v>
      </c>
      <c r="G833">
        <v>7.3467029256685107E-2</v>
      </c>
      <c r="H833">
        <v>6.3217523230852696E-2</v>
      </c>
      <c r="I833">
        <v>3.9484293521003903E-2</v>
      </c>
      <c r="J833">
        <v>4.4861047630201802E-2</v>
      </c>
      <c r="K833">
        <v>2.9212031293317901E-2</v>
      </c>
      <c r="L833">
        <v>1118.9307066635299</v>
      </c>
      <c r="M833">
        <v>23.585547435313799</v>
      </c>
      <c r="N833">
        <v>47.6536035517587</v>
      </c>
      <c r="O833">
        <v>47.104294329497101</v>
      </c>
      <c r="P833">
        <v>-0.118938425499954</v>
      </c>
      <c r="Q833">
        <v>4.9856656292980597E-2</v>
      </c>
      <c r="R833">
        <v>0.99649398309472803</v>
      </c>
      <c r="S833" t="s">
        <v>6694</v>
      </c>
      <c r="T833" t="s">
        <v>11720</v>
      </c>
      <c r="U833" t="s">
        <v>11720</v>
      </c>
      <c r="V833" t="s">
        <v>11720</v>
      </c>
      <c r="W833" t="s">
        <v>12533</v>
      </c>
      <c r="X833">
        <v>4</v>
      </c>
      <c r="Y833" t="s">
        <v>18328</v>
      </c>
      <c r="Z833" t="s">
        <v>24040</v>
      </c>
      <c r="AA833">
        <v>0.29509920263036121</v>
      </c>
      <c r="AB833" t="str">
        <f>HYPERLINK("Melting_Curves/meltCurve_H0YA20_DGKQ.pdf", "Melting_Curves/meltCurve_H0YA20_DGKQ.pdf")</f>
        <v>Melting_Curves/meltCurve_H0YA20_DGKQ.pdf</v>
      </c>
    </row>
    <row r="834" spans="1:28" x14ac:dyDescent="0.25">
      <c r="A834" t="s">
        <v>838</v>
      </c>
      <c r="B834">
        <v>0.99334974765950101</v>
      </c>
      <c r="C834">
        <v>0.84143738955786196</v>
      </c>
      <c r="D834">
        <v>0.71275129837872697</v>
      </c>
      <c r="E834">
        <v>0.76416765522473595</v>
      </c>
      <c r="F834">
        <v>0.86984627531522896</v>
      </c>
      <c r="G834">
        <v>0.70445421370878603</v>
      </c>
      <c r="H834">
        <v>0.70955985027683</v>
      </c>
      <c r="I834">
        <v>0.56976805207047398</v>
      </c>
      <c r="J834">
        <v>0.90542827351713195</v>
      </c>
      <c r="K834">
        <v>0.76401025817335799</v>
      </c>
      <c r="S834" t="s">
        <v>6695</v>
      </c>
      <c r="T834" t="s">
        <v>11720</v>
      </c>
      <c r="U834" t="s">
        <v>11721</v>
      </c>
      <c r="V834" t="s">
        <v>11720</v>
      </c>
      <c r="W834" t="s">
        <v>12534</v>
      </c>
      <c r="X834">
        <v>6</v>
      </c>
      <c r="Y834" t="s">
        <v>18329</v>
      </c>
      <c r="Z834" t="s">
        <v>24041</v>
      </c>
      <c r="AB834" t="str">
        <f>HYPERLINK("Melting_Curves/meltCurve_H0YA52_PCBD2.pdf", "Melting_Curves/meltCurve_H0YA52_PCBD2.pdf")</f>
        <v>Melting_Curves/meltCurve_H0YA52_PCBD2.pdf</v>
      </c>
    </row>
    <row r="835" spans="1:28" x14ac:dyDescent="0.25">
      <c r="A835" t="s">
        <v>839</v>
      </c>
      <c r="B835">
        <v>0.99334974765950101</v>
      </c>
      <c r="C835">
        <v>0.92872917714449399</v>
      </c>
      <c r="D835">
        <v>0.816881538640581</v>
      </c>
      <c r="E835">
        <v>0.68088754536664697</v>
      </c>
      <c r="F835">
        <v>0.55947195659670301</v>
      </c>
      <c r="G835">
        <v>0.31024394924209397</v>
      </c>
      <c r="H835">
        <v>0.242211807941834</v>
      </c>
      <c r="I835">
        <v>0.237366898909877</v>
      </c>
      <c r="J835">
        <v>0.24141952527229599</v>
      </c>
      <c r="K835">
        <v>0.25846080586039899</v>
      </c>
      <c r="L835">
        <v>691.71111114086705</v>
      </c>
      <c r="M835">
        <v>13.516804484796999</v>
      </c>
      <c r="N835">
        <v>53.1556955696798</v>
      </c>
      <c r="O835">
        <v>50.093036287626298</v>
      </c>
      <c r="P835">
        <v>-5.4116101072685302E-2</v>
      </c>
      <c r="Q835">
        <v>0.197908726041885</v>
      </c>
      <c r="R835">
        <v>0.987545603259805</v>
      </c>
      <c r="S835" t="s">
        <v>6696</v>
      </c>
      <c r="T835" t="s">
        <v>11720</v>
      </c>
      <c r="U835" t="s">
        <v>11720</v>
      </c>
      <c r="V835" t="s">
        <v>11720</v>
      </c>
      <c r="W835" t="s">
        <v>12535</v>
      </c>
      <c r="X835">
        <v>1</v>
      </c>
      <c r="Y835" t="s">
        <v>18330</v>
      </c>
      <c r="Z835" t="s">
        <v>24042</v>
      </c>
      <c r="AA835">
        <v>0.51839550927416567</v>
      </c>
      <c r="AB835" t="str">
        <f>HYPERLINK("Melting_Curves/meltCurve_H0YAE0_C5orf24.pdf", "Melting_Curves/meltCurve_H0YAE0_C5orf24.pdf")</f>
        <v>Melting_Curves/meltCurve_H0YAE0_C5orf24.pdf</v>
      </c>
    </row>
    <row r="836" spans="1:28" x14ac:dyDescent="0.25">
      <c r="A836" t="s">
        <v>840</v>
      </c>
      <c r="B836">
        <v>0.99334974765950101</v>
      </c>
      <c r="C836">
        <v>1.0148741577542599</v>
      </c>
      <c r="D836">
        <v>0.99156393904248596</v>
      </c>
      <c r="E836">
        <v>0.78359252609804897</v>
      </c>
      <c r="F836">
        <v>0.577462052138207</v>
      </c>
      <c r="G836">
        <v>0.32480871825176399</v>
      </c>
      <c r="H836">
        <v>0.177882302698921</v>
      </c>
      <c r="I836">
        <v>0.14923188622104</v>
      </c>
      <c r="J836">
        <v>0.15494269972529301</v>
      </c>
      <c r="K836">
        <v>0.124200218203685</v>
      </c>
      <c r="L836">
        <v>1034.4034238746201</v>
      </c>
      <c r="M836">
        <v>19.450568912725199</v>
      </c>
      <c r="N836">
        <v>53.968259067835398</v>
      </c>
      <c r="O836">
        <v>52.628578973791001</v>
      </c>
      <c r="P836">
        <v>-8.0987825217594997E-2</v>
      </c>
      <c r="Q836">
        <v>0.123497390577715</v>
      </c>
      <c r="R836">
        <v>0.99804247656071599</v>
      </c>
      <c r="S836" t="s">
        <v>6697</v>
      </c>
      <c r="T836" t="s">
        <v>11720</v>
      </c>
      <c r="U836" t="s">
        <v>11720</v>
      </c>
      <c r="V836" t="s">
        <v>11720</v>
      </c>
      <c r="W836" t="s">
        <v>12536</v>
      </c>
      <c r="X836">
        <v>10</v>
      </c>
      <c r="Y836" t="s">
        <v>18331</v>
      </c>
      <c r="Z836" t="s">
        <v>24043</v>
      </c>
      <c r="AA836">
        <v>0.52121832252906808</v>
      </c>
      <c r="AB836" t="str">
        <f>HYPERLINK("Melting_Curves/meltCurve_H0YAJ5_APBB2.pdf", "Melting_Curves/meltCurve_H0YAJ5_APBB2.pdf")</f>
        <v>Melting_Curves/meltCurve_H0YAJ5_APBB2.pdf</v>
      </c>
    </row>
    <row r="837" spans="1:28" x14ac:dyDescent="0.25">
      <c r="A837" t="s">
        <v>841</v>
      </c>
      <c r="B837">
        <v>0.99334974765950101</v>
      </c>
      <c r="C837">
        <v>0.95369070591956395</v>
      </c>
      <c r="D837">
        <v>0.82335548610696296</v>
      </c>
      <c r="E837">
        <v>0.41089495360186001</v>
      </c>
      <c r="F837">
        <v>0.40497394997514702</v>
      </c>
      <c r="G837">
        <v>0.246300578786911</v>
      </c>
      <c r="H837">
        <v>0.215476760987352</v>
      </c>
      <c r="I837">
        <v>0.19796545951371</v>
      </c>
      <c r="J837">
        <v>0.20806278672164499</v>
      </c>
      <c r="K837">
        <v>0.17309406935993299</v>
      </c>
      <c r="L837">
        <v>957.61437109572</v>
      </c>
      <c r="M837">
        <v>19.751193574048202</v>
      </c>
      <c r="N837">
        <v>49.776277132118899</v>
      </c>
      <c r="O837">
        <v>47.995072871463002</v>
      </c>
      <c r="P837">
        <v>-8.2246252944591799E-2</v>
      </c>
      <c r="Q837">
        <v>0.200599189719909</v>
      </c>
      <c r="R837">
        <v>0.98626379299545297</v>
      </c>
      <c r="S837" t="s">
        <v>6698</v>
      </c>
      <c r="T837" t="s">
        <v>11720</v>
      </c>
      <c r="U837" t="s">
        <v>11720</v>
      </c>
      <c r="V837" t="s">
        <v>11720</v>
      </c>
      <c r="W837" t="s">
        <v>12537</v>
      </c>
      <c r="X837">
        <v>1</v>
      </c>
      <c r="Y837" t="s">
        <v>18332</v>
      </c>
      <c r="Z837" t="s">
        <v>24044</v>
      </c>
      <c r="AA837">
        <v>0.43822852688956421</v>
      </c>
      <c r="AB837" t="str">
        <f>HYPERLINK("Melting_Curves/meltCurve_H0YAN8_ARHGEF10.pdf", "Melting_Curves/meltCurve_H0YAN8_ARHGEF10.pdf")</f>
        <v>Melting_Curves/meltCurve_H0YAN8_ARHGEF10.pdf</v>
      </c>
    </row>
    <row r="838" spans="1:28" x14ac:dyDescent="0.25">
      <c r="A838" t="s">
        <v>842</v>
      </c>
      <c r="B838">
        <v>0.99334974765950101</v>
      </c>
      <c r="C838">
        <v>0.62128543782914702</v>
      </c>
      <c r="D838">
        <v>0.83578291209164102</v>
      </c>
      <c r="E838">
        <v>0.91946070891573894</v>
      </c>
      <c r="F838">
        <v>0.81740785284086004</v>
      </c>
      <c r="G838">
        <v>0.74210589313859798</v>
      </c>
      <c r="H838">
        <v>0.75043781457794501</v>
      </c>
      <c r="I838">
        <v>0.65385272441119702</v>
      </c>
      <c r="J838">
        <v>0.68112034625213502</v>
      </c>
      <c r="K838">
        <v>0.70290818906598396</v>
      </c>
      <c r="L838">
        <v>110.35550257918101</v>
      </c>
      <c r="M838">
        <v>0.81153455274426201</v>
      </c>
      <c r="O838">
        <v>40.7645957668582</v>
      </c>
      <c r="P838">
        <v>-7.5406549965672696E-3</v>
      </c>
      <c r="Q838">
        <v>0</v>
      </c>
      <c r="R838">
        <v>0.31289935074303399</v>
      </c>
      <c r="S838" t="s">
        <v>6699</v>
      </c>
      <c r="T838" t="s">
        <v>11720</v>
      </c>
      <c r="U838" t="s">
        <v>11720</v>
      </c>
      <c r="V838" t="s">
        <v>11720</v>
      </c>
      <c r="W838" t="s">
        <v>12538</v>
      </c>
      <c r="X838">
        <v>1</v>
      </c>
      <c r="Y838" t="s">
        <v>18333</v>
      </c>
      <c r="Z838" t="s">
        <v>24045</v>
      </c>
      <c r="AA838">
        <v>0.77150356586447189</v>
      </c>
      <c r="AB838" t="str">
        <f>HYPERLINK("Melting_Curves/meltCurve_H0YAX0_ZDHHC14.pdf", "Melting_Curves/meltCurve_H0YAX0_ZDHHC14.pdf")</f>
        <v>Melting_Curves/meltCurve_H0YAX0_ZDHHC14.pdf</v>
      </c>
    </row>
    <row r="839" spans="1:28" x14ac:dyDescent="0.25">
      <c r="A839" t="s">
        <v>843</v>
      </c>
      <c r="B839">
        <v>0.99334974765950101</v>
      </c>
      <c r="C839">
        <v>0.95577113939819103</v>
      </c>
      <c r="D839">
        <v>0.90263681527877404</v>
      </c>
      <c r="E839">
        <v>0.72718084653190995</v>
      </c>
      <c r="F839">
        <v>0.37697360794692703</v>
      </c>
      <c r="G839">
        <v>0.23255134828979701</v>
      </c>
      <c r="H839">
        <v>0.21473347895963299</v>
      </c>
      <c r="I839">
        <v>7.3619731880978395E-2</v>
      </c>
      <c r="J839">
        <v>0.16224111012489301</v>
      </c>
      <c r="K839">
        <v>0.222210322962822</v>
      </c>
      <c r="L839">
        <v>1244.5690746258001</v>
      </c>
      <c r="M839">
        <v>24.357285167254702</v>
      </c>
      <c r="N839">
        <v>51.925266398555003</v>
      </c>
      <c r="O839">
        <v>50.755698692073203</v>
      </c>
      <c r="P839">
        <v>-0.100650464335407</v>
      </c>
      <c r="Q839">
        <v>0.161070966337861</v>
      </c>
      <c r="R839">
        <v>0.98376518705538596</v>
      </c>
      <c r="S839" t="s">
        <v>6700</v>
      </c>
      <c r="T839" t="s">
        <v>11720</v>
      </c>
      <c r="U839" t="s">
        <v>11720</v>
      </c>
      <c r="V839" t="s">
        <v>11720</v>
      </c>
      <c r="W839" t="s">
        <v>12539</v>
      </c>
      <c r="X839">
        <v>1</v>
      </c>
      <c r="Y839" t="s">
        <v>18334</v>
      </c>
      <c r="Z839" t="s">
        <v>24046</v>
      </c>
      <c r="AA839">
        <v>0.47935747788109412</v>
      </c>
      <c r="AB839" t="str">
        <f>HYPERLINK("Melting_Curves/meltCurve_H0YB73_UBE2W.pdf", "Melting_Curves/meltCurve_H0YB73_UBE2W.pdf")</f>
        <v>Melting_Curves/meltCurve_H0YB73_UBE2W.pdf</v>
      </c>
    </row>
    <row r="840" spans="1:28" x14ac:dyDescent="0.25">
      <c r="A840" t="s">
        <v>844</v>
      </c>
      <c r="B840">
        <v>0.99334974765950101</v>
      </c>
      <c r="C840">
        <v>0.93305134516302701</v>
      </c>
      <c r="D840">
        <v>0.92471298168124105</v>
      </c>
      <c r="E840">
        <v>0.85484340216075105</v>
      </c>
      <c r="F840">
        <v>0.67626964119953803</v>
      </c>
      <c r="G840">
        <v>0.55273417856890406</v>
      </c>
      <c r="H840">
        <v>0.56467876373699499</v>
      </c>
      <c r="I840">
        <v>0.94511249269844599</v>
      </c>
      <c r="J840">
        <v>1.22612287371512</v>
      </c>
      <c r="K840">
        <v>0.95453552163002897</v>
      </c>
      <c r="L840">
        <v>1291.14919632798</v>
      </c>
      <c r="M840">
        <v>28.502032687664101</v>
      </c>
      <c r="O840">
        <v>45.0790139464509</v>
      </c>
      <c r="P840">
        <v>-2.7682566703403199E-2</v>
      </c>
      <c r="Q840">
        <v>0.82486965250823896</v>
      </c>
      <c r="R840">
        <v>8.3787808266002295E-2</v>
      </c>
      <c r="S840" t="s">
        <v>6701</v>
      </c>
      <c r="T840" t="s">
        <v>11720</v>
      </c>
      <c r="U840" t="s">
        <v>11720</v>
      </c>
      <c r="V840" t="s">
        <v>11720</v>
      </c>
      <c r="W840" t="s">
        <v>12540</v>
      </c>
      <c r="X840">
        <v>2</v>
      </c>
      <c r="Y840" t="s">
        <v>18335</v>
      </c>
      <c r="Z840" t="s">
        <v>24047</v>
      </c>
      <c r="AA840">
        <v>0.85705406939500117</v>
      </c>
      <c r="AB840" t="str">
        <f>HYPERLINK("Melting_Curves/meltCurve_H0YBC7_BNIP3L.pdf", "Melting_Curves/meltCurve_H0YBC7_BNIP3L.pdf")</f>
        <v>Melting_Curves/meltCurve_H0YBC7_BNIP3L.pdf</v>
      </c>
    </row>
    <row r="841" spans="1:28" x14ac:dyDescent="0.25">
      <c r="A841" t="s">
        <v>845</v>
      </c>
      <c r="B841">
        <v>0.99334974765950101</v>
      </c>
      <c r="C841">
        <v>0.96642446391980896</v>
      </c>
      <c r="D841">
        <v>1.1531831008784601</v>
      </c>
      <c r="E841">
        <v>0.99322157317138204</v>
      </c>
      <c r="F841">
        <v>0.69304449426153902</v>
      </c>
      <c r="G841">
        <v>0.630408824829226</v>
      </c>
      <c r="H841">
        <v>0.37125485069620501</v>
      </c>
      <c r="I841">
        <v>0.25998412791060799</v>
      </c>
      <c r="J841">
        <v>8.8440844639945601E-2</v>
      </c>
      <c r="K841">
        <v>4.9465355518665099E-2</v>
      </c>
      <c r="L841">
        <v>868.81720300862401</v>
      </c>
      <c r="M841">
        <v>14.8471725185375</v>
      </c>
      <c r="N841">
        <v>58.517351091754797</v>
      </c>
      <c r="O841">
        <v>57.486550160691301</v>
      </c>
      <c r="P841">
        <v>-6.4574817826463807E-2</v>
      </c>
      <c r="Q841">
        <v>0</v>
      </c>
      <c r="R841">
        <v>0.96126148842634995</v>
      </c>
      <c r="S841" t="s">
        <v>6702</v>
      </c>
      <c r="T841" t="s">
        <v>11720</v>
      </c>
      <c r="U841" t="s">
        <v>11720</v>
      </c>
      <c r="V841" t="s">
        <v>11720</v>
      </c>
      <c r="W841" t="s">
        <v>12541</v>
      </c>
      <c r="X841">
        <v>5</v>
      </c>
      <c r="Y841" t="s">
        <v>18336</v>
      </c>
      <c r="Z841" t="s">
        <v>24048</v>
      </c>
      <c r="AA841">
        <v>0.62921145002139534</v>
      </c>
      <c r="AB841" t="str">
        <f>HYPERLINK("Melting_Curves/meltCurve_H0YBI6_TXNRD3.pdf", "Melting_Curves/meltCurve_H0YBI6_TXNRD3.pdf")</f>
        <v>Melting_Curves/meltCurve_H0YBI6_TXNRD3.pdf</v>
      </c>
    </row>
    <row r="842" spans="1:28" x14ac:dyDescent="0.25">
      <c r="A842" t="s">
        <v>846</v>
      </c>
      <c r="B842">
        <v>0.99334974765950101</v>
      </c>
      <c r="C842">
        <v>0.971546423153686</v>
      </c>
      <c r="D842">
        <v>0.972668816984403</v>
      </c>
      <c r="E842">
        <v>0.84929459865976897</v>
      </c>
      <c r="F842">
        <v>0.56783780996969702</v>
      </c>
      <c r="G842">
        <v>0.24292070075844299</v>
      </c>
      <c r="H842">
        <v>0.17734758174451901</v>
      </c>
      <c r="I842">
        <v>0.15841408906701601</v>
      </c>
      <c r="J842">
        <v>0.122942773340732</v>
      </c>
      <c r="K842">
        <v>9.9381158607675602E-2</v>
      </c>
      <c r="L842">
        <v>1322.43801775624</v>
      </c>
      <c r="M842">
        <v>24.925913152283901</v>
      </c>
      <c r="N842">
        <v>53.6668113927335</v>
      </c>
      <c r="O842">
        <v>52.716796096482497</v>
      </c>
      <c r="P842">
        <v>-0.103583563515861</v>
      </c>
      <c r="Q842">
        <v>0.123720087079726</v>
      </c>
      <c r="R842">
        <v>0.99808989823443195</v>
      </c>
      <c r="S842" t="s">
        <v>6703</v>
      </c>
      <c r="T842" t="s">
        <v>11720</v>
      </c>
      <c r="U842" t="s">
        <v>11720</v>
      </c>
      <c r="V842" t="s">
        <v>11720</v>
      </c>
      <c r="W842" t="s">
        <v>12542</v>
      </c>
      <c r="X842">
        <v>18</v>
      </c>
      <c r="Y842" t="s">
        <v>18337</v>
      </c>
      <c r="Z842" t="s">
        <v>24049</v>
      </c>
      <c r="AA842">
        <v>0.51315666865481024</v>
      </c>
      <c r="AB842" t="str">
        <f>HYPERLINK("Melting_Curves/meltCurve_H0YBP1_PTK2.pdf", "Melting_Curves/meltCurve_H0YBP1_PTK2.pdf")</f>
        <v>Melting_Curves/meltCurve_H0YBP1_PTK2.pdf</v>
      </c>
    </row>
    <row r="843" spans="1:28" x14ac:dyDescent="0.25">
      <c r="A843" t="s">
        <v>847</v>
      </c>
      <c r="B843">
        <v>0.99334974765950101</v>
      </c>
      <c r="C843">
        <v>0.95513614582448503</v>
      </c>
      <c r="D843">
        <v>0.88422520432518803</v>
      </c>
      <c r="E843">
        <v>0.71642061020944303</v>
      </c>
      <c r="F843">
        <v>0.36714329008148</v>
      </c>
      <c r="G843">
        <v>0.29073834522063302</v>
      </c>
      <c r="H843">
        <v>0.22676188777206499</v>
      </c>
      <c r="I843">
        <v>0.22182775118562501</v>
      </c>
      <c r="J843">
        <v>0.18226082000532601</v>
      </c>
      <c r="K843">
        <v>0.214989446774809</v>
      </c>
      <c r="L843">
        <v>1125.71935217022</v>
      </c>
      <c r="M843">
        <v>22.208990659755301</v>
      </c>
      <c r="N843">
        <v>51.9110947235352</v>
      </c>
      <c r="O843">
        <v>50.2819454796172</v>
      </c>
      <c r="P843">
        <v>-8.7923618548076204E-2</v>
      </c>
      <c r="Q843">
        <v>0.20376802596002799</v>
      </c>
      <c r="R843">
        <v>0.99027931877157005</v>
      </c>
      <c r="S843" t="s">
        <v>6704</v>
      </c>
      <c r="T843" t="s">
        <v>11720</v>
      </c>
      <c r="U843" t="s">
        <v>11720</v>
      </c>
      <c r="V843" t="s">
        <v>11720</v>
      </c>
      <c r="W843" t="s">
        <v>12543</v>
      </c>
      <c r="X843">
        <v>3</v>
      </c>
      <c r="Y843" t="s">
        <v>18338</v>
      </c>
      <c r="Z843" t="s">
        <v>24050</v>
      </c>
      <c r="AA843">
        <v>0.49647170972766941</v>
      </c>
      <c r="AB843" t="str">
        <f>HYPERLINK("Melting_Curves/meltCurve_H0YBZ4_MTFR1.pdf", "Melting_Curves/meltCurve_H0YBZ4_MTFR1.pdf")</f>
        <v>Melting_Curves/meltCurve_H0YBZ4_MTFR1.pdf</v>
      </c>
    </row>
    <row r="844" spans="1:28" x14ac:dyDescent="0.25">
      <c r="A844" t="s">
        <v>848</v>
      </c>
      <c r="B844">
        <v>0.99334974765950101</v>
      </c>
      <c r="C844">
        <v>0.87900171951873396</v>
      </c>
      <c r="D844">
        <v>0.92352038599928699</v>
      </c>
      <c r="E844">
        <v>0.721367832212785</v>
      </c>
      <c r="F844">
        <v>0.74766719514799795</v>
      </c>
      <c r="G844">
        <v>0.605485074384014</v>
      </c>
      <c r="H844">
        <v>0.461920727725532</v>
      </c>
      <c r="I844">
        <v>0.59145321344171498</v>
      </c>
      <c r="J844">
        <v>0.462045836081799</v>
      </c>
      <c r="K844">
        <v>0.44926650998781698</v>
      </c>
      <c r="L844">
        <v>464.31819895150301</v>
      </c>
      <c r="M844">
        <v>8.7611572308541898</v>
      </c>
      <c r="N844">
        <v>64.432875025532397</v>
      </c>
      <c r="O844">
        <v>50.4537468614716</v>
      </c>
      <c r="P844">
        <v>-2.6311447102741699E-2</v>
      </c>
      <c r="Q844">
        <v>0.39439748960698201</v>
      </c>
      <c r="R844">
        <v>0.93026674496394202</v>
      </c>
      <c r="S844" t="s">
        <v>6705</v>
      </c>
      <c r="T844" t="s">
        <v>11720</v>
      </c>
      <c r="U844" t="s">
        <v>11720</v>
      </c>
      <c r="V844" t="s">
        <v>11720</v>
      </c>
      <c r="W844" t="s">
        <v>12544</v>
      </c>
      <c r="X844">
        <v>2</v>
      </c>
      <c r="Y844" t="s">
        <v>18339</v>
      </c>
      <c r="Z844" t="s">
        <v>24051</v>
      </c>
      <c r="AA844">
        <v>0.67989488097158468</v>
      </c>
      <c r="AB844" t="str">
        <f>HYPERLINK("Melting_Curves/meltCurve_H0YC66_ADAM19.pdf", "Melting_Curves/meltCurve_H0YC66_ADAM19.pdf")</f>
        <v>Melting_Curves/meltCurve_H0YC66_ADAM19.pdf</v>
      </c>
    </row>
    <row r="845" spans="1:28" x14ac:dyDescent="0.25">
      <c r="A845" t="s">
        <v>849</v>
      </c>
      <c r="B845">
        <v>0.99334974765950101</v>
      </c>
      <c r="C845">
        <v>1.0900047589083299</v>
      </c>
      <c r="D845">
        <v>0.79742885153745802</v>
      </c>
      <c r="E845">
        <v>0.64255559346962299</v>
      </c>
      <c r="F845">
        <v>0.39287383015882799</v>
      </c>
      <c r="G845">
        <v>0.29495874152949703</v>
      </c>
      <c r="H845">
        <v>0.221652150773791</v>
      </c>
      <c r="I845">
        <v>0.26129469088022</v>
      </c>
      <c r="J845">
        <v>0.24177356435821501</v>
      </c>
      <c r="K845">
        <v>0.226022035030643</v>
      </c>
      <c r="L845">
        <v>988.03286639831697</v>
      </c>
      <c r="M845">
        <v>19.8148055695201</v>
      </c>
      <c r="N845">
        <v>51.4566549144647</v>
      </c>
      <c r="O845">
        <v>49.363840242203203</v>
      </c>
      <c r="P845">
        <v>-7.7344534010198404E-2</v>
      </c>
      <c r="Q845">
        <v>0.229284744058668</v>
      </c>
      <c r="R845">
        <v>0.97670214129099897</v>
      </c>
      <c r="S845" t="s">
        <v>6706</v>
      </c>
      <c r="T845" t="s">
        <v>11720</v>
      </c>
      <c r="U845" t="s">
        <v>11720</v>
      </c>
      <c r="V845" t="s">
        <v>11720</v>
      </c>
      <c r="W845" t="s">
        <v>12545</v>
      </c>
      <c r="X845">
        <v>9</v>
      </c>
      <c r="Y845" t="s">
        <v>18340</v>
      </c>
      <c r="Z845" t="s">
        <v>24052</v>
      </c>
      <c r="AA845">
        <v>0.49361244877225863</v>
      </c>
      <c r="AB845" t="str">
        <f>HYPERLINK("Melting_Curves/meltCurve_H0YCK3_ADAR.pdf", "Melting_Curves/meltCurve_H0YCK3_ADAR.pdf")</f>
        <v>Melting_Curves/meltCurve_H0YCK3_ADAR.pdf</v>
      </c>
    </row>
    <row r="846" spans="1:28" x14ac:dyDescent="0.25">
      <c r="A846" t="s">
        <v>850</v>
      </c>
      <c r="B846">
        <v>0.99334974765950101</v>
      </c>
      <c r="C846">
        <v>0.90209711515559898</v>
      </c>
      <c r="D846">
        <v>0.60325618276612103</v>
      </c>
      <c r="E846">
        <v>0.40220215244635399</v>
      </c>
      <c r="F846">
        <v>0.38646828896790802</v>
      </c>
      <c r="G846">
        <v>0.40361273619356403</v>
      </c>
      <c r="H846">
        <v>0.395742067862552</v>
      </c>
      <c r="I846">
        <v>0.48532766435835301</v>
      </c>
      <c r="J846">
        <v>0.47850741444994299</v>
      </c>
      <c r="K846">
        <v>0.46855579613659498</v>
      </c>
      <c r="L846">
        <v>1666.42727141462</v>
      </c>
      <c r="M846">
        <v>37.151755698688604</v>
      </c>
      <c r="N846">
        <v>47.3708793182834</v>
      </c>
      <c r="O846">
        <v>44.725237332516997</v>
      </c>
      <c r="P846">
        <v>-0.11826403521439</v>
      </c>
      <c r="Q846">
        <v>0.43051170952373802</v>
      </c>
      <c r="R846">
        <v>0.97076813394204498</v>
      </c>
      <c r="S846" t="s">
        <v>6707</v>
      </c>
      <c r="T846" t="s">
        <v>11720</v>
      </c>
      <c r="U846" t="s">
        <v>11720</v>
      </c>
      <c r="V846" t="s">
        <v>11720</v>
      </c>
      <c r="W846" t="s">
        <v>12546</v>
      </c>
      <c r="X846">
        <v>5</v>
      </c>
      <c r="Y846" t="s">
        <v>18341</v>
      </c>
      <c r="Z846" t="s">
        <v>24053</v>
      </c>
      <c r="AA846">
        <v>0.5249071812906595</v>
      </c>
      <c r="AB846" t="str">
        <f>HYPERLINK("Melting_Curves/meltCurve_H0YD93_RUFY2.pdf", "Melting_Curves/meltCurve_H0YD93_RUFY2.pdf")</f>
        <v>Melting_Curves/meltCurve_H0YD93_RUFY2.pdf</v>
      </c>
    </row>
    <row r="847" spans="1:28" x14ac:dyDescent="0.25">
      <c r="A847" t="s">
        <v>851</v>
      </c>
      <c r="B847">
        <v>0.99334974765950101</v>
      </c>
      <c r="C847">
        <v>1.09174217267367</v>
      </c>
      <c r="D847">
        <v>0.860584293909192</v>
      </c>
      <c r="E847">
        <v>0.73708000673435503</v>
      </c>
      <c r="F847">
        <v>0.96799573235594705</v>
      </c>
      <c r="G847">
        <v>0.65801000379043895</v>
      </c>
      <c r="H847">
        <v>0.63426353535651703</v>
      </c>
      <c r="I847">
        <v>0.777177768614015</v>
      </c>
      <c r="J847">
        <v>0.90121969185267903</v>
      </c>
      <c r="K847">
        <v>0.90676083850232603</v>
      </c>
      <c r="L847">
        <v>11463.524381545099</v>
      </c>
      <c r="M847">
        <v>250</v>
      </c>
      <c r="O847">
        <v>45.851166029666899</v>
      </c>
      <c r="P847">
        <v>-0.27602781734999599</v>
      </c>
      <c r="Q847">
        <v>0.79750085634919898</v>
      </c>
      <c r="R847">
        <v>0.44871448944155101</v>
      </c>
      <c r="S847" t="s">
        <v>6708</v>
      </c>
      <c r="T847" t="s">
        <v>11720</v>
      </c>
      <c r="U847" t="s">
        <v>11720</v>
      </c>
      <c r="V847" t="s">
        <v>11720</v>
      </c>
      <c r="W847" t="s">
        <v>12547</v>
      </c>
      <c r="X847">
        <v>1</v>
      </c>
      <c r="Y847" t="s">
        <v>18342</v>
      </c>
      <c r="Z847" t="s">
        <v>24054</v>
      </c>
      <c r="AA847">
        <v>0.8370321433055169</v>
      </c>
      <c r="AB847" t="str">
        <f>HYPERLINK("Melting_Curves/meltCurve_H0YDR5_SIGIRR.pdf", "Melting_Curves/meltCurve_H0YDR5_SIGIRR.pdf")</f>
        <v>Melting_Curves/meltCurve_H0YDR5_SIGIRR.pdf</v>
      </c>
    </row>
    <row r="848" spans="1:28" x14ac:dyDescent="0.25">
      <c r="A848" t="s">
        <v>852</v>
      </c>
      <c r="B848">
        <v>0.99334974765950101</v>
      </c>
      <c r="C848">
        <v>1.0047942466633899</v>
      </c>
      <c r="D848">
        <v>0.94662693878740301</v>
      </c>
      <c r="E848">
        <v>0.75478901762450801</v>
      </c>
      <c r="F848">
        <v>0.61509826201212103</v>
      </c>
      <c r="G848">
        <v>0.47465763829256002</v>
      </c>
      <c r="H848">
        <v>0.374307792242146</v>
      </c>
      <c r="I848">
        <v>0.45756408189852599</v>
      </c>
      <c r="J848">
        <v>0.49025795168625502</v>
      </c>
      <c r="K848">
        <v>0.317098013081556</v>
      </c>
      <c r="L848">
        <v>1004.9540932718101</v>
      </c>
      <c r="M848">
        <v>19.636351682430899</v>
      </c>
      <c r="N848">
        <v>55.762638449000598</v>
      </c>
      <c r="O848">
        <v>50.656335132243399</v>
      </c>
      <c r="P848">
        <v>-5.8100292387970001E-2</v>
      </c>
      <c r="Q848">
        <v>0.400490487437831</v>
      </c>
      <c r="R848">
        <v>0.96811217672005001</v>
      </c>
      <c r="S848" t="s">
        <v>6709</v>
      </c>
      <c r="T848" t="s">
        <v>11720</v>
      </c>
      <c r="U848" t="s">
        <v>11720</v>
      </c>
      <c r="V848" t="s">
        <v>11720</v>
      </c>
      <c r="W848" t="s">
        <v>12548</v>
      </c>
      <c r="X848">
        <v>5</v>
      </c>
      <c r="Y848" t="s">
        <v>18343</v>
      </c>
      <c r="Z848" t="s">
        <v>24055</v>
      </c>
      <c r="AA848">
        <v>0.63247869080456975</v>
      </c>
      <c r="AB848" t="str">
        <f>HYPERLINK("Melting_Curves/meltCurve_H0YDS0_UBQLN1.pdf", "Melting_Curves/meltCurve_H0YDS0_UBQLN1.pdf")</f>
        <v>Melting_Curves/meltCurve_H0YDS0_UBQLN1.pdf</v>
      </c>
    </row>
    <row r="849" spans="1:28" x14ac:dyDescent="0.25">
      <c r="A849" t="s">
        <v>853</v>
      </c>
      <c r="B849">
        <v>0.99334974765950101</v>
      </c>
      <c r="C849">
        <v>1.00138541323939</v>
      </c>
      <c r="D849">
        <v>0.79854001005158004</v>
      </c>
      <c r="E849">
        <v>0.44155301966027299</v>
      </c>
      <c r="F849">
        <v>0.296661130754933</v>
      </c>
      <c r="G849">
        <v>0.21221005696179901</v>
      </c>
      <c r="H849">
        <v>0.198481902532544</v>
      </c>
      <c r="I849">
        <v>0.22474786771133701</v>
      </c>
      <c r="J849">
        <v>0.27465983397861499</v>
      </c>
      <c r="K849">
        <v>0.21999309023677699</v>
      </c>
      <c r="L849">
        <v>1241.2075159522999</v>
      </c>
      <c r="M849">
        <v>25.820620477699102</v>
      </c>
      <c r="N849">
        <v>49.206145384982399</v>
      </c>
      <c r="O849">
        <v>47.784851078736303</v>
      </c>
      <c r="P849">
        <v>-0.104763589449336</v>
      </c>
      <c r="Q849">
        <v>0.2244876498233</v>
      </c>
      <c r="R849">
        <v>0.99438347842491503</v>
      </c>
      <c r="S849" t="s">
        <v>6710</v>
      </c>
      <c r="T849" t="s">
        <v>11720</v>
      </c>
      <c r="U849" t="s">
        <v>11720</v>
      </c>
      <c r="V849" t="s">
        <v>11720</v>
      </c>
      <c r="W849" t="s">
        <v>12549</v>
      </c>
      <c r="X849">
        <v>7</v>
      </c>
      <c r="Y849" t="s">
        <v>18344</v>
      </c>
      <c r="Z849" t="s">
        <v>24056</v>
      </c>
      <c r="AA849">
        <v>0.43951146573094291</v>
      </c>
      <c r="AB849" t="str">
        <f>HYPERLINK("Melting_Curves/meltCurve_H0YDT0_REPS1.pdf", "Melting_Curves/meltCurve_H0YDT0_REPS1.pdf")</f>
        <v>Melting_Curves/meltCurve_H0YDT0_REPS1.pdf</v>
      </c>
    </row>
    <row r="850" spans="1:28" x14ac:dyDescent="0.25">
      <c r="A850" t="s">
        <v>854</v>
      </c>
      <c r="B850">
        <v>0.99334974765950101</v>
      </c>
      <c r="C850">
        <v>0.89557833549396604</v>
      </c>
      <c r="D850">
        <v>0.75872817599328501</v>
      </c>
      <c r="E850">
        <v>0.55031936093349498</v>
      </c>
      <c r="F850">
        <v>0.38472511051198399</v>
      </c>
      <c r="G850">
        <v>0.29346733756464899</v>
      </c>
      <c r="H850">
        <v>0.26067665871886198</v>
      </c>
      <c r="I850">
        <v>0.23299270048112999</v>
      </c>
      <c r="J850">
        <v>0.212686097612966</v>
      </c>
      <c r="K850">
        <v>0.17823394276020499</v>
      </c>
      <c r="L850">
        <v>681.26882441543501</v>
      </c>
      <c r="M850">
        <v>13.909708908145101</v>
      </c>
      <c r="N850">
        <v>50.745472155998101</v>
      </c>
      <c r="O850">
        <v>47.998952613533298</v>
      </c>
      <c r="P850">
        <v>-5.85462585727635E-2</v>
      </c>
      <c r="Q850">
        <v>0.191995653096212</v>
      </c>
      <c r="R850">
        <v>0.99709470982717796</v>
      </c>
      <c r="S850" t="s">
        <v>6711</v>
      </c>
      <c r="T850" t="s">
        <v>11720</v>
      </c>
      <c r="U850" t="s">
        <v>11720</v>
      </c>
      <c r="V850" t="s">
        <v>11720</v>
      </c>
      <c r="W850" t="s">
        <v>12550</v>
      </c>
      <c r="X850">
        <v>1</v>
      </c>
      <c r="Y850" t="s">
        <v>18345</v>
      </c>
      <c r="Z850" t="s">
        <v>24057</v>
      </c>
      <c r="AA850">
        <v>0.45675574757619142</v>
      </c>
      <c r="AB850" t="str">
        <f>HYPERLINK("Melting_Curves/meltCurve_H0YDU5_PPP1R16A.pdf", "Melting_Curves/meltCurve_H0YDU5_PPP1R16A.pdf")</f>
        <v>Melting_Curves/meltCurve_H0YDU5_PPP1R16A.pdf</v>
      </c>
    </row>
    <row r="851" spans="1:28" x14ac:dyDescent="0.25">
      <c r="A851" t="s">
        <v>855</v>
      </c>
      <c r="B851">
        <v>0.99334974765950101</v>
      </c>
      <c r="C851">
        <v>1.05678952085945</v>
      </c>
      <c r="D851">
        <v>1.01246405468648</v>
      </c>
      <c r="E851">
        <v>0.87308400819772503</v>
      </c>
      <c r="F851">
        <v>0.45233539094893999</v>
      </c>
      <c r="G851">
        <v>0.18066659559772399</v>
      </c>
      <c r="H851">
        <v>0.12637414493274099</v>
      </c>
      <c r="I851">
        <v>0.12254740862909</v>
      </c>
      <c r="J851">
        <v>0.12762233577312901</v>
      </c>
      <c r="K851">
        <v>0.11203812005998599</v>
      </c>
      <c r="L851">
        <v>1961.88731750073</v>
      </c>
      <c r="M851">
        <v>37.500907552928197</v>
      </c>
      <c r="N851">
        <v>52.7177153870418</v>
      </c>
      <c r="O851">
        <v>52.167604761249301</v>
      </c>
      <c r="P851">
        <v>-0.15736623976488201</v>
      </c>
      <c r="Q851">
        <v>0.124351691826665</v>
      </c>
      <c r="R851">
        <v>0.99745465722891502</v>
      </c>
      <c r="S851" t="s">
        <v>6712</v>
      </c>
      <c r="T851" t="s">
        <v>11720</v>
      </c>
      <c r="U851" t="s">
        <v>11720</v>
      </c>
      <c r="V851" t="s">
        <v>11720</v>
      </c>
      <c r="W851" t="s">
        <v>12551</v>
      </c>
      <c r="X851">
        <v>24</v>
      </c>
      <c r="Y851" t="s">
        <v>18346</v>
      </c>
      <c r="Z851" t="s">
        <v>24058</v>
      </c>
      <c r="AA851">
        <v>0.48742888180764948</v>
      </c>
      <c r="AB851" t="str">
        <f>HYPERLINK("Melting_Curves/meltCurve_H0YDU8_PPP5C.pdf", "Melting_Curves/meltCurve_H0YDU8_PPP5C.pdf")</f>
        <v>Melting_Curves/meltCurve_H0YDU8_PPP5C.pdf</v>
      </c>
    </row>
    <row r="852" spans="1:28" x14ac:dyDescent="0.25">
      <c r="A852" t="s">
        <v>856</v>
      </c>
      <c r="B852">
        <v>0.99334974765950101</v>
      </c>
      <c r="C852">
        <v>0.90576162300540197</v>
      </c>
      <c r="D852">
        <v>0.96770452792025297</v>
      </c>
      <c r="E852">
        <v>0.90586308633812895</v>
      </c>
      <c r="F852">
        <v>0.72097962414249595</v>
      </c>
      <c r="G852">
        <v>0.97060828876448901</v>
      </c>
      <c r="H852">
        <v>0.88087135646959402</v>
      </c>
      <c r="I852">
        <v>0.90077839014928396</v>
      </c>
      <c r="J852">
        <v>0.89563610277639305</v>
      </c>
      <c r="K852">
        <v>1.0220902766675599</v>
      </c>
      <c r="L852">
        <v>10102.1727944415</v>
      </c>
      <c r="M852">
        <v>250</v>
      </c>
      <c r="O852">
        <v>40.4061041402922</v>
      </c>
      <c r="P852">
        <v>-0.14259856318172601</v>
      </c>
      <c r="Q852">
        <v>0.90781035917791497</v>
      </c>
      <c r="R852">
        <v>0.104506536719223</v>
      </c>
      <c r="S852" t="s">
        <v>6713</v>
      </c>
      <c r="T852" t="s">
        <v>11720</v>
      </c>
      <c r="U852" t="s">
        <v>11720</v>
      </c>
      <c r="V852" t="s">
        <v>11720</v>
      </c>
      <c r="W852" t="s">
        <v>12552</v>
      </c>
      <c r="X852">
        <v>5</v>
      </c>
      <c r="Y852" t="s">
        <v>18347</v>
      </c>
      <c r="Z852" t="s">
        <v>24059</v>
      </c>
      <c r="AA852">
        <v>0.90910894960551802</v>
      </c>
      <c r="AB852" t="str">
        <f>HYPERLINK("Melting_Curves/meltCurve_H0YEB6_SSSCA1.pdf", "Melting_Curves/meltCurve_H0YEB6_SSSCA1.pdf")</f>
        <v>Melting_Curves/meltCurve_H0YEB6_SSSCA1.pdf</v>
      </c>
    </row>
    <row r="853" spans="1:28" x14ac:dyDescent="0.25">
      <c r="A853" t="s">
        <v>857</v>
      </c>
      <c r="B853">
        <v>0.99334974765950101</v>
      </c>
      <c r="C853">
        <v>0.87984555979177403</v>
      </c>
      <c r="D853">
        <v>0.66921414120226996</v>
      </c>
      <c r="E853">
        <v>0.374929220444777</v>
      </c>
      <c r="F853">
        <v>0.17699814317365101</v>
      </c>
      <c r="G853">
        <v>0.17839606618112999</v>
      </c>
      <c r="H853">
        <v>0.128693183069503</v>
      </c>
      <c r="I853">
        <v>0.153383527997659</v>
      </c>
      <c r="J853">
        <v>0.131532028246064</v>
      </c>
      <c r="K853">
        <v>0.150161795168477</v>
      </c>
      <c r="L853">
        <v>935.480460998686</v>
      </c>
      <c r="M853">
        <v>19.843134451428799</v>
      </c>
      <c r="N853">
        <v>47.904972970946197</v>
      </c>
      <c r="O853">
        <v>46.672817594159802</v>
      </c>
      <c r="P853">
        <v>-9.19198484570911E-2</v>
      </c>
      <c r="Q853">
        <v>0.135214393993175</v>
      </c>
      <c r="R853">
        <v>0.99578188705012805</v>
      </c>
      <c r="S853" t="s">
        <v>6714</v>
      </c>
      <c r="T853" t="s">
        <v>11720</v>
      </c>
      <c r="U853" t="s">
        <v>11720</v>
      </c>
      <c r="V853" t="s">
        <v>11720</v>
      </c>
      <c r="W853" t="s">
        <v>12553</v>
      </c>
      <c r="X853">
        <v>1</v>
      </c>
      <c r="Y853" t="s">
        <v>18348</v>
      </c>
      <c r="Z853" t="s">
        <v>24060</v>
      </c>
      <c r="AA853">
        <v>0.353952168224348</v>
      </c>
      <c r="AB853" t="str">
        <f>HYPERLINK("Melting_Curves/meltCurve_H0YEF3_RNASEH2C.pdf", "Melting_Curves/meltCurve_H0YEF3_RNASEH2C.pdf")</f>
        <v>Melting_Curves/meltCurve_H0YEF3_RNASEH2C.pdf</v>
      </c>
    </row>
    <row r="854" spans="1:28" x14ac:dyDescent="0.25">
      <c r="A854" t="s">
        <v>858</v>
      </c>
      <c r="B854">
        <v>0.99334974765950101</v>
      </c>
      <c r="C854">
        <v>1.0857288381143599</v>
      </c>
      <c r="D854">
        <v>0.94727638235438705</v>
      </c>
      <c r="E854">
        <v>0.86519057640868002</v>
      </c>
      <c r="F854">
        <v>0.50663277188732503</v>
      </c>
      <c r="G854">
        <v>0.38527554122678997</v>
      </c>
      <c r="H854">
        <v>0.21659814127273699</v>
      </c>
      <c r="I854">
        <v>0.19791491938648301</v>
      </c>
      <c r="J854">
        <v>0.147696928450016</v>
      </c>
      <c r="K854">
        <v>0.12357572546197999</v>
      </c>
      <c r="L854">
        <v>1029.4349397137701</v>
      </c>
      <c r="M854">
        <v>19.351697387723899</v>
      </c>
      <c r="N854">
        <v>54.157359012228</v>
      </c>
      <c r="O854">
        <v>52.637824213213797</v>
      </c>
      <c r="P854">
        <v>-7.8553556709317907E-2</v>
      </c>
      <c r="Q854">
        <v>0.14534950156512799</v>
      </c>
      <c r="R854">
        <v>0.98252175101041705</v>
      </c>
      <c r="S854" t="s">
        <v>6715</v>
      </c>
      <c r="T854" t="s">
        <v>11720</v>
      </c>
      <c r="U854" t="s">
        <v>11720</v>
      </c>
      <c r="V854" t="s">
        <v>11720</v>
      </c>
      <c r="W854" t="s">
        <v>12554</v>
      </c>
      <c r="X854">
        <v>7</v>
      </c>
      <c r="Y854" t="s">
        <v>18349</v>
      </c>
      <c r="Z854" t="s">
        <v>24061</v>
      </c>
      <c r="AA854">
        <v>0.53368328804053633</v>
      </c>
      <c r="AB854" t="str">
        <f>HYPERLINK("Melting_Curves/meltCurve_H0YEN5_RPS2.pdf", "Melting_Curves/meltCurve_H0YEN5_RPS2.pdf")</f>
        <v>Melting_Curves/meltCurve_H0YEN5_RPS2.pdf</v>
      </c>
    </row>
    <row r="855" spans="1:28" x14ac:dyDescent="0.25">
      <c r="A855" t="s">
        <v>859</v>
      </c>
      <c r="B855">
        <v>0.99334974765950101</v>
      </c>
      <c r="C855">
        <v>1.3191182705790401</v>
      </c>
      <c r="D855">
        <v>1.34916044196263</v>
      </c>
      <c r="E855">
        <v>1.7943082901935099</v>
      </c>
      <c r="F855">
        <v>0.44157886327137502</v>
      </c>
      <c r="G855">
        <v>0.37875458307232801</v>
      </c>
      <c r="H855">
        <v>0.213688774359963</v>
      </c>
      <c r="I855">
        <v>6.9964038260306796E-2</v>
      </c>
      <c r="J855">
        <v>0</v>
      </c>
      <c r="K855">
        <v>0</v>
      </c>
      <c r="L855">
        <v>13218.653373654101</v>
      </c>
      <c r="M855">
        <v>250</v>
      </c>
      <c r="N855">
        <v>52.939800505107598</v>
      </c>
      <c r="O855">
        <v>52.8712296478243</v>
      </c>
      <c r="P855">
        <v>-1.0255089466484999</v>
      </c>
      <c r="Q855">
        <v>0.13248129298365699</v>
      </c>
      <c r="R855">
        <v>0.75054728616935795</v>
      </c>
      <c r="S855" t="s">
        <v>6716</v>
      </c>
      <c r="T855" t="s">
        <v>11720</v>
      </c>
      <c r="U855" t="s">
        <v>11720</v>
      </c>
      <c r="V855" t="s">
        <v>11720</v>
      </c>
      <c r="W855" t="s">
        <v>12555</v>
      </c>
      <c r="X855">
        <v>8</v>
      </c>
      <c r="Y855" t="s">
        <v>18350</v>
      </c>
      <c r="Z855" t="s">
        <v>24062</v>
      </c>
      <c r="AA855">
        <v>0.50486072869475573</v>
      </c>
      <c r="AB855" t="str">
        <f>HYPERLINK("Melting_Curves/meltCurve_H0YEX6_MAPK3.pdf", "Melting_Curves/meltCurve_H0YEX6_MAPK3.pdf")</f>
        <v>Melting_Curves/meltCurve_H0YEX6_MAPK3.pdf</v>
      </c>
    </row>
    <row r="856" spans="1:28" x14ac:dyDescent="0.25">
      <c r="A856" t="s">
        <v>860</v>
      </c>
      <c r="B856">
        <v>0.99334974765950101</v>
      </c>
      <c r="C856">
        <v>0.91561046430695303</v>
      </c>
      <c r="D856">
        <v>0.86343935307201303</v>
      </c>
      <c r="E856">
        <v>0.59947068277692295</v>
      </c>
      <c r="F856">
        <v>0.30671837143354602</v>
      </c>
      <c r="G856">
        <v>0.26285673287483602</v>
      </c>
      <c r="H856">
        <v>0.18842548345655299</v>
      </c>
      <c r="I856">
        <v>0.241553308088992</v>
      </c>
      <c r="J856">
        <v>0.223982486685778</v>
      </c>
      <c r="K856">
        <v>0</v>
      </c>
      <c r="L856">
        <v>874.236455953426</v>
      </c>
      <c r="M856">
        <v>17.501273061008501</v>
      </c>
      <c r="N856">
        <v>50.947514566104203</v>
      </c>
      <c r="O856">
        <v>49.314235681547899</v>
      </c>
      <c r="P856">
        <v>-7.5886824662527094E-2</v>
      </c>
      <c r="Q856">
        <v>0.14472629117038199</v>
      </c>
      <c r="R856">
        <v>0.96272946773936097</v>
      </c>
      <c r="S856" t="s">
        <v>6717</v>
      </c>
      <c r="T856" t="s">
        <v>11720</v>
      </c>
      <c r="U856" t="s">
        <v>11720</v>
      </c>
      <c r="V856" t="s">
        <v>11720</v>
      </c>
      <c r="W856" t="s">
        <v>12556</v>
      </c>
      <c r="X856">
        <v>2</v>
      </c>
      <c r="Y856" t="s">
        <v>18351</v>
      </c>
      <c r="Z856" t="s">
        <v>24063</v>
      </c>
      <c r="AA856">
        <v>0.44386281519051818</v>
      </c>
      <c r="AB856" t="str">
        <f>HYPERLINK("Melting_Curves/meltCurve_H0YG20_MAN1B1.pdf", "Melting_Curves/meltCurve_H0YG20_MAN1B1.pdf")</f>
        <v>Melting_Curves/meltCurve_H0YG20_MAN1B1.pdf</v>
      </c>
    </row>
    <row r="857" spans="1:28" x14ac:dyDescent="0.25">
      <c r="A857" t="s">
        <v>861</v>
      </c>
      <c r="B857">
        <v>0.99334974765950101</v>
      </c>
      <c r="C857">
        <v>0.98729391477296402</v>
      </c>
      <c r="D857">
        <v>0.86426435945687197</v>
      </c>
      <c r="E857">
        <v>0.89635149905703204</v>
      </c>
      <c r="F857">
        <v>0.90279405572176896</v>
      </c>
      <c r="G857">
        <v>0.72924018193888496</v>
      </c>
      <c r="H857">
        <v>0.70946297633537403</v>
      </c>
      <c r="I857">
        <v>1.1138540364852201</v>
      </c>
      <c r="J857">
        <v>1.0469618446204101</v>
      </c>
      <c r="K857">
        <v>0.89833370333199603</v>
      </c>
      <c r="L857">
        <v>10809.992545371801</v>
      </c>
      <c r="M857">
        <v>250</v>
      </c>
      <c r="O857">
        <v>43.237203147328799</v>
      </c>
      <c r="P857">
        <v>-0.15155086653870201</v>
      </c>
      <c r="Q857">
        <v>0.89515783055391795</v>
      </c>
      <c r="R857">
        <v>9.7455719639330293E-2</v>
      </c>
      <c r="S857" t="s">
        <v>6718</v>
      </c>
      <c r="T857" t="s">
        <v>11720</v>
      </c>
      <c r="U857" t="s">
        <v>11720</v>
      </c>
      <c r="V857" t="s">
        <v>11720</v>
      </c>
      <c r="W857" t="s">
        <v>12557</v>
      </c>
      <c r="X857">
        <v>7</v>
      </c>
      <c r="Y857" t="s">
        <v>18352</v>
      </c>
      <c r="Z857" t="s">
        <v>24064</v>
      </c>
      <c r="AA857">
        <v>0.90648863664479751</v>
      </c>
      <c r="AB857" t="str">
        <f>HYPERLINK("Melting_Curves/meltCurve_H0YGA7_CADM1.pdf", "Melting_Curves/meltCurve_H0YGA7_CADM1.pdf")</f>
        <v>Melting_Curves/meltCurve_H0YGA7_CADM1.pdf</v>
      </c>
    </row>
    <row r="858" spans="1:28" x14ac:dyDescent="0.25">
      <c r="A858" t="s">
        <v>862</v>
      </c>
      <c r="B858">
        <v>0.99334974765950101</v>
      </c>
      <c r="C858">
        <v>1.39045309738471E-2</v>
      </c>
      <c r="D858">
        <v>1.51412183552209</v>
      </c>
      <c r="E858">
        <v>0.45219129700478</v>
      </c>
      <c r="F858">
        <v>0.31387740408588399</v>
      </c>
      <c r="G858">
        <v>0.191245733866406</v>
      </c>
      <c r="H858">
        <v>0.21874681873999399</v>
      </c>
      <c r="I858">
        <v>0.20739980503137201</v>
      </c>
      <c r="J858">
        <v>0.35102862648557498</v>
      </c>
      <c r="K858">
        <v>0.25037692304888598</v>
      </c>
      <c r="L858">
        <v>400.49715716667703</v>
      </c>
      <c r="M858">
        <v>8.1973425858066395</v>
      </c>
      <c r="N858">
        <v>50.780547109237503</v>
      </c>
      <c r="O858">
        <v>46.207769482988198</v>
      </c>
      <c r="P858">
        <v>-3.8470792526577598E-2</v>
      </c>
      <c r="Q858">
        <v>0.13346722324354701</v>
      </c>
      <c r="R858">
        <v>0.25723172625021301</v>
      </c>
      <c r="S858" t="s">
        <v>6719</v>
      </c>
      <c r="T858" t="s">
        <v>11720</v>
      </c>
      <c r="U858" t="s">
        <v>11720</v>
      </c>
      <c r="V858" t="s">
        <v>11720</v>
      </c>
      <c r="W858" t="s">
        <v>12558</v>
      </c>
      <c r="X858">
        <v>21</v>
      </c>
      <c r="Y858" t="s">
        <v>18353</v>
      </c>
      <c r="Z858" t="s">
        <v>24065</v>
      </c>
      <c r="AA858">
        <v>0.44558000390324648</v>
      </c>
      <c r="AB858" t="str">
        <f>HYPERLINK("Melting_Curves/meltCurve_H0YGR4_REXO2.pdf", "Melting_Curves/meltCurve_H0YGR4_REXO2.pdf")</f>
        <v>Melting_Curves/meltCurve_H0YGR4_REXO2.pdf</v>
      </c>
    </row>
    <row r="859" spans="1:28" x14ac:dyDescent="0.25">
      <c r="A859" t="s">
        <v>863</v>
      </c>
      <c r="B859">
        <v>0.99334974765950101</v>
      </c>
      <c r="C859">
        <v>0.96672347574255202</v>
      </c>
      <c r="D859">
        <v>0.78812516902516006</v>
      </c>
      <c r="E859">
        <v>0.65083241093069599</v>
      </c>
      <c r="F859">
        <v>0.321019711521847</v>
      </c>
      <c r="G859">
        <v>0.136744554316682</v>
      </c>
      <c r="H859">
        <v>0.102433310143886</v>
      </c>
      <c r="I859">
        <v>8.0400408259932901E-2</v>
      </c>
      <c r="J859">
        <v>0.10767169094201</v>
      </c>
      <c r="K859">
        <v>8.8355897153326896E-2</v>
      </c>
      <c r="L859">
        <v>901.88798557575205</v>
      </c>
      <c r="M859">
        <v>17.8587528469895</v>
      </c>
      <c r="N859">
        <v>50.913953489828302</v>
      </c>
      <c r="O859">
        <v>49.880731716569102</v>
      </c>
      <c r="P859">
        <v>-8.3478992864624804E-2</v>
      </c>
      <c r="Q859">
        <v>6.7397098153564899E-2</v>
      </c>
      <c r="R859">
        <v>0.98910467361666798</v>
      </c>
      <c r="S859" t="s">
        <v>6720</v>
      </c>
      <c r="T859" t="s">
        <v>11720</v>
      </c>
      <c r="U859" t="s">
        <v>11720</v>
      </c>
      <c r="V859" t="s">
        <v>11720</v>
      </c>
      <c r="W859" t="s">
        <v>12559</v>
      </c>
      <c r="X859">
        <v>2</v>
      </c>
      <c r="Y859" t="s">
        <v>18354</v>
      </c>
      <c r="Z859" t="s">
        <v>24066</v>
      </c>
      <c r="AA859">
        <v>0.40988221397936958</v>
      </c>
      <c r="AB859" t="str">
        <f>HYPERLINK("Melting_Curves/meltCurve_H0YGX7_ARHGDIB.pdf", "Melting_Curves/meltCurve_H0YGX7_ARHGDIB.pdf")</f>
        <v>Melting_Curves/meltCurve_H0YGX7_ARHGDIB.pdf</v>
      </c>
    </row>
    <row r="860" spans="1:28" x14ac:dyDescent="0.25">
      <c r="A860" t="s">
        <v>864</v>
      </c>
      <c r="B860">
        <v>0.99334974765950101</v>
      </c>
      <c r="C860">
        <v>1.00395946829578</v>
      </c>
      <c r="D860">
        <v>0.722855318207686</v>
      </c>
      <c r="E860">
        <v>0.35424899138392002</v>
      </c>
      <c r="F860">
        <v>0.16205678135086499</v>
      </c>
      <c r="G860">
        <v>0.12548808060359201</v>
      </c>
      <c r="H860">
        <v>0.109131576086264</v>
      </c>
      <c r="I860">
        <v>5.8221700068050497E-2</v>
      </c>
      <c r="J860">
        <v>3.3395136016754902E-2</v>
      </c>
      <c r="K860">
        <v>0</v>
      </c>
      <c r="L860">
        <v>1045.5258347952399</v>
      </c>
      <c r="M860">
        <v>21.693550029285099</v>
      </c>
      <c r="N860">
        <v>48.447966418815902</v>
      </c>
      <c r="O860">
        <v>47.791308401272097</v>
      </c>
      <c r="P860">
        <v>-0.107412294987006</v>
      </c>
      <c r="Q860">
        <v>5.3496914914213302E-2</v>
      </c>
      <c r="R860">
        <v>0.99140486804871997</v>
      </c>
      <c r="S860" t="s">
        <v>6721</v>
      </c>
      <c r="T860" t="s">
        <v>11720</v>
      </c>
      <c r="U860" t="s">
        <v>11720</v>
      </c>
      <c r="V860" t="s">
        <v>11720</v>
      </c>
      <c r="W860" t="s">
        <v>12560</v>
      </c>
      <c r="X860">
        <v>1</v>
      </c>
      <c r="Y860" t="s">
        <v>18355</v>
      </c>
      <c r="Z860" t="s">
        <v>24067</v>
      </c>
      <c r="AA860">
        <v>0.32334660814578858</v>
      </c>
      <c r="AB860" t="str">
        <f>HYPERLINK("Melting_Curves/meltCurve_H0YHQ9_ARHGAP23.pdf", "Melting_Curves/meltCurve_H0YHQ9_ARHGAP23.pdf")</f>
        <v>Melting_Curves/meltCurve_H0YHQ9_ARHGAP23.pdf</v>
      </c>
    </row>
    <row r="861" spans="1:28" x14ac:dyDescent="0.25">
      <c r="A861" t="s">
        <v>865</v>
      </c>
      <c r="B861">
        <v>0.99334974765950101</v>
      </c>
      <c r="C861">
        <v>0.98516612077060295</v>
      </c>
      <c r="D861">
        <v>0.65122220804470698</v>
      </c>
      <c r="E861">
        <v>0.4561141061483</v>
      </c>
      <c r="F861">
        <v>0.37544199524251498</v>
      </c>
      <c r="G861">
        <v>0.26746078014501001</v>
      </c>
      <c r="H861">
        <v>0.25760589833292002</v>
      </c>
      <c r="I861">
        <v>0.26003643064850901</v>
      </c>
      <c r="J861">
        <v>0.30368248626255001</v>
      </c>
      <c r="K861">
        <v>0.24678288237652601</v>
      </c>
      <c r="L861">
        <v>971.19708664347195</v>
      </c>
      <c r="M861">
        <v>20.6689063759598</v>
      </c>
      <c r="N861">
        <v>48.816344185165597</v>
      </c>
      <c r="O861">
        <v>46.555098038025598</v>
      </c>
      <c r="P861">
        <v>-8.1091114364638797E-2</v>
      </c>
      <c r="Q861">
        <v>0.26941526103539798</v>
      </c>
      <c r="R861">
        <v>0.98149494099457502</v>
      </c>
      <c r="S861" t="s">
        <v>6722</v>
      </c>
      <c r="T861" t="s">
        <v>11720</v>
      </c>
      <c r="U861" t="s">
        <v>11720</v>
      </c>
      <c r="V861" t="s">
        <v>11720</v>
      </c>
      <c r="W861" t="s">
        <v>12561</v>
      </c>
      <c r="X861">
        <v>16</v>
      </c>
      <c r="Y861" t="s">
        <v>18356</v>
      </c>
      <c r="Z861" t="s">
        <v>24068</v>
      </c>
      <c r="AA861">
        <v>0.44954901678335318</v>
      </c>
      <c r="AB861" t="str">
        <f>HYPERLINK("Melting_Curves/meltCurve_H0YI08_MRVI1.pdf", "Melting_Curves/meltCurve_H0YI08_MRVI1.pdf")</f>
        <v>Melting_Curves/meltCurve_H0YI08_MRVI1.pdf</v>
      </c>
    </row>
    <row r="862" spans="1:28" x14ac:dyDescent="0.25">
      <c r="A862" t="s">
        <v>866</v>
      </c>
      <c r="B862">
        <v>0.99334974765950101</v>
      </c>
      <c r="C862">
        <v>0.97658102690929705</v>
      </c>
      <c r="D862">
        <v>0.94548285252986897</v>
      </c>
      <c r="E862">
        <v>0.81431392718109796</v>
      </c>
      <c r="F862">
        <v>0.76742774531182401</v>
      </c>
      <c r="G862">
        <v>0.57256920507168096</v>
      </c>
      <c r="H862">
        <v>0.42175419686288401</v>
      </c>
      <c r="I862">
        <v>0.27635856531486103</v>
      </c>
      <c r="J862">
        <v>0.14134639675573399</v>
      </c>
      <c r="K862">
        <v>0.100584641751847</v>
      </c>
      <c r="L862">
        <v>658.34569268571101</v>
      </c>
      <c r="M862">
        <v>11.295652638323499</v>
      </c>
      <c r="N862">
        <v>58.2830850748663</v>
      </c>
      <c r="O862">
        <v>56.546011499902299</v>
      </c>
      <c r="P862">
        <v>-4.9955316758356003E-2</v>
      </c>
      <c r="Q862">
        <v>0</v>
      </c>
      <c r="R862">
        <v>0.99245634708783304</v>
      </c>
      <c r="S862" t="s">
        <v>6723</v>
      </c>
      <c r="T862" t="s">
        <v>11720</v>
      </c>
      <c r="U862" t="s">
        <v>11720</v>
      </c>
      <c r="V862" t="s">
        <v>11720</v>
      </c>
      <c r="W862" t="s">
        <v>12562</v>
      </c>
      <c r="X862">
        <v>11</v>
      </c>
      <c r="Y862" t="s">
        <v>18357</v>
      </c>
      <c r="Z862" t="s">
        <v>24069</v>
      </c>
      <c r="AA862">
        <v>0.62000582158743733</v>
      </c>
      <c r="AB862" t="str">
        <f>HYPERLINK("Melting_Curves/meltCurve_H0YI09_METTL7A.pdf", "Melting_Curves/meltCurve_H0YI09_METTL7A.pdf")</f>
        <v>Melting_Curves/meltCurve_H0YI09_METTL7A.pdf</v>
      </c>
    </row>
    <row r="863" spans="1:28" x14ac:dyDescent="0.25">
      <c r="A863" t="s">
        <v>867</v>
      </c>
      <c r="B863">
        <v>0.99334974765950101</v>
      </c>
      <c r="C863">
        <v>0.98211655458825298</v>
      </c>
      <c r="D863">
        <v>0.94106672671527303</v>
      </c>
      <c r="E863">
        <v>0.53082018002790099</v>
      </c>
      <c r="F863">
        <v>0.321160901542348</v>
      </c>
      <c r="G863">
        <v>0.238131404290437</v>
      </c>
      <c r="H863">
        <v>0.20672817602552199</v>
      </c>
      <c r="I863">
        <v>0.19612792587029099</v>
      </c>
      <c r="J863">
        <v>0.21438661638102</v>
      </c>
      <c r="K863">
        <v>0.26916855968520298</v>
      </c>
      <c r="L863">
        <v>1538.00860351644</v>
      </c>
      <c r="M863">
        <v>31.134634302596901</v>
      </c>
      <c r="N863">
        <v>50.3570183801883</v>
      </c>
      <c r="O863">
        <v>49.196192094841699</v>
      </c>
      <c r="P863">
        <v>-0.122850056775806</v>
      </c>
      <c r="Q863">
        <v>0.22353723816006299</v>
      </c>
      <c r="R863">
        <v>0.99640995667730703</v>
      </c>
      <c r="S863" t="s">
        <v>6724</v>
      </c>
      <c r="T863" t="s">
        <v>11720</v>
      </c>
      <c r="U863" t="s">
        <v>11720</v>
      </c>
      <c r="V863" t="s">
        <v>11720</v>
      </c>
      <c r="W863" t="s">
        <v>12563</v>
      </c>
      <c r="X863">
        <v>3</v>
      </c>
      <c r="Z863" t="s">
        <v>24070</v>
      </c>
      <c r="AA863">
        <v>0.47120431431090809</v>
      </c>
      <c r="AB863" t="str">
        <f>HYPERLINK("Melting_Curves/meltCurve_H0YIV9_.pdf", "Melting_Curves/meltCurve_H0YIV9_.pdf")</f>
        <v>Melting_Curves/meltCurve_H0YIV9_.pdf</v>
      </c>
    </row>
    <row r="864" spans="1:28" x14ac:dyDescent="0.25">
      <c r="A864" t="s">
        <v>868</v>
      </c>
      <c r="B864">
        <v>0.99334974765950101</v>
      </c>
      <c r="C864">
        <v>0.96755498660936901</v>
      </c>
      <c r="D864">
        <v>0.95317145931105296</v>
      </c>
      <c r="E864">
        <v>0.881495984837112</v>
      </c>
      <c r="F864">
        <v>0.53297639660986795</v>
      </c>
      <c r="G864">
        <v>0.36696254089139302</v>
      </c>
      <c r="H864">
        <v>9.4449694962322694E-2</v>
      </c>
      <c r="I864">
        <v>5.9111354646819401E-2</v>
      </c>
      <c r="J864">
        <v>4.3050294213647901E-2</v>
      </c>
      <c r="K864">
        <v>3.1884512062179501E-2</v>
      </c>
      <c r="L864">
        <v>965.13298707708896</v>
      </c>
      <c r="M864">
        <v>17.782831545561301</v>
      </c>
      <c r="N864">
        <v>54.307887644954597</v>
      </c>
      <c r="O864">
        <v>53.6009255860181</v>
      </c>
      <c r="P864">
        <v>-8.24781505161402E-2</v>
      </c>
      <c r="Q864">
        <v>5.6304753022711996E-3</v>
      </c>
      <c r="R864">
        <v>0.99062957533912599</v>
      </c>
      <c r="S864" t="s">
        <v>6725</v>
      </c>
      <c r="T864" t="s">
        <v>11720</v>
      </c>
      <c r="U864" t="s">
        <v>11720</v>
      </c>
      <c r="V864" t="s">
        <v>11720</v>
      </c>
      <c r="W864" t="s">
        <v>12564</v>
      </c>
      <c r="X864">
        <v>35</v>
      </c>
      <c r="Y864" t="s">
        <v>18358</v>
      </c>
      <c r="Z864" t="s">
        <v>24071</v>
      </c>
      <c r="AA864">
        <v>0.49479025850668301</v>
      </c>
      <c r="AB864" t="str">
        <f>HYPERLINK("Melting_Curves/meltCurve_H0YJ34_FERMT2.pdf", "Melting_Curves/meltCurve_H0YJ34_FERMT2.pdf")</f>
        <v>Melting_Curves/meltCurve_H0YJ34_FERMT2.pdf</v>
      </c>
    </row>
    <row r="865" spans="1:28" x14ac:dyDescent="0.25">
      <c r="A865" t="s">
        <v>869</v>
      </c>
      <c r="B865">
        <v>0.99334974765950101</v>
      </c>
      <c r="C865">
        <v>0.97728506493489598</v>
      </c>
      <c r="D865">
        <v>0.84316749092961996</v>
      </c>
      <c r="E865">
        <v>0.76810111123229896</v>
      </c>
      <c r="F865">
        <v>0.45802075860837499</v>
      </c>
      <c r="G865">
        <v>0.39756801207825898</v>
      </c>
      <c r="H865">
        <v>0.227693062359903</v>
      </c>
      <c r="I865">
        <v>0.137119621951558</v>
      </c>
      <c r="J865">
        <v>0.22038972832706</v>
      </c>
      <c r="K865">
        <v>0.171104680390187</v>
      </c>
      <c r="L865">
        <v>744.15279082775203</v>
      </c>
      <c r="M865">
        <v>14.2510222948021</v>
      </c>
      <c r="N865">
        <v>53.474652016838398</v>
      </c>
      <c r="O865">
        <v>51.221590160695101</v>
      </c>
      <c r="P865">
        <v>-5.9662466993661997E-2</v>
      </c>
      <c r="Q865">
        <v>0.14234116811262101</v>
      </c>
      <c r="R865">
        <v>0.98056636680793996</v>
      </c>
      <c r="S865" t="s">
        <v>6726</v>
      </c>
      <c r="T865" t="s">
        <v>11720</v>
      </c>
      <c r="U865" t="s">
        <v>11720</v>
      </c>
      <c r="V865" t="s">
        <v>11720</v>
      </c>
      <c r="W865" t="s">
        <v>12565</v>
      </c>
      <c r="X865">
        <v>1</v>
      </c>
      <c r="Y865" t="s">
        <v>18359</v>
      </c>
      <c r="Z865" t="s">
        <v>24072</v>
      </c>
      <c r="AA865">
        <v>0.51213923756647095</v>
      </c>
      <c r="AB865" t="str">
        <f>HYPERLINK("Melting_Curves/meltCurve_H0YJE0_CCDC85C.pdf", "Melting_Curves/meltCurve_H0YJE0_CCDC85C.pdf")</f>
        <v>Melting_Curves/meltCurve_H0YJE0_CCDC85C.pdf</v>
      </c>
    </row>
    <row r="866" spans="1:28" x14ac:dyDescent="0.25">
      <c r="A866" t="s">
        <v>870</v>
      </c>
      <c r="B866">
        <v>0.99334974765950101</v>
      </c>
      <c r="C866">
        <v>0.97501146952601403</v>
      </c>
      <c r="D866">
        <v>1.0452820331266901</v>
      </c>
      <c r="E866">
        <v>1.3977389522805701</v>
      </c>
      <c r="F866">
        <v>2.2106163789552902</v>
      </c>
      <c r="G866">
        <v>2.2317791814342902</v>
      </c>
      <c r="H866">
        <v>1.0577293857158301</v>
      </c>
      <c r="I866">
        <v>1.0391769647284399</v>
      </c>
      <c r="J866">
        <v>0.61584507569996505</v>
      </c>
      <c r="K866">
        <v>0.41165990120921803</v>
      </c>
      <c r="L866">
        <v>15000</v>
      </c>
      <c r="M866">
        <v>224.51242496512799</v>
      </c>
      <c r="N866">
        <v>67.331187790854202</v>
      </c>
      <c r="O866">
        <v>66.806145905429503</v>
      </c>
      <c r="P866">
        <v>-0.49432317756932698</v>
      </c>
      <c r="Q866">
        <v>0.41163476793877102</v>
      </c>
      <c r="R866">
        <v>3.1495499701671099E-2</v>
      </c>
      <c r="S866" t="s">
        <v>6727</v>
      </c>
      <c r="T866" t="s">
        <v>11720</v>
      </c>
      <c r="U866" t="s">
        <v>11720</v>
      </c>
      <c r="V866" t="s">
        <v>11720</v>
      </c>
      <c r="W866" t="s">
        <v>12566</v>
      </c>
      <c r="X866">
        <v>2</v>
      </c>
      <c r="Y866" t="s">
        <v>18360</v>
      </c>
      <c r="Z866" t="s">
        <v>24073</v>
      </c>
      <c r="AA866">
        <v>0.93755085481747791</v>
      </c>
      <c r="AB866" t="str">
        <f>HYPERLINK("Melting_Curves/meltCurve_H0YK61_EMC4.pdf", "Melting_Curves/meltCurve_H0YK61_EMC4.pdf")</f>
        <v>Melting_Curves/meltCurve_H0YK61_EMC4.pdf</v>
      </c>
    </row>
    <row r="867" spans="1:28" x14ac:dyDescent="0.25">
      <c r="A867" t="s">
        <v>871</v>
      </c>
      <c r="B867">
        <v>0.99334974765950101</v>
      </c>
      <c r="C867">
        <v>1.0097004668566401</v>
      </c>
      <c r="D867">
        <v>0.89984045968828896</v>
      </c>
      <c r="E867">
        <v>0.88990357443405499</v>
      </c>
      <c r="F867">
        <v>1.15619809293492</v>
      </c>
      <c r="G867">
        <v>0.79624832923085798</v>
      </c>
      <c r="H867">
        <v>0.67111034516940105</v>
      </c>
      <c r="I867">
        <v>0.77707078484078795</v>
      </c>
      <c r="J867">
        <v>0.66692636095749303</v>
      </c>
      <c r="K867">
        <v>0.50656836457410204</v>
      </c>
      <c r="L867">
        <v>537.71037186762999</v>
      </c>
      <c r="M867">
        <v>7.52554728934554</v>
      </c>
      <c r="O867">
        <v>66.928436660320401</v>
      </c>
      <c r="P867">
        <v>-2.8150336461094098E-2</v>
      </c>
      <c r="Q867">
        <v>0</v>
      </c>
      <c r="R867">
        <v>0.73260712729223099</v>
      </c>
      <c r="S867" t="s">
        <v>6728</v>
      </c>
      <c r="T867" t="s">
        <v>11720</v>
      </c>
      <c r="U867" t="s">
        <v>11720</v>
      </c>
      <c r="V867" t="s">
        <v>11720</v>
      </c>
      <c r="W867" t="s">
        <v>12567</v>
      </c>
      <c r="X867">
        <v>1</v>
      </c>
      <c r="Y867" t="s">
        <v>18361</v>
      </c>
      <c r="Z867" t="s">
        <v>24074</v>
      </c>
      <c r="AA867">
        <v>0.85338626300809139</v>
      </c>
      <c r="AB867" t="str">
        <f>HYPERLINK("Melting_Curves/meltCurve_H0YKW5_C15orf48.pdf", "Melting_Curves/meltCurve_H0YKW5_C15orf48.pdf")</f>
        <v>Melting_Curves/meltCurve_H0YKW5_C15orf48.pdf</v>
      </c>
    </row>
    <row r="868" spans="1:28" x14ac:dyDescent="0.25">
      <c r="A868" t="s">
        <v>872</v>
      </c>
      <c r="B868">
        <v>0.99334974765950101</v>
      </c>
      <c r="C868">
        <v>1.03289291783493</v>
      </c>
      <c r="D868">
        <v>1.0354560237849899</v>
      </c>
      <c r="E868">
        <v>0.73393538503283395</v>
      </c>
      <c r="F868">
        <v>0.456080285319513</v>
      </c>
      <c r="G868">
        <v>9.5312601901220095E-2</v>
      </c>
      <c r="H868">
        <v>4.3472796274595202E-2</v>
      </c>
      <c r="I868">
        <v>4.6250407103554499E-2</v>
      </c>
      <c r="J868">
        <v>3.0627103068753402E-2</v>
      </c>
      <c r="K868">
        <v>1.8212637304138302E-2</v>
      </c>
      <c r="L868">
        <v>1376.45862163379</v>
      </c>
      <c r="M868">
        <v>26.3309429063628</v>
      </c>
      <c r="N868">
        <v>52.368624243983497</v>
      </c>
      <c r="O868">
        <v>51.976600379432803</v>
      </c>
      <c r="P868">
        <v>-0.123747461012729</v>
      </c>
      <c r="Q868">
        <v>2.2913561028843399E-2</v>
      </c>
      <c r="R868">
        <v>0.99535301736077997</v>
      </c>
      <c r="S868" t="s">
        <v>6729</v>
      </c>
      <c r="T868" t="s">
        <v>11720</v>
      </c>
      <c r="U868" t="s">
        <v>11720</v>
      </c>
      <c r="V868" t="s">
        <v>11720</v>
      </c>
      <c r="W868" t="s">
        <v>12568</v>
      </c>
      <c r="X868">
        <v>35</v>
      </c>
      <c r="Y868" t="s">
        <v>18362</v>
      </c>
      <c r="Z868" t="s">
        <v>24075</v>
      </c>
      <c r="AA868">
        <v>0.43080905024061938</v>
      </c>
      <c r="AB868" t="str">
        <f>HYPERLINK("Melting_Curves/meltCurve_H0YL33_ANXA2.pdf", "Melting_Curves/meltCurve_H0YL33_ANXA2.pdf")</f>
        <v>Melting_Curves/meltCurve_H0YL33_ANXA2.pdf</v>
      </c>
    </row>
    <row r="869" spans="1:28" x14ac:dyDescent="0.25">
      <c r="A869" t="s">
        <v>873</v>
      </c>
      <c r="B869">
        <v>0.99334974765950101</v>
      </c>
      <c r="C869">
        <v>0.90643360737925704</v>
      </c>
      <c r="D869">
        <v>0.97905961138875996</v>
      </c>
      <c r="E869">
        <v>0.75726408897189001</v>
      </c>
      <c r="F869">
        <v>0.38992978142495599</v>
      </c>
      <c r="G869">
        <v>9.8015495133144698E-2</v>
      </c>
      <c r="H869">
        <v>7.7955269942126496E-2</v>
      </c>
      <c r="I869">
        <v>7.5536190769282405E-2</v>
      </c>
      <c r="J869">
        <v>6.8898158234948201E-2</v>
      </c>
      <c r="K869">
        <v>5.07848681670581E-2</v>
      </c>
      <c r="L869">
        <v>1526.1489473056199</v>
      </c>
      <c r="M869">
        <v>29.4515655826848</v>
      </c>
      <c r="N869">
        <v>52.045466212899697</v>
      </c>
      <c r="O869">
        <v>51.581798432209297</v>
      </c>
      <c r="P869">
        <v>-0.13415656365279299</v>
      </c>
      <c r="Q869">
        <v>6.0153422694321203E-2</v>
      </c>
      <c r="R869">
        <v>0.99410665461248804</v>
      </c>
      <c r="S869" t="s">
        <v>6730</v>
      </c>
      <c r="T869" t="s">
        <v>11720</v>
      </c>
      <c r="U869" t="s">
        <v>11720</v>
      </c>
      <c r="V869" t="s">
        <v>11720</v>
      </c>
      <c r="W869" t="s">
        <v>12569</v>
      </c>
      <c r="X869">
        <v>2</v>
      </c>
      <c r="Y869" t="s">
        <v>18363</v>
      </c>
      <c r="Z869" t="s">
        <v>24076</v>
      </c>
      <c r="AA869">
        <v>0.43663106603360807</v>
      </c>
      <c r="AB869" t="str">
        <f>HYPERLINK("Melting_Curves/meltCurve_H0YLH9_IL16.pdf", "Melting_Curves/meltCurve_H0YLH9_IL16.pdf")</f>
        <v>Melting_Curves/meltCurve_H0YLH9_IL16.pdf</v>
      </c>
    </row>
    <row r="870" spans="1:28" x14ac:dyDescent="0.25">
      <c r="A870" t="s">
        <v>874</v>
      </c>
      <c r="B870">
        <v>0.99334974765950101</v>
      </c>
      <c r="C870">
        <v>1.0108104444525301</v>
      </c>
      <c r="D870">
        <v>0.99608396849207004</v>
      </c>
      <c r="E870">
        <v>1.1793845295693299</v>
      </c>
      <c r="F870">
        <v>1.3267645760225699</v>
      </c>
      <c r="G870">
        <v>1.8983786753351899</v>
      </c>
      <c r="H870">
        <v>1.76581418275755</v>
      </c>
      <c r="I870">
        <v>2.3060501684067001</v>
      </c>
      <c r="J870">
        <v>1.9421437923465401</v>
      </c>
      <c r="K870">
        <v>1.79403122962368</v>
      </c>
      <c r="L870">
        <v>2151.5690946395698</v>
      </c>
      <c r="M870">
        <v>42.136302865986202</v>
      </c>
      <c r="O870">
        <v>50.9475143017346</v>
      </c>
      <c r="P870">
        <v>0.10338181956591</v>
      </c>
      <c r="Q870">
        <v>1.5</v>
      </c>
      <c r="R870">
        <v>0.423779686468363</v>
      </c>
      <c r="S870" t="s">
        <v>6731</v>
      </c>
      <c r="T870" t="s">
        <v>11720</v>
      </c>
      <c r="U870" t="s">
        <v>11720</v>
      </c>
      <c r="V870" t="s">
        <v>11720</v>
      </c>
      <c r="W870" t="s">
        <v>12570</v>
      </c>
      <c r="X870">
        <v>13</v>
      </c>
      <c r="Y870" t="s">
        <v>18364</v>
      </c>
      <c r="Z870" t="s">
        <v>24077</v>
      </c>
      <c r="AA870">
        <v>1.3140422008967829</v>
      </c>
      <c r="AB870" t="str">
        <f>HYPERLINK("Melting_Curves/meltCurve_H0YMB3_GMPR2.pdf", "Melting_Curves/meltCurve_H0YMB3_GMPR2.pdf")</f>
        <v>Melting_Curves/meltCurve_H0YMB3_GMPR2.pdf</v>
      </c>
    </row>
    <row r="871" spans="1:28" x14ac:dyDescent="0.25">
      <c r="A871" t="s">
        <v>875</v>
      </c>
      <c r="B871">
        <v>0.99334974765950101</v>
      </c>
      <c r="C871">
        <v>0.99225307443741895</v>
      </c>
      <c r="D871">
        <v>0.94277966879298403</v>
      </c>
      <c r="E871">
        <v>0.84883955833380698</v>
      </c>
      <c r="F871">
        <v>0.55613606107750502</v>
      </c>
      <c r="G871">
        <v>0.40700853188005498</v>
      </c>
      <c r="H871">
        <v>0.205542966807786</v>
      </c>
      <c r="I871">
        <v>0.14365902860021501</v>
      </c>
      <c r="J871">
        <v>8.6578381158270795E-2</v>
      </c>
      <c r="K871">
        <v>7.2385158384098203E-2</v>
      </c>
      <c r="L871">
        <v>806.75710893416101</v>
      </c>
      <c r="M871">
        <v>14.7898705399287</v>
      </c>
      <c r="N871">
        <v>54.854711979564598</v>
      </c>
      <c r="O871">
        <v>53.579829027468698</v>
      </c>
      <c r="P871">
        <v>-6.6276669385796294E-2</v>
      </c>
      <c r="Q871">
        <v>3.9690441176801601E-2</v>
      </c>
      <c r="R871">
        <v>0.994148788488456</v>
      </c>
      <c r="S871" t="s">
        <v>6732</v>
      </c>
      <c r="T871" t="s">
        <v>11720</v>
      </c>
      <c r="U871" t="s">
        <v>11720</v>
      </c>
      <c r="V871" t="s">
        <v>11720</v>
      </c>
      <c r="W871" t="s">
        <v>12571</v>
      </c>
      <c r="X871">
        <v>6</v>
      </c>
      <c r="Y871" t="s">
        <v>18365</v>
      </c>
      <c r="Z871" t="s">
        <v>24078</v>
      </c>
      <c r="AA871">
        <v>0.52476869992376762</v>
      </c>
      <c r="AB871" t="str">
        <f>HYPERLINK("Melting_Curves/meltCurve_H0YMF4_RPL28.pdf", "Melting_Curves/meltCurve_H0YMF4_RPL28.pdf")</f>
        <v>Melting_Curves/meltCurve_H0YMF4_RPL28.pdf</v>
      </c>
    </row>
    <row r="872" spans="1:28" x14ac:dyDescent="0.25">
      <c r="A872" t="s">
        <v>876</v>
      </c>
      <c r="B872">
        <v>0.99334974765950101</v>
      </c>
      <c r="C872">
        <v>0.95233659480242405</v>
      </c>
      <c r="D872">
        <v>0.87991308942549395</v>
      </c>
      <c r="E872">
        <v>0.91753145010747295</v>
      </c>
      <c r="F872">
        <v>0.49915058787885902</v>
      </c>
      <c r="G872">
        <v>0.20347986694499601</v>
      </c>
      <c r="H872">
        <v>0.137587055613165</v>
      </c>
      <c r="I872">
        <v>9.6429559612482701E-2</v>
      </c>
      <c r="J872">
        <v>3.3724464526333701E-2</v>
      </c>
      <c r="K872">
        <v>3.6573383887795602E-2</v>
      </c>
      <c r="L872">
        <v>1445.7114945929</v>
      </c>
      <c r="M872">
        <v>27.249946839589299</v>
      </c>
      <c r="N872">
        <v>53.331989088568598</v>
      </c>
      <c r="O872">
        <v>52.770487421152303</v>
      </c>
      <c r="P872">
        <v>-0.120543167170947</v>
      </c>
      <c r="Q872">
        <v>6.6264461211943904E-2</v>
      </c>
      <c r="R872">
        <v>0.98452369754028501</v>
      </c>
      <c r="S872" t="s">
        <v>6733</v>
      </c>
      <c r="T872" t="s">
        <v>11720</v>
      </c>
      <c r="U872" t="s">
        <v>11720</v>
      </c>
      <c r="V872" t="s">
        <v>11720</v>
      </c>
      <c r="W872" t="s">
        <v>12572</v>
      </c>
      <c r="X872">
        <v>3</v>
      </c>
      <c r="Y872" t="s">
        <v>18366</v>
      </c>
      <c r="Z872" t="s">
        <v>24079</v>
      </c>
      <c r="AA872">
        <v>0.47985808513192862</v>
      </c>
      <c r="AB872" t="str">
        <f>HYPERLINK("Melting_Curves/meltCurve_H0YMG7_ALDH1A2.pdf", "Melting_Curves/meltCurve_H0YMG7_ALDH1A2.pdf")</f>
        <v>Melting_Curves/meltCurve_H0YMG7_ALDH1A2.pdf</v>
      </c>
    </row>
    <row r="873" spans="1:28" x14ac:dyDescent="0.25">
      <c r="A873" t="s">
        <v>877</v>
      </c>
      <c r="B873">
        <v>0.99334974765950101</v>
      </c>
      <c r="C873">
        <v>0.95130616908221599</v>
      </c>
      <c r="D873">
        <v>0.90610026002212696</v>
      </c>
      <c r="E873">
        <v>0.858271806259567</v>
      </c>
      <c r="F873">
        <v>1.00159179417013</v>
      </c>
      <c r="G873">
        <v>0.72111134404396704</v>
      </c>
      <c r="H873">
        <v>0.91891440456172402</v>
      </c>
      <c r="I873">
        <v>1.3572340001976599</v>
      </c>
      <c r="J873">
        <v>1.3253978219895499</v>
      </c>
      <c r="K873">
        <v>1.16260882020944</v>
      </c>
      <c r="L873">
        <v>7686.5163592559302</v>
      </c>
      <c r="M873">
        <v>122.998493278358</v>
      </c>
      <c r="O873">
        <v>62.476257574034499</v>
      </c>
      <c r="P873">
        <v>0.139649636926369</v>
      </c>
      <c r="Q873">
        <v>1.2837363472227701</v>
      </c>
      <c r="R873">
        <v>0.61742466764514703</v>
      </c>
      <c r="S873" t="s">
        <v>6734</v>
      </c>
      <c r="T873" t="s">
        <v>11720</v>
      </c>
      <c r="U873" t="s">
        <v>11720</v>
      </c>
      <c r="V873" t="s">
        <v>11720</v>
      </c>
      <c r="W873" t="s">
        <v>12573</v>
      </c>
      <c r="X873">
        <v>3</v>
      </c>
      <c r="Y873" t="s">
        <v>18367</v>
      </c>
      <c r="Z873" t="s">
        <v>24080</v>
      </c>
      <c r="AA873">
        <v>1.07087384645475</v>
      </c>
      <c r="AB873" t="str">
        <f>HYPERLINK("Melting_Curves/meltCurve_H0YN78_C15orf57.pdf", "Melting_Curves/meltCurve_H0YN78_C15orf57.pdf")</f>
        <v>Melting_Curves/meltCurve_H0YN78_C15orf57.pdf</v>
      </c>
    </row>
    <row r="874" spans="1:28" x14ac:dyDescent="0.25">
      <c r="A874" t="s">
        <v>878</v>
      </c>
      <c r="B874">
        <v>0.99334974765950101</v>
      </c>
      <c r="C874">
        <v>1.00538818481244</v>
      </c>
      <c r="D874">
        <v>0.88233844234507597</v>
      </c>
      <c r="E874">
        <v>0.98358766131450004</v>
      </c>
      <c r="F874">
        <v>0.35027354781957598</v>
      </c>
      <c r="G874">
        <v>0.20460728421042401</v>
      </c>
      <c r="H874">
        <v>0.14184389040790699</v>
      </c>
      <c r="I874">
        <v>0.14013112864383301</v>
      </c>
      <c r="J874">
        <v>0.115694495531467</v>
      </c>
      <c r="K874">
        <v>8.9173315307839299E-2</v>
      </c>
      <c r="L874">
        <v>4267.64891185744</v>
      </c>
      <c r="M874">
        <v>81.634561407157705</v>
      </c>
      <c r="N874">
        <v>52.485056266174901</v>
      </c>
      <c r="O874">
        <v>52.246113277909899</v>
      </c>
      <c r="P874">
        <v>-0.336735069622289</v>
      </c>
      <c r="Q874">
        <v>0.137958142967289</v>
      </c>
      <c r="R874">
        <v>0.98646687318635695</v>
      </c>
      <c r="S874" t="s">
        <v>6735</v>
      </c>
      <c r="T874" t="s">
        <v>11720</v>
      </c>
      <c r="U874" t="s">
        <v>11720</v>
      </c>
      <c r="V874" t="s">
        <v>11720</v>
      </c>
      <c r="W874" t="s">
        <v>12574</v>
      </c>
      <c r="X874">
        <v>11</v>
      </c>
      <c r="Y874" t="s">
        <v>18368</v>
      </c>
      <c r="Z874" t="s">
        <v>24081</v>
      </c>
      <c r="AA874">
        <v>0.4914912286601838</v>
      </c>
      <c r="AB874" t="str">
        <f>HYPERLINK("Melting_Curves/meltCurve_H0YNG3_SEC11A.pdf", "Melting_Curves/meltCurve_H0YNG3_SEC11A.pdf")</f>
        <v>Melting_Curves/meltCurve_H0YNG3_SEC11A.pdf</v>
      </c>
    </row>
    <row r="875" spans="1:28" x14ac:dyDescent="0.25">
      <c r="A875" t="s">
        <v>879</v>
      </c>
      <c r="B875">
        <v>0.99334974765950101</v>
      </c>
      <c r="C875">
        <v>0.94456468833669804</v>
      </c>
      <c r="D875">
        <v>0.74653278862502204</v>
      </c>
      <c r="E875">
        <v>0.51757420941977095</v>
      </c>
      <c r="F875">
        <v>0.23876813739170499</v>
      </c>
      <c r="G875">
        <v>0.143662793561145</v>
      </c>
      <c r="H875">
        <v>8.89715319984547E-2</v>
      </c>
      <c r="I875">
        <v>6.8514654553751206E-2</v>
      </c>
      <c r="J875">
        <v>6.1248393681388298E-2</v>
      </c>
      <c r="K875">
        <v>3.6806049476608302E-2</v>
      </c>
      <c r="L875">
        <v>814.94341103923603</v>
      </c>
      <c r="M875">
        <v>16.497678402742402</v>
      </c>
      <c r="N875">
        <v>49.661572791667297</v>
      </c>
      <c r="O875">
        <v>48.688784920376897</v>
      </c>
      <c r="P875">
        <v>-8.11576847905916E-2</v>
      </c>
      <c r="Q875">
        <v>4.19999270207468E-2</v>
      </c>
      <c r="R875">
        <v>0.995901772044125</v>
      </c>
      <c r="S875" t="s">
        <v>6736</v>
      </c>
      <c r="T875" t="s">
        <v>11720</v>
      </c>
      <c r="U875" t="s">
        <v>11720</v>
      </c>
      <c r="V875" t="s">
        <v>11720</v>
      </c>
      <c r="W875" t="s">
        <v>12575</v>
      </c>
      <c r="X875">
        <v>4</v>
      </c>
      <c r="Y875" t="s">
        <v>18369</v>
      </c>
      <c r="Z875" t="s">
        <v>24082</v>
      </c>
      <c r="AA875">
        <v>0.36159412316667661</v>
      </c>
      <c r="AB875" t="str">
        <f>HYPERLINK("Melting_Curves/meltCurve_H0YNH5_DPH6.pdf", "Melting_Curves/meltCurve_H0YNH5_DPH6.pdf")</f>
        <v>Melting_Curves/meltCurve_H0YNH5_DPH6.pdf</v>
      </c>
    </row>
    <row r="876" spans="1:28" x14ac:dyDescent="0.25">
      <c r="A876" t="s">
        <v>880</v>
      </c>
      <c r="B876">
        <v>0.99334974765950101</v>
      </c>
      <c r="C876">
        <v>0.81778042052760203</v>
      </c>
      <c r="D876">
        <v>0.482203876303265</v>
      </c>
      <c r="E876">
        <v>0.39744861227249401</v>
      </c>
      <c r="F876">
        <v>0.32833624540359702</v>
      </c>
      <c r="G876">
        <v>0.23571157867729101</v>
      </c>
      <c r="H876">
        <v>0.20562275402001301</v>
      </c>
      <c r="I876">
        <v>0.195070338850555</v>
      </c>
      <c r="J876">
        <v>0.22184396190057301</v>
      </c>
      <c r="K876">
        <v>0.18406211589844501</v>
      </c>
      <c r="L876">
        <v>800.51242344118702</v>
      </c>
      <c r="M876">
        <v>17.6224704313655</v>
      </c>
      <c r="N876">
        <v>46.9057289721354</v>
      </c>
      <c r="O876">
        <v>44.852846705585002</v>
      </c>
      <c r="P876">
        <v>-7.72800142525088E-2</v>
      </c>
      <c r="Q876">
        <v>0.21326784169132201</v>
      </c>
      <c r="R876">
        <v>0.97442120565845003</v>
      </c>
      <c r="S876" t="s">
        <v>6737</v>
      </c>
      <c r="T876" t="s">
        <v>11720</v>
      </c>
      <c r="U876" t="s">
        <v>11720</v>
      </c>
      <c r="V876" t="s">
        <v>11720</v>
      </c>
      <c r="W876" t="s">
        <v>12576</v>
      </c>
      <c r="X876">
        <v>37</v>
      </c>
      <c r="Y876" t="s">
        <v>18370</v>
      </c>
      <c r="Z876" t="s">
        <v>24083</v>
      </c>
      <c r="AA876">
        <v>0.37257680924875092</v>
      </c>
      <c r="AB876" t="str">
        <f>HYPERLINK("Melting_Curves/meltCurve_H0YNH8_UACA.pdf", "Melting_Curves/meltCurve_H0YNH8_UACA.pdf")</f>
        <v>Melting_Curves/meltCurve_H0YNH8_UACA.pdf</v>
      </c>
    </row>
    <row r="877" spans="1:28" x14ac:dyDescent="0.25">
      <c r="A877" t="s">
        <v>881</v>
      </c>
      <c r="B877">
        <v>0.99334974765950101</v>
      </c>
      <c r="C877">
        <v>0.98836183963157798</v>
      </c>
      <c r="D877">
        <v>0.97563485445525699</v>
      </c>
      <c r="E877">
        <v>0.97805314578553104</v>
      </c>
      <c r="F877">
        <v>1.0924509787262799</v>
      </c>
      <c r="G877">
        <v>1.036363743408</v>
      </c>
      <c r="H877">
        <v>1.0375928074949301</v>
      </c>
      <c r="I877">
        <v>1.1602139975433201</v>
      </c>
      <c r="J877">
        <v>1.1866823749933499</v>
      </c>
      <c r="K877">
        <v>0.97230350845246205</v>
      </c>
      <c r="L877">
        <v>12857.568876212499</v>
      </c>
      <c r="M877">
        <v>249.5211660809</v>
      </c>
      <c r="O877">
        <v>51.525660630332098</v>
      </c>
      <c r="P877">
        <v>9.7979151290545297E-2</v>
      </c>
      <c r="Q877">
        <v>1.0809300560555199</v>
      </c>
      <c r="R877">
        <v>0.38457350936302898</v>
      </c>
      <c r="S877" t="s">
        <v>6738</v>
      </c>
      <c r="T877" t="s">
        <v>11720</v>
      </c>
      <c r="U877" t="s">
        <v>11720</v>
      </c>
      <c r="V877" t="s">
        <v>11720</v>
      </c>
      <c r="W877" t="s">
        <v>12577</v>
      </c>
      <c r="X877">
        <v>16</v>
      </c>
      <c r="Y877" t="s">
        <v>18371</v>
      </c>
      <c r="Z877" t="s">
        <v>24084</v>
      </c>
      <c r="AA877">
        <v>1.0498213675034389</v>
      </c>
      <c r="AB877" t="str">
        <f>HYPERLINK("Melting_Curves/meltCurve_H3BLU2_LSAMP.pdf", "Melting_Curves/meltCurve_H3BLU2_LSAMP.pdf")</f>
        <v>Melting_Curves/meltCurve_H3BLU2_LSAMP.pdf</v>
      </c>
    </row>
    <row r="878" spans="1:28" x14ac:dyDescent="0.25">
      <c r="A878" t="s">
        <v>882</v>
      </c>
      <c r="B878">
        <v>0.99334974765950101</v>
      </c>
      <c r="C878">
        <v>0.938658905176466</v>
      </c>
      <c r="D878">
        <v>0.91649506354823596</v>
      </c>
      <c r="E878">
        <v>0.85275992184787996</v>
      </c>
      <c r="F878">
        <v>0.87542088239917304</v>
      </c>
      <c r="G878">
        <v>0.81674611919829998</v>
      </c>
      <c r="H878">
        <v>0.73474439603064201</v>
      </c>
      <c r="I878">
        <v>0.76250960317067296</v>
      </c>
      <c r="J878">
        <v>0.54166696584329599</v>
      </c>
      <c r="K878">
        <v>0.37973980416074798</v>
      </c>
      <c r="L878">
        <v>469.41898851431102</v>
      </c>
      <c r="M878">
        <v>6.7915400069854801</v>
      </c>
      <c r="N878">
        <v>69.118220068509899</v>
      </c>
      <c r="O878">
        <v>63.867980145610197</v>
      </c>
      <c r="P878">
        <v>-2.6639339432179401E-2</v>
      </c>
      <c r="Q878">
        <v>0</v>
      </c>
      <c r="R878">
        <v>0.88170621804370197</v>
      </c>
      <c r="S878" t="s">
        <v>6739</v>
      </c>
      <c r="T878" t="s">
        <v>11720</v>
      </c>
      <c r="U878" t="s">
        <v>11720</v>
      </c>
      <c r="V878" t="s">
        <v>11720</v>
      </c>
      <c r="W878" t="s">
        <v>12578</v>
      </c>
      <c r="X878">
        <v>12</v>
      </c>
      <c r="Y878" t="s">
        <v>18372</v>
      </c>
      <c r="Z878" t="s">
        <v>24085</v>
      </c>
      <c r="AA878">
        <v>0.80739346126238332</v>
      </c>
      <c r="AB878" t="str">
        <f>HYPERLINK("Melting_Curves/meltCurve_H3BLV0_CD55.pdf", "Melting_Curves/meltCurve_H3BLV0_CD55.pdf")</f>
        <v>Melting_Curves/meltCurve_H3BLV0_CD55.pdf</v>
      </c>
    </row>
    <row r="879" spans="1:28" x14ac:dyDescent="0.25">
      <c r="A879" t="s">
        <v>883</v>
      </c>
      <c r="B879">
        <v>0.99334974765950101</v>
      </c>
      <c r="C879">
        <v>1.1170013577053199</v>
      </c>
      <c r="D879">
        <v>0.63756712668571702</v>
      </c>
      <c r="E879">
        <v>0.85305740344332304</v>
      </c>
      <c r="F879">
        <v>1.07492801936047</v>
      </c>
      <c r="G879">
        <v>0.93902472500711298</v>
      </c>
      <c r="H879">
        <v>0.76563547813854105</v>
      </c>
      <c r="I879">
        <v>0.97210320087331004</v>
      </c>
      <c r="J879">
        <v>1.38427900496996</v>
      </c>
      <c r="K879">
        <v>0.89067723231729701</v>
      </c>
      <c r="S879" t="s">
        <v>6740</v>
      </c>
      <c r="T879" t="s">
        <v>11720</v>
      </c>
      <c r="U879" t="s">
        <v>11721</v>
      </c>
      <c r="V879" t="s">
        <v>11720</v>
      </c>
      <c r="W879" t="s">
        <v>12579</v>
      </c>
      <c r="X879">
        <v>3</v>
      </c>
      <c r="Y879" t="s">
        <v>18373</v>
      </c>
      <c r="Z879" t="s">
        <v>24086</v>
      </c>
      <c r="AB879" t="str">
        <f>HYPERLINK("Melting_Curves/meltCurve_H3BLZ2_DBNDD1.pdf", "Melting_Curves/meltCurve_H3BLZ2_DBNDD1.pdf")</f>
        <v>Melting_Curves/meltCurve_H3BLZ2_DBNDD1.pdf</v>
      </c>
    </row>
    <row r="880" spans="1:28" x14ac:dyDescent="0.25">
      <c r="A880" t="s">
        <v>884</v>
      </c>
      <c r="B880">
        <v>0.99334974765950101</v>
      </c>
      <c r="C880">
        <v>1.0545189884464801</v>
      </c>
      <c r="D880">
        <v>0.83709447279205296</v>
      </c>
      <c r="E880">
        <v>0.52221617655542996</v>
      </c>
      <c r="F880">
        <v>0.207173412492001</v>
      </c>
      <c r="G880">
        <v>0.17195178495104499</v>
      </c>
      <c r="H880">
        <v>0.130589245127786</v>
      </c>
      <c r="I880">
        <v>0.13025408843316799</v>
      </c>
      <c r="J880">
        <v>0.10724997202287399</v>
      </c>
      <c r="K880">
        <v>9.2474981856748004E-2</v>
      </c>
      <c r="L880">
        <v>1241.25931935728</v>
      </c>
      <c r="M880">
        <v>25.129858766984899</v>
      </c>
      <c r="N880">
        <v>49.905875616658697</v>
      </c>
      <c r="O880">
        <v>49.084207110872001</v>
      </c>
      <c r="P880">
        <v>-0.11344960880424999</v>
      </c>
      <c r="Q880">
        <v>0.113642362997702</v>
      </c>
      <c r="R880">
        <v>0.99157234801778305</v>
      </c>
      <c r="S880" t="s">
        <v>6741</v>
      </c>
      <c r="T880" t="s">
        <v>11720</v>
      </c>
      <c r="U880" t="s">
        <v>11720</v>
      </c>
      <c r="V880" t="s">
        <v>11720</v>
      </c>
      <c r="W880" t="s">
        <v>12580</v>
      </c>
      <c r="X880">
        <v>15</v>
      </c>
      <c r="Y880" t="s">
        <v>18374</v>
      </c>
      <c r="Z880" t="s">
        <v>24087</v>
      </c>
      <c r="AA880">
        <v>0.39897924856545669</v>
      </c>
      <c r="AB880" t="str">
        <f>HYPERLINK("Melting_Curves/meltCurve_H3BLZ8_DDX17.pdf", "Melting_Curves/meltCurve_H3BLZ8_DDX17.pdf")</f>
        <v>Melting_Curves/meltCurve_H3BLZ8_DDX17.pdf</v>
      </c>
    </row>
    <row r="881" spans="1:28" x14ac:dyDescent="0.25">
      <c r="A881" t="s">
        <v>885</v>
      </c>
      <c r="B881">
        <v>0.99334974765950101</v>
      </c>
      <c r="C881">
        <v>0.942915400622517</v>
      </c>
      <c r="D881">
        <v>0.72707010861631804</v>
      </c>
      <c r="E881">
        <v>0.30256946778573501</v>
      </c>
      <c r="F881">
        <v>0.211276483102184</v>
      </c>
      <c r="G881">
        <v>0.12336432208204599</v>
      </c>
      <c r="H881">
        <v>9.6605058408176001E-2</v>
      </c>
      <c r="I881">
        <v>8.7708739450308104E-2</v>
      </c>
      <c r="J881">
        <v>8.4677726952509497E-2</v>
      </c>
      <c r="K881">
        <v>6.7436878726966604E-2</v>
      </c>
      <c r="L881">
        <v>1071.1546252532901</v>
      </c>
      <c r="M881">
        <v>22.452869572949702</v>
      </c>
      <c r="N881">
        <v>48.121897695415903</v>
      </c>
      <c r="O881">
        <v>47.333195685870201</v>
      </c>
      <c r="P881">
        <v>-0.108151661850833</v>
      </c>
      <c r="Q881">
        <v>8.8034685240530305E-2</v>
      </c>
      <c r="R881">
        <v>0.99783740816411204</v>
      </c>
      <c r="S881" t="s">
        <v>6742</v>
      </c>
      <c r="T881" t="s">
        <v>11720</v>
      </c>
      <c r="U881" t="s">
        <v>11720</v>
      </c>
      <c r="V881" t="s">
        <v>11720</v>
      </c>
      <c r="W881" t="s">
        <v>12581</v>
      </c>
      <c r="X881">
        <v>14</v>
      </c>
      <c r="Y881" t="s">
        <v>18375</v>
      </c>
      <c r="Z881" t="s">
        <v>24088</v>
      </c>
      <c r="AA881">
        <v>0.33248307527565552</v>
      </c>
      <c r="AB881" t="str">
        <f>HYPERLINK("Melting_Curves/meltCurve_H3BM14_NUB1.pdf", "Melting_Curves/meltCurve_H3BM14_NUB1.pdf")</f>
        <v>Melting_Curves/meltCurve_H3BM14_NUB1.pdf</v>
      </c>
    </row>
    <row r="882" spans="1:28" x14ac:dyDescent="0.25">
      <c r="A882" t="s">
        <v>886</v>
      </c>
      <c r="B882">
        <v>0.99334974765950101</v>
      </c>
      <c r="C882">
        <v>1.0808914592963601</v>
      </c>
      <c r="D882">
        <v>0.906509036290988</v>
      </c>
      <c r="E882">
        <v>0.92778816984219104</v>
      </c>
      <c r="F882">
        <v>0.843025198498627</v>
      </c>
      <c r="G882">
        <v>0.70838077962550805</v>
      </c>
      <c r="H882">
        <v>0.58435262254048104</v>
      </c>
      <c r="I882">
        <v>0.59301702499296804</v>
      </c>
      <c r="J882">
        <v>0.525173612014605</v>
      </c>
      <c r="K882">
        <v>0.481632403620875</v>
      </c>
      <c r="L882">
        <v>716.47954628172397</v>
      </c>
      <c r="M882">
        <v>12.668233565430199</v>
      </c>
      <c r="N882">
        <v>69.734537138599094</v>
      </c>
      <c r="O882">
        <v>55.203399856223101</v>
      </c>
      <c r="P882">
        <v>-3.1309797656164602E-2</v>
      </c>
      <c r="Q882">
        <v>0.454361205493031</v>
      </c>
      <c r="R882">
        <v>0.96314436953250304</v>
      </c>
      <c r="S882" t="s">
        <v>6743</v>
      </c>
      <c r="T882" t="s">
        <v>11720</v>
      </c>
      <c r="U882" t="s">
        <v>11720</v>
      </c>
      <c r="V882" t="s">
        <v>11720</v>
      </c>
      <c r="W882" t="s">
        <v>12582</v>
      </c>
      <c r="X882">
        <v>6</v>
      </c>
      <c r="Y882" t="s">
        <v>18376</v>
      </c>
      <c r="Z882" t="s">
        <v>24089</v>
      </c>
      <c r="AA882">
        <v>0.76544926069712138</v>
      </c>
      <c r="AB882" t="str">
        <f>HYPERLINK("Melting_Curves/meltCurve_H3BM67_NOL3.pdf", "Melting_Curves/meltCurve_H3BM67_NOL3.pdf")</f>
        <v>Melting_Curves/meltCurve_H3BM67_NOL3.pdf</v>
      </c>
    </row>
    <row r="883" spans="1:28" x14ac:dyDescent="0.25">
      <c r="A883" t="s">
        <v>887</v>
      </c>
      <c r="B883">
        <v>0.99334974765950101</v>
      </c>
      <c r="C883">
        <v>0.96375503771225401</v>
      </c>
      <c r="D883">
        <v>0.94329770292410597</v>
      </c>
      <c r="E883">
        <v>0.80601752830321605</v>
      </c>
      <c r="F883">
        <v>0.54895097823291195</v>
      </c>
      <c r="G883">
        <v>0.23653749884667999</v>
      </c>
      <c r="H883">
        <v>0.129140163675418</v>
      </c>
      <c r="I883">
        <v>0.112660336961716</v>
      </c>
      <c r="J883">
        <v>0.121701868702321</v>
      </c>
      <c r="K883">
        <v>9.9168115848184704E-2</v>
      </c>
      <c r="L883">
        <v>1174.6747155441501</v>
      </c>
      <c r="M883">
        <v>22.206831476272701</v>
      </c>
      <c r="N883">
        <v>53.407594408480897</v>
      </c>
      <c r="O883">
        <v>52.473656208629102</v>
      </c>
      <c r="P883">
        <v>-9.5683147325395193E-2</v>
      </c>
      <c r="Q883">
        <v>9.5641188442482497E-2</v>
      </c>
      <c r="R883">
        <v>0.99833587767161303</v>
      </c>
      <c r="S883" t="s">
        <v>6744</v>
      </c>
      <c r="T883" t="s">
        <v>11720</v>
      </c>
      <c r="U883" t="s">
        <v>11720</v>
      </c>
      <c r="V883" t="s">
        <v>11720</v>
      </c>
      <c r="W883" t="s">
        <v>12583</v>
      </c>
      <c r="X883">
        <v>6</v>
      </c>
      <c r="Y883" t="s">
        <v>18377</v>
      </c>
      <c r="Z883" t="s">
        <v>24090</v>
      </c>
      <c r="AA883">
        <v>0.4947782813944735</v>
      </c>
      <c r="AB883" t="str">
        <f>HYPERLINK("Melting_Curves/meltCurve_H3BM91_COMMD4.pdf", "Melting_Curves/meltCurve_H3BM91_COMMD4.pdf")</f>
        <v>Melting_Curves/meltCurve_H3BM91_COMMD4.pdf</v>
      </c>
    </row>
    <row r="884" spans="1:28" x14ac:dyDescent="0.25">
      <c r="A884" t="s">
        <v>888</v>
      </c>
      <c r="B884">
        <v>0.99334974765950101</v>
      </c>
      <c r="C884">
        <v>0.87300372395903103</v>
      </c>
      <c r="D884">
        <v>0.76651053815646797</v>
      </c>
      <c r="E884">
        <v>0.61758784379965304</v>
      </c>
      <c r="F884">
        <v>0.50144457090616101</v>
      </c>
      <c r="G884">
        <v>0.29556517444796898</v>
      </c>
      <c r="H884">
        <v>0.33258918132082199</v>
      </c>
      <c r="I884">
        <v>0.282931299710586</v>
      </c>
      <c r="J884">
        <v>0.348304411770406</v>
      </c>
      <c r="K884">
        <v>0.28743538680356001</v>
      </c>
      <c r="L884">
        <v>646.17467250663196</v>
      </c>
      <c r="M884">
        <v>13.199776397182699</v>
      </c>
      <c r="N884">
        <v>52.114930863834601</v>
      </c>
      <c r="O884">
        <v>47.870772832513502</v>
      </c>
      <c r="P884">
        <v>-4.9951006207324997E-2</v>
      </c>
      <c r="Q884">
        <v>0.27550402042924699</v>
      </c>
      <c r="R884">
        <v>0.97939174545400798</v>
      </c>
      <c r="S884" t="s">
        <v>6745</v>
      </c>
      <c r="T884" t="s">
        <v>11720</v>
      </c>
      <c r="U884" t="s">
        <v>11720</v>
      </c>
      <c r="V884" t="s">
        <v>11720</v>
      </c>
      <c r="W884" t="s">
        <v>12584</v>
      </c>
      <c r="X884">
        <v>1</v>
      </c>
      <c r="Y884" t="s">
        <v>18378</v>
      </c>
      <c r="Z884" t="s">
        <v>24091</v>
      </c>
      <c r="AA884">
        <v>0.51436910417485571</v>
      </c>
      <c r="AB884" t="str">
        <f>HYPERLINK("Melting_Curves/meltCurve_H3BMA2_SIN3A.pdf", "Melting_Curves/meltCurve_H3BMA2_SIN3A.pdf")</f>
        <v>Melting_Curves/meltCurve_H3BMA2_SIN3A.pdf</v>
      </c>
    </row>
    <row r="885" spans="1:28" x14ac:dyDescent="0.25">
      <c r="A885" t="s">
        <v>889</v>
      </c>
      <c r="B885">
        <v>0.99334974765950101</v>
      </c>
      <c r="C885">
        <v>1.01255808618954</v>
      </c>
      <c r="D885">
        <v>1.0936943018276899</v>
      </c>
      <c r="E885">
        <v>0.91249224416982599</v>
      </c>
      <c r="F885">
        <v>0.97001354757922098</v>
      </c>
      <c r="G885">
        <v>0.78166936321745595</v>
      </c>
      <c r="H885">
        <v>0.75883529408152095</v>
      </c>
      <c r="I885">
        <v>1.1564146201771399</v>
      </c>
      <c r="J885">
        <v>1.0222975606800699</v>
      </c>
      <c r="K885">
        <v>0.62333916636153996</v>
      </c>
      <c r="L885">
        <v>1632.6615100225399</v>
      </c>
      <c r="M885">
        <v>31.811475982329199</v>
      </c>
      <c r="O885">
        <v>51.121520813695902</v>
      </c>
      <c r="P885">
        <v>-1.9501837720903002E-2</v>
      </c>
      <c r="Q885">
        <v>0.87464171547993497</v>
      </c>
      <c r="R885">
        <v>0.168862358257518</v>
      </c>
      <c r="S885" t="s">
        <v>6746</v>
      </c>
      <c r="T885" t="s">
        <v>11720</v>
      </c>
      <c r="U885" t="s">
        <v>11720</v>
      </c>
      <c r="V885" t="s">
        <v>11720</v>
      </c>
      <c r="W885" t="s">
        <v>12585</v>
      </c>
      <c r="X885">
        <v>4</v>
      </c>
      <c r="Y885" t="s">
        <v>18379</v>
      </c>
      <c r="Z885" t="s">
        <v>24092</v>
      </c>
      <c r="AA885">
        <v>0.9226609269110263</v>
      </c>
      <c r="AB885" t="str">
        <f>HYPERLINK("Melting_Curves/meltCurve_H3BMF4_SPNS1.pdf", "Melting_Curves/meltCurve_H3BMF4_SPNS1.pdf")</f>
        <v>Melting_Curves/meltCurve_H3BMF4_SPNS1.pdf</v>
      </c>
    </row>
    <row r="886" spans="1:28" x14ac:dyDescent="0.25">
      <c r="A886" t="s">
        <v>890</v>
      </c>
      <c r="B886">
        <v>0.99334974765950101</v>
      </c>
      <c r="C886">
        <v>1.04663157970784</v>
      </c>
      <c r="D886">
        <v>0.95143591812680295</v>
      </c>
      <c r="E886">
        <v>0.96952175134162699</v>
      </c>
      <c r="F886">
        <v>0.78511367994043302</v>
      </c>
      <c r="G886">
        <v>0.76583855362493602</v>
      </c>
      <c r="H886">
        <v>0.55751664443124305</v>
      </c>
      <c r="I886">
        <v>0.74549984254383095</v>
      </c>
      <c r="J886">
        <v>0.60349792160691995</v>
      </c>
      <c r="K886">
        <v>0.49921869169885003</v>
      </c>
      <c r="L886">
        <v>723.16731033810595</v>
      </c>
      <c r="M886">
        <v>12.978654644332201</v>
      </c>
      <c r="O886">
        <v>54.446682129256203</v>
      </c>
      <c r="P886">
        <v>-2.7491949587132601E-2</v>
      </c>
      <c r="Q886">
        <v>0.53875670895047401</v>
      </c>
      <c r="R886">
        <v>0.87397452339397497</v>
      </c>
      <c r="S886" t="s">
        <v>6747</v>
      </c>
      <c r="T886" t="s">
        <v>11720</v>
      </c>
      <c r="U886" t="s">
        <v>11720</v>
      </c>
      <c r="V886" t="s">
        <v>11720</v>
      </c>
      <c r="W886" t="s">
        <v>12586</v>
      </c>
      <c r="X886">
        <v>2</v>
      </c>
      <c r="Y886" t="s">
        <v>18380</v>
      </c>
      <c r="Z886" t="s">
        <v>24093</v>
      </c>
      <c r="AA886">
        <v>0.78984194726261947</v>
      </c>
      <c r="AB886" t="str">
        <f>HYPERLINK("Melting_Curves/meltCurve_H3BML8_TMEM219.pdf", "Melting_Curves/meltCurve_H3BML8_TMEM219.pdf")</f>
        <v>Melting_Curves/meltCurve_H3BML8_TMEM219.pdf</v>
      </c>
    </row>
    <row r="887" spans="1:28" x14ac:dyDescent="0.25">
      <c r="A887" t="s">
        <v>891</v>
      </c>
      <c r="B887">
        <v>0.99334974765950101</v>
      </c>
      <c r="C887">
        <v>0.83691663961396201</v>
      </c>
      <c r="D887">
        <v>0.68701107803106298</v>
      </c>
      <c r="E887">
        <v>0.68361251535115597</v>
      </c>
      <c r="F887">
        <v>0.44242408495547098</v>
      </c>
      <c r="G887">
        <v>0.36256941551048999</v>
      </c>
      <c r="H887">
        <v>0.32127640085399201</v>
      </c>
      <c r="I887">
        <v>0.33048728340480998</v>
      </c>
      <c r="J887">
        <v>0.38748816104850098</v>
      </c>
      <c r="K887">
        <v>0.31940944955732797</v>
      </c>
      <c r="L887">
        <v>572.35220184826005</v>
      </c>
      <c r="M887">
        <v>11.903391609285899</v>
      </c>
      <c r="N887">
        <v>52.216485055852999</v>
      </c>
      <c r="O887">
        <v>46.7863185480835</v>
      </c>
      <c r="P887">
        <v>-4.4208601123052797E-2</v>
      </c>
      <c r="Q887">
        <v>0.30512486948448603</v>
      </c>
      <c r="R887">
        <v>0.95189025592277199</v>
      </c>
      <c r="S887" t="s">
        <v>6748</v>
      </c>
      <c r="T887" t="s">
        <v>11720</v>
      </c>
      <c r="U887" t="s">
        <v>11720</v>
      </c>
      <c r="V887" t="s">
        <v>11720</v>
      </c>
      <c r="W887" t="s">
        <v>12587</v>
      </c>
      <c r="X887">
        <v>3</v>
      </c>
      <c r="Y887" t="s">
        <v>18381</v>
      </c>
      <c r="Z887" t="s">
        <v>24094</v>
      </c>
      <c r="AA887">
        <v>0.51978012688646513</v>
      </c>
      <c r="AB887" t="str">
        <f>HYPERLINK("Melting_Curves/meltCurve_H3BMQ0_TSC2.pdf", "Melting_Curves/meltCurve_H3BMQ0_TSC2.pdf")</f>
        <v>Melting_Curves/meltCurve_H3BMQ0_TSC2.pdf</v>
      </c>
    </row>
    <row r="888" spans="1:28" x14ac:dyDescent="0.25">
      <c r="A888" t="s">
        <v>892</v>
      </c>
      <c r="B888">
        <v>0.99334974765950101</v>
      </c>
      <c r="C888">
        <v>1.1159132136265499</v>
      </c>
      <c r="D888">
        <v>1.3661753962526499</v>
      </c>
      <c r="E888">
        <v>1.8934491591006799</v>
      </c>
      <c r="F888">
        <v>2.5993129852595498</v>
      </c>
      <c r="G888">
        <v>1.20530925568054</v>
      </c>
      <c r="H888">
        <v>0.31966792390754001</v>
      </c>
      <c r="I888">
        <v>0.20195727319666401</v>
      </c>
      <c r="J888">
        <v>0.144881289680408</v>
      </c>
      <c r="K888">
        <v>0.136807932150357</v>
      </c>
      <c r="L888">
        <v>13084.5251613079</v>
      </c>
      <c r="M888">
        <v>215.95747899967699</v>
      </c>
      <c r="N888">
        <v>60.697820654720502</v>
      </c>
      <c r="O888">
        <v>60.583229349015603</v>
      </c>
      <c r="P888">
        <v>-0.747495079246844</v>
      </c>
      <c r="Q888">
        <v>0.161211336365326</v>
      </c>
      <c r="R888">
        <v>0.42038122697039298</v>
      </c>
      <c r="S888" t="s">
        <v>6749</v>
      </c>
      <c r="T888" t="s">
        <v>11720</v>
      </c>
      <c r="U888" t="s">
        <v>11720</v>
      </c>
      <c r="V888" t="s">
        <v>11720</v>
      </c>
      <c r="W888" t="s">
        <v>12588</v>
      </c>
      <c r="X888">
        <v>5</v>
      </c>
      <c r="Y888" t="s">
        <v>18382</v>
      </c>
      <c r="Z888" t="s">
        <v>24095</v>
      </c>
      <c r="AA888">
        <v>0.73697566606935971</v>
      </c>
      <c r="AB888" t="str">
        <f>HYPERLINK("Melting_Curves/meltCurve_H3BND3_NUDT21.pdf", "Melting_Curves/meltCurve_H3BND3_NUDT21.pdf")</f>
        <v>Melting_Curves/meltCurve_H3BND3_NUDT21.pdf</v>
      </c>
    </row>
    <row r="889" spans="1:28" x14ac:dyDescent="0.25">
      <c r="A889" t="s">
        <v>893</v>
      </c>
      <c r="B889">
        <v>0.99334974765950101</v>
      </c>
      <c r="C889">
        <v>1.13640077145131</v>
      </c>
      <c r="D889">
        <v>1.14582454884339</v>
      </c>
      <c r="E889">
        <v>0.94623007037181806</v>
      </c>
      <c r="F889">
        <v>1.16648034893502</v>
      </c>
      <c r="G889">
        <v>0.57547977602733302</v>
      </c>
      <c r="H889">
        <v>0.40101590466232501</v>
      </c>
      <c r="I889">
        <v>0.41337213330996098</v>
      </c>
      <c r="J889">
        <v>0.27864788840682803</v>
      </c>
      <c r="K889">
        <v>0.201047969286891</v>
      </c>
      <c r="L889">
        <v>11247.892465049001</v>
      </c>
      <c r="M889">
        <v>197.853133814313</v>
      </c>
      <c r="N889">
        <v>57.150522997443304</v>
      </c>
      <c r="O889">
        <v>56.843900096051897</v>
      </c>
      <c r="P889">
        <v>-0.58864529527144804</v>
      </c>
      <c r="Q889">
        <v>0.32352058766615999</v>
      </c>
      <c r="R889">
        <v>0.92530579443519401</v>
      </c>
      <c r="S889" t="s">
        <v>6750</v>
      </c>
      <c r="T889" t="s">
        <v>11720</v>
      </c>
      <c r="U889" t="s">
        <v>11720</v>
      </c>
      <c r="V889" t="s">
        <v>11720</v>
      </c>
      <c r="W889" t="s">
        <v>12589</v>
      </c>
      <c r="X889">
        <v>3</v>
      </c>
      <c r="Y889" t="s">
        <v>18383</v>
      </c>
      <c r="Z889" t="s">
        <v>24096</v>
      </c>
      <c r="AA889">
        <v>0.7035776644894487</v>
      </c>
      <c r="AB889" t="str">
        <f>HYPERLINK("Melting_Curves/meltCurve_H3BNE3_BLOC1S6.pdf", "Melting_Curves/meltCurve_H3BNE3_BLOC1S6.pdf")</f>
        <v>Melting_Curves/meltCurve_H3BNE3_BLOC1S6.pdf</v>
      </c>
    </row>
    <row r="890" spans="1:28" x14ac:dyDescent="0.25">
      <c r="A890" t="s">
        <v>894</v>
      </c>
      <c r="B890">
        <v>0.99334974765950101</v>
      </c>
      <c r="C890">
        <v>1.3399927327694601</v>
      </c>
      <c r="D890">
        <v>0.98160922492473102</v>
      </c>
      <c r="E890">
        <v>0.65863035110183399</v>
      </c>
      <c r="F890">
        <v>0.62959690371852695</v>
      </c>
      <c r="G890">
        <v>0.38556102410985299</v>
      </c>
      <c r="H890">
        <v>0.30234554893323601</v>
      </c>
      <c r="I890">
        <v>0.19304638397397</v>
      </c>
      <c r="J890">
        <v>0.41086120275157101</v>
      </c>
      <c r="K890">
        <v>0.268934439447641</v>
      </c>
      <c r="L890">
        <v>1100.9321748386601</v>
      </c>
      <c r="M890">
        <v>21.304878732767101</v>
      </c>
      <c r="N890">
        <v>53.866370871712903</v>
      </c>
      <c r="O890">
        <v>51.226309163334498</v>
      </c>
      <c r="P890">
        <v>-7.3841759668926796E-2</v>
      </c>
      <c r="Q890">
        <v>0.289825605809019</v>
      </c>
      <c r="R890">
        <v>0.87166228787384703</v>
      </c>
      <c r="S890" t="s">
        <v>6751</v>
      </c>
      <c r="T890" t="s">
        <v>11720</v>
      </c>
      <c r="U890" t="s">
        <v>11720</v>
      </c>
      <c r="V890" t="s">
        <v>11720</v>
      </c>
      <c r="W890" t="s">
        <v>12590</v>
      </c>
      <c r="X890">
        <v>1</v>
      </c>
      <c r="Y890" t="s">
        <v>18384</v>
      </c>
      <c r="Z890" t="s">
        <v>24097</v>
      </c>
      <c r="AA890">
        <v>0.57496452607300086</v>
      </c>
      <c r="AB890" t="str">
        <f>HYPERLINK("Melting_Curves/meltCurve_H3BNU0_PRICKLE2.pdf", "Melting_Curves/meltCurve_H3BNU0_PRICKLE2.pdf")</f>
        <v>Melting_Curves/meltCurve_H3BNU0_PRICKLE2.pdf</v>
      </c>
    </row>
    <row r="891" spans="1:28" x14ac:dyDescent="0.25">
      <c r="A891" t="s">
        <v>895</v>
      </c>
      <c r="B891">
        <v>0.99334974765950101</v>
      </c>
      <c r="C891">
        <v>1.2758669235285001</v>
      </c>
      <c r="D891">
        <v>1.13013589365207</v>
      </c>
      <c r="E891">
        <v>1.1072538100053799</v>
      </c>
      <c r="F891">
        <v>1.9369900333066301</v>
      </c>
      <c r="G891">
        <v>4.03330942923695</v>
      </c>
      <c r="H891">
        <v>3.55766199732098</v>
      </c>
      <c r="I891">
        <v>4.1276097423857401</v>
      </c>
      <c r="J891">
        <v>8.73201231736107</v>
      </c>
      <c r="K891">
        <v>21.2273347242927</v>
      </c>
      <c r="L891">
        <v>12564.8947423187</v>
      </c>
      <c r="M891">
        <v>250</v>
      </c>
      <c r="O891">
        <v>50.256363035886103</v>
      </c>
      <c r="P891">
        <v>0.62181181375235905</v>
      </c>
      <c r="Q891">
        <v>1.5</v>
      </c>
      <c r="R891">
        <v>-0.31189711873348402</v>
      </c>
      <c r="S891" t="s">
        <v>6752</v>
      </c>
      <c r="T891" t="s">
        <v>11720</v>
      </c>
      <c r="U891" t="s">
        <v>11720</v>
      </c>
      <c r="V891" t="s">
        <v>11720</v>
      </c>
      <c r="W891" t="s">
        <v>12591</v>
      </c>
      <c r="X891">
        <v>8</v>
      </c>
      <c r="Y891" t="s">
        <v>18385</v>
      </c>
      <c r="Z891" t="s">
        <v>24098</v>
      </c>
      <c r="AA891">
        <v>1.3289629147893141</v>
      </c>
      <c r="AB891" t="str">
        <f>HYPERLINK("Melting_Curves/meltCurve_H3BNU9_CARHSP1.pdf", "Melting_Curves/meltCurve_H3BNU9_CARHSP1.pdf")</f>
        <v>Melting_Curves/meltCurve_H3BNU9_CARHSP1.pdf</v>
      </c>
    </row>
    <row r="892" spans="1:28" x14ac:dyDescent="0.25">
      <c r="A892" t="s">
        <v>896</v>
      </c>
      <c r="B892">
        <v>0.99334974765950101</v>
      </c>
      <c r="C892">
        <v>0.96648036285012895</v>
      </c>
      <c r="D892">
        <v>0.88274073331753</v>
      </c>
      <c r="E892">
        <v>0.69557209057333003</v>
      </c>
      <c r="F892">
        <v>0.51277455020136098</v>
      </c>
      <c r="G892">
        <v>0.202001244786569</v>
      </c>
      <c r="H892">
        <v>0.119190207506608</v>
      </c>
      <c r="I892">
        <v>7.5647245496373597E-2</v>
      </c>
      <c r="J892">
        <v>5.3983279307629597E-2</v>
      </c>
      <c r="K892">
        <v>3.7567423423634498E-2</v>
      </c>
      <c r="L892">
        <v>824.95138793221895</v>
      </c>
      <c r="M892">
        <v>15.6865182454939</v>
      </c>
      <c r="N892">
        <v>52.694009198740602</v>
      </c>
      <c r="O892">
        <v>51.757408943290997</v>
      </c>
      <c r="P892">
        <v>-7.4619132705252306E-2</v>
      </c>
      <c r="Q892">
        <v>1.5265074818549501E-2</v>
      </c>
      <c r="R892">
        <v>0.99767938442223902</v>
      </c>
      <c r="S892" t="s">
        <v>6753</v>
      </c>
      <c r="T892" t="s">
        <v>11720</v>
      </c>
      <c r="U892" t="s">
        <v>11720</v>
      </c>
      <c r="V892" t="s">
        <v>11720</v>
      </c>
      <c r="W892" t="s">
        <v>12592</v>
      </c>
      <c r="X892">
        <v>3</v>
      </c>
      <c r="Y892" t="s">
        <v>18386</v>
      </c>
      <c r="Z892" t="s">
        <v>24099</v>
      </c>
      <c r="AA892">
        <v>0.44868830740919419</v>
      </c>
      <c r="AB892" t="str">
        <f>HYPERLINK("Melting_Curves/meltCurve_H3BP13_TRAPPC2L.pdf", "Melting_Curves/meltCurve_H3BP13_TRAPPC2L.pdf")</f>
        <v>Melting_Curves/meltCurve_H3BP13_TRAPPC2L.pdf</v>
      </c>
    </row>
    <row r="893" spans="1:28" x14ac:dyDescent="0.25">
      <c r="A893" t="s">
        <v>897</v>
      </c>
      <c r="B893">
        <v>0.99334974765950101</v>
      </c>
      <c r="C893">
        <v>1.1969177315084201</v>
      </c>
      <c r="D893">
        <v>1.22016900656942</v>
      </c>
      <c r="E893">
        <v>1.37190720840018</v>
      </c>
      <c r="F893">
        <v>0.986463445923075</v>
      </c>
      <c r="G893">
        <v>0.97579354438153199</v>
      </c>
      <c r="H893">
        <v>0.438787759475746</v>
      </c>
      <c r="I893">
        <v>0.212576736580046</v>
      </c>
      <c r="J893">
        <v>0.211353643222874</v>
      </c>
      <c r="K893">
        <v>0.17261977722882099</v>
      </c>
      <c r="L893">
        <v>3671.1575456404698</v>
      </c>
      <c r="M893">
        <v>60.998632312520698</v>
      </c>
      <c r="N893">
        <v>60.663601507870098</v>
      </c>
      <c r="O893">
        <v>60.119676492390603</v>
      </c>
      <c r="P893">
        <v>-0.20514867883195401</v>
      </c>
      <c r="Q893">
        <v>0.191229909528389</v>
      </c>
      <c r="R893">
        <v>0.88532414261634695</v>
      </c>
      <c r="S893" t="s">
        <v>6754</v>
      </c>
      <c r="T893" t="s">
        <v>11720</v>
      </c>
      <c r="U893" t="s">
        <v>11720</v>
      </c>
      <c r="V893" t="s">
        <v>11720</v>
      </c>
      <c r="W893" t="s">
        <v>12593</v>
      </c>
      <c r="X893">
        <v>21</v>
      </c>
      <c r="Y893" t="s">
        <v>18387</v>
      </c>
      <c r="Z893" t="s">
        <v>24100</v>
      </c>
      <c r="AA893">
        <v>0.73681016871813765</v>
      </c>
      <c r="AB893" t="str">
        <f>HYPERLINK("Melting_Curves/meltCurve_H3BP20_HEXA.pdf", "Melting_Curves/meltCurve_H3BP20_HEXA.pdf")</f>
        <v>Melting_Curves/meltCurve_H3BP20_HEXA.pdf</v>
      </c>
    </row>
    <row r="894" spans="1:28" x14ac:dyDescent="0.25">
      <c r="A894" t="s">
        <v>898</v>
      </c>
      <c r="B894">
        <v>0.99334974765950101</v>
      </c>
      <c r="C894">
        <v>0.88782594103246204</v>
      </c>
      <c r="D894">
        <v>0.83916947685559196</v>
      </c>
      <c r="E894">
        <v>0.66791899578750602</v>
      </c>
      <c r="F894">
        <v>0.68725822668190695</v>
      </c>
      <c r="G894">
        <v>0.48179172376761897</v>
      </c>
      <c r="H894">
        <v>0.34278950662325702</v>
      </c>
      <c r="I894">
        <v>0.195341241598496</v>
      </c>
      <c r="J894">
        <v>0.22599844662551999</v>
      </c>
      <c r="K894">
        <v>0.171189954596912</v>
      </c>
      <c r="L894">
        <v>452.11482897393103</v>
      </c>
      <c r="M894">
        <v>8.0810471665475294</v>
      </c>
      <c r="N894">
        <v>55.947554770121698</v>
      </c>
      <c r="O894">
        <v>52.8339150455677</v>
      </c>
      <c r="P894">
        <v>-3.8279630007850701E-2</v>
      </c>
      <c r="Q894">
        <v>0</v>
      </c>
      <c r="R894">
        <v>0.98009096436110199</v>
      </c>
      <c r="S894" t="s">
        <v>6755</v>
      </c>
      <c r="T894" t="s">
        <v>11720</v>
      </c>
      <c r="U894" t="s">
        <v>11720</v>
      </c>
      <c r="V894" t="s">
        <v>11720</v>
      </c>
      <c r="W894" t="s">
        <v>12594</v>
      </c>
      <c r="X894">
        <v>3</v>
      </c>
      <c r="Y894" t="s">
        <v>18388</v>
      </c>
      <c r="Z894" t="s">
        <v>24101</v>
      </c>
      <c r="AA894">
        <v>0.55189918697795826</v>
      </c>
      <c r="AB894" t="str">
        <f>HYPERLINK("Melting_Curves/meltCurve_H3BP28_COQ7.pdf", "Melting_Curves/meltCurve_H3BP28_COQ7.pdf")</f>
        <v>Melting_Curves/meltCurve_H3BP28_COQ7.pdf</v>
      </c>
    </row>
    <row r="895" spans="1:28" x14ac:dyDescent="0.25">
      <c r="A895" t="s">
        <v>899</v>
      </c>
      <c r="B895">
        <v>0.99334974765950101</v>
      </c>
      <c r="C895">
        <v>0.97705322965226105</v>
      </c>
      <c r="D895">
        <v>0.98249841652143399</v>
      </c>
      <c r="E895">
        <v>0.85585078192339903</v>
      </c>
      <c r="F895">
        <v>0.71503851218069803</v>
      </c>
      <c r="G895">
        <v>0.47724369809047201</v>
      </c>
      <c r="H895">
        <v>0.283197279517372</v>
      </c>
      <c r="I895">
        <v>0.196647519527367</v>
      </c>
      <c r="J895">
        <v>0.14967159956821999</v>
      </c>
      <c r="K895">
        <v>0.11610287777721599</v>
      </c>
      <c r="L895">
        <v>821.61556070050801</v>
      </c>
      <c r="M895">
        <v>14.6801443266483</v>
      </c>
      <c r="N895">
        <v>56.557920170124397</v>
      </c>
      <c r="O895">
        <v>54.960030919525799</v>
      </c>
      <c r="P895">
        <v>-6.2041627014359502E-2</v>
      </c>
      <c r="Q895">
        <v>7.1007786148235802E-2</v>
      </c>
      <c r="R895">
        <v>0.99949302256545702</v>
      </c>
      <c r="S895" t="s">
        <v>6756</v>
      </c>
      <c r="T895" t="s">
        <v>11720</v>
      </c>
      <c r="U895" t="s">
        <v>11720</v>
      </c>
      <c r="V895" t="s">
        <v>11720</v>
      </c>
      <c r="W895" t="s">
        <v>12595</v>
      </c>
      <c r="X895">
        <v>6</v>
      </c>
      <c r="Y895" t="s">
        <v>18389</v>
      </c>
      <c r="Z895" t="s">
        <v>24102</v>
      </c>
      <c r="AA895">
        <v>0.58230726017255818</v>
      </c>
      <c r="AB895" t="str">
        <f>HYPERLINK("Melting_Curves/meltCurve_H3BP77_TK2.pdf", "Melting_Curves/meltCurve_H3BP77_TK2.pdf")</f>
        <v>Melting_Curves/meltCurve_H3BP77_TK2.pdf</v>
      </c>
    </row>
    <row r="896" spans="1:28" x14ac:dyDescent="0.25">
      <c r="A896" t="s">
        <v>900</v>
      </c>
      <c r="B896">
        <v>0.99334974765950101</v>
      </c>
      <c r="C896">
        <v>0.95540169964883304</v>
      </c>
      <c r="D896">
        <v>0.90579388542669204</v>
      </c>
      <c r="E896">
        <v>0.72053212851940096</v>
      </c>
      <c r="F896">
        <v>0.35305845506455502</v>
      </c>
      <c r="G896">
        <v>0.155971530339964</v>
      </c>
      <c r="H896">
        <v>0.108263246660946</v>
      </c>
      <c r="I896">
        <v>9.0032827055646802E-2</v>
      </c>
      <c r="J896">
        <v>8.7980672099686894E-2</v>
      </c>
      <c r="K896">
        <v>6.7331286903157997E-2</v>
      </c>
      <c r="L896">
        <v>1240.2805151185801</v>
      </c>
      <c r="M896">
        <v>24.139303857416898</v>
      </c>
      <c r="N896">
        <v>51.745097127034398</v>
      </c>
      <c r="O896">
        <v>51.031410315802297</v>
      </c>
      <c r="P896">
        <v>-0.109001763341393</v>
      </c>
      <c r="Q896">
        <v>7.8278680031026504E-2</v>
      </c>
      <c r="R896">
        <v>0.996440334014569</v>
      </c>
      <c r="S896" t="s">
        <v>6757</v>
      </c>
      <c r="T896" t="s">
        <v>11720</v>
      </c>
      <c r="U896" t="s">
        <v>11720</v>
      </c>
      <c r="V896" t="s">
        <v>11720</v>
      </c>
      <c r="W896" t="s">
        <v>12596</v>
      </c>
      <c r="X896">
        <v>8</v>
      </c>
      <c r="Y896" t="s">
        <v>18390</v>
      </c>
      <c r="Z896" t="s">
        <v>24103</v>
      </c>
      <c r="AA896">
        <v>0.4368729556836442</v>
      </c>
      <c r="AB896" t="str">
        <f>HYPERLINK("Melting_Curves/meltCurve_H3BPC4_UBE2I.pdf", "Melting_Curves/meltCurve_H3BPC4_UBE2I.pdf")</f>
        <v>Melting_Curves/meltCurve_H3BPC4_UBE2I.pdf</v>
      </c>
    </row>
    <row r="897" spans="1:28" x14ac:dyDescent="0.25">
      <c r="A897" t="s">
        <v>901</v>
      </c>
      <c r="B897">
        <v>0.99334974765950101</v>
      </c>
      <c r="C897">
        <v>1.0221915003919899</v>
      </c>
      <c r="D897">
        <v>0.908241843285156</v>
      </c>
      <c r="E897">
        <v>0.74539811292334401</v>
      </c>
      <c r="F897">
        <v>0.61605273836958296</v>
      </c>
      <c r="G897">
        <v>0.40820990401649798</v>
      </c>
      <c r="H897">
        <v>0.36129885355351399</v>
      </c>
      <c r="I897">
        <v>0.43116257009912501</v>
      </c>
      <c r="J897">
        <v>0.350378031460926</v>
      </c>
      <c r="K897">
        <v>0.32771637177051399</v>
      </c>
      <c r="L897">
        <v>926.93417381993004</v>
      </c>
      <c r="M897">
        <v>18.032820028938499</v>
      </c>
      <c r="N897">
        <v>55.0059337290106</v>
      </c>
      <c r="O897">
        <v>50.782990536016001</v>
      </c>
      <c r="P897">
        <v>-5.8011390316527502E-2</v>
      </c>
      <c r="Q897">
        <v>0.34655864678708398</v>
      </c>
      <c r="R897">
        <v>0.98636700530358001</v>
      </c>
      <c r="S897" t="s">
        <v>6758</v>
      </c>
      <c r="T897" t="s">
        <v>11720</v>
      </c>
      <c r="U897" t="s">
        <v>11720</v>
      </c>
      <c r="V897" t="s">
        <v>11720</v>
      </c>
      <c r="W897" t="s">
        <v>12597</v>
      </c>
      <c r="X897">
        <v>10</v>
      </c>
      <c r="Y897" t="s">
        <v>18391</v>
      </c>
      <c r="Z897" t="s">
        <v>24104</v>
      </c>
      <c r="AA897">
        <v>0.60584589842861525</v>
      </c>
      <c r="AB897" t="str">
        <f>HYPERLINK("Melting_Curves/meltCurve_H3BPE7_FUS.pdf", "Melting_Curves/meltCurve_H3BPE7_FUS.pdf")</f>
        <v>Melting_Curves/meltCurve_H3BPE7_FUS.pdf</v>
      </c>
    </row>
    <row r="898" spans="1:28" x14ac:dyDescent="0.25">
      <c r="A898" t="s">
        <v>902</v>
      </c>
      <c r="B898">
        <v>0.99334974765950101</v>
      </c>
      <c r="C898">
        <v>1.0067887343555899</v>
      </c>
      <c r="D898">
        <v>1.0735055616228899</v>
      </c>
      <c r="E898">
        <v>1.2330068879396101</v>
      </c>
      <c r="F898">
        <v>1.16637386373648</v>
      </c>
      <c r="G898">
        <v>0.89532959532704104</v>
      </c>
      <c r="H898">
        <v>0.85556511247090195</v>
      </c>
      <c r="I898">
        <v>1.3784038515456101</v>
      </c>
      <c r="J898">
        <v>1.95735963898899</v>
      </c>
      <c r="K898">
        <v>4.1434522921192398</v>
      </c>
      <c r="L898">
        <v>15000</v>
      </c>
      <c r="M898">
        <v>235.51023531161599</v>
      </c>
      <c r="O898">
        <v>63.6869095349536</v>
      </c>
      <c r="P898">
        <v>0.462242256989921</v>
      </c>
      <c r="Q898">
        <v>1.5</v>
      </c>
      <c r="R898">
        <v>0.173144598183993</v>
      </c>
      <c r="S898" t="s">
        <v>6759</v>
      </c>
      <c r="T898" t="s">
        <v>11720</v>
      </c>
      <c r="U898" t="s">
        <v>11720</v>
      </c>
      <c r="V898" t="s">
        <v>11720</v>
      </c>
      <c r="W898" t="s">
        <v>12598</v>
      </c>
      <c r="X898">
        <v>2</v>
      </c>
      <c r="Y898" t="s">
        <v>18392</v>
      </c>
      <c r="Z898" t="s">
        <v>24105</v>
      </c>
      <c r="AA898">
        <v>1.1050786982168279</v>
      </c>
      <c r="AB898" t="str">
        <f>HYPERLINK("Melting_Curves/meltCurve_H3BPG5_RNPS1.pdf", "Melting_Curves/meltCurve_H3BPG5_RNPS1.pdf")</f>
        <v>Melting_Curves/meltCurve_H3BPG5_RNPS1.pdf</v>
      </c>
    </row>
    <row r="899" spans="1:28" x14ac:dyDescent="0.25">
      <c r="A899" t="s">
        <v>903</v>
      </c>
      <c r="B899">
        <v>0.99334974765950101</v>
      </c>
      <c r="C899">
        <v>0.93997347756886296</v>
      </c>
      <c r="D899">
        <v>0.92969949692297804</v>
      </c>
      <c r="E899">
        <v>0.69972000660883005</v>
      </c>
      <c r="F899">
        <v>0.47277664523297103</v>
      </c>
      <c r="G899">
        <v>0.33869276347231198</v>
      </c>
      <c r="H899">
        <v>0.256720344691519</v>
      </c>
      <c r="I899">
        <v>0.26540403350592201</v>
      </c>
      <c r="J899">
        <v>0.14869244712365401</v>
      </c>
      <c r="K899">
        <v>0.103930583331017</v>
      </c>
      <c r="L899">
        <v>740.642559155546</v>
      </c>
      <c r="M899">
        <v>14.211217899929499</v>
      </c>
      <c r="N899">
        <v>53.306845011290498</v>
      </c>
      <c r="O899">
        <v>51.117357519296299</v>
      </c>
      <c r="P899">
        <v>-6.0062728646261103E-2</v>
      </c>
      <c r="Q899">
        <v>0.13593195318387999</v>
      </c>
      <c r="R899">
        <v>0.98747003709237102</v>
      </c>
      <c r="S899" t="s">
        <v>6760</v>
      </c>
      <c r="T899" t="s">
        <v>11720</v>
      </c>
      <c r="U899" t="s">
        <v>11720</v>
      </c>
      <c r="V899" t="s">
        <v>11720</v>
      </c>
      <c r="W899" t="s">
        <v>12599</v>
      </c>
      <c r="X899">
        <v>1</v>
      </c>
      <c r="Y899" t="s">
        <v>18393</v>
      </c>
      <c r="Z899" t="s">
        <v>24106</v>
      </c>
      <c r="AA899">
        <v>0.50576574798858609</v>
      </c>
      <c r="AB899" t="str">
        <f>HYPERLINK("Melting_Curves/meltCurve_H3BPK6_ORAOV1.pdf", "Melting_Curves/meltCurve_H3BPK6_ORAOV1.pdf")</f>
        <v>Melting_Curves/meltCurve_H3BPK6_ORAOV1.pdf</v>
      </c>
    </row>
    <row r="900" spans="1:28" x14ac:dyDescent="0.25">
      <c r="A900" t="s">
        <v>904</v>
      </c>
      <c r="B900">
        <v>0.99334974765950101</v>
      </c>
      <c r="C900">
        <v>1.10260578125089</v>
      </c>
      <c r="D900">
        <v>1.08628278083498</v>
      </c>
      <c r="E900">
        <v>1.1847687697012099</v>
      </c>
      <c r="F900">
        <v>1.0690037675486299</v>
      </c>
      <c r="G900">
        <v>2.0056130715716098</v>
      </c>
      <c r="H900">
        <v>1.85333920959239</v>
      </c>
      <c r="I900">
        <v>1.21329819062697</v>
      </c>
      <c r="J900">
        <v>0.40334164028332797</v>
      </c>
      <c r="K900">
        <v>0.25859421438494801</v>
      </c>
      <c r="L900">
        <v>15000</v>
      </c>
      <c r="M900">
        <v>225.294851811212</v>
      </c>
      <c r="N900">
        <v>66.7951486240881</v>
      </c>
      <c r="O900">
        <v>66.574171367109599</v>
      </c>
      <c r="P900">
        <v>-0.62734610881202402</v>
      </c>
      <c r="Q900">
        <v>0.25848199502707803</v>
      </c>
      <c r="R900">
        <v>0.29445699874375703</v>
      </c>
      <c r="S900" t="s">
        <v>6761</v>
      </c>
      <c r="T900" t="s">
        <v>11720</v>
      </c>
      <c r="U900" t="s">
        <v>11720</v>
      </c>
      <c r="V900" t="s">
        <v>11720</v>
      </c>
      <c r="W900" t="s">
        <v>12600</v>
      </c>
      <c r="X900">
        <v>26</v>
      </c>
      <c r="Y900" t="s">
        <v>18394</v>
      </c>
      <c r="Z900" t="s">
        <v>24107</v>
      </c>
      <c r="AA900">
        <v>0.91555910749794656</v>
      </c>
      <c r="AB900" t="str">
        <f>HYPERLINK("Melting_Curves/meltCurve_H3BPS8_ALDOA.pdf", "Melting_Curves/meltCurve_H3BPS8_ALDOA.pdf")</f>
        <v>Melting_Curves/meltCurve_H3BPS8_ALDOA.pdf</v>
      </c>
    </row>
    <row r="901" spans="1:28" x14ac:dyDescent="0.25">
      <c r="A901" t="s">
        <v>905</v>
      </c>
      <c r="B901">
        <v>0.99334974765950101</v>
      </c>
      <c r="C901">
        <v>0.89231531964511801</v>
      </c>
      <c r="D901">
        <v>0.66842667048936499</v>
      </c>
      <c r="E901">
        <v>0.41805636672840302</v>
      </c>
      <c r="F901">
        <v>0.32188915086561698</v>
      </c>
      <c r="G901">
        <v>0.225867478560874</v>
      </c>
      <c r="H901">
        <v>0.196109528761958</v>
      </c>
      <c r="I901">
        <v>0.18987469735491</v>
      </c>
      <c r="J901">
        <v>0.181801672651801</v>
      </c>
      <c r="K901">
        <v>0.17326472731925099</v>
      </c>
      <c r="L901">
        <v>791.19278676305805</v>
      </c>
      <c r="M901">
        <v>16.695220967842999</v>
      </c>
      <c r="N901">
        <v>48.679917670937698</v>
      </c>
      <c r="O901">
        <v>46.726096076347801</v>
      </c>
      <c r="P901">
        <v>-7.3366825749038203E-2</v>
      </c>
      <c r="Q901">
        <v>0.17870642591067101</v>
      </c>
      <c r="R901">
        <v>0.99749105952258199</v>
      </c>
      <c r="S901" t="s">
        <v>6762</v>
      </c>
      <c r="T901" t="s">
        <v>11720</v>
      </c>
      <c r="U901" t="s">
        <v>11720</v>
      </c>
      <c r="V901" t="s">
        <v>11720</v>
      </c>
      <c r="W901" t="s">
        <v>12601</v>
      </c>
      <c r="X901">
        <v>2</v>
      </c>
      <c r="Y901" t="s">
        <v>18395</v>
      </c>
      <c r="Z901" t="s">
        <v>24108</v>
      </c>
      <c r="AA901">
        <v>0.39850031814108239</v>
      </c>
      <c r="AB901" t="str">
        <f>HYPERLINK("Melting_Curves/meltCurve_H3BQ37_EDC3.pdf", "Melting_Curves/meltCurve_H3BQ37_EDC3.pdf")</f>
        <v>Melting_Curves/meltCurve_H3BQ37_EDC3.pdf</v>
      </c>
    </row>
    <row r="902" spans="1:28" x14ac:dyDescent="0.25">
      <c r="A902" t="s">
        <v>906</v>
      </c>
      <c r="B902">
        <v>0.99334974765950101</v>
      </c>
      <c r="C902">
        <v>0.97945722716136396</v>
      </c>
      <c r="D902">
        <v>1.0020736514589801</v>
      </c>
      <c r="E902">
        <v>1.09952032793293</v>
      </c>
      <c r="F902">
        <v>1.5129646737449201</v>
      </c>
      <c r="G902">
        <v>1.7160596000891</v>
      </c>
      <c r="H902">
        <v>1.5000136434970901</v>
      </c>
      <c r="I902">
        <v>1.59068876172455</v>
      </c>
      <c r="J902">
        <v>2.1738968702689498</v>
      </c>
      <c r="K902">
        <v>2.11125932553567</v>
      </c>
      <c r="L902">
        <v>12569.6149262203</v>
      </c>
      <c r="M902">
        <v>250</v>
      </c>
      <c r="O902">
        <v>50.275242342417997</v>
      </c>
      <c r="P902">
        <v>0.62157830889755505</v>
      </c>
      <c r="Q902">
        <v>1.5</v>
      </c>
      <c r="R902">
        <v>0.51158328791755903</v>
      </c>
      <c r="S902" t="s">
        <v>6763</v>
      </c>
      <c r="T902" t="s">
        <v>11720</v>
      </c>
      <c r="U902" t="s">
        <v>11720</v>
      </c>
      <c r="V902" t="s">
        <v>11720</v>
      </c>
      <c r="W902" t="s">
        <v>12602</v>
      </c>
      <c r="X902">
        <v>3</v>
      </c>
      <c r="Y902" t="s">
        <v>18396</v>
      </c>
      <c r="Z902" t="s">
        <v>24109</v>
      </c>
      <c r="AA902">
        <v>1.3286482192948419</v>
      </c>
      <c r="AB902" t="str">
        <f>HYPERLINK("Melting_Curves/meltCurve_H3BQ52_ARPP19.pdf", "Melting_Curves/meltCurve_H3BQ52_ARPP19.pdf")</f>
        <v>Melting_Curves/meltCurve_H3BQ52_ARPP19.pdf</v>
      </c>
    </row>
    <row r="903" spans="1:28" x14ac:dyDescent="0.25">
      <c r="A903" t="s">
        <v>907</v>
      </c>
      <c r="B903">
        <v>0.99334974765950101</v>
      </c>
      <c r="C903">
        <v>0.94836464564694201</v>
      </c>
      <c r="D903">
        <v>0.90746500509152195</v>
      </c>
      <c r="E903">
        <v>0.77290501384096399</v>
      </c>
      <c r="F903">
        <v>0.61507714499897304</v>
      </c>
      <c r="G903">
        <v>0.47567796985581901</v>
      </c>
      <c r="H903">
        <v>0.54395619053555</v>
      </c>
      <c r="I903">
        <v>0.34734163963943498</v>
      </c>
      <c r="J903">
        <v>0.67026044246468597</v>
      </c>
      <c r="K903">
        <v>0.68298983980733197</v>
      </c>
      <c r="L903">
        <v>1212.5395114518601</v>
      </c>
      <c r="M903">
        <v>24.525640149730201</v>
      </c>
      <c r="O903">
        <v>49.114494186151298</v>
      </c>
      <c r="P903">
        <v>-5.7120560569258801E-2</v>
      </c>
      <c r="Q903">
        <v>0.54245325002094102</v>
      </c>
      <c r="R903">
        <v>0.78866335561588496</v>
      </c>
      <c r="S903" t="s">
        <v>6764</v>
      </c>
      <c r="T903" t="s">
        <v>11720</v>
      </c>
      <c r="U903" t="s">
        <v>11720</v>
      </c>
      <c r="V903" t="s">
        <v>11720</v>
      </c>
      <c r="W903" t="s">
        <v>12603</v>
      </c>
      <c r="X903">
        <v>2</v>
      </c>
      <c r="Y903" t="s">
        <v>18397</v>
      </c>
      <c r="Z903" t="s">
        <v>24110</v>
      </c>
      <c r="AA903">
        <v>0.69065271373850867</v>
      </c>
      <c r="AB903" t="str">
        <f>HYPERLINK("Melting_Curves/meltCurve_H3BQA0_SNAPC5.pdf", "Melting_Curves/meltCurve_H3BQA0_SNAPC5.pdf")</f>
        <v>Melting_Curves/meltCurve_H3BQA0_SNAPC5.pdf</v>
      </c>
    </row>
    <row r="904" spans="1:28" x14ac:dyDescent="0.25">
      <c r="A904" t="s">
        <v>908</v>
      </c>
      <c r="B904">
        <v>0.99334974765950101</v>
      </c>
      <c r="C904">
        <v>1.14674535388374</v>
      </c>
      <c r="D904">
        <v>0.78949487606654301</v>
      </c>
      <c r="E904">
        <v>0.48152616517243402</v>
      </c>
      <c r="F904">
        <v>0.12170116616471</v>
      </c>
      <c r="G904">
        <v>3.6424644942355797E-2</v>
      </c>
      <c r="H904">
        <v>2.7404054841300499E-2</v>
      </c>
      <c r="I904">
        <v>0</v>
      </c>
      <c r="J904">
        <v>7.66908488935691E-2</v>
      </c>
      <c r="K904">
        <v>6.3099762860288205E-2</v>
      </c>
      <c r="L904">
        <v>1312.64006717082</v>
      </c>
      <c r="M904">
        <v>26.606963101185599</v>
      </c>
      <c r="N904">
        <v>49.452803638529602</v>
      </c>
      <c r="O904">
        <v>49.058308044472199</v>
      </c>
      <c r="P904">
        <v>-0.13140770874466701</v>
      </c>
      <c r="Q904">
        <v>3.0844498365947E-2</v>
      </c>
      <c r="R904">
        <v>0.97555342625378805</v>
      </c>
      <c r="S904" t="s">
        <v>6765</v>
      </c>
      <c r="T904" t="s">
        <v>11720</v>
      </c>
      <c r="U904" t="s">
        <v>11720</v>
      </c>
      <c r="V904" t="s">
        <v>11720</v>
      </c>
      <c r="W904" t="s">
        <v>12604</v>
      </c>
      <c r="X904">
        <v>22</v>
      </c>
      <c r="Y904" t="s">
        <v>18398</v>
      </c>
      <c r="Z904" t="s">
        <v>24111</v>
      </c>
      <c r="AA904">
        <v>0.33997571369310131</v>
      </c>
      <c r="AB904" t="str">
        <f>HYPERLINK("Melting_Curves/meltCurve_H3BQK0_DDX19B.pdf", "Melting_Curves/meltCurve_H3BQK0_DDX19B.pdf")</f>
        <v>Melting_Curves/meltCurve_H3BQK0_DDX19B.pdf</v>
      </c>
    </row>
    <row r="905" spans="1:28" x14ac:dyDescent="0.25">
      <c r="A905" t="s">
        <v>909</v>
      </c>
      <c r="B905">
        <v>0.99334974765950101</v>
      </c>
      <c r="C905">
        <v>0.991620676564958</v>
      </c>
      <c r="D905">
        <v>0.7807170930549</v>
      </c>
      <c r="E905">
        <v>0.79176131775811398</v>
      </c>
      <c r="F905">
        <v>1.04265695093705</v>
      </c>
      <c r="G905">
        <v>0.64797757386838795</v>
      </c>
      <c r="H905">
        <v>0.83345832172156598</v>
      </c>
      <c r="I905">
        <v>0.95254763929255004</v>
      </c>
      <c r="J905">
        <v>1.3495837643350701</v>
      </c>
      <c r="K905">
        <v>1.38267911619651</v>
      </c>
      <c r="L905">
        <v>15000</v>
      </c>
      <c r="M905">
        <v>226.22785314175599</v>
      </c>
      <c r="O905">
        <v>66.299651461668702</v>
      </c>
      <c r="P905">
        <v>0.32656960570943899</v>
      </c>
      <c r="Q905">
        <v>1.3828255569423999</v>
      </c>
      <c r="R905">
        <v>0.51555564143669896</v>
      </c>
      <c r="S905" t="s">
        <v>6766</v>
      </c>
      <c r="T905" t="s">
        <v>11720</v>
      </c>
      <c r="U905" t="s">
        <v>11720</v>
      </c>
      <c r="V905" t="s">
        <v>11720</v>
      </c>
      <c r="W905" t="s">
        <v>12605</v>
      </c>
      <c r="X905">
        <v>5</v>
      </c>
      <c r="Y905" t="s">
        <v>18399</v>
      </c>
      <c r="Z905" t="s">
        <v>24112</v>
      </c>
      <c r="AA905">
        <v>1.047099103782186</v>
      </c>
      <c r="AB905" t="str">
        <f>HYPERLINK("Melting_Curves/meltCurve_H3BQX6_MT3.pdf", "Melting_Curves/meltCurve_H3BQX6_MT3.pdf")</f>
        <v>Melting_Curves/meltCurve_H3BQX6_MT3.pdf</v>
      </c>
    </row>
    <row r="906" spans="1:28" x14ac:dyDescent="0.25">
      <c r="A906" t="s">
        <v>910</v>
      </c>
      <c r="B906">
        <v>0.99334974765950101</v>
      </c>
      <c r="C906">
        <v>1.04619124738268</v>
      </c>
      <c r="D906">
        <v>1.0406239500525301</v>
      </c>
      <c r="E906">
        <v>0.810757665542294</v>
      </c>
      <c r="F906">
        <v>0.46536173303823702</v>
      </c>
      <c r="G906">
        <v>0.320193368051574</v>
      </c>
      <c r="H906">
        <v>0.26228889508694297</v>
      </c>
      <c r="I906">
        <v>9.1223078228162002E-2</v>
      </c>
      <c r="J906">
        <v>8.8989403266354197E-2</v>
      </c>
      <c r="K906">
        <v>9.6908747971731907E-2</v>
      </c>
      <c r="L906">
        <v>1091.4341234138899</v>
      </c>
      <c r="M906">
        <v>20.6690533605308</v>
      </c>
      <c r="N906">
        <v>53.470966637747203</v>
      </c>
      <c r="O906">
        <v>52.318387624740801</v>
      </c>
      <c r="P906">
        <v>-8.7563620747763901E-2</v>
      </c>
      <c r="Q906">
        <v>0.113446240697632</v>
      </c>
      <c r="R906">
        <v>0.979590616244149</v>
      </c>
      <c r="S906" t="s">
        <v>6767</v>
      </c>
      <c r="T906" t="s">
        <v>11720</v>
      </c>
      <c r="U906" t="s">
        <v>11720</v>
      </c>
      <c r="V906" t="s">
        <v>11720</v>
      </c>
      <c r="W906" t="s">
        <v>12606</v>
      </c>
      <c r="X906">
        <v>4</v>
      </c>
      <c r="Y906" t="s">
        <v>18400</v>
      </c>
      <c r="Z906" t="s">
        <v>24113</v>
      </c>
      <c r="AA906">
        <v>0.50339730394219406</v>
      </c>
      <c r="AB906" t="str">
        <f>HYPERLINK("Melting_Curves/meltCurve_H3BQZ7_hCG_2044799.pdf", "Melting_Curves/meltCurve_H3BQZ7_hCG_2044799.pdf")</f>
        <v>Melting_Curves/meltCurve_H3BQZ7_hCG_2044799.pdf</v>
      </c>
    </row>
    <row r="907" spans="1:28" x14ac:dyDescent="0.25">
      <c r="A907" t="s">
        <v>911</v>
      </c>
      <c r="B907">
        <v>0.99334974765950101</v>
      </c>
      <c r="C907">
        <v>0.971435502576668</v>
      </c>
      <c r="D907">
        <v>0.91365694318027302</v>
      </c>
      <c r="E907">
        <v>0.901254724971147</v>
      </c>
      <c r="F907">
        <v>0.91526608204458904</v>
      </c>
      <c r="G907">
        <v>0.81869220511836505</v>
      </c>
      <c r="H907">
        <v>0.73527915712688896</v>
      </c>
      <c r="I907">
        <v>0.79807264569025105</v>
      </c>
      <c r="J907">
        <v>0.23430626757672199</v>
      </c>
      <c r="K907">
        <v>0.10508210238752901</v>
      </c>
      <c r="L907">
        <v>1751.0203945128901</v>
      </c>
      <c r="M907">
        <v>26.8684913666814</v>
      </c>
      <c r="N907">
        <v>65.170027849439506</v>
      </c>
      <c r="O907">
        <v>64.812234784015203</v>
      </c>
      <c r="P907">
        <v>-0.10364078162096201</v>
      </c>
      <c r="Q907">
        <v>0</v>
      </c>
      <c r="R907">
        <v>0.87698597610071205</v>
      </c>
      <c r="S907" t="s">
        <v>6768</v>
      </c>
      <c r="T907" t="s">
        <v>11720</v>
      </c>
      <c r="U907" t="s">
        <v>11720</v>
      </c>
      <c r="V907" t="s">
        <v>11720</v>
      </c>
      <c r="W907" t="s">
        <v>12607</v>
      </c>
      <c r="X907">
        <v>7</v>
      </c>
      <c r="Y907" t="s">
        <v>18401</v>
      </c>
      <c r="Z907" t="s">
        <v>24114</v>
      </c>
      <c r="AA907">
        <v>0.83423562520395511</v>
      </c>
      <c r="AB907" t="str">
        <f>HYPERLINK("Melting_Curves/meltCurve_H3BR94_DCTN5.pdf", "Melting_Curves/meltCurve_H3BR94_DCTN5.pdf")</f>
        <v>Melting_Curves/meltCurve_H3BR94_DCTN5.pdf</v>
      </c>
    </row>
    <row r="908" spans="1:28" x14ac:dyDescent="0.25">
      <c r="A908" t="s">
        <v>912</v>
      </c>
      <c r="B908">
        <v>0.99334974765950101</v>
      </c>
      <c r="C908">
        <v>0.97355939322710106</v>
      </c>
      <c r="D908">
        <v>0.86014096116546301</v>
      </c>
      <c r="E908">
        <v>0.73883928719668501</v>
      </c>
      <c r="F908">
        <v>0.25305728837535202</v>
      </c>
      <c r="G908">
        <v>0.128162752934217</v>
      </c>
      <c r="H908">
        <v>8.2386901573655996E-2</v>
      </c>
      <c r="I908">
        <v>2.13522687131809E-2</v>
      </c>
      <c r="J908">
        <v>2.49583317626337E-2</v>
      </c>
      <c r="K908">
        <v>0</v>
      </c>
      <c r="L908">
        <v>1381.4219117063999</v>
      </c>
      <c r="M908">
        <v>26.942359669785599</v>
      </c>
      <c r="N908">
        <v>51.388792740023497</v>
      </c>
      <c r="O908">
        <v>50.993262353797398</v>
      </c>
      <c r="P908">
        <v>-0.128206720970195</v>
      </c>
      <c r="Q908">
        <v>2.9392571230338099E-2</v>
      </c>
      <c r="R908">
        <v>0.98664154960212902</v>
      </c>
      <c r="S908" t="s">
        <v>6769</v>
      </c>
      <c r="T908" t="s">
        <v>11720</v>
      </c>
      <c r="U908" t="s">
        <v>11720</v>
      </c>
      <c r="V908" t="s">
        <v>11720</v>
      </c>
      <c r="W908" t="s">
        <v>12596</v>
      </c>
      <c r="X908">
        <v>1</v>
      </c>
      <c r="Y908" t="s">
        <v>18390</v>
      </c>
      <c r="Z908" t="s">
        <v>24115</v>
      </c>
      <c r="AA908">
        <v>0.40171278716591202</v>
      </c>
      <c r="AB908" t="str">
        <f>HYPERLINK("Melting_Curves/meltCurve_H3BRD1_UBE2I.pdf", "Melting_Curves/meltCurve_H3BRD1_UBE2I.pdf")</f>
        <v>Melting_Curves/meltCurve_H3BRD1_UBE2I.pdf</v>
      </c>
    </row>
    <row r="909" spans="1:28" x14ac:dyDescent="0.25">
      <c r="A909" t="s">
        <v>913</v>
      </c>
      <c r="B909">
        <v>0.99334974765950101</v>
      </c>
      <c r="C909">
        <v>1.01795750879688</v>
      </c>
      <c r="D909">
        <v>0.87419470066185601</v>
      </c>
      <c r="E909">
        <v>0.78373089497960402</v>
      </c>
      <c r="F909">
        <v>0.69078176823140802</v>
      </c>
      <c r="G909">
        <v>0.45552593686111498</v>
      </c>
      <c r="H909">
        <v>0.33057314711688801</v>
      </c>
      <c r="I909">
        <v>0.298710181599533</v>
      </c>
      <c r="J909">
        <v>0.33750336635059403</v>
      </c>
      <c r="K909">
        <v>0.31731076396062602</v>
      </c>
      <c r="L909">
        <v>791.76052822928602</v>
      </c>
      <c r="M909">
        <v>14.917724425592899</v>
      </c>
      <c r="N909">
        <v>56.093177164122601</v>
      </c>
      <c r="O909">
        <v>52.148787615089901</v>
      </c>
      <c r="P909">
        <v>-5.1787682686990799E-2</v>
      </c>
      <c r="Q909">
        <v>0.27592546447050798</v>
      </c>
      <c r="R909">
        <v>0.98552123813383297</v>
      </c>
      <c r="S909" t="s">
        <v>6770</v>
      </c>
      <c r="T909" t="s">
        <v>11720</v>
      </c>
      <c r="U909" t="s">
        <v>11720</v>
      </c>
      <c r="V909" t="s">
        <v>11720</v>
      </c>
      <c r="W909" t="s">
        <v>12608</v>
      </c>
      <c r="X909">
        <v>11</v>
      </c>
      <c r="Y909" t="s">
        <v>18402</v>
      </c>
      <c r="Z909" t="s">
        <v>24116</v>
      </c>
      <c r="AA909">
        <v>0.60715457464445455</v>
      </c>
      <c r="AB909" t="str">
        <f>HYPERLINK("Melting_Curves/meltCurve_H3BRF9_ZFYVE19.pdf", "Melting_Curves/meltCurve_H3BRF9_ZFYVE19.pdf")</f>
        <v>Melting_Curves/meltCurve_H3BRF9_ZFYVE19.pdf</v>
      </c>
    </row>
    <row r="910" spans="1:28" x14ac:dyDescent="0.25">
      <c r="A910" t="s">
        <v>914</v>
      </c>
      <c r="B910">
        <v>0.99334974765950101</v>
      </c>
      <c r="C910">
        <v>0.96624921620309101</v>
      </c>
      <c r="D910">
        <v>0.89347243470482895</v>
      </c>
      <c r="E910">
        <v>1.1798083594931801</v>
      </c>
      <c r="F910">
        <v>1.6429791418308499</v>
      </c>
      <c r="G910">
        <v>1.67133606682045</v>
      </c>
      <c r="H910">
        <v>0.83913176285805602</v>
      </c>
      <c r="I910">
        <v>0.15677467035052201</v>
      </c>
      <c r="J910">
        <v>0.12735622380758499</v>
      </c>
      <c r="K910">
        <v>9.0691626747619103E-2</v>
      </c>
      <c r="L910">
        <v>5931.6798753204903</v>
      </c>
      <c r="M910">
        <v>95.710466318180806</v>
      </c>
      <c r="N910">
        <v>62.137957258133497</v>
      </c>
      <c r="O910">
        <v>61.948205604094497</v>
      </c>
      <c r="P910">
        <v>-0.34343946142590898</v>
      </c>
      <c r="Q910">
        <v>0.110840942133443</v>
      </c>
      <c r="R910">
        <v>0.69941040773333096</v>
      </c>
      <c r="S910" t="s">
        <v>6771</v>
      </c>
      <c r="T910" t="s">
        <v>11720</v>
      </c>
      <c r="U910" t="s">
        <v>11720</v>
      </c>
      <c r="V910" t="s">
        <v>11720</v>
      </c>
      <c r="W910" t="s">
        <v>12609</v>
      </c>
      <c r="X910">
        <v>9</v>
      </c>
      <c r="Y910" t="s">
        <v>18403</v>
      </c>
      <c r="Z910" t="s">
        <v>24117</v>
      </c>
      <c r="AA910">
        <v>0.76281755096109949</v>
      </c>
      <c r="AB910" t="str">
        <f>HYPERLINK("Melting_Curves/meltCurve_H3BRG4_UQCRC2.pdf", "Melting_Curves/meltCurve_H3BRG4_UQCRC2.pdf")</f>
        <v>Melting_Curves/meltCurve_H3BRG4_UQCRC2.pdf</v>
      </c>
    </row>
    <row r="911" spans="1:28" x14ac:dyDescent="0.25">
      <c r="A911" t="s">
        <v>915</v>
      </c>
      <c r="B911">
        <v>0.99334974765950101</v>
      </c>
      <c r="C911">
        <v>1.01378538181885</v>
      </c>
      <c r="D911">
        <v>0.84329209265988503</v>
      </c>
      <c r="E911">
        <v>0.74768524457974095</v>
      </c>
      <c r="F911">
        <v>0.30291336239523498</v>
      </c>
      <c r="G911">
        <v>0.176880618818227</v>
      </c>
      <c r="H911">
        <v>0.11147791000778701</v>
      </c>
      <c r="I911">
        <v>9.9993369249634104E-2</v>
      </c>
      <c r="J911">
        <v>7.8673233165272097E-2</v>
      </c>
      <c r="K911">
        <v>6.9205140627625603E-2</v>
      </c>
      <c r="L911">
        <v>1268.0210531964001</v>
      </c>
      <c r="M911">
        <v>24.750012733773399</v>
      </c>
      <c r="N911">
        <v>51.611634574531401</v>
      </c>
      <c r="O911">
        <v>50.902194248647803</v>
      </c>
      <c r="P911">
        <v>-0.111470123421888</v>
      </c>
      <c r="Q911">
        <v>8.2991266486575205E-2</v>
      </c>
      <c r="R911">
        <v>0.98566313440360298</v>
      </c>
      <c r="S911" t="s">
        <v>6772</v>
      </c>
      <c r="T911" t="s">
        <v>11720</v>
      </c>
      <c r="U911" t="s">
        <v>11720</v>
      </c>
      <c r="V911" t="s">
        <v>11720</v>
      </c>
      <c r="W911" t="s">
        <v>12610</v>
      </c>
      <c r="X911">
        <v>14</v>
      </c>
      <c r="Y911" t="s">
        <v>18404</v>
      </c>
      <c r="Z911" t="s">
        <v>24118</v>
      </c>
      <c r="AA911">
        <v>0.4348245011216289</v>
      </c>
      <c r="AB911" t="str">
        <f>HYPERLINK("Melting_Curves/meltCurve_H3BRL3_UBFD1.pdf", "Melting_Curves/meltCurve_H3BRL3_UBFD1.pdf")</f>
        <v>Melting_Curves/meltCurve_H3BRL3_UBFD1.pdf</v>
      </c>
    </row>
    <row r="912" spans="1:28" x14ac:dyDescent="0.25">
      <c r="A912" t="s">
        <v>916</v>
      </c>
      <c r="B912">
        <v>0.99334974765950101</v>
      </c>
      <c r="C912">
        <v>1.01558761045155</v>
      </c>
      <c r="D912">
        <v>1.05862202423413</v>
      </c>
      <c r="E912">
        <v>0.97000820829317103</v>
      </c>
      <c r="F912">
        <v>0.94463060543726995</v>
      </c>
      <c r="G912">
        <v>0.73202202630214697</v>
      </c>
      <c r="H912">
        <v>0.55576811379987501</v>
      </c>
      <c r="I912">
        <v>0.38109613980891099</v>
      </c>
      <c r="J912">
        <v>0.31348920552348503</v>
      </c>
      <c r="K912">
        <v>0.20724146748059</v>
      </c>
      <c r="L912">
        <v>967.29940074007402</v>
      </c>
      <c r="M912">
        <v>15.989393831850199</v>
      </c>
      <c r="N912">
        <v>61.734219672633301</v>
      </c>
      <c r="O912">
        <v>59.573769085213101</v>
      </c>
      <c r="P912">
        <v>-5.7900981554368597E-2</v>
      </c>
      <c r="Q912">
        <v>0.13715092156135</v>
      </c>
      <c r="R912">
        <v>0.992170855697323</v>
      </c>
      <c r="S912" t="s">
        <v>6773</v>
      </c>
      <c r="T912" t="s">
        <v>11720</v>
      </c>
      <c r="U912" t="s">
        <v>11720</v>
      </c>
      <c r="V912" t="s">
        <v>11720</v>
      </c>
      <c r="W912" t="s">
        <v>12611</v>
      </c>
      <c r="X912">
        <v>7</v>
      </c>
      <c r="Y912" t="s">
        <v>18405</v>
      </c>
      <c r="Z912" t="s">
        <v>24119</v>
      </c>
      <c r="AA912">
        <v>0.73161720563490384</v>
      </c>
      <c r="AB912" t="str">
        <f>HYPERLINK("Melting_Curves/meltCurve_H3BRN4_ABAT.pdf", "Melting_Curves/meltCurve_H3BRN4_ABAT.pdf")</f>
        <v>Melting_Curves/meltCurve_H3BRN4_ABAT.pdf</v>
      </c>
    </row>
    <row r="913" spans="1:28" x14ac:dyDescent="0.25">
      <c r="A913" t="s">
        <v>917</v>
      </c>
      <c r="B913">
        <v>0.99334974765950101</v>
      </c>
      <c r="C913">
        <v>0.96207980275222305</v>
      </c>
      <c r="D913">
        <v>0.77701985431208898</v>
      </c>
      <c r="E913">
        <v>0.87557907288894399</v>
      </c>
      <c r="F913">
        <v>0.77147965776026195</v>
      </c>
      <c r="G913">
        <v>0.57133187194292501</v>
      </c>
      <c r="H913">
        <v>0.485979015621754</v>
      </c>
      <c r="I913">
        <v>0.55499698688038102</v>
      </c>
      <c r="J913">
        <v>0.67572154094729597</v>
      </c>
      <c r="K913">
        <v>0.45928312230088603</v>
      </c>
      <c r="L913">
        <v>528.03771786975699</v>
      </c>
      <c r="M913">
        <v>10.182456047593901</v>
      </c>
      <c r="O913">
        <v>49.976773366628201</v>
      </c>
      <c r="P913">
        <v>-2.6175611210794002E-2</v>
      </c>
      <c r="Q913">
        <v>0.48634038530309398</v>
      </c>
      <c r="R913">
        <v>0.82203563225806797</v>
      </c>
      <c r="S913" t="s">
        <v>6774</v>
      </c>
      <c r="T913" t="s">
        <v>11720</v>
      </c>
      <c r="U913" t="s">
        <v>11720</v>
      </c>
      <c r="V913" t="s">
        <v>11720</v>
      </c>
      <c r="W913" t="s">
        <v>12612</v>
      </c>
      <c r="X913">
        <v>4</v>
      </c>
      <c r="Y913" t="s">
        <v>18406</v>
      </c>
      <c r="Z913" t="s">
        <v>24120</v>
      </c>
      <c r="AA913">
        <v>0.70874096899717287</v>
      </c>
      <c r="AB913" t="str">
        <f>HYPERLINK("Melting_Curves/meltCurve_H3BRU1_FAM219B.pdf", "Melting_Curves/meltCurve_H3BRU1_FAM219B.pdf")</f>
        <v>Melting_Curves/meltCurve_H3BRU1_FAM219B.pdf</v>
      </c>
    </row>
    <row r="914" spans="1:28" x14ac:dyDescent="0.25">
      <c r="A914" t="s">
        <v>918</v>
      </c>
      <c r="B914">
        <v>0.99334974765950101</v>
      </c>
      <c r="C914">
        <v>0.99896412301314197</v>
      </c>
      <c r="D914">
        <v>1.0513419407762401</v>
      </c>
      <c r="E914">
        <v>0.65712171999143099</v>
      </c>
      <c r="F914">
        <v>0.41202982604732102</v>
      </c>
      <c r="G914">
        <v>0.27597803579385</v>
      </c>
      <c r="H914">
        <v>0.21418347362390899</v>
      </c>
      <c r="I914">
        <v>0.192274536852548</v>
      </c>
      <c r="J914">
        <v>0.176943218329463</v>
      </c>
      <c r="K914">
        <v>0.16066652942575499</v>
      </c>
      <c r="L914">
        <v>1384.6506514279999</v>
      </c>
      <c r="M914">
        <v>27.188890338342699</v>
      </c>
      <c r="N914">
        <v>51.852677985678298</v>
      </c>
      <c r="O914">
        <v>50.653969345242899</v>
      </c>
      <c r="P914">
        <v>-0.108391775722974</v>
      </c>
      <c r="Q914">
        <v>0.19225527674041101</v>
      </c>
      <c r="R914">
        <v>0.98935577084832205</v>
      </c>
      <c r="S914" t="s">
        <v>6775</v>
      </c>
      <c r="T914" t="s">
        <v>11720</v>
      </c>
      <c r="U914" t="s">
        <v>11720</v>
      </c>
      <c r="V914" t="s">
        <v>11720</v>
      </c>
      <c r="W914" t="s">
        <v>12613</v>
      </c>
      <c r="X914">
        <v>13</v>
      </c>
      <c r="Y914" t="s">
        <v>18407</v>
      </c>
      <c r="Z914" t="s">
        <v>24121</v>
      </c>
      <c r="AA914">
        <v>0.49263928823184849</v>
      </c>
      <c r="AB914" t="str">
        <f>HYPERLINK("Melting_Curves/meltCurve_H3BRV0_EIF3C.pdf", "Melting_Curves/meltCurve_H3BRV0_EIF3C.pdf")</f>
        <v>Melting_Curves/meltCurve_H3BRV0_EIF3C.pdf</v>
      </c>
    </row>
    <row r="915" spans="1:28" x14ac:dyDescent="0.25">
      <c r="A915" t="s">
        <v>919</v>
      </c>
      <c r="B915">
        <v>0.99334974765950101</v>
      </c>
      <c r="C915">
        <v>0.96625602604296701</v>
      </c>
      <c r="D915">
        <v>1.0249500918216501</v>
      </c>
      <c r="E915">
        <v>0.99466278065900304</v>
      </c>
      <c r="F915">
        <v>0.51212293642208895</v>
      </c>
      <c r="G915">
        <v>0.25902861747913097</v>
      </c>
      <c r="H915">
        <v>0.131762954774715</v>
      </c>
      <c r="I915">
        <v>0.100545382151336</v>
      </c>
      <c r="J915">
        <v>7.8977283128065498E-2</v>
      </c>
      <c r="K915">
        <v>6.0309767730304602E-2</v>
      </c>
      <c r="L915">
        <v>1931.26228225919</v>
      </c>
      <c r="M915">
        <v>36.384148483068998</v>
      </c>
      <c r="N915">
        <v>53.428272381024001</v>
      </c>
      <c r="O915">
        <v>52.920189245308897</v>
      </c>
      <c r="P915">
        <v>-0.153726713110198</v>
      </c>
      <c r="Q915">
        <v>0.105630063310378</v>
      </c>
      <c r="R915">
        <v>0.98720295062999897</v>
      </c>
      <c r="S915" t="s">
        <v>6776</v>
      </c>
      <c r="T915" t="s">
        <v>11720</v>
      </c>
      <c r="U915" t="s">
        <v>11720</v>
      </c>
      <c r="V915" t="s">
        <v>11720</v>
      </c>
      <c r="W915" t="s">
        <v>12614</v>
      </c>
      <c r="X915">
        <v>2</v>
      </c>
      <c r="Y915" t="s">
        <v>18408</v>
      </c>
      <c r="Z915" t="s">
        <v>24122</v>
      </c>
      <c r="AA915">
        <v>0.49953095504549011</v>
      </c>
      <c r="AB915" t="str">
        <f>HYPERLINK("Melting_Curves/meltCurve_H3BRY6_VWA9.pdf", "Melting_Curves/meltCurve_H3BRY6_VWA9.pdf")</f>
        <v>Melting_Curves/meltCurve_H3BRY6_VWA9.pdf</v>
      </c>
    </row>
    <row r="916" spans="1:28" x14ac:dyDescent="0.25">
      <c r="A916" t="s">
        <v>920</v>
      </c>
      <c r="B916">
        <v>0.99334974765950101</v>
      </c>
      <c r="C916">
        <v>0.95697239516796695</v>
      </c>
      <c r="D916">
        <v>0.91150407457970695</v>
      </c>
      <c r="E916">
        <v>0.86119292192624497</v>
      </c>
      <c r="F916">
        <v>0.57085391054541101</v>
      </c>
      <c r="G916">
        <v>0.294248520741485</v>
      </c>
      <c r="H916">
        <v>0.152757749938047</v>
      </c>
      <c r="I916">
        <v>0.12694699296964099</v>
      </c>
      <c r="J916">
        <v>0.134081969465425</v>
      </c>
      <c r="K916">
        <v>0.106529338328162</v>
      </c>
      <c r="L916">
        <v>1130.8695442446799</v>
      </c>
      <c r="M916">
        <v>21.191742104006298</v>
      </c>
      <c r="N916">
        <v>53.965300354782499</v>
      </c>
      <c r="O916">
        <v>52.895321651230802</v>
      </c>
      <c r="P916">
        <v>-8.9623724278964104E-2</v>
      </c>
      <c r="Q916">
        <v>0.105207497694911</v>
      </c>
      <c r="R916">
        <v>0.99488989941712802</v>
      </c>
      <c r="S916" t="s">
        <v>6777</v>
      </c>
      <c r="T916" t="s">
        <v>11720</v>
      </c>
      <c r="U916" t="s">
        <v>11720</v>
      </c>
      <c r="V916" t="s">
        <v>11720</v>
      </c>
      <c r="W916" t="s">
        <v>12615</v>
      </c>
      <c r="X916">
        <v>15</v>
      </c>
      <c r="Y916" t="s">
        <v>18409</v>
      </c>
      <c r="Z916" t="s">
        <v>24123</v>
      </c>
      <c r="AA916">
        <v>0.51491201965364086</v>
      </c>
      <c r="AB916" t="str">
        <f>HYPERLINK("Melting_Curves/meltCurve_H3BSM7_C16orf58.pdf", "Melting_Curves/meltCurve_H3BSM7_C16orf58.pdf")</f>
        <v>Melting_Curves/meltCurve_H3BSM7_C16orf58.pdf</v>
      </c>
    </row>
    <row r="917" spans="1:28" x14ac:dyDescent="0.25">
      <c r="A917" t="s">
        <v>921</v>
      </c>
      <c r="B917">
        <v>0.99334974765950101</v>
      </c>
      <c r="C917">
        <v>1.0330044205369799</v>
      </c>
      <c r="D917">
        <v>0.94264602886885795</v>
      </c>
      <c r="E917">
        <v>0.97453370672489303</v>
      </c>
      <c r="F917">
        <v>0.72988911692904002</v>
      </c>
      <c r="G917">
        <v>0.87175453677554704</v>
      </c>
      <c r="H917">
        <v>1.109261714724</v>
      </c>
      <c r="I917">
        <v>0.85705233774693401</v>
      </c>
      <c r="J917">
        <v>0.65270639931404095</v>
      </c>
      <c r="K917">
        <v>0.428076201474617</v>
      </c>
      <c r="L917">
        <v>2749.7548348509099</v>
      </c>
      <c r="M917">
        <v>41.286495897835401</v>
      </c>
      <c r="N917">
        <v>68.672608806570594</v>
      </c>
      <c r="O917">
        <v>66.446137379307601</v>
      </c>
      <c r="P917">
        <v>-0.100033878428339</v>
      </c>
      <c r="Q917">
        <v>0.35602666674070699</v>
      </c>
      <c r="R917">
        <v>0.70374492090174201</v>
      </c>
      <c r="S917" t="s">
        <v>6778</v>
      </c>
      <c r="T917" t="s">
        <v>11720</v>
      </c>
      <c r="U917" t="s">
        <v>11720</v>
      </c>
      <c r="V917" t="s">
        <v>11720</v>
      </c>
      <c r="W917" t="s">
        <v>12616</v>
      </c>
      <c r="X917">
        <v>3</v>
      </c>
      <c r="Y917" t="s">
        <v>18410</v>
      </c>
      <c r="Z917" t="s">
        <v>24124</v>
      </c>
      <c r="AA917">
        <v>0.92472516877156963</v>
      </c>
      <c r="AB917" t="str">
        <f>HYPERLINK("Melting_Curves/meltCurve_H3BSS5_KCTD5.pdf", "Melting_Curves/meltCurve_H3BSS5_KCTD5.pdf")</f>
        <v>Melting_Curves/meltCurve_H3BSS5_KCTD5.pdf</v>
      </c>
    </row>
    <row r="918" spans="1:28" x14ac:dyDescent="0.25">
      <c r="A918" t="s">
        <v>922</v>
      </c>
      <c r="B918">
        <v>0.99334974765950101</v>
      </c>
      <c r="C918">
        <v>1.00168640354269</v>
      </c>
      <c r="D918">
        <v>1.0223492313098299</v>
      </c>
      <c r="E918">
        <v>0.91504902329690296</v>
      </c>
      <c r="F918">
        <v>0.73780735580830403</v>
      </c>
      <c r="G918">
        <v>0.57066762128224802</v>
      </c>
      <c r="H918">
        <v>0.41661768779640201</v>
      </c>
      <c r="I918">
        <v>0.333260264725387</v>
      </c>
      <c r="J918">
        <v>0.30867315796510902</v>
      </c>
      <c r="K918">
        <v>0.25325487612495801</v>
      </c>
      <c r="L918">
        <v>875.09378567205101</v>
      </c>
      <c r="M918">
        <v>15.656557532493199</v>
      </c>
      <c r="N918">
        <v>58.3672162861481</v>
      </c>
      <c r="O918">
        <v>55.005104190435802</v>
      </c>
      <c r="P918">
        <v>-5.3906705901499999E-2</v>
      </c>
      <c r="Q918">
        <v>0.24251784064236101</v>
      </c>
      <c r="R918">
        <v>0.99460763168803401</v>
      </c>
      <c r="S918" t="s">
        <v>6779</v>
      </c>
      <c r="T918" t="s">
        <v>11720</v>
      </c>
      <c r="U918" t="s">
        <v>11720</v>
      </c>
      <c r="V918" t="s">
        <v>11720</v>
      </c>
      <c r="W918" t="s">
        <v>12617</v>
      </c>
      <c r="X918">
        <v>3</v>
      </c>
      <c r="Y918" t="s">
        <v>18411</v>
      </c>
      <c r="Z918" t="s">
        <v>24125</v>
      </c>
      <c r="AA918">
        <v>0.65686496925363924</v>
      </c>
      <c r="AB918" t="str">
        <f>HYPERLINK("Melting_Curves/meltCurve_H3BSW6_CTU2.pdf", "Melting_Curves/meltCurve_H3BSW6_CTU2.pdf")</f>
        <v>Melting_Curves/meltCurve_H3BSW6_CTU2.pdf</v>
      </c>
    </row>
    <row r="919" spans="1:28" x14ac:dyDescent="0.25">
      <c r="A919" t="s">
        <v>923</v>
      </c>
      <c r="B919">
        <v>0.99334974765950101</v>
      </c>
      <c r="C919">
        <v>0.95412601916711004</v>
      </c>
      <c r="D919">
        <v>0.867742823215649</v>
      </c>
      <c r="E919">
        <v>0.53701044665856801</v>
      </c>
      <c r="F919">
        <v>0.34462549041742502</v>
      </c>
      <c r="G919">
        <v>0.237970488223125</v>
      </c>
      <c r="H919">
        <v>0.19029323887638799</v>
      </c>
      <c r="I919">
        <v>0.158978150327171</v>
      </c>
      <c r="J919">
        <v>0.114066741373949</v>
      </c>
      <c r="K919">
        <v>7.7414476462054294E-2</v>
      </c>
      <c r="L919">
        <v>871.57440196756795</v>
      </c>
      <c r="M919">
        <v>17.4362577844106</v>
      </c>
      <c r="N919">
        <v>50.778706293667099</v>
      </c>
      <c r="O919">
        <v>49.342720065978199</v>
      </c>
      <c r="P919">
        <v>-7.78248654008038E-2</v>
      </c>
      <c r="Q919">
        <v>0.119105454412232</v>
      </c>
      <c r="R919">
        <v>0.99475016366972402</v>
      </c>
      <c r="S919" t="s">
        <v>6780</v>
      </c>
      <c r="T919" t="s">
        <v>11720</v>
      </c>
      <c r="U919" t="s">
        <v>11720</v>
      </c>
      <c r="V919" t="s">
        <v>11720</v>
      </c>
      <c r="W919" t="s">
        <v>12618</v>
      </c>
      <c r="X919">
        <v>6</v>
      </c>
      <c r="Y919" t="s">
        <v>18412</v>
      </c>
      <c r="Z919" t="s">
        <v>24126</v>
      </c>
      <c r="AA919">
        <v>0.42829217442012613</v>
      </c>
      <c r="AB919" t="str">
        <f>HYPERLINK("Melting_Curves/meltCurve_H3BTF5_METTL22.pdf", "Melting_Curves/meltCurve_H3BTF5_METTL22.pdf")</f>
        <v>Melting_Curves/meltCurve_H3BTF5_METTL22.pdf</v>
      </c>
    </row>
    <row r="920" spans="1:28" x14ac:dyDescent="0.25">
      <c r="A920" t="s">
        <v>924</v>
      </c>
      <c r="B920">
        <v>0.99334974765950101</v>
      </c>
      <c r="C920">
        <v>1.06527778545223</v>
      </c>
      <c r="D920">
        <v>0.93565079786194605</v>
      </c>
      <c r="E920">
        <v>0.82171803246837005</v>
      </c>
      <c r="F920">
        <v>0.66321972673232599</v>
      </c>
      <c r="G920">
        <v>0.86245584216487603</v>
      </c>
      <c r="H920">
        <v>0.37275551651407401</v>
      </c>
      <c r="I920">
        <v>0.19440208276041801</v>
      </c>
      <c r="J920">
        <v>0.13772240802854399</v>
      </c>
      <c r="K920">
        <v>5.8911641797633203E-2</v>
      </c>
      <c r="L920">
        <v>823.49514871552401</v>
      </c>
      <c r="M920">
        <v>13.932250674915901</v>
      </c>
      <c r="N920">
        <v>59.1071156035526</v>
      </c>
      <c r="O920">
        <v>57.929333561024201</v>
      </c>
      <c r="P920">
        <v>-6.0134170812256603E-2</v>
      </c>
      <c r="Q920">
        <v>0</v>
      </c>
      <c r="R920">
        <v>0.91745695553937701</v>
      </c>
      <c r="S920" t="s">
        <v>6781</v>
      </c>
      <c r="T920" t="s">
        <v>11720</v>
      </c>
      <c r="U920" t="s">
        <v>11720</v>
      </c>
      <c r="V920" t="s">
        <v>11720</v>
      </c>
      <c r="W920" t="s">
        <v>12619</v>
      </c>
      <c r="X920">
        <v>4</v>
      </c>
      <c r="Y920" t="s">
        <v>18413</v>
      </c>
      <c r="Z920" t="s">
        <v>24127</v>
      </c>
      <c r="AA920">
        <v>0.64645805532165879</v>
      </c>
      <c r="AB920" t="str">
        <f>HYPERLINK("Melting_Curves/meltCurve_H3BTH4_ADPGK.pdf", "Melting_Curves/meltCurve_H3BTH4_ADPGK.pdf")</f>
        <v>Melting_Curves/meltCurve_H3BTH4_ADPGK.pdf</v>
      </c>
    </row>
    <row r="921" spans="1:28" x14ac:dyDescent="0.25">
      <c r="A921" t="s">
        <v>925</v>
      </c>
      <c r="B921">
        <v>0.99334974765950101</v>
      </c>
      <c r="C921">
        <v>1.00798404759496</v>
      </c>
      <c r="D921">
        <v>0.960056044642142</v>
      </c>
      <c r="E921">
        <v>0.78975263357331305</v>
      </c>
      <c r="F921">
        <v>0.54680602018727698</v>
      </c>
      <c r="G921">
        <v>0.30403718580939898</v>
      </c>
      <c r="H921">
        <v>0.16446640385230299</v>
      </c>
      <c r="I921">
        <v>0.14836091450540001</v>
      </c>
      <c r="J921">
        <v>0.15650779752396099</v>
      </c>
      <c r="K921">
        <v>0.14185408706684899</v>
      </c>
      <c r="L921">
        <v>1083.1828463243601</v>
      </c>
      <c r="M921">
        <v>20.512667087816698</v>
      </c>
      <c r="N921">
        <v>53.610913838688496</v>
      </c>
      <c r="O921">
        <v>52.311379487644501</v>
      </c>
      <c r="P921">
        <v>-8.5035680273177205E-2</v>
      </c>
      <c r="Q921">
        <v>0.13259397842071499</v>
      </c>
      <c r="R921">
        <v>0.99914399493891703</v>
      </c>
      <c r="S921" t="s">
        <v>6782</v>
      </c>
      <c r="T921" t="s">
        <v>11720</v>
      </c>
      <c r="U921" t="s">
        <v>11720</v>
      </c>
      <c r="V921" t="s">
        <v>11720</v>
      </c>
      <c r="W921" t="s">
        <v>12620</v>
      </c>
      <c r="X921">
        <v>4</v>
      </c>
      <c r="Y921" t="s">
        <v>18414</v>
      </c>
      <c r="Z921" t="s">
        <v>24128</v>
      </c>
      <c r="AA921">
        <v>0.51428332043137426</v>
      </c>
      <c r="AB921" t="str">
        <f>HYPERLINK("Melting_Curves/meltCurve_H3BTL1_MAP1LC3B.pdf", "Melting_Curves/meltCurve_H3BTL1_MAP1LC3B.pdf")</f>
        <v>Melting_Curves/meltCurve_H3BTL1_MAP1LC3B.pdf</v>
      </c>
    </row>
    <row r="922" spans="1:28" x14ac:dyDescent="0.25">
      <c r="A922" t="s">
        <v>926</v>
      </c>
      <c r="B922">
        <v>0.99334974765950101</v>
      </c>
      <c r="C922">
        <v>0.98577117354094002</v>
      </c>
      <c r="D922">
        <v>1.0499864484292301</v>
      </c>
      <c r="E922">
        <v>1.5157307804418101</v>
      </c>
      <c r="F922">
        <v>1.84406478861706</v>
      </c>
      <c r="G922">
        <v>7.2358583876293601</v>
      </c>
      <c r="H922">
        <v>2.1436098156028498</v>
      </c>
      <c r="I922">
        <v>0.38570932752373099</v>
      </c>
      <c r="J922">
        <v>0.22966754765247599</v>
      </c>
      <c r="K922">
        <v>0.167432771242184</v>
      </c>
      <c r="L922">
        <v>15000</v>
      </c>
      <c r="M922">
        <v>235.56171662740101</v>
      </c>
      <c r="N922">
        <v>63.814600281856798</v>
      </c>
      <c r="O922">
        <v>63.6729912424913</v>
      </c>
      <c r="P922">
        <v>-0.74131165901194296</v>
      </c>
      <c r="Q922">
        <v>0.198485552097835</v>
      </c>
      <c r="R922">
        <v>-6.8224602793653097E-2</v>
      </c>
      <c r="S922" t="s">
        <v>6783</v>
      </c>
      <c r="T922" t="s">
        <v>11720</v>
      </c>
      <c r="U922" t="s">
        <v>11720</v>
      </c>
      <c r="V922" t="s">
        <v>11720</v>
      </c>
      <c r="W922" t="s">
        <v>12621</v>
      </c>
      <c r="X922">
        <v>51</v>
      </c>
      <c r="Y922" t="s">
        <v>18415</v>
      </c>
      <c r="Z922" t="s">
        <v>24129</v>
      </c>
      <c r="AA922">
        <v>0.83118385252371829</v>
      </c>
      <c r="AB922" t="str">
        <f>HYPERLINK("Melting_Curves/meltCurve_H3BTN5_PKM.pdf", "Melting_Curves/meltCurve_H3BTN5_PKM.pdf")</f>
        <v>Melting_Curves/meltCurve_H3BTN5_PKM.pdf</v>
      </c>
    </row>
    <row r="923" spans="1:28" x14ac:dyDescent="0.25">
      <c r="A923" t="s">
        <v>927</v>
      </c>
      <c r="B923">
        <v>0.99334974765950101</v>
      </c>
      <c r="C923">
        <v>1.1067992154686099</v>
      </c>
      <c r="D923">
        <v>1.07420692227794</v>
      </c>
      <c r="E923">
        <v>0.91585649445197503</v>
      </c>
      <c r="F923">
        <v>1.0513432572624699</v>
      </c>
      <c r="G923">
        <v>0.79890578224115305</v>
      </c>
      <c r="H923">
        <v>0.70111712137053805</v>
      </c>
      <c r="I923">
        <v>0.85014626579948405</v>
      </c>
      <c r="J923">
        <v>0.86935406243073399</v>
      </c>
      <c r="K923">
        <v>0.69803673076043105</v>
      </c>
      <c r="L923">
        <v>14116.2402316838</v>
      </c>
      <c r="M923">
        <v>250</v>
      </c>
      <c r="O923">
        <v>56.4613475750483</v>
      </c>
      <c r="P923">
        <v>-0.24390188473332799</v>
      </c>
      <c r="Q923">
        <v>0.77966353497016005</v>
      </c>
      <c r="R923">
        <v>0.73559007621394201</v>
      </c>
      <c r="S923" t="s">
        <v>6784</v>
      </c>
      <c r="T923" t="s">
        <v>11720</v>
      </c>
      <c r="U923" t="s">
        <v>11720</v>
      </c>
      <c r="V923" t="s">
        <v>11720</v>
      </c>
      <c r="W923" t="s">
        <v>12563</v>
      </c>
      <c r="X923">
        <v>4</v>
      </c>
      <c r="Z923" t="s">
        <v>24130</v>
      </c>
      <c r="AA923">
        <v>0.90061307882199537</v>
      </c>
      <c r="AB923" t="str">
        <f>HYPERLINK("Melting_Curves/meltCurve_H3BTX0_.pdf", "Melting_Curves/meltCurve_H3BTX0_.pdf")</f>
        <v>Melting_Curves/meltCurve_H3BTX0_.pdf</v>
      </c>
    </row>
    <row r="924" spans="1:28" x14ac:dyDescent="0.25">
      <c r="A924" t="s">
        <v>928</v>
      </c>
      <c r="B924">
        <v>0.99334974765950101</v>
      </c>
      <c r="C924">
        <v>0.83888237360280804</v>
      </c>
      <c r="D924">
        <v>0.70146961009703401</v>
      </c>
      <c r="E924">
        <v>0.55916399945519102</v>
      </c>
      <c r="F924">
        <v>0.50980344279085898</v>
      </c>
      <c r="G924">
        <v>0.31437259748066099</v>
      </c>
      <c r="H924">
        <v>0.27209343991277202</v>
      </c>
      <c r="I924">
        <v>0.23257478469993301</v>
      </c>
      <c r="J924">
        <v>0.18012429959450499</v>
      </c>
      <c r="K924">
        <v>0.168400550664731</v>
      </c>
      <c r="L924">
        <v>461.806923511587</v>
      </c>
      <c r="M924">
        <v>9.1461766950660905</v>
      </c>
      <c r="N924">
        <v>51.873622979385097</v>
      </c>
      <c r="O924">
        <v>48.253762720412702</v>
      </c>
      <c r="P924">
        <v>-4.2291606077513998E-2</v>
      </c>
      <c r="Q924">
        <v>0.108114419831804</v>
      </c>
      <c r="R924">
        <v>0.98667945710607297</v>
      </c>
      <c r="S924" t="s">
        <v>6785</v>
      </c>
      <c r="T924" t="s">
        <v>11720</v>
      </c>
      <c r="U924" t="s">
        <v>11720</v>
      </c>
      <c r="V924" t="s">
        <v>11720</v>
      </c>
      <c r="W924" t="s">
        <v>12622</v>
      </c>
      <c r="X924">
        <v>1</v>
      </c>
      <c r="Y924" t="s">
        <v>18416</v>
      </c>
      <c r="Z924" t="s">
        <v>24131</v>
      </c>
      <c r="AA924">
        <v>0.46335073417041212</v>
      </c>
      <c r="AB924" t="str">
        <f>HYPERLINK("Melting_Curves/meltCurve_H3BTX7_RNF166.pdf", "Melting_Curves/meltCurve_H3BTX7_RNF166.pdf")</f>
        <v>Melting_Curves/meltCurve_H3BTX7_RNF166.pdf</v>
      </c>
    </row>
    <row r="925" spans="1:28" x14ac:dyDescent="0.25">
      <c r="A925" t="s">
        <v>929</v>
      </c>
      <c r="B925">
        <v>0.99334974765950101</v>
      </c>
      <c r="C925">
        <v>1.04936498482276</v>
      </c>
      <c r="D925">
        <v>0.83166239024917799</v>
      </c>
      <c r="E925">
        <v>0.67133671529179595</v>
      </c>
      <c r="F925">
        <v>0.298789142114114</v>
      </c>
      <c r="G925">
        <v>0.18499087995513999</v>
      </c>
      <c r="H925">
        <v>0.134836178448309</v>
      </c>
      <c r="I925">
        <v>0.131267743019923</v>
      </c>
      <c r="J925">
        <v>0.119105163393562</v>
      </c>
      <c r="K925">
        <v>9.8639872679503804E-2</v>
      </c>
      <c r="L925">
        <v>1121.8558028392899</v>
      </c>
      <c r="M925">
        <v>22.1809138532705</v>
      </c>
      <c r="N925">
        <v>51.151161623013799</v>
      </c>
      <c r="O925">
        <v>50.171809865719403</v>
      </c>
      <c r="P925">
        <v>-9.8356974556673707E-2</v>
      </c>
      <c r="Q925">
        <v>0.11011046881193</v>
      </c>
      <c r="R925">
        <v>0.98757121834233796</v>
      </c>
      <c r="S925" t="s">
        <v>6786</v>
      </c>
      <c r="T925" t="s">
        <v>11720</v>
      </c>
      <c r="U925" t="s">
        <v>11720</v>
      </c>
      <c r="V925" t="s">
        <v>11720</v>
      </c>
      <c r="W925" t="s">
        <v>12623</v>
      </c>
      <c r="X925">
        <v>3</v>
      </c>
      <c r="Y925" t="s">
        <v>18417</v>
      </c>
      <c r="Z925" t="s">
        <v>24132</v>
      </c>
      <c r="AA925">
        <v>0.43399978020540608</v>
      </c>
      <c r="AB925" t="str">
        <f>HYPERLINK("Melting_Curves/meltCurve_H3BU49_ARL2BP.pdf", "Melting_Curves/meltCurve_H3BU49_ARL2BP.pdf")</f>
        <v>Melting_Curves/meltCurve_H3BU49_ARL2BP.pdf</v>
      </c>
    </row>
    <row r="926" spans="1:28" x14ac:dyDescent="0.25">
      <c r="A926" t="s">
        <v>930</v>
      </c>
      <c r="B926">
        <v>0.99334974765950101</v>
      </c>
      <c r="C926">
        <v>0.93679237589651498</v>
      </c>
      <c r="D926">
        <v>0.764492574066018</v>
      </c>
      <c r="E926">
        <v>0.51739418027686301</v>
      </c>
      <c r="F926">
        <v>0.515319884729038</v>
      </c>
      <c r="G926">
        <v>0.32925575588141998</v>
      </c>
      <c r="H926">
        <v>0.24619731889492799</v>
      </c>
      <c r="I926">
        <v>0.17467473702625499</v>
      </c>
      <c r="J926">
        <v>0.122315152994624</v>
      </c>
      <c r="K926">
        <v>9.9866884991935606E-2</v>
      </c>
      <c r="L926">
        <v>510.64004142161002</v>
      </c>
      <c r="M926">
        <v>9.8855462086020101</v>
      </c>
      <c r="N926">
        <v>52.1964103141202</v>
      </c>
      <c r="O926">
        <v>49.674666628982401</v>
      </c>
      <c r="P926">
        <v>-4.7352127109941002E-2</v>
      </c>
      <c r="Q926">
        <v>4.87096438127907E-2</v>
      </c>
      <c r="R926">
        <v>0.98448231383579499</v>
      </c>
      <c r="S926" t="s">
        <v>6787</v>
      </c>
      <c r="T926" t="s">
        <v>11720</v>
      </c>
      <c r="U926" t="s">
        <v>11720</v>
      </c>
      <c r="V926" t="s">
        <v>11720</v>
      </c>
      <c r="W926" t="s">
        <v>12624</v>
      </c>
      <c r="X926">
        <v>8</v>
      </c>
      <c r="Y926" t="s">
        <v>18418</v>
      </c>
      <c r="Z926" t="s">
        <v>24133</v>
      </c>
      <c r="AA926">
        <v>0.45609716438548692</v>
      </c>
      <c r="AB926" t="str">
        <f>HYPERLINK("Melting_Curves/meltCurve_H3BUQ2_OGFOD1.pdf", "Melting_Curves/meltCurve_H3BUQ2_OGFOD1.pdf")</f>
        <v>Melting_Curves/meltCurve_H3BUQ2_OGFOD1.pdf</v>
      </c>
    </row>
    <row r="927" spans="1:28" x14ac:dyDescent="0.25">
      <c r="A927" t="s">
        <v>931</v>
      </c>
      <c r="B927">
        <v>0.99334974765950101</v>
      </c>
      <c r="C927">
        <v>0.89024596540688405</v>
      </c>
      <c r="D927">
        <v>0.70930007968907005</v>
      </c>
      <c r="E927">
        <v>0.405052600680116</v>
      </c>
      <c r="F927">
        <v>0.44272848460591602</v>
      </c>
      <c r="G927">
        <v>0.19247621992567299</v>
      </c>
      <c r="H927">
        <v>0.115214351056423</v>
      </c>
      <c r="I927">
        <v>0.14358996790683001</v>
      </c>
      <c r="J927">
        <v>9.8774412388643498E-2</v>
      </c>
      <c r="K927">
        <v>0.109803164692222</v>
      </c>
      <c r="L927">
        <v>630.04097821018001</v>
      </c>
      <c r="M927">
        <v>12.862191773764</v>
      </c>
      <c r="N927">
        <v>49.684225992478602</v>
      </c>
      <c r="O927">
        <v>47.845206380110596</v>
      </c>
      <c r="P927">
        <v>-6.16470650272085E-2</v>
      </c>
      <c r="Q927">
        <v>8.2901702173387104E-2</v>
      </c>
      <c r="R927">
        <v>0.97906786806934099</v>
      </c>
      <c r="S927" t="s">
        <v>6788</v>
      </c>
      <c r="T927" t="s">
        <v>11720</v>
      </c>
      <c r="U927" t="s">
        <v>11720</v>
      </c>
      <c r="V927" t="s">
        <v>11720</v>
      </c>
      <c r="W927" t="s">
        <v>12625</v>
      </c>
      <c r="X927">
        <v>2</v>
      </c>
      <c r="Y927" t="s">
        <v>18419</v>
      </c>
      <c r="Z927" t="s">
        <v>24134</v>
      </c>
      <c r="AA927">
        <v>0.38748951286189398</v>
      </c>
      <c r="AB927" t="str">
        <f>HYPERLINK("Melting_Curves/meltCurve_H3BUR4_NOB1.pdf", "Melting_Curves/meltCurve_H3BUR4_NOB1.pdf")</f>
        <v>Melting_Curves/meltCurve_H3BUR4_NOB1.pdf</v>
      </c>
    </row>
    <row r="928" spans="1:28" x14ac:dyDescent="0.25">
      <c r="A928" t="s">
        <v>932</v>
      </c>
      <c r="B928">
        <v>0.99334974765950101</v>
      </c>
      <c r="C928">
        <v>1.04229043888564</v>
      </c>
      <c r="D928">
        <v>1.11707010846153</v>
      </c>
      <c r="E928">
        <v>1.3396484478125199</v>
      </c>
      <c r="F928">
        <v>1.83432333008517</v>
      </c>
      <c r="G928">
        <v>1.9006082230919199</v>
      </c>
      <c r="H928">
        <v>1.9133041383980001</v>
      </c>
      <c r="I928">
        <v>2.07523635278136</v>
      </c>
      <c r="J928">
        <v>1.7998225145975</v>
      </c>
      <c r="K928">
        <v>1.3844401621818201</v>
      </c>
      <c r="L928">
        <v>1936.3956434105901</v>
      </c>
      <c r="M928">
        <v>40.575815653112599</v>
      </c>
      <c r="O928">
        <v>47.607440735378702</v>
      </c>
      <c r="P928">
        <v>0.106537731032297</v>
      </c>
      <c r="Q928">
        <v>1.5</v>
      </c>
      <c r="R928">
        <v>0.40364126186479798</v>
      </c>
      <c r="S928" t="s">
        <v>6789</v>
      </c>
      <c r="T928" t="s">
        <v>11720</v>
      </c>
      <c r="U928" t="s">
        <v>11720</v>
      </c>
      <c r="V928" t="s">
        <v>11720</v>
      </c>
      <c r="W928" t="s">
        <v>12626</v>
      </c>
      <c r="X928">
        <v>7</v>
      </c>
      <c r="Y928" t="s">
        <v>18420</v>
      </c>
      <c r="Z928" t="s">
        <v>24135</v>
      </c>
      <c r="AA928">
        <v>1.3696769008084171</v>
      </c>
      <c r="AB928" t="str">
        <f>HYPERLINK("Melting_Curves/meltCurve_H3BUU9_CDH11.pdf", "Melting_Curves/meltCurve_H3BUU9_CDH11.pdf")</f>
        <v>Melting_Curves/meltCurve_H3BUU9_CDH11.pdf</v>
      </c>
    </row>
    <row r="929" spans="1:28" x14ac:dyDescent="0.25">
      <c r="A929" t="s">
        <v>933</v>
      </c>
      <c r="B929">
        <v>0.99334974765950101</v>
      </c>
      <c r="C929">
        <v>0.75348425390419904</v>
      </c>
      <c r="D929">
        <v>0.70066414908359198</v>
      </c>
      <c r="E929">
        <v>0.59019476597021503</v>
      </c>
      <c r="F929">
        <v>0.44410866205272798</v>
      </c>
      <c r="G929">
        <v>0.24589519221292699</v>
      </c>
      <c r="H929">
        <v>0.182167535399401</v>
      </c>
      <c r="I929">
        <v>0.112576653199615</v>
      </c>
      <c r="J929">
        <v>4.16570337919989E-2</v>
      </c>
      <c r="K929">
        <v>5.34625468177818E-2</v>
      </c>
      <c r="L929">
        <v>478.231895508381</v>
      </c>
      <c r="M929">
        <v>9.4110437004320993</v>
      </c>
      <c r="N929">
        <v>50.816016652458799</v>
      </c>
      <c r="O929">
        <v>48.680056340703104</v>
      </c>
      <c r="P929">
        <v>-4.8360734534096797E-2</v>
      </c>
      <c r="Q929">
        <v>0</v>
      </c>
      <c r="R929">
        <v>0.97777248919969695</v>
      </c>
      <c r="S929" t="s">
        <v>6790</v>
      </c>
      <c r="T929" t="s">
        <v>11720</v>
      </c>
      <c r="U929" t="s">
        <v>11720</v>
      </c>
      <c r="V929" t="s">
        <v>11720</v>
      </c>
      <c r="W929" t="s">
        <v>12627</v>
      </c>
      <c r="X929">
        <v>1</v>
      </c>
      <c r="Y929" t="s">
        <v>18421</v>
      </c>
      <c r="Z929" t="s">
        <v>24136</v>
      </c>
      <c r="AA929">
        <v>0.40605961088061898</v>
      </c>
      <c r="AB929" t="str">
        <f>HYPERLINK("Melting_Curves/meltCurve_H3BUW8_LONP2.pdf", "Melting_Curves/meltCurve_H3BUW8_LONP2.pdf")</f>
        <v>Melting_Curves/meltCurve_H3BUW8_LONP2.pdf</v>
      </c>
    </row>
    <row r="930" spans="1:28" x14ac:dyDescent="0.25">
      <c r="A930" t="s">
        <v>934</v>
      </c>
      <c r="B930">
        <v>0.99334974765950101</v>
      </c>
      <c r="C930">
        <v>0.99480167550930099</v>
      </c>
      <c r="D930">
        <v>0.75261000795752098</v>
      </c>
      <c r="E930">
        <v>0.85489760582603402</v>
      </c>
      <c r="F930">
        <v>0.82846948888627703</v>
      </c>
      <c r="G930">
        <v>0.51441883807891098</v>
      </c>
      <c r="H930">
        <v>0.470204504649883</v>
      </c>
      <c r="I930">
        <v>0.39701369488626498</v>
      </c>
      <c r="J930">
        <v>0.43764902755034102</v>
      </c>
      <c r="K930">
        <v>0.309188191313577</v>
      </c>
      <c r="L930">
        <v>471.21870201674602</v>
      </c>
      <c r="M930">
        <v>8.25177420688747</v>
      </c>
      <c r="N930">
        <v>60.479436230314398</v>
      </c>
      <c r="O930">
        <v>54.045908301991503</v>
      </c>
      <c r="P930">
        <v>-3.1159908519625499E-2</v>
      </c>
      <c r="Q930">
        <v>0.184480327013475</v>
      </c>
      <c r="R930">
        <v>0.91376747579449802</v>
      </c>
      <c r="S930" t="s">
        <v>6791</v>
      </c>
      <c r="T930" t="s">
        <v>11720</v>
      </c>
      <c r="U930" t="s">
        <v>11720</v>
      </c>
      <c r="V930" t="s">
        <v>11720</v>
      </c>
      <c r="W930" t="s">
        <v>12628</v>
      </c>
      <c r="X930">
        <v>2</v>
      </c>
      <c r="Y930" t="s">
        <v>18422</v>
      </c>
      <c r="Z930" t="s">
        <v>24137</v>
      </c>
      <c r="AA930">
        <v>0.65913974260639807</v>
      </c>
      <c r="AB930" t="str">
        <f>HYPERLINK("Melting_Curves/meltCurve_H3BUY6_C16orf45.pdf", "Melting_Curves/meltCurve_H3BUY6_C16orf45.pdf")</f>
        <v>Melting_Curves/meltCurve_H3BUY6_C16orf45.pdf</v>
      </c>
    </row>
    <row r="931" spans="1:28" x14ac:dyDescent="0.25">
      <c r="A931" t="s">
        <v>935</v>
      </c>
      <c r="B931">
        <v>0.99334974765950101</v>
      </c>
      <c r="C931">
        <v>1.0565426120750201</v>
      </c>
      <c r="D931">
        <v>0.86707807523589497</v>
      </c>
      <c r="E931">
        <v>0.87538294226693203</v>
      </c>
      <c r="F931">
        <v>0.88473826349874196</v>
      </c>
      <c r="G931">
        <v>0.72976480781701203</v>
      </c>
      <c r="H931">
        <v>0.64201430009670202</v>
      </c>
      <c r="I931">
        <v>0.46103418839966398</v>
      </c>
      <c r="J931">
        <v>0.4658417132789</v>
      </c>
      <c r="K931">
        <v>0.282801485546327</v>
      </c>
      <c r="L931">
        <v>530.60617856007195</v>
      </c>
      <c r="M931">
        <v>8.2822888823413408</v>
      </c>
      <c r="N931">
        <v>64.065159179567999</v>
      </c>
      <c r="O931">
        <v>60.656132746060401</v>
      </c>
      <c r="P931">
        <v>-3.4170146975540501E-2</v>
      </c>
      <c r="Q931">
        <v>0</v>
      </c>
      <c r="R931">
        <v>0.95628919024103498</v>
      </c>
      <c r="S931" t="s">
        <v>6792</v>
      </c>
      <c r="T931" t="s">
        <v>11720</v>
      </c>
      <c r="U931" t="s">
        <v>11720</v>
      </c>
      <c r="V931" t="s">
        <v>11720</v>
      </c>
      <c r="W931" t="s">
        <v>12629</v>
      </c>
      <c r="X931">
        <v>1</v>
      </c>
      <c r="Y931" t="s">
        <v>18423</v>
      </c>
      <c r="Z931" t="s">
        <v>24138</v>
      </c>
      <c r="AA931">
        <v>0.74286021770064392</v>
      </c>
      <c r="AB931" t="str">
        <f>HYPERLINK("Melting_Curves/meltCurve_H3BVF7_TMEM62.pdf", "Melting_Curves/meltCurve_H3BVF7_TMEM62.pdf")</f>
        <v>Melting_Curves/meltCurve_H3BVF7_TMEM62.pdf</v>
      </c>
    </row>
    <row r="932" spans="1:28" x14ac:dyDescent="0.25">
      <c r="A932" t="s">
        <v>936</v>
      </c>
      <c r="B932">
        <v>0.99334974765950101</v>
      </c>
      <c r="C932">
        <v>1.0151532042546501</v>
      </c>
      <c r="D932">
        <v>0.930202434497024</v>
      </c>
      <c r="E932">
        <v>0.90332175686361205</v>
      </c>
      <c r="F932">
        <v>0.62426103870528604</v>
      </c>
      <c r="G932">
        <v>0.466603309357217</v>
      </c>
      <c r="H932">
        <v>0.237871642399584</v>
      </c>
      <c r="I932">
        <v>0.105251079475675</v>
      </c>
      <c r="J932">
        <v>8.6396306370069606E-2</v>
      </c>
      <c r="K932">
        <v>6.2566673129137496E-2</v>
      </c>
      <c r="L932">
        <v>812.35184123836405</v>
      </c>
      <c r="M932">
        <v>14.535393029553401</v>
      </c>
      <c r="N932">
        <v>55.896877854518202</v>
      </c>
      <c r="O932">
        <v>54.861958707570203</v>
      </c>
      <c r="P932">
        <v>-6.6166086394440299E-2</v>
      </c>
      <c r="Q932">
        <v>1.1725574725271299E-3</v>
      </c>
      <c r="R932">
        <v>0.99209712333215305</v>
      </c>
      <c r="S932" t="s">
        <v>6793</v>
      </c>
      <c r="T932" t="s">
        <v>11720</v>
      </c>
      <c r="U932" t="s">
        <v>11720</v>
      </c>
      <c r="V932" t="s">
        <v>11720</v>
      </c>
      <c r="W932" t="s">
        <v>12630</v>
      </c>
      <c r="X932">
        <v>3</v>
      </c>
      <c r="Y932" t="s">
        <v>18424</v>
      </c>
      <c r="Z932" t="s">
        <v>24139</v>
      </c>
      <c r="AA932">
        <v>0.54854023756498482</v>
      </c>
      <c r="AB932" t="str">
        <f>HYPERLINK("Melting_Curves/meltCurve_H6UMI1_GABARAP.pdf", "Melting_Curves/meltCurve_H6UMI1_GABARAP.pdf")</f>
        <v>Melting_Curves/meltCurve_H6UMI1_GABARAP.pdf</v>
      </c>
    </row>
    <row r="933" spans="1:28" x14ac:dyDescent="0.25">
      <c r="A933" t="s">
        <v>937</v>
      </c>
      <c r="B933">
        <v>0.99334974765950101</v>
      </c>
      <c r="C933">
        <v>0.97376818296906598</v>
      </c>
      <c r="D933">
        <v>0.92283990410030703</v>
      </c>
      <c r="E933">
        <v>0.56676438141348595</v>
      </c>
      <c r="F933">
        <v>0.16653531187368301</v>
      </c>
      <c r="G933">
        <v>8.7688729987279196E-2</v>
      </c>
      <c r="H933">
        <v>6.2173901017417398E-2</v>
      </c>
      <c r="I933">
        <v>6.4308192865990696E-2</v>
      </c>
      <c r="J933">
        <v>5.6434496324353801E-2</v>
      </c>
      <c r="K933">
        <v>4.4822226178617801E-2</v>
      </c>
      <c r="L933">
        <v>1655.99316231894</v>
      </c>
      <c r="M933">
        <v>33.0290781850765</v>
      </c>
      <c r="N933">
        <v>50.317914973946998</v>
      </c>
      <c r="O933">
        <v>49.954696713432199</v>
      </c>
      <c r="P933">
        <v>-0.15606228649720799</v>
      </c>
      <c r="Q933">
        <v>5.5860786649360797E-2</v>
      </c>
      <c r="R933">
        <v>0.99821648712546995</v>
      </c>
      <c r="S933" t="s">
        <v>6794</v>
      </c>
      <c r="T933" t="s">
        <v>11720</v>
      </c>
      <c r="U933" t="s">
        <v>11720</v>
      </c>
      <c r="V933" t="s">
        <v>11720</v>
      </c>
      <c r="W933" t="s">
        <v>12631</v>
      </c>
      <c r="X933">
        <v>3</v>
      </c>
      <c r="Y933" t="s">
        <v>18425</v>
      </c>
      <c r="Z933" t="s">
        <v>24140</v>
      </c>
      <c r="AA933">
        <v>0.37971755933539147</v>
      </c>
      <c r="AB933" t="str">
        <f>HYPERLINK("Melting_Curves/meltCurve_H7BXD8_LGALS8.pdf", "Melting_Curves/meltCurve_H7BXD8_LGALS8.pdf")</f>
        <v>Melting_Curves/meltCurve_H7BXD8_LGALS8.pdf</v>
      </c>
    </row>
    <row r="934" spans="1:28" x14ac:dyDescent="0.25">
      <c r="A934" t="s">
        <v>938</v>
      </c>
      <c r="B934">
        <v>0.99334974765950101</v>
      </c>
      <c r="C934">
        <v>1.02582974137298</v>
      </c>
      <c r="D934">
        <v>1.11493170469136</v>
      </c>
      <c r="E934">
        <v>1.16926087005423</v>
      </c>
      <c r="F934">
        <v>1.3604243802931</v>
      </c>
      <c r="G934">
        <v>0.75616830732589102</v>
      </c>
      <c r="H934">
        <v>0.211320693125575</v>
      </c>
      <c r="I934">
        <v>0.15969980543672299</v>
      </c>
      <c r="J934">
        <v>0.15747271542355501</v>
      </c>
      <c r="K934">
        <v>0.133154158353642</v>
      </c>
      <c r="L934">
        <v>4139.7634053045904</v>
      </c>
      <c r="M934">
        <v>71.697021401239297</v>
      </c>
      <c r="N934">
        <v>58.052632313262897</v>
      </c>
      <c r="O934">
        <v>57.694813275376802</v>
      </c>
      <c r="P934">
        <v>-0.26087699146909099</v>
      </c>
      <c r="Q934">
        <v>0.16028610502377399</v>
      </c>
      <c r="R934">
        <v>0.91917281110315596</v>
      </c>
      <c r="S934" t="s">
        <v>6795</v>
      </c>
      <c r="T934" t="s">
        <v>11720</v>
      </c>
      <c r="U934" t="s">
        <v>11720</v>
      </c>
      <c r="V934" t="s">
        <v>11720</v>
      </c>
      <c r="W934" t="s">
        <v>12632</v>
      </c>
      <c r="X934">
        <v>14</v>
      </c>
      <c r="Y934" t="s">
        <v>18426</v>
      </c>
      <c r="Z934" t="s">
        <v>24141</v>
      </c>
      <c r="AA934">
        <v>0.65786510501707329</v>
      </c>
      <c r="AB934" t="str">
        <f>HYPERLINK("Melting_Curves/meltCurve_H7BXH2_PPP6R3.pdf", "Melting_Curves/meltCurve_H7BXH2_PPP6R3.pdf")</f>
        <v>Melting_Curves/meltCurve_H7BXH2_PPP6R3.pdf</v>
      </c>
    </row>
    <row r="935" spans="1:28" x14ac:dyDescent="0.25">
      <c r="A935" t="s">
        <v>939</v>
      </c>
      <c r="B935">
        <v>0.99334974765950101</v>
      </c>
      <c r="C935">
        <v>0.96636735349040304</v>
      </c>
      <c r="D935">
        <v>0.90208242894430601</v>
      </c>
      <c r="E935">
        <v>0.66204376525748398</v>
      </c>
      <c r="F935">
        <v>0.35462147919484899</v>
      </c>
      <c r="G935">
        <v>0.17195607432491899</v>
      </c>
      <c r="H935">
        <v>0.13816797846413401</v>
      </c>
      <c r="I935">
        <v>0.116485718082947</v>
      </c>
      <c r="J935">
        <v>0.107079863453588</v>
      </c>
      <c r="K935">
        <v>8.4097356632471795E-2</v>
      </c>
      <c r="L935">
        <v>1102.9166340233801</v>
      </c>
      <c r="M935">
        <v>21.647444455487701</v>
      </c>
      <c r="N935">
        <v>51.4659001985478</v>
      </c>
      <c r="O935">
        <v>50.520239238232001</v>
      </c>
      <c r="P935">
        <v>-9.6659584070756893E-2</v>
      </c>
      <c r="Q935">
        <v>9.7695039757048102E-2</v>
      </c>
      <c r="R935">
        <v>0.99849386539382701</v>
      </c>
      <c r="S935" t="s">
        <v>6796</v>
      </c>
      <c r="T935" t="s">
        <v>11720</v>
      </c>
      <c r="U935" t="s">
        <v>11720</v>
      </c>
      <c r="V935" t="s">
        <v>11720</v>
      </c>
      <c r="W935" t="s">
        <v>12633</v>
      </c>
      <c r="X935">
        <v>24</v>
      </c>
      <c r="Y935" t="s">
        <v>18427</v>
      </c>
      <c r="Z935" t="s">
        <v>24142</v>
      </c>
      <c r="AA935">
        <v>0.43778808279750853</v>
      </c>
      <c r="AB935" t="str">
        <f>HYPERLINK("Melting_Curves/meltCurve_H7BXI1_ESYT2.pdf", "Melting_Curves/meltCurve_H7BXI1_ESYT2.pdf")</f>
        <v>Melting_Curves/meltCurve_H7BXI1_ESYT2.pdf</v>
      </c>
    </row>
    <row r="936" spans="1:28" x14ac:dyDescent="0.25">
      <c r="A936" t="s">
        <v>940</v>
      </c>
      <c r="B936">
        <v>0.99334974765950101</v>
      </c>
      <c r="C936">
        <v>0.97648970386242295</v>
      </c>
      <c r="D936">
        <v>0.95560484761075604</v>
      </c>
      <c r="E936">
        <v>0.95269350302109701</v>
      </c>
      <c r="F936">
        <v>0.57874029287030404</v>
      </c>
      <c r="G936">
        <v>0.38501319415743301</v>
      </c>
      <c r="H936">
        <v>0.21880918868959001</v>
      </c>
      <c r="I936">
        <v>0.17372123236171799</v>
      </c>
      <c r="J936">
        <v>0.17294569596037501</v>
      </c>
      <c r="K936">
        <v>0.113559323414123</v>
      </c>
      <c r="L936">
        <v>1169.0446584812</v>
      </c>
      <c r="M936">
        <v>21.677911669654399</v>
      </c>
      <c r="N936">
        <v>54.792862234882797</v>
      </c>
      <c r="O936">
        <v>53.4752993283726</v>
      </c>
      <c r="P936">
        <v>-8.6662824285719905E-2</v>
      </c>
      <c r="Q936">
        <v>0.144897203292468</v>
      </c>
      <c r="R936">
        <v>0.9872726115853</v>
      </c>
      <c r="S936" t="s">
        <v>6797</v>
      </c>
      <c r="T936" t="s">
        <v>11720</v>
      </c>
      <c r="U936" t="s">
        <v>11720</v>
      </c>
      <c r="V936" t="s">
        <v>11720</v>
      </c>
      <c r="W936" t="s">
        <v>12634</v>
      </c>
      <c r="X936">
        <v>11</v>
      </c>
      <c r="Y936" t="s">
        <v>18428</v>
      </c>
      <c r="Z936" t="s">
        <v>24143</v>
      </c>
      <c r="AA936">
        <v>0.55206841466704626</v>
      </c>
      <c r="AB936" t="str">
        <f>HYPERLINK("Melting_Curves/meltCurve_H7BXI5_ERGIC3.pdf", "Melting_Curves/meltCurve_H7BXI5_ERGIC3.pdf")</f>
        <v>Melting_Curves/meltCurve_H7BXI5_ERGIC3.pdf</v>
      </c>
    </row>
    <row r="937" spans="1:28" x14ac:dyDescent="0.25">
      <c r="A937" t="s">
        <v>941</v>
      </c>
      <c r="B937">
        <v>0.99334974765950101</v>
      </c>
      <c r="C937">
        <v>0.97284599383789605</v>
      </c>
      <c r="D937">
        <v>0.92489101703959897</v>
      </c>
      <c r="E937">
        <v>0.57894213890252799</v>
      </c>
      <c r="F937">
        <v>0.50716222257368504</v>
      </c>
      <c r="G937">
        <v>0.40384941640531302</v>
      </c>
      <c r="H937">
        <v>0.33409819650780298</v>
      </c>
      <c r="I937">
        <v>0.32004642226670899</v>
      </c>
      <c r="J937">
        <v>0.30606655059599303</v>
      </c>
      <c r="K937">
        <v>0.267617060795934</v>
      </c>
      <c r="L937">
        <v>912.51262289369504</v>
      </c>
      <c r="M937">
        <v>18.303066979902201</v>
      </c>
      <c r="N937">
        <v>52.532006507690198</v>
      </c>
      <c r="O937">
        <v>49.272007763525401</v>
      </c>
      <c r="P937">
        <v>-6.4712235408362101E-2</v>
      </c>
      <c r="Q937">
        <v>0.30320858911489001</v>
      </c>
      <c r="R937">
        <v>0.98689102582703403</v>
      </c>
      <c r="S937" t="s">
        <v>6798</v>
      </c>
      <c r="T937" t="s">
        <v>11720</v>
      </c>
      <c r="U937" t="s">
        <v>11720</v>
      </c>
      <c r="V937" t="s">
        <v>11720</v>
      </c>
      <c r="W937" t="s">
        <v>12635</v>
      </c>
      <c r="X937">
        <v>2</v>
      </c>
      <c r="Y937" t="s">
        <v>18429</v>
      </c>
      <c r="Z937" t="s">
        <v>24144</v>
      </c>
      <c r="AA937">
        <v>0.54365193528871958</v>
      </c>
      <c r="AB937" t="str">
        <f>HYPERLINK("Melting_Curves/meltCurve_H7BXP5_TPRN.pdf", "Melting_Curves/meltCurve_H7BXP5_TPRN.pdf")</f>
        <v>Melting_Curves/meltCurve_H7BXP5_TPRN.pdf</v>
      </c>
    </row>
    <row r="938" spans="1:28" x14ac:dyDescent="0.25">
      <c r="A938" t="s">
        <v>942</v>
      </c>
      <c r="B938">
        <v>0.99334974765950101</v>
      </c>
      <c r="C938">
        <v>1.3227244217540799</v>
      </c>
      <c r="D938">
        <v>1.44978290596002</v>
      </c>
      <c r="E938">
        <v>0.73806690069104597</v>
      </c>
      <c r="F938">
        <v>1.7361184978475099</v>
      </c>
      <c r="G938">
        <v>0.64326821822284797</v>
      </c>
      <c r="H938">
        <v>0.88617364471008797</v>
      </c>
      <c r="I938">
        <v>0.12579108964756999</v>
      </c>
      <c r="J938">
        <v>0.88354255517492897</v>
      </c>
      <c r="K938">
        <v>0.23009637688509599</v>
      </c>
      <c r="L938">
        <v>1864.22317192948</v>
      </c>
      <c r="M938">
        <v>30.918093393623099</v>
      </c>
      <c r="N938">
        <v>64.146989208725302</v>
      </c>
      <c r="O938">
        <v>60.044984594284699</v>
      </c>
      <c r="P938">
        <v>-7.4421267427781698E-2</v>
      </c>
      <c r="Q938">
        <v>0.42187921831433101</v>
      </c>
      <c r="R938">
        <v>0.386722744454911</v>
      </c>
      <c r="S938" t="s">
        <v>6799</v>
      </c>
      <c r="T938" t="s">
        <v>11720</v>
      </c>
      <c r="U938" t="s">
        <v>11720</v>
      </c>
      <c r="V938" t="s">
        <v>11720</v>
      </c>
      <c r="W938" t="s">
        <v>12636</v>
      </c>
      <c r="X938">
        <v>1</v>
      </c>
      <c r="Y938" t="s">
        <v>18430</v>
      </c>
      <c r="Z938" t="s">
        <v>24145</v>
      </c>
      <c r="AA938">
        <v>0.81629591298964854</v>
      </c>
      <c r="AB938" t="str">
        <f>HYPERLINK("Melting_Curves/meltCurve_H7BXW7_MPC1.pdf", "Melting_Curves/meltCurve_H7BXW7_MPC1.pdf")</f>
        <v>Melting_Curves/meltCurve_H7BXW7_MPC1.pdf</v>
      </c>
    </row>
    <row r="939" spans="1:28" x14ac:dyDescent="0.25">
      <c r="A939" t="s">
        <v>943</v>
      </c>
      <c r="B939">
        <v>0.99334974765950101</v>
      </c>
      <c r="C939">
        <v>0.97947758614479197</v>
      </c>
      <c r="D939">
        <v>0.89186152765434401</v>
      </c>
      <c r="E939">
        <v>0.77016722476742705</v>
      </c>
      <c r="F939">
        <v>0.48200839620569103</v>
      </c>
      <c r="G939">
        <v>0.171625047624928</v>
      </c>
      <c r="H939">
        <v>0.124745236872235</v>
      </c>
      <c r="I939">
        <v>0.110253533418029</v>
      </c>
      <c r="J939">
        <v>0.11275387362887</v>
      </c>
      <c r="K939">
        <v>9.8180303986031697E-2</v>
      </c>
      <c r="L939">
        <v>1177.7480435499999</v>
      </c>
      <c r="M939">
        <v>22.571972430371201</v>
      </c>
      <c r="N939">
        <v>52.650725576836102</v>
      </c>
      <c r="O939">
        <v>51.773110993188197</v>
      </c>
      <c r="P939">
        <v>-9.8989084504813099E-2</v>
      </c>
      <c r="Q939">
        <v>9.1817478435866906E-2</v>
      </c>
      <c r="R939">
        <v>0.99516499241548595</v>
      </c>
      <c r="S939" t="s">
        <v>6800</v>
      </c>
      <c r="T939" t="s">
        <v>11720</v>
      </c>
      <c r="U939" t="s">
        <v>11720</v>
      </c>
      <c r="V939" t="s">
        <v>11720</v>
      </c>
      <c r="W939" t="s">
        <v>12637</v>
      </c>
      <c r="X939">
        <v>16</v>
      </c>
      <c r="Y939" t="s">
        <v>18431</v>
      </c>
      <c r="Z939" t="s">
        <v>24146</v>
      </c>
      <c r="AA939">
        <v>0.47053703863054991</v>
      </c>
      <c r="AB939" t="str">
        <f>HYPERLINK("Melting_Curves/meltCurve_H7BY58_PCMT1.pdf", "Melting_Curves/meltCurve_H7BY58_PCMT1.pdf")</f>
        <v>Melting_Curves/meltCurve_H7BY58_PCMT1.pdf</v>
      </c>
    </row>
    <row r="940" spans="1:28" x14ac:dyDescent="0.25">
      <c r="A940" t="s">
        <v>944</v>
      </c>
      <c r="B940">
        <v>0.99334974765950101</v>
      </c>
      <c r="C940">
        <v>1.0212083275152</v>
      </c>
      <c r="D940">
        <v>1.10735093523714</v>
      </c>
      <c r="E940">
        <v>1.3379312372648999</v>
      </c>
      <c r="F940">
        <v>1.3614568236032001</v>
      </c>
      <c r="G940">
        <v>1.3878285166847399</v>
      </c>
      <c r="H940">
        <v>0.90427178814860998</v>
      </c>
      <c r="I940">
        <v>1.22145268968721</v>
      </c>
      <c r="J940">
        <v>0.58251124520952902</v>
      </c>
      <c r="K940">
        <v>0.42778397934003298</v>
      </c>
      <c r="L940">
        <v>15000</v>
      </c>
      <c r="M940">
        <v>224.872067859976</v>
      </c>
      <c r="N940">
        <v>67.283298677537601</v>
      </c>
      <c r="O940">
        <v>66.699326463547294</v>
      </c>
      <c r="P940">
        <v>-0.48234626969990202</v>
      </c>
      <c r="Q940">
        <v>0.427724970910275</v>
      </c>
      <c r="R940">
        <v>0.51271577177155903</v>
      </c>
      <c r="S940" t="s">
        <v>6801</v>
      </c>
      <c r="T940" t="s">
        <v>11720</v>
      </c>
      <c r="U940" t="s">
        <v>11720</v>
      </c>
      <c r="V940" t="s">
        <v>11720</v>
      </c>
      <c r="W940" t="s">
        <v>12638</v>
      </c>
      <c r="X940">
        <v>6</v>
      </c>
      <c r="Y940" t="s">
        <v>18432</v>
      </c>
      <c r="Z940" t="s">
        <v>24147</v>
      </c>
      <c r="AA940">
        <v>0.93722002997116916</v>
      </c>
      <c r="AB940" t="str">
        <f>HYPERLINK("Melting_Curves/meltCurve_H7BY82_COL5A1.pdf", "Melting_Curves/meltCurve_H7BY82_COL5A1.pdf")</f>
        <v>Melting_Curves/meltCurve_H7BY82_COL5A1.pdf</v>
      </c>
    </row>
    <row r="941" spans="1:28" x14ac:dyDescent="0.25">
      <c r="A941" t="s">
        <v>945</v>
      </c>
      <c r="B941">
        <v>0.99334974765950101</v>
      </c>
      <c r="C941">
        <v>0.97639431673955901</v>
      </c>
      <c r="D941">
        <v>0.94075631348328803</v>
      </c>
      <c r="E941">
        <v>0.55985360921853</v>
      </c>
      <c r="F941">
        <v>0.34815094185412798</v>
      </c>
      <c r="G941">
        <v>0.1852677108228</v>
      </c>
      <c r="H941">
        <v>0.11439620122961</v>
      </c>
      <c r="I941">
        <v>0.102533047301052</v>
      </c>
      <c r="J941">
        <v>6.5520420272507401E-2</v>
      </c>
      <c r="K941">
        <v>4.7440662292734803E-2</v>
      </c>
      <c r="L941">
        <v>1029.4954034432899</v>
      </c>
      <c r="M941">
        <v>20.334321535931998</v>
      </c>
      <c r="N941">
        <v>51.030993395463199</v>
      </c>
      <c r="O941">
        <v>50.146440195047703</v>
      </c>
      <c r="P941">
        <v>-9.3865976051306699E-2</v>
      </c>
      <c r="Q941">
        <v>7.4097248813645503E-2</v>
      </c>
      <c r="R941">
        <v>0.996077813830333</v>
      </c>
      <c r="S941" t="s">
        <v>6802</v>
      </c>
      <c r="T941" t="s">
        <v>11720</v>
      </c>
      <c r="U941" t="s">
        <v>11720</v>
      </c>
      <c r="V941" t="s">
        <v>11720</v>
      </c>
      <c r="W941" t="s">
        <v>12639</v>
      </c>
      <c r="X941">
        <v>6</v>
      </c>
      <c r="Y941" t="s">
        <v>18433</v>
      </c>
      <c r="Z941" t="s">
        <v>24148</v>
      </c>
      <c r="AA941">
        <v>0.41459279822070799</v>
      </c>
      <c r="AB941" t="str">
        <f>HYPERLINK("Melting_Curves/meltCurve_H7BY84_GTF3C5.pdf", "Melting_Curves/meltCurve_H7BY84_GTF3C5.pdf")</f>
        <v>Melting_Curves/meltCurve_H7BY84_GTF3C5.pdf</v>
      </c>
    </row>
    <row r="942" spans="1:28" x14ac:dyDescent="0.25">
      <c r="A942" t="s">
        <v>946</v>
      </c>
      <c r="B942">
        <v>0.99334974765950101</v>
      </c>
      <c r="C942">
        <v>0.99954088136061303</v>
      </c>
      <c r="D942">
        <v>1.09594913025552</v>
      </c>
      <c r="E942">
        <v>1.03635745824134</v>
      </c>
      <c r="F942">
        <v>1.15127778787944</v>
      </c>
      <c r="G942">
        <v>0.89643691746640397</v>
      </c>
      <c r="H942">
        <v>0.73708686822762903</v>
      </c>
      <c r="I942">
        <v>0.53584968157574897</v>
      </c>
      <c r="J942">
        <v>0.268494130087296</v>
      </c>
      <c r="K942">
        <v>0.15732126754942499</v>
      </c>
      <c r="L942">
        <v>1430.9752989254901</v>
      </c>
      <c r="M942">
        <v>22.386627454747</v>
      </c>
      <c r="N942">
        <v>64.104353804738196</v>
      </c>
      <c r="O942">
        <v>63.417471601145103</v>
      </c>
      <c r="P942">
        <v>-8.5515764545776696E-2</v>
      </c>
      <c r="Q942">
        <v>3.1014042637746101E-2</v>
      </c>
      <c r="R942">
        <v>0.96447952417217697</v>
      </c>
      <c r="S942" t="s">
        <v>6803</v>
      </c>
      <c r="T942" t="s">
        <v>11720</v>
      </c>
      <c r="U942" t="s">
        <v>11720</v>
      </c>
      <c r="V942" t="s">
        <v>11720</v>
      </c>
      <c r="W942" t="s">
        <v>12640</v>
      </c>
      <c r="X942">
        <v>3</v>
      </c>
      <c r="Y942" t="s">
        <v>18434</v>
      </c>
      <c r="Z942" t="s">
        <v>24149</v>
      </c>
      <c r="AA942">
        <v>0.80103088158817493</v>
      </c>
      <c r="AB942" t="str">
        <f>HYPERLINK("Melting_Curves/meltCurve_H7BYE5_WRB.pdf", "Melting_Curves/meltCurve_H7BYE5_WRB.pdf")</f>
        <v>Melting_Curves/meltCurve_H7BYE5_WRB.pdf</v>
      </c>
    </row>
    <row r="943" spans="1:28" x14ac:dyDescent="0.25">
      <c r="A943" t="s">
        <v>947</v>
      </c>
      <c r="B943">
        <v>0.99334974765950101</v>
      </c>
      <c r="C943">
        <v>0.94199427132112101</v>
      </c>
      <c r="D943">
        <v>0.68419280908936797</v>
      </c>
      <c r="E943">
        <v>0.82520193211697301</v>
      </c>
      <c r="F943">
        <v>0.69004509523468605</v>
      </c>
      <c r="G943">
        <v>0.50109698286876203</v>
      </c>
      <c r="H943">
        <v>0.35982621072558302</v>
      </c>
      <c r="I943">
        <v>0.40840542816172798</v>
      </c>
      <c r="J943">
        <v>0.39715640748259701</v>
      </c>
      <c r="K943">
        <v>0.31994060100028199</v>
      </c>
      <c r="L943">
        <v>423.66524706301101</v>
      </c>
      <c r="M943">
        <v>7.8289856447456598</v>
      </c>
      <c r="N943">
        <v>58.193464234806697</v>
      </c>
      <c r="O943">
        <v>50.925050661715098</v>
      </c>
      <c r="P943">
        <v>-3.0355766792626099E-2</v>
      </c>
      <c r="Q943">
        <v>0.21114877448910499</v>
      </c>
      <c r="R943">
        <v>0.91233191071866904</v>
      </c>
      <c r="S943" t="s">
        <v>6804</v>
      </c>
      <c r="T943" t="s">
        <v>11720</v>
      </c>
      <c r="U943" t="s">
        <v>11720</v>
      </c>
      <c r="V943" t="s">
        <v>11720</v>
      </c>
      <c r="W943" t="s">
        <v>12641</v>
      </c>
      <c r="X943">
        <v>8</v>
      </c>
      <c r="Y943" t="s">
        <v>18435</v>
      </c>
      <c r="Z943" t="s">
        <v>24150</v>
      </c>
      <c r="AA943">
        <v>0.60880060641288347</v>
      </c>
      <c r="AB943" t="str">
        <f>HYPERLINK("Melting_Curves/meltCurve_H7BYP4_SP140L.pdf", "Melting_Curves/meltCurve_H7BYP4_SP140L.pdf")</f>
        <v>Melting_Curves/meltCurve_H7BYP4_SP140L.pdf</v>
      </c>
    </row>
    <row r="944" spans="1:28" x14ac:dyDescent="0.25">
      <c r="A944" t="s">
        <v>948</v>
      </c>
      <c r="B944">
        <v>0.99334974765950101</v>
      </c>
      <c r="C944">
        <v>1.32286346849202</v>
      </c>
      <c r="D944">
        <v>1.0147814334410501</v>
      </c>
      <c r="E944">
        <v>0.89275332996253698</v>
      </c>
      <c r="F944">
        <v>1.18966504247493</v>
      </c>
      <c r="G944">
        <v>1.2955044190646701</v>
      </c>
      <c r="H944">
        <v>2.42615618441183</v>
      </c>
      <c r="I944">
        <v>5.8666940423596401</v>
      </c>
      <c r="J944">
        <v>8.9596640613830303</v>
      </c>
      <c r="K944">
        <v>9.1434497987470191</v>
      </c>
      <c r="L944">
        <v>2832.5745423271401</v>
      </c>
      <c r="M944">
        <v>52.645583893122797</v>
      </c>
      <c r="O944">
        <v>53.727133082064398</v>
      </c>
      <c r="P944">
        <v>0.12248378378878701</v>
      </c>
      <c r="Q944">
        <v>1.5</v>
      </c>
      <c r="R944">
        <v>-0.312019667177386</v>
      </c>
      <c r="S944" t="s">
        <v>6805</v>
      </c>
      <c r="T944" t="s">
        <v>11720</v>
      </c>
      <c r="U944" t="s">
        <v>11720</v>
      </c>
      <c r="V944" t="s">
        <v>11720</v>
      </c>
      <c r="W944" t="s">
        <v>12642</v>
      </c>
      <c r="X944">
        <v>2</v>
      </c>
      <c r="Y944" t="s">
        <v>18436</v>
      </c>
      <c r="Z944" t="s">
        <v>24151</v>
      </c>
      <c r="AA944">
        <v>1.2688536903867851</v>
      </c>
      <c r="AB944" t="str">
        <f>HYPERLINK("Melting_Curves/meltCurve_H7BYV1_IFITM2.pdf", "Melting_Curves/meltCurve_H7BYV1_IFITM2.pdf")</f>
        <v>Melting_Curves/meltCurve_H7BYV1_IFITM2.pdf</v>
      </c>
    </row>
    <row r="945" spans="1:28" x14ac:dyDescent="0.25">
      <c r="A945" t="s">
        <v>949</v>
      </c>
      <c r="B945">
        <v>0.99334974765950101</v>
      </c>
      <c r="C945">
        <v>1.03065144678486</v>
      </c>
      <c r="D945">
        <v>0.72017477698541599</v>
      </c>
      <c r="E945">
        <v>0.75596906757421001</v>
      </c>
      <c r="F945">
        <v>0.41806984360786897</v>
      </c>
      <c r="G945">
        <v>0.26574286350397203</v>
      </c>
      <c r="H945">
        <v>0.22023987813267501</v>
      </c>
      <c r="I945">
        <v>0.46422419262351799</v>
      </c>
      <c r="J945">
        <v>0.355471160936987</v>
      </c>
      <c r="K945">
        <v>0</v>
      </c>
      <c r="L945">
        <v>742.05275296030197</v>
      </c>
      <c r="M945">
        <v>14.7084328692358</v>
      </c>
      <c r="N945">
        <v>52.4359376305868</v>
      </c>
      <c r="O945">
        <v>49.545789095749299</v>
      </c>
      <c r="P945">
        <v>-5.8378445950965398E-2</v>
      </c>
      <c r="Q945">
        <v>0.213487826652354</v>
      </c>
      <c r="R945">
        <v>0.84466034817325797</v>
      </c>
      <c r="S945" t="s">
        <v>6806</v>
      </c>
      <c r="T945" t="s">
        <v>11720</v>
      </c>
      <c r="U945" t="s">
        <v>11720</v>
      </c>
      <c r="V945" t="s">
        <v>11720</v>
      </c>
      <c r="W945" t="s">
        <v>12643</v>
      </c>
      <c r="X945">
        <v>53</v>
      </c>
      <c r="Y945" t="s">
        <v>18437</v>
      </c>
      <c r="Z945" t="s">
        <v>24152</v>
      </c>
      <c r="AA945">
        <v>0.50659805357279575</v>
      </c>
      <c r="AB945" t="str">
        <f>HYPERLINK("Melting_Curves/meltCurve_H7BZ94_P4HB.pdf", "Melting_Curves/meltCurve_H7BZ94_P4HB.pdf")</f>
        <v>Melting_Curves/meltCurve_H7BZ94_P4HB.pdf</v>
      </c>
    </row>
    <row r="946" spans="1:28" x14ac:dyDescent="0.25">
      <c r="A946" t="s">
        <v>950</v>
      </c>
      <c r="B946">
        <v>0.99334974765950101</v>
      </c>
      <c r="C946">
        <v>0.96303261879415303</v>
      </c>
      <c r="D946">
        <v>0.89777267120798199</v>
      </c>
      <c r="E946">
        <v>0.40410696652295203</v>
      </c>
      <c r="F946">
        <v>0.243345029135483</v>
      </c>
      <c r="G946">
        <v>0.14014314273595499</v>
      </c>
      <c r="H946">
        <v>0.113428595630229</v>
      </c>
      <c r="I946">
        <v>0.118891091390843</v>
      </c>
      <c r="J946">
        <v>0.11192309970657301</v>
      </c>
      <c r="K946">
        <v>9.2442362251878601E-2</v>
      </c>
      <c r="L946">
        <v>1362.8332742284499</v>
      </c>
      <c r="M946">
        <v>27.8425647998952</v>
      </c>
      <c r="N946">
        <v>49.408193285559598</v>
      </c>
      <c r="O946">
        <v>48.697419929624999</v>
      </c>
      <c r="P946">
        <v>-0.126606901847478</v>
      </c>
      <c r="Q946">
        <v>0.114251799946962</v>
      </c>
      <c r="R946">
        <v>0.99733421049646198</v>
      </c>
      <c r="S946" t="s">
        <v>6807</v>
      </c>
      <c r="T946" t="s">
        <v>11720</v>
      </c>
      <c r="U946" t="s">
        <v>11720</v>
      </c>
      <c r="V946" t="s">
        <v>11720</v>
      </c>
      <c r="W946" t="s">
        <v>12644</v>
      </c>
      <c r="X946">
        <v>11</v>
      </c>
      <c r="Y946" t="s">
        <v>18294</v>
      </c>
      <c r="Z946" t="s">
        <v>24153</v>
      </c>
      <c r="AA946">
        <v>0.3847204192648005</v>
      </c>
      <c r="AB946" t="str">
        <f>HYPERLINK("Melting_Curves/meltCurve_H7BZJ3_PDIA3.pdf", "Melting_Curves/meltCurve_H7BZJ3_PDIA3.pdf")</f>
        <v>Melting_Curves/meltCurve_H7BZJ3_PDIA3.pdf</v>
      </c>
    </row>
    <row r="947" spans="1:28" x14ac:dyDescent="0.25">
      <c r="A947" t="s">
        <v>951</v>
      </c>
      <c r="B947">
        <v>0.99334974765950101</v>
      </c>
      <c r="C947">
        <v>0.97938929254100404</v>
      </c>
      <c r="D947">
        <v>0.89654169384529503</v>
      </c>
      <c r="E947">
        <v>0.63951010103975703</v>
      </c>
      <c r="F947">
        <v>0.51456953035332997</v>
      </c>
      <c r="G947">
        <v>0.27435071185188298</v>
      </c>
      <c r="H947">
        <v>0.249967525992315</v>
      </c>
      <c r="I947">
        <v>0.285383144933469</v>
      </c>
      <c r="J947">
        <v>0.38140232923304801</v>
      </c>
      <c r="K947">
        <v>0.44820497106060903</v>
      </c>
      <c r="L947">
        <v>1160.2537514390999</v>
      </c>
      <c r="M947">
        <v>23.309510951484601</v>
      </c>
      <c r="N947">
        <v>52.152088672462902</v>
      </c>
      <c r="O947">
        <v>49.413965143243502</v>
      </c>
      <c r="P947">
        <v>-7.9354053337015604E-2</v>
      </c>
      <c r="Q947">
        <v>0.32711951014197299</v>
      </c>
      <c r="R947">
        <v>0.95182248740892605</v>
      </c>
      <c r="S947" t="s">
        <v>6808</v>
      </c>
      <c r="T947" t="s">
        <v>11720</v>
      </c>
      <c r="U947" t="s">
        <v>11720</v>
      </c>
      <c r="V947" t="s">
        <v>11720</v>
      </c>
      <c r="W947" t="s">
        <v>12645</v>
      </c>
      <c r="X947">
        <v>4</v>
      </c>
      <c r="Y947" t="s">
        <v>18438</v>
      </c>
      <c r="Z947" t="s">
        <v>24154</v>
      </c>
      <c r="AA947">
        <v>0.55329909416315382</v>
      </c>
      <c r="AB947" t="str">
        <f>HYPERLINK("Melting_Curves/meltCurve_H7BZQ3_OTUD5.pdf", "Melting_Curves/meltCurve_H7BZQ3_OTUD5.pdf")</f>
        <v>Melting_Curves/meltCurve_H7BZQ3_OTUD5.pdf</v>
      </c>
    </row>
    <row r="948" spans="1:28" x14ac:dyDescent="0.25">
      <c r="A948" t="s">
        <v>952</v>
      </c>
      <c r="B948">
        <v>0.99334974765950101</v>
      </c>
      <c r="C948">
        <v>0.964932456607834</v>
      </c>
      <c r="D948">
        <v>0.818298845363163</v>
      </c>
      <c r="E948">
        <v>0.71240696854435104</v>
      </c>
      <c r="F948">
        <v>0.94466066606054899</v>
      </c>
      <c r="G948">
        <v>0.51442956578012899</v>
      </c>
      <c r="H948">
        <v>0.51898582897287704</v>
      </c>
      <c r="I948">
        <v>0.46154636376524799</v>
      </c>
      <c r="J948">
        <v>0.83622758427102795</v>
      </c>
      <c r="K948">
        <v>0.60365735907711404</v>
      </c>
      <c r="L948">
        <v>611.50417358816401</v>
      </c>
      <c r="M948">
        <v>12.4389587137841</v>
      </c>
      <c r="O948">
        <v>47.941689704363696</v>
      </c>
      <c r="P948">
        <v>-2.6693865034340399E-2</v>
      </c>
      <c r="Q948">
        <v>0.58855700300523695</v>
      </c>
      <c r="R948">
        <v>0.538190669492569</v>
      </c>
      <c r="S948" t="s">
        <v>6809</v>
      </c>
      <c r="T948" t="s">
        <v>11720</v>
      </c>
      <c r="U948" t="s">
        <v>11720</v>
      </c>
      <c r="V948" t="s">
        <v>11720</v>
      </c>
      <c r="W948" t="s">
        <v>12311</v>
      </c>
      <c r="X948">
        <v>4</v>
      </c>
      <c r="Z948" t="s">
        <v>24155</v>
      </c>
      <c r="AA948">
        <v>0.72828481186468275</v>
      </c>
      <c r="AB948" t="str">
        <f>HYPERLINK("Melting_Curves/meltCurve_H7BZT4_.pdf", "Melting_Curves/meltCurve_H7BZT4_.pdf")</f>
        <v>Melting_Curves/meltCurve_H7BZT4_.pdf</v>
      </c>
    </row>
    <row r="949" spans="1:28" x14ac:dyDescent="0.25">
      <c r="A949" t="s">
        <v>953</v>
      </c>
      <c r="B949">
        <v>0.99334974765950101</v>
      </c>
      <c r="C949">
        <v>0.950618970291217</v>
      </c>
      <c r="D949">
        <v>0.93693447094407101</v>
      </c>
      <c r="E949">
        <v>0.86720561133191898</v>
      </c>
      <c r="F949">
        <v>0.54266820751524703</v>
      </c>
      <c r="G949">
        <v>0.292032116917054</v>
      </c>
      <c r="H949">
        <v>0.113793126615263</v>
      </c>
      <c r="I949">
        <v>7.0959971616574594E-2</v>
      </c>
      <c r="J949">
        <v>7.17506808847269E-2</v>
      </c>
      <c r="K949">
        <v>4.3271803245866297E-2</v>
      </c>
      <c r="L949">
        <v>1073.06617479682</v>
      </c>
      <c r="M949">
        <v>19.9946347683914</v>
      </c>
      <c r="N949">
        <v>53.9019303549859</v>
      </c>
      <c r="O949">
        <v>53.139530458343202</v>
      </c>
      <c r="P949">
        <v>-9.0155673506149295E-2</v>
      </c>
      <c r="Q949">
        <v>4.1608165377724798E-2</v>
      </c>
      <c r="R949">
        <v>0.99526496100570705</v>
      </c>
      <c r="S949" t="s">
        <v>6810</v>
      </c>
      <c r="T949" t="s">
        <v>11720</v>
      </c>
      <c r="U949" t="s">
        <v>11720</v>
      </c>
      <c r="V949" t="s">
        <v>11720</v>
      </c>
      <c r="W949" t="s">
        <v>12646</v>
      </c>
      <c r="X949">
        <v>1</v>
      </c>
      <c r="Y949" t="s">
        <v>18439</v>
      </c>
      <c r="Z949" t="s">
        <v>24156</v>
      </c>
      <c r="AA949">
        <v>0.49133580630878743</v>
      </c>
      <c r="AB949" t="str">
        <f>HYPERLINK("Melting_Curves/meltCurve_H7C0G7_NHEJ1.pdf", "Melting_Curves/meltCurve_H7C0G7_NHEJ1.pdf")</f>
        <v>Melting_Curves/meltCurve_H7C0G7_NHEJ1.pdf</v>
      </c>
    </row>
    <row r="950" spans="1:28" x14ac:dyDescent="0.25">
      <c r="A950" t="s">
        <v>954</v>
      </c>
      <c r="B950">
        <v>0.99334974765950101</v>
      </c>
      <c r="C950">
        <v>0.93137310691285502</v>
      </c>
      <c r="D950">
        <v>0.95950418835583595</v>
      </c>
      <c r="E950">
        <v>0.81112384135968996</v>
      </c>
      <c r="F950">
        <v>0.63682207147151804</v>
      </c>
      <c r="G950">
        <v>0.45215895159366098</v>
      </c>
      <c r="H950">
        <v>0.29073690892028198</v>
      </c>
      <c r="I950">
        <v>0.33324711300329102</v>
      </c>
      <c r="J950">
        <v>0.31168793184937599</v>
      </c>
      <c r="K950">
        <v>0.26460330337078503</v>
      </c>
      <c r="L950">
        <v>903.53084390978495</v>
      </c>
      <c r="M950">
        <v>17.035084184649801</v>
      </c>
      <c r="N950">
        <v>55.544391579698697</v>
      </c>
      <c r="O950">
        <v>52.324686075993903</v>
      </c>
      <c r="P950">
        <v>-5.9574687159476399E-2</v>
      </c>
      <c r="Q950">
        <v>0.26809032580326198</v>
      </c>
      <c r="R950">
        <v>0.99113749999002299</v>
      </c>
      <c r="S950" t="s">
        <v>6811</v>
      </c>
      <c r="T950" t="s">
        <v>11720</v>
      </c>
      <c r="U950" t="s">
        <v>11720</v>
      </c>
      <c r="V950" t="s">
        <v>11720</v>
      </c>
      <c r="W950" t="s">
        <v>12647</v>
      </c>
      <c r="X950">
        <v>2</v>
      </c>
      <c r="Y950" t="s">
        <v>18440</v>
      </c>
      <c r="Z950" t="s">
        <v>24157</v>
      </c>
      <c r="AA950">
        <v>0.59926742609419392</v>
      </c>
      <c r="AB950" t="str">
        <f>HYPERLINK("Melting_Curves/meltCurve_H7C0Z5_IL10RB.pdf", "Melting_Curves/meltCurve_H7C0Z5_IL10RB.pdf")</f>
        <v>Melting_Curves/meltCurve_H7C0Z5_IL10RB.pdf</v>
      </c>
    </row>
    <row r="951" spans="1:28" x14ac:dyDescent="0.25">
      <c r="A951" t="s">
        <v>955</v>
      </c>
      <c r="B951">
        <v>0.99334974765950101</v>
      </c>
      <c r="C951">
        <v>1.00310585627635</v>
      </c>
      <c r="D951">
        <v>0.917182444965851</v>
      </c>
      <c r="E951">
        <v>0.53592148596760503</v>
      </c>
      <c r="F951">
        <v>0.206296949153604</v>
      </c>
      <c r="G951">
        <v>0.16730618927927399</v>
      </c>
      <c r="H951">
        <v>0.139039907371932</v>
      </c>
      <c r="I951">
        <v>0.11446491556817801</v>
      </c>
      <c r="J951">
        <v>0.114643895314573</v>
      </c>
      <c r="K951">
        <v>9.2191660534177905E-2</v>
      </c>
      <c r="L951">
        <v>1530.4344512248899</v>
      </c>
      <c r="M951">
        <v>30.7744338634262</v>
      </c>
      <c r="N951">
        <v>50.168482272682603</v>
      </c>
      <c r="O951">
        <v>49.522135812356602</v>
      </c>
      <c r="P951">
        <v>-0.137064153046631</v>
      </c>
      <c r="Q951">
        <v>0.11775213798928701</v>
      </c>
      <c r="R951">
        <v>0.99763779513798601</v>
      </c>
      <c r="S951" t="s">
        <v>6812</v>
      </c>
      <c r="T951" t="s">
        <v>11720</v>
      </c>
      <c r="U951" t="s">
        <v>11720</v>
      </c>
      <c r="V951" t="s">
        <v>11720</v>
      </c>
      <c r="W951" t="s">
        <v>12648</v>
      </c>
      <c r="X951">
        <v>6</v>
      </c>
      <c r="Y951" t="s">
        <v>18441</v>
      </c>
      <c r="Z951" t="s">
        <v>24158</v>
      </c>
      <c r="AA951">
        <v>0.40907481069106122</v>
      </c>
      <c r="AB951" t="str">
        <f>HYPERLINK("Melting_Curves/meltCurve_H7C107_IQSEC1.pdf", "Melting_Curves/meltCurve_H7C107_IQSEC1.pdf")</f>
        <v>Melting_Curves/meltCurve_H7C107_IQSEC1.pdf</v>
      </c>
    </row>
    <row r="952" spans="1:28" x14ac:dyDescent="0.25">
      <c r="A952" t="s">
        <v>956</v>
      </c>
      <c r="B952">
        <v>0.99334974765950101</v>
      </c>
      <c r="C952">
        <v>0.89647211897419998</v>
      </c>
      <c r="D952">
        <v>0.86941743892894896</v>
      </c>
      <c r="E952">
        <v>0.704235541158164</v>
      </c>
      <c r="F952">
        <v>0.50284161677417305</v>
      </c>
      <c r="G952">
        <v>0.336226756000224</v>
      </c>
      <c r="H952">
        <v>0.26789769692022303</v>
      </c>
      <c r="I952">
        <v>0.18758823669753999</v>
      </c>
      <c r="J952">
        <v>0.26289391366658399</v>
      </c>
      <c r="K952">
        <v>0.31769522831896901</v>
      </c>
      <c r="L952">
        <v>806.71398466093206</v>
      </c>
      <c r="M952">
        <v>15.848166345687799</v>
      </c>
      <c r="N952">
        <v>52.993673712615603</v>
      </c>
      <c r="O952">
        <v>50.112883592083897</v>
      </c>
      <c r="P952">
        <v>-6.0688621959749202E-2</v>
      </c>
      <c r="Q952">
        <v>0.23245777102190601</v>
      </c>
      <c r="R952">
        <v>0.979229249267762</v>
      </c>
      <c r="S952" t="s">
        <v>6813</v>
      </c>
      <c r="T952" t="s">
        <v>11720</v>
      </c>
      <c r="U952" t="s">
        <v>11720</v>
      </c>
      <c r="V952" t="s">
        <v>11720</v>
      </c>
      <c r="W952" t="s">
        <v>12649</v>
      </c>
      <c r="X952">
        <v>4</v>
      </c>
      <c r="Y952" t="s">
        <v>18442</v>
      </c>
      <c r="Z952" t="s">
        <v>24159</v>
      </c>
      <c r="AA952">
        <v>0.52760930242238724</v>
      </c>
      <c r="AB952" t="str">
        <f>HYPERLINK("Melting_Curves/meltCurve_H7C128_BRD8.pdf", "Melting_Curves/meltCurve_H7C128_BRD8.pdf")</f>
        <v>Melting_Curves/meltCurve_H7C128_BRD8.pdf</v>
      </c>
    </row>
    <row r="953" spans="1:28" x14ac:dyDescent="0.25">
      <c r="A953" t="s">
        <v>957</v>
      </c>
      <c r="B953">
        <v>0.99334974765950101</v>
      </c>
      <c r="C953">
        <v>0.95348031512523601</v>
      </c>
      <c r="D953">
        <v>0.98765101139863898</v>
      </c>
      <c r="E953">
        <v>0.84125084134176797</v>
      </c>
      <c r="F953">
        <v>0.78328760792527896</v>
      </c>
      <c r="G953">
        <v>0.719099284151415</v>
      </c>
      <c r="H953">
        <v>0.65150633021941395</v>
      </c>
      <c r="I953">
        <v>0.53250790175393403</v>
      </c>
      <c r="J953">
        <v>0.41623021382271003</v>
      </c>
      <c r="K953">
        <v>0.352881452015602</v>
      </c>
      <c r="L953">
        <v>441.77112203779501</v>
      </c>
      <c r="M953">
        <v>6.8354926549445896</v>
      </c>
      <c r="N953">
        <v>64.6290097193138</v>
      </c>
      <c r="O953">
        <v>59.775138587316199</v>
      </c>
      <c r="P953">
        <v>-2.8646178095977901E-2</v>
      </c>
      <c r="Q953">
        <v>0</v>
      </c>
      <c r="R953">
        <v>0.981384377833732</v>
      </c>
      <c r="S953" t="s">
        <v>6814</v>
      </c>
      <c r="T953" t="s">
        <v>11720</v>
      </c>
      <c r="U953" t="s">
        <v>11720</v>
      </c>
      <c r="V953" t="s">
        <v>11720</v>
      </c>
      <c r="W953" t="s">
        <v>12650</v>
      </c>
      <c r="X953">
        <v>7</v>
      </c>
      <c r="Y953" t="s">
        <v>18443</v>
      </c>
      <c r="Z953" t="s">
        <v>24160</v>
      </c>
      <c r="AA953">
        <v>0.73421631828659206</v>
      </c>
      <c r="AB953" t="str">
        <f>HYPERLINK("Melting_Curves/meltCurve_H7C137_RANBP1.pdf", "Melting_Curves/meltCurve_H7C137_RANBP1.pdf")</f>
        <v>Melting_Curves/meltCurve_H7C137_RANBP1.pdf</v>
      </c>
    </row>
    <row r="954" spans="1:28" x14ac:dyDescent="0.25">
      <c r="A954" t="s">
        <v>958</v>
      </c>
      <c r="B954">
        <v>0.99334974765950101</v>
      </c>
      <c r="C954">
        <v>1.0512030411639299</v>
      </c>
      <c r="D954">
        <v>0.93992498867284802</v>
      </c>
      <c r="E954">
        <v>1.1032881394073599</v>
      </c>
      <c r="F954">
        <v>1.17639564503796</v>
      </c>
      <c r="G954">
        <v>0.76030677672706903</v>
      </c>
      <c r="H954">
        <v>0.67759756850824004</v>
      </c>
      <c r="I954">
        <v>0.72565836814965801</v>
      </c>
      <c r="J954">
        <v>0.98635147877950802</v>
      </c>
      <c r="K954">
        <v>0.80502500842547298</v>
      </c>
      <c r="L954">
        <v>13781.7838736187</v>
      </c>
      <c r="M954">
        <v>250</v>
      </c>
      <c r="O954">
        <v>55.123607738659302</v>
      </c>
      <c r="P954">
        <v>-0.236990411275742</v>
      </c>
      <c r="Q954">
        <v>0.79097973679885802</v>
      </c>
      <c r="R954">
        <v>0.60106754647393501</v>
      </c>
      <c r="S954" t="s">
        <v>6815</v>
      </c>
      <c r="T954" t="s">
        <v>11720</v>
      </c>
      <c r="U954" t="s">
        <v>11720</v>
      </c>
      <c r="V954" t="s">
        <v>11720</v>
      </c>
      <c r="W954" t="s">
        <v>12651</v>
      </c>
      <c r="X954">
        <v>2</v>
      </c>
      <c r="Y954" t="s">
        <v>18444</v>
      </c>
      <c r="Z954" t="s">
        <v>24161</v>
      </c>
      <c r="AA954">
        <v>0.89639588702212925</v>
      </c>
      <c r="AB954" t="str">
        <f>HYPERLINK("Melting_Curves/meltCurve_H7C173_MZT2B.pdf", "Melting_Curves/meltCurve_H7C173_MZT2B.pdf")</f>
        <v>Melting_Curves/meltCurve_H7C173_MZT2B.pdf</v>
      </c>
    </row>
    <row r="955" spans="1:28" x14ac:dyDescent="0.25">
      <c r="A955" t="s">
        <v>959</v>
      </c>
      <c r="B955">
        <v>0.99334974765950101</v>
      </c>
      <c r="C955">
        <v>0.94139931345926497</v>
      </c>
      <c r="D955">
        <v>1.04879710220227</v>
      </c>
      <c r="E955">
        <v>0.85497011024695202</v>
      </c>
      <c r="F955">
        <v>0.74433010623741203</v>
      </c>
      <c r="G955">
        <v>0.28839361933392998</v>
      </c>
      <c r="H955">
        <v>0.150040382092306</v>
      </c>
      <c r="I955">
        <v>0.159382118580782</v>
      </c>
      <c r="J955">
        <v>0.19897345300633901</v>
      </c>
      <c r="K955">
        <v>0.22301774324972901</v>
      </c>
      <c r="L955">
        <v>1701.9816087274701</v>
      </c>
      <c r="M955">
        <v>31.5257517360767</v>
      </c>
      <c r="N955">
        <v>54.7303927163168</v>
      </c>
      <c r="O955">
        <v>53.771196959115002</v>
      </c>
      <c r="P955">
        <v>-0.121046982174964</v>
      </c>
      <c r="Q955">
        <v>0.17416009695432799</v>
      </c>
      <c r="R955">
        <v>0.98484221370401503</v>
      </c>
      <c r="S955" t="s">
        <v>6816</v>
      </c>
      <c r="T955" t="s">
        <v>11720</v>
      </c>
      <c r="U955" t="s">
        <v>11720</v>
      </c>
      <c r="V955" t="s">
        <v>11720</v>
      </c>
      <c r="W955" t="s">
        <v>12652</v>
      </c>
      <c r="X955">
        <v>3</v>
      </c>
      <c r="Y955" t="s">
        <v>18445</v>
      </c>
      <c r="Z955" t="s">
        <v>24162</v>
      </c>
      <c r="AA955">
        <v>0.56412141798220761</v>
      </c>
      <c r="AB955" t="str">
        <f>HYPERLINK("Melting_Curves/meltCurve_H7C1E4_AP1S1.pdf", "Melting_Curves/meltCurve_H7C1E4_AP1S1.pdf")</f>
        <v>Melting_Curves/meltCurve_H7C1E4_AP1S1.pdf</v>
      </c>
    </row>
    <row r="956" spans="1:28" x14ac:dyDescent="0.25">
      <c r="A956" t="s">
        <v>960</v>
      </c>
      <c r="B956">
        <v>0.99334974765950101</v>
      </c>
      <c r="C956">
        <v>0.91303407254287605</v>
      </c>
      <c r="D956">
        <v>0.75295256740822003</v>
      </c>
      <c r="E956">
        <v>1.24479818469193</v>
      </c>
      <c r="F956">
        <v>1.07722545000973</v>
      </c>
      <c r="G956">
        <v>0.72584715743934602</v>
      </c>
      <c r="H956">
        <v>0.71469798362987003</v>
      </c>
      <c r="I956">
        <v>0.54330516443108401</v>
      </c>
      <c r="J956">
        <v>0.80744630064417</v>
      </c>
      <c r="K956">
        <v>0.86678911466487896</v>
      </c>
      <c r="L956">
        <v>8865.6324615224694</v>
      </c>
      <c r="M956">
        <v>160.22134333491101</v>
      </c>
      <c r="O956">
        <v>55.325038921693903</v>
      </c>
      <c r="P956">
        <v>-0.19464573449501099</v>
      </c>
      <c r="Q956">
        <v>0.73115237416832302</v>
      </c>
      <c r="R956">
        <v>0.47369234321571602</v>
      </c>
      <c r="S956" t="s">
        <v>6817</v>
      </c>
      <c r="T956" t="s">
        <v>11720</v>
      </c>
      <c r="U956" t="s">
        <v>11720</v>
      </c>
      <c r="V956" t="s">
        <v>11720</v>
      </c>
      <c r="W956" t="s">
        <v>12653</v>
      </c>
      <c r="X956">
        <v>2</v>
      </c>
      <c r="Y956" t="s">
        <v>18446</v>
      </c>
      <c r="Z956" t="s">
        <v>24163</v>
      </c>
      <c r="AA956">
        <v>0.86862984515591402</v>
      </c>
      <c r="AB956" t="str">
        <f>HYPERLINK("Melting_Curves/meltCurve_H7C1G1_TMEM87B.pdf", "Melting_Curves/meltCurve_H7C1G1_TMEM87B.pdf")</f>
        <v>Melting_Curves/meltCurve_H7C1G1_TMEM87B.pdf</v>
      </c>
    </row>
    <row r="957" spans="1:28" x14ac:dyDescent="0.25">
      <c r="A957" t="s">
        <v>961</v>
      </c>
      <c r="B957">
        <v>0.99334974765950101</v>
      </c>
      <c r="C957">
        <v>1.0631282922165299</v>
      </c>
      <c r="D957">
        <v>0.87630560246439504</v>
      </c>
      <c r="E957">
        <v>0.768968325483534</v>
      </c>
      <c r="F957">
        <v>0.68635434536834805</v>
      </c>
      <c r="G957">
        <v>0.42443478001507501</v>
      </c>
      <c r="H957">
        <v>0.25788717124531102</v>
      </c>
      <c r="I957">
        <v>0.195075808765975</v>
      </c>
      <c r="J957">
        <v>0.13726898096533899</v>
      </c>
      <c r="K957">
        <v>0.119394180535651</v>
      </c>
      <c r="L957">
        <v>693.52716710862899</v>
      </c>
      <c r="M957">
        <v>12.5624898945468</v>
      </c>
      <c r="N957">
        <v>55.657110123760702</v>
      </c>
      <c r="O957">
        <v>53.863306700778203</v>
      </c>
      <c r="P957">
        <v>-5.5497249864099901E-2</v>
      </c>
      <c r="Q957">
        <v>4.8385363052124902E-2</v>
      </c>
      <c r="R957">
        <v>0.989051942090027</v>
      </c>
      <c r="S957" t="s">
        <v>6818</v>
      </c>
      <c r="T957" t="s">
        <v>11720</v>
      </c>
      <c r="U957" t="s">
        <v>11720</v>
      </c>
      <c r="V957" t="s">
        <v>11720</v>
      </c>
      <c r="W957" t="s">
        <v>12563</v>
      </c>
      <c r="X957">
        <v>5</v>
      </c>
      <c r="Z957" t="s">
        <v>24164</v>
      </c>
      <c r="AA957">
        <v>0.55181978406542587</v>
      </c>
      <c r="AB957" t="str">
        <f>HYPERLINK("Melting_Curves/meltCurve_H7C1Q1_.pdf", "Melting_Curves/meltCurve_H7C1Q1_.pdf")</f>
        <v>Melting_Curves/meltCurve_H7C1Q1_.pdf</v>
      </c>
    </row>
    <row r="958" spans="1:28" x14ac:dyDescent="0.25">
      <c r="A958" t="s">
        <v>962</v>
      </c>
      <c r="B958">
        <v>0.99334974765950101</v>
      </c>
      <c r="C958">
        <v>0.96506121841606096</v>
      </c>
      <c r="D958">
        <v>0.90698889598052901</v>
      </c>
      <c r="E958">
        <v>0.62693546591684302</v>
      </c>
      <c r="F958">
        <v>0.41728289339788599</v>
      </c>
      <c r="G958">
        <v>0.36481294231336597</v>
      </c>
      <c r="H958">
        <v>0.31767102671740599</v>
      </c>
      <c r="I958">
        <v>0.29097250640377498</v>
      </c>
      <c r="J958">
        <v>0.32305285898622699</v>
      </c>
      <c r="K958">
        <v>0.30195129261810899</v>
      </c>
      <c r="L958">
        <v>1150.6583735721899</v>
      </c>
      <c r="M958">
        <v>23.204791553780598</v>
      </c>
      <c r="N958">
        <v>51.7186846972686</v>
      </c>
      <c r="O958">
        <v>49.223238181254601</v>
      </c>
      <c r="P958">
        <v>-8.15735344084179E-2</v>
      </c>
      <c r="Q958">
        <v>0.30786002748078301</v>
      </c>
      <c r="R958">
        <v>0.99756262929443895</v>
      </c>
      <c r="S958" t="s">
        <v>6819</v>
      </c>
      <c r="T958" t="s">
        <v>11720</v>
      </c>
      <c r="U958" t="s">
        <v>11720</v>
      </c>
      <c r="V958" t="s">
        <v>11720</v>
      </c>
      <c r="W958" t="s">
        <v>12654</v>
      </c>
      <c r="X958">
        <v>10</v>
      </c>
      <c r="Y958" t="s">
        <v>18447</v>
      </c>
      <c r="Z958" t="s">
        <v>24165</v>
      </c>
      <c r="AA958">
        <v>0.53621316646096762</v>
      </c>
      <c r="AB958" t="str">
        <f>HYPERLINK("Melting_Curves/meltCurve_H7C1U3_CC2D1B.pdf", "Melting_Curves/meltCurve_H7C1U3_CC2D1B.pdf")</f>
        <v>Melting_Curves/meltCurve_H7C1U3_CC2D1B.pdf</v>
      </c>
    </row>
    <row r="959" spans="1:28" x14ac:dyDescent="0.25">
      <c r="A959" t="s">
        <v>963</v>
      </c>
      <c r="B959">
        <v>0.99334974765950101</v>
      </c>
      <c r="C959">
        <v>0.87822556807767505</v>
      </c>
      <c r="D959">
        <v>0.87163767504200995</v>
      </c>
      <c r="E959">
        <v>0.75708018557956602</v>
      </c>
      <c r="F959">
        <v>0.84423351602630803</v>
      </c>
      <c r="G959">
        <v>0.82135304187942204</v>
      </c>
      <c r="H959">
        <v>0.87260149838767098</v>
      </c>
      <c r="I959">
        <v>1.1054812483816101</v>
      </c>
      <c r="J959">
        <v>0.77227205878874505</v>
      </c>
      <c r="K959">
        <v>0.483317900626349</v>
      </c>
      <c r="L959">
        <v>154.25502873852901</v>
      </c>
      <c r="M959">
        <v>1.1301825341127301</v>
      </c>
      <c r="O959">
        <v>53.915633320850802</v>
      </c>
      <c r="P959">
        <v>-6.7835340710371396E-3</v>
      </c>
      <c r="Q959">
        <v>0</v>
      </c>
      <c r="R959">
        <v>0.16229932195591901</v>
      </c>
      <c r="S959" t="s">
        <v>6820</v>
      </c>
      <c r="T959" t="s">
        <v>11720</v>
      </c>
      <c r="U959" t="s">
        <v>11720</v>
      </c>
      <c r="V959" t="s">
        <v>11720</v>
      </c>
      <c r="W959" t="s">
        <v>12655</v>
      </c>
      <c r="X959">
        <v>7</v>
      </c>
      <c r="Y959" t="s">
        <v>18448</v>
      </c>
      <c r="Z959" t="s">
        <v>24166</v>
      </c>
      <c r="AA959">
        <v>0.84226043129650008</v>
      </c>
      <c r="AB959" t="str">
        <f>HYPERLINK("Melting_Curves/meltCurve_H7C1U8_APOO.pdf", "Melting_Curves/meltCurve_H7C1U8_APOO.pdf")</f>
        <v>Melting_Curves/meltCurve_H7C1U8_APOO.pdf</v>
      </c>
    </row>
    <row r="960" spans="1:28" x14ac:dyDescent="0.25">
      <c r="A960" t="s">
        <v>964</v>
      </c>
      <c r="B960">
        <v>0.99334974765950101</v>
      </c>
      <c r="C960">
        <v>0.86459442876074399</v>
      </c>
      <c r="D960">
        <v>0.59410542231446495</v>
      </c>
      <c r="E960">
        <v>0.255114443277554</v>
      </c>
      <c r="F960">
        <v>0.247523031890821</v>
      </c>
      <c r="G960">
        <v>0.140541350107943</v>
      </c>
      <c r="H960">
        <v>0.108015188731145</v>
      </c>
      <c r="I960">
        <v>9.2780613228559697E-2</v>
      </c>
      <c r="J960">
        <v>0.12882472947288201</v>
      </c>
      <c r="K960">
        <v>8.4970236482302702E-2</v>
      </c>
      <c r="L960">
        <v>921.89847846537998</v>
      </c>
      <c r="M960">
        <v>19.833091492674001</v>
      </c>
      <c r="N960">
        <v>47.074718004014002</v>
      </c>
      <c r="O960">
        <v>46.018015995100001</v>
      </c>
      <c r="P960">
        <v>-9.5859635159773998E-2</v>
      </c>
      <c r="Q960">
        <v>0.11035114112481401</v>
      </c>
      <c r="R960">
        <v>0.992526159613211</v>
      </c>
      <c r="S960" t="s">
        <v>6821</v>
      </c>
      <c r="T960" t="s">
        <v>11720</v>
      </c>
      <c r="U960" t="s">
        <v>11720</v>
      </c>
      <c r="V960" t="s">
        <v>11720</v>
      </c>
      <c r="W960" t="s">
        <v>12656</v>
      </c>
      <c r="X960">
        <v>3</v>
      </c>
      <c r="Y960" t="s">
        <v>18449</v>
      </c>
      <c r="Z960" t="s">
        <v>24167</v>
      </c>
      <c r="AA960">
        <v>0.31619923358477059</v>
      </c>
      <c r="AB960" t="str">
        <f>HYPERLINK("Melting_Curves/meltCurve_H7C224_IRAK1.pdf", "Melting_Curves/meltCurve_H7C224_IRAK1.pdf")</f>
        <v>Melting_Curves/meltCurve_H7C224_IRAK1.pdf</v>
      </c>
    </row>
    <row r="961" spans="1:28" x14ac:dyDescent="0.25">
      <c r="A961" t="s">
        <v>965</v>
      </c>
      <c r="B961">
        <v>0.99334974765950101</v>
      </c>
      <c r="C961">
        <v>1.3951441842527399</v>
      </c>
      <c r="D961">
        <v>1.9313026989423601</v>
      </c>
      <c r="E961">
        <v>1.8879176517462699</v>
      </c>
      <c r="F961">
        <v>3.5734421531237901</v>
      </c>
      <c r="G961">
        <v>2.1777827416730999</v>
      </c>
      <c r="H961">
        <v>2.2244662538759399</v>
      </c>
      <c r="I961">
        <v>1.4043311132148699</v>
      </c>
      <c r="J961">
        <v>1.9585349323888399</v>
      </c>
      <c r="K961">
        <v>0.73533594249080203</v>
      </c>
      <c r="L961">
        <v>1.0000000000000001E-5</v>
      </c>
      <c r="M961">
        <v>34.271714077254501</v>
      </c>
      <c r="Q961">
        <v>1.5</v>
      </c>
      <c r="R961">
        <v>-0.191795135557213</v>
      </c>
      <c r="S961" t="s">
        <v>6822</v>
      </c>
      <c r="T961" t="s">
        <v>11720</v>
      </c>
      <c r="U961" t="s">
        <v>11720</v>
      </c>
      <c r="V961" t="s">
        <v>11720</v>
      </c>
      <c r="W961" t="s">
        <v>12657</v>
      </c>
      <c r="X961">
        <v>1</v>
      </c>
      <c r="Y961" t="s">
        <v>18450</v>
      </c>
      <c r="Z961" t="s">
        <v>24168</v>
      </c>
      <c r="AA961">
        <v>1.4999999999999989</v>
      </c>
      <c r="AB961" t="str">
        <f>HYPERLINK("Melting_Curves/meltCurve_H7C347_PPM1N.pdf", "Melting_Curves/meltCurve_H7C347_PPM1N.pdf")</f>
        <v>Melting_Curves/meltCurve_H7C347_PPM1N.pdf</v>
      </c>
    </row>
    <row r="962" spans="1:28" x14ac:dyDescent="0.25">
      <c r="A962" t="s">
        <v>966</v>
      </c>
      <c r="B962">
        <v>0.99334974765950101</v>
      </c>
      <c r="C962">
        <v>0.95166628294785904</v>
      </c>
      <c r="D962">
        <v>0.900562232035929</v>
      </c>
      <c r="E962">
        <v>0.86474472237804201</v>
      </c>
      <c r="F962">
        <v>0.90516950168485599</v>
      </c>
      <c r="G962">
        <v>0.60953034629083902</v>
      </c>
      <c r="H962">
        <v>0.52172340968527797</v>
      </c>
      <c r="I962">
        <v>0.59005509119187305</v>
      </c>
      <c r="J962">
        <v>0.59018882511605397</v>
      </c>
      <c r="K962">
        <v>0.51394763954826705</v>
      </c>
      <c r="L962">
        <v>928.74726420102797</v>
      </c>
      <c r="M962">
        <v>17.1763941409944</v>
      </c>
      <c r="O962">
        <v>53.354191326075401</v>
      </c>
      <c r="P962">
        <v>-3.8316988721782901E-2</v>
      </c>
      <c r="Q962">
        <v>0.52393950737723005</v>
      </c>
      <c r="R962">
        <v>0.90921013440512499</v>
      </c>
      <c r="S962" t="s">
        <v>6823</v>
      </c>
      <c r="T962" t="s">
        <v>11720</v>
      </c>
      <c r="U962" t="s">
        <v>11720</v>
      </c>
      <c r="V962" t="s">
        <v>11720</v>
      </c>
      <c r="W962" t="s">
        <v>12658</v>
      </c>
      <c r="X962">
        <v>4</v>
      </c>
      <c r="Y962" t="s">
        <v>18451</v>
      </c>
      <c r="Z962" t="s">
        <v>24169</v>
      </c>
      <c r="AA962">
        <v>0.75536402097293565</v>
      </c>
      <c r="AB962" t="str">
        <f>HYPERLINK("Melting_Curves/meltCurve_H7C3D8_CMC1.pdf", "Melting_Curves/meltCurve_H7C3D8_CMC1.pdf")</f>
        <v>Melting_Curves/meltCurve_H7C3D8_CMC1.pdf</v>
      </c>
    </row>
    <row r="963" spans="1:28" x14ac:dyDescent="0.25">
      <c r="A963" t="s">
        <v>967</v>
      </c>
      <c r="B963">
        <v>0.99334974765950101</v>
      </c>
      <c r="C963">
        <v>0.85051553825070103</v>
      </c>
      <c r="D963">
        <v>0.89693341315360897</v>
      </c>
      <c r="E963">
        <v>0.51253184935680496</v>
      </c>
      <c r="F963">
        <v>0.454287753728227</v>
      </c>
      <c r="G963">
        <v>0.28803818177028401</v>
      </c>
      <c r="H963">
        <v>0.271170063063783</v>
      </c>
      <c r="I963">
        <v>0.317177336381609</v>
      </c>
      <c r="J963">
        <v>0.12271830642621399</v>
      </c>
      <c r="K963">
        <v>0</v>
      </c>
      <c r="L963">
        <v>518.20021171957001</v>
      </c>
      <c r="M963">
        <v>10.027728159397601</v>
      </c>
      <c r="N963">
        <v>52.248580046814098</v>
      </c>
      <c r="O963">
        <v>49.747739221819899</v>
      </c>
      <c r="P963">
        <v>-4.7796883060869898E-2</v>
      </c>
      <c r="Q963">
        <v>5.1971480138577199E-2</v>
      </c>
      <c r="R963">
        <v>0.93984121083753402</v>
      </c>
      <c r="S963" t="s">
        <v>6824</v>
      </c>
      <c r="T963" t="s">
        <v>11720</v>
      </c>
      <c r="U963" t="s">
        <v>11720</v>
      </c>
      <c r="V963" t="s">
        <v>11720</v>
      </c>
      <c r="W963" t="s">
        <v>12659</v>
      </c>
      <c r="X963">
        <v>1</v>
      </c>
      <c r="Y963" t="s">
        <v>18452</v>
      </c>
      <c r="Z963" t="s">
        <v>24170</v>
      </c>
      <c r="AA963">
        <v>0.45796336760922629</v>
      </c>
      <c r="AB963" t="str">
        <f>HYPERLINK("Melting_Curves/meltCurve_H7C3K0_ELN.pdf", "Melting_Curves/meltCurve_H7C3K0_ELN.pdf")</f>
        <v>Melting_Curves/meltCurve_H7C3K0_ELN.pdf</v>
      </c>
    </row>
    <row r="964" spans="1:28" x14ac:dyDescent="0.25">
      <c r="A964" t="s">
        <v>968</v>
      </c>
      <c r="B964">
        <v>0.99334974765950101</v>
      </c>
      <c r="C964">
        <v>0.94336754076722495</v>
      </c>
      <c r="D964">
        <v>1.0748490803472801</v>
      </c>
      <c r="E964">
        <v>0.85855215899571402</v>
      </c>
      <c r="F964">
        <v>0.53020988933728597</v>
      </c>
      <c r="G964">
        <v>0.38509431955759899</v>
      </c>
      <c r="H964">
        <v>0.25433346997730599</v>
      </c>
      <c r="I964">
        <v>0.17898559970848699</v>
      </c>
      <c r="J964">
        <v>0.160338730463915</v>
      </c>
      <c r="K964">
        <v>0.103488956172716</v>
      </c>
      <c r="L964">
        <v>1049.7112746287801</v>
      </c>
      <c r="M964">
        <v>19.630971554096998</v>
      </c>
      <c r="N964">
        <v>54.415598009912202</v>
      </c>
      <c r="O964">
        <v>52.926619015386599</v>
      </c>
      <c r="P964">
        <v>-7.9355571560827898E-2</v>
      </c>
      <c r="Q964">
        <v>0.144235215734421</v>
      </c>
      <c r="R964">
        <v>0.97905901197431</v>
      </c>
      <c r="S964" t="s">
        <v>6825</v>
      </c>
      <c r="T964" t="s">
        <v>11720</v>
      </c>
      <c r="U964" t="s">
        <v>11720</v>
      </c>
      <c r="V964" t="s">
        <v>11720</v>
      </c>
      <c r="W964" t="s">
        <v>12660</v>
      </c>
      <c r="X964">
        <v>2</v>
      </c>
      <c r="Y964" t="s">
        <v>18453</v>
      </c>
      <c r="Z964" t="s">
        <v>24171</v>
      </c>
      <c r="AA964">
        <v>0.54061723478148316</v>
      </c>
      <c r="AB964" t="str">
        <f>HYPERLINK("Melting_Curves/meltCurve_H7C3T2_ATG2A.pdf", "Melting_Curves/meltCurve_H7C3T2_ATG2A.pdf")</f>
        <v>Melting_Curves/meltCurve_H7C3T2_ATG2A.pdf</v>
      </c>
    </row>
    <row r="965" spans="1:28" x14ac:dyDescent="0.25">
      <c r="A965" t="s">
        <v>969</v>
      </c>
      <c r="B965">
        <v>0.99334974765950101</v>
      </c>
      <c r="C965">
        <v>0.65607751335727804</v>
      </c>
      <c r="D965">
        <v>0.99963239783677904</v>
      </c>
      <c r="E965">
        <v>0.86826536817531696</v>
      </c>
      <c r="F965">
        <v>1.50673822365745</v>
      </c>
      <c r="G965">
        <v>1.2165085842478001</v>
      </c>
      <c r="H965">
        <v>1.09808755177693</v>
      </c>
      <c r="I965">
        <v>1.4981622616313099</v>
      </c>
      <c r="J965">
        <v>0.92329590928216698</v>
      </c>
      <c r="K965">
        <v>0.30826900551465097</v>
      </c>
      <c r="L965">
        <v>15000</v>
      </c>
      <c r="M965">
        <v>221.79801558381399</v>
      </c>
      <c r="N965">
        <v>67.922038757669</v>
      </c>
      <c r="O965">
        <v>67.6236100373455</v>
      </c>
      <c r="P965">
        <v>-0.56751055166586395</v>
      </c>
      <c r="Q965">
        <v>0.30789088542083698</v>
      </c>
      <c r="R965">
        <v>0.409729777081906</v>
      </c>
      <c r="S965" t="s">
        <v>6826</v>
      </c>
      <c r="T965" t="s">
        <v>11720</v>
      </c>
      <c r="U965" t="s">
        <v>11720</v>
      </c>
      <c r="V965" t="s">
        <v>11720</v>
      </c>
      <c r="W965" t="s">
        <v>12661</v>
      </c>
      <c r="X965">
        <v>1</v>
      </c>
      <c r="Y965" t="s">
        <v>18454</v>
      </c>
      <c r="Z965" t="s">
        <v>24172</v>
      </c>
      <c r="AA965">
        <v>0.94540281244983959</v>
      </c>
      <c r="AB965" t="str">
        <f>HYPERLINK("Melting_Curves/meltCurve_H7C3Z2_FLVCR1.pdf", "Melting_Curves/meltCurve_H7C3Z2_FLVCR1.pdf")</f>
        <v>Melting_Curves/meltCurve_H7C3Z2_FLVCR1.pdf</v>
      </c>
    </row>
    <row r="966" spans="1:28" x14ac:dyDescent="0.25">
      <c r="A966" t="s">
        <v>970</v>
      </c>
      <c r="B966">
        <v>0.99334974765950101</v>
      </c>
      <c r="C966">
        <v>0.92777456810466497</v>
      </c>
      <c r="D966">
        <v>0.78801782411117505</v>
      </c>
      <c r="E966">
        <v>0.77417677843082</v>
      </c>
      <c r="F966">
        <v>0.59044249857888798</v>
      </c>
      <c r="G966">
        <v>0.51152155786515197</v>
      </c>
      <c r="H966">
        <v>0.54634418175095201</v>
      </c>
      <c r="I966">
        <v>0.49395094407739798</v>
      </c>
      <c r="J966">
        <v>0.398776665859151</v>
      </c>
      <c r="K966">
        <v>0.24952796500379201</v>
      </c>
      <c r="L966">
        <v>332.11685346541202</v>
      </c>
      <c r="M966">
        <v>5.70275455451198</v>
      </c>
      <c r="N966">
        <v>59.9382614292075</v>
      </c>
      <c r="O966">
        <v>52.265980304469103</v>
      </c>
      <c r="P966">
        <v>-2.5338298996955302E-2</v>
      </c>
      <c r="Q966">
        <v>7.4682489337520197E-2</v>
      </c>
      <c r="R966">
        <v>0.93377900170438199</v>
      </c>
      <c r="S966" t="s">
        <v>6827</v>
      </c>
      <c r="T966" t="s">
        <v>11720</v>
      </c>
      <c r="U966" t="s">
        <v>11720</v>
      </c>
      <c r="V966" t="s">
        <v>11720</v>
      </c>
      <c r="W966" t="s">
        <v>12563</v>
      </c>
      <c r="X966">
        <v>7</v>
      </c>
      <c r="Z966" t="s">
        <v>24173</v>
      </c>
      <c r="AA966">
        <v>0.62417012250093196</v>
      </c>
      <c r="AB966" t="str">
        <f>HYPERLINK("Melting_Curves/meltCurve_H7C417_.pdf", "Melting_Curves/meltCurve_H7C417_.pdf")</f>
        <v>Melting_Curves/meltCurve_H7C417_.pdf</v>
      </c>
    </row>
    <row r="967" spans="1:28" x14ac:dyDescent="0.25">
      <c r="A967" t="s">
        <v>971</v>
      </c>
      <c r="B967">
        <v>0.99334974765950101</v>
      </c>
      <c r="C967">
        <v>0.97841132114649698</v>
      </c>
      <c r="D967">
        <v>0.84676837113581604</v>
      </c>
      <c r="E967">
        <v>0.87619303962022999</v>
      </c>
      <c r="F967">
        <v>0.92961286681413802</v>
      </c>
      <c r="G967">
        <v>0.78713515854643401</v>
      </c>
      <c r="H967">
        <v>0.72958082609039798</v>
      </c>
      <c r="I967">
        <v>1.0278162853099599</v>
      </c>
      <c r="J967">
        <v>1.1428657264547799</v>
      </c>
      <c r="K967">
        <v>0.84484423217111904</v>
      </c>
      <c r="L967">
        <v>10781.3582911005</v>
      </c>
      <c r="M967">
        <v>250</v>
      </c>
      <c r="O967">
        <v>43.122673420891999</v>
      </c>
      <c r="P967">
        <v>-0.14768613663639099</v>
      </c>
      <c r="Q967">
        <v>0.89810206349167998</v>
      </c>
      <c r="R967">
        <v>9.0588637124178903E-2</v>
      </c>
      <c r="S967" t="s">
        <v>6828</v>
      </c>
      <c r="T967" t="s">
        <v>11720</v>
      </c>
      <c r="U967" t="s">
        <v>11720</v>
      </c>
      <c r="V967" t="s">
        <v>11720</v>
      </c>
      <c r="W967" t="s">
        <v>12662</v>
      </c>
      <c r="X967">
        <v>3</v>
      </c>
      <c r="Y967" t="s">
        <v>18455</v>
      </c>
      <c r="Z967" t="s">
        <v>24174</v>
      </c>
      <c r="AA967">
        <v>0.90872561525560791</v>
      </c>
      <c r="AB967" t="str">
        <f>HYPERLINK("Melting_Curves/meltCurve_H7C4B9_MDFIC.pdf", "Melting_Curves/meltCurve_H7C4B9_MDFIC.pdf")</f>
        <v>Melting_Curves/meltCurve_H7C4B9_MDFIC.pdf</v>
      </c>
    </row>
    <row r="968" spans="1:28" x14ac:dyDescent="0.25">
      <c r="A968" t="s">
        <v>972</v>
      </c>
      <c r="B968">
        <v>0.99334974765950101</v>
      </c>
      <c r="C968">
        <v>0.96913596445511896</v>
      </c>
      <c r="D968">
        <v>0.70752150039096495</v>
      </c>
      <c r="E968">
        <v>0.53325184419796601</v>
      </c>
      <c r="F968">
        <v>0.269078727247474</v>
      </c>
      <c r="G968">
        <v>0.169764179252788</v>
      </c>
      <c r="H968">
        <v>0.14235493550103001</v>
      </c>
      <c r="I968">
        <v>0.139154021877088</v>
      </c>
      <c r="J968">
        <v>0.200409451551707</v>
      </c>
      <c r="K968">
        <v>0.19913895357578101</v>
      </c>
      <c r="L968">
        <v>895.33691919524699</v>
      </c>
      <c r="M968">
        <v>18.466037828692901</v>
      </c>
      <c r="N968">
        <v>49.476284114105297</v>
      </c>
      <c r="O968">
        <v>47.927719647325603</v>
      </c>
      <c r="P968">
        <v>-8.1439577941582797E-2</v>
      </c>
      <c r="Q968">
        <v>0.15454756877902501</v>
      </c>
      <c r="R968">
        <v>0.98301388731745998</v>
      </c>
      <c r="S968" t="s">
        <v>6829</v>
      </c>
      <c r="T968" t="s">
        <v>11720</v>
      </c>
      <c r="U968" t="s">
        <v>11720</v>
      </c>
      <c r="V968" t="s">
        <v>11720</v>
      </c>
      <c r="W968" t="s">
        <v>12663</v>
      </c>
      <c r="X968">
        <v>10</v>
      </c>
      <c r="Y968" t="s">
        <v>18456</v>
      </c>
      <c r="Z968" t="s">
        <v>24175</v>
      </c>
      <c r="AA968">
        <v>0.40773647865682389</v>
      </c>
      <c r="AB968" t="str">
        <f>HYPERLINK("Melting_Curves/meltCurve_H7C4T5_MBNL1.pdf", "Melting_Curves/meltCurve_H7C4T5_MBNL1.pdf")</f>
        <v>Melting_Curves/meltCurve_H7C4T5_MBNL1.pdf</v>
      </c>
    </row>
    <row r="969" spans="1:28" x14ac:dyDescent="0.25">
      <c r="A969" t="s">
        <v>973</v>
      </c>
      <c r="B969">
        <v>0.99334974765950101</v>
      </c>
      <c r="C969">
        <v>1.01526279128765</v>
      </c>
      <c r="D969">
        <v>0.91887277956131497</v>
      </c>
      <c r="E969">
        <v>0.77920000786411203</v>
      </c>
      <c r="F969">
        <v>0.70762527255449803</v>
      </c>
      <c r="G969">
        <v>0.41172745204711297</v>
      </c>
      <c r="H969">
        <v>0.39738604821720003</v>
      </c>
      <c r="I969">
        <v>0.41786579908723098</v>
      </c>
      <c r="J969">
        <v>0.377076037515093</v>
      </c>
      <c r="K969">
        <v>0.44664432958931399</v>
      </c>
      <c r="L969">
        <v>1027.8332877847299</v>
      </c>
      <c r="M969">
        <v>19.7856356344871</v>
      </c>
      <c r="N969">
        <v>56.238424276209301</v>
      </c>
      <c r="O969">
        <v>51.426511125834303</v>
      </c>
      <c r="P969">
        <v>-5.8725623138065799E-2</v>
      </c>
      <c r="Q969">
        <v>0.38946575567094099</v>
      </c>
      <c r="R969">
        <v>0.97390603666211595</v>
      </c>
      <c r="S969" t="s">
        <v>6830</v>
      </c>
      <c r="T969" t="s">
        <v>11720</v>
      </c>
      <c r="U969" t="s">
        <v>11720</v>
      </c>
      <c r="V969" t="s">
        <v>11720</v>
      </c>
      <c r="W969" t="s">
        <v>12664</v>
      </c>
      <c r="X969">
        <v>3</v>
      </c>
      <c r="Y969" t="s">
        <v>18457</v>
      </c>
      <c r="Z969" t="s">
        <v>24176</v>
      </c>
      <c r="AA969">
        <v>0.64124616051164907</v>
      </c>
      <c r="AB969" t="str">
        <f>HYPERLINK("Melting_Curves/meltCurve_H7C585_FXN.pdf", "Melting_Curves/meltCurve_H7C585_FXN.pdf")</f>
        <v>Melting_Curves/meltCurve_H7C585_FXN.pdf</v>
      </c>
    </row>
    <row r="970" spans="1:28" x14ac:dyDescent="0.25">
      <c r="A970" t="s">
        <v>974</v>
      </c>
      <c r="B970">
        <v>0.99334974765950101</v>
      </c>
      <c r="C970">
        <v>0.865115958002032</v>
      </c>
      <c r="D970">
        <v>0.63459191652334301</v>
      </c>
      <c r="E970">
        <v>0.31045985697954398</v>
      </c>
      <c r="F970">
        <v>0.21631390688143001</v>
      </c>
      <c r="G970">
        <v>0.112439373016694</v>
      </c>
      <c r="H970">
        <v>8.7172628702927898E-2</v>
      </c>
      <c r="I970">
        <v>6.2977092343155003E-2</v>
      </c>
      <c r="J970">
        <v>6.0551734682922902E-2</v>
      </c>
      <c r="K970">
        <v>6.3307284025529695E-2</v>
      </c>
      <c r="L970">
        <v>819.93481109038999</v>
      </c>
      <c r="M970">
        <v>17.343001838953299</v>
      </c>
      <c r="N970">
        <v>47.647652394044698</v>
      </c>
      <c r="O970">
        <v>46.662408061530002</v>
      </c>
      <c r="P970">
        <v>-8.7067246046394403E-2</v>
      </c>
      <c r="Q970">
        <v>6.3014347155480793E-2</v>
      </c>
      <c r="R970">
        <v>0.99799456046518098</v>
      </c>
      <c r="S970" t="s">
        <v>6831</v>
      </c>
      <c r="T970" t="s">
        <v>11720</v>
      </c>
      <c r="U970" t="s">
        <v>11720</v>
      </c>
      <c r="V970" t="s">
        <v>11720</v>
      </c>
      <c r="W970" t="s">
        <v>12665</v>
      </c>
      <c r="X970">
        <v>3</v>
      </c>
      <c r="Y970" t="s">
        <v>18458</v>
      </c>
      <c r="Z970" t="s">
        <v>24177</v>
      </c>
      <c r="AA970">
        <v>0.30879735509936562</v>
      </c>
      <c r="AB970" t="str">
        <f>HYPERLINK("Melting_Curves/meltCurve_H7C5E4_XRN1.pdf", "Melting_Curves/meltCurve_H7C5E4_XRN1.pdf")</f>
        <v>Melting_Curves/meltCurve_H7C5E4_XRN1.pdf</v>
      </c>
    </row>
    <row r="971" spans="1:28" x14ac:dyDescent="0.25">
      <c r="A971" t="s">
        <v>975</v>
      </c>
      <c r="B971">
        <v>0.99334974765950101</v>
      </c>
      <c r="C971">
        <v>0.99606146448015997</v>
      </c>
      <c r="D971">
        <v>0.92827968847464404</v>
      </c>
      <c r="E971">
        <v>0.86283125311511299</v>
      </c>
      <c r="F971">
        <v>0.70800339093300102</v>
      </c>
      <c r="G971">
        <v>0.677509461930352</v>
      </c>
      <c r="H971">
        <v>0.58039628359143502</v>
      </c>
      <c r="I971">
        <v>0.44529570179467298</v>
      </c>
      <c r="J971">
        <v>0.187679809812895</v>
      </c>
      <c r="K971">
        <v>0.10168412749233099</v>
      </c>
      <c r="L971">
        <v>607.08845124695802</v>
      </c>
      <c r="M971">
        <v>10.0452670142099</v>
      </c>
      <c r="N971">
        <v>60.435297059686697</v>
      </c>
      <c r="O971">
        <v>58.186733274261897</v>
      </c>
      <c r="P971">
        <v>-4.3180243639975899E-2</v>
      </c>
      <c r="Q971">
        <v>0</v>
      </c>
      <c r="R971">
        <v>0.94968242190617702</v>
      </c>
      <c r="S971" t="s">
        <v>6832</v>
      </c>
      <c r="T971" t="s">
        <v>11720</v>
      </c>
      <c r="U971" t="s">
        <v>11720</v>
      </c>
      <c r="V971" t="s">
        <v>11720</v>
      </c>
      <c r="W971" t="s">
        <v>12666</v>
      </c>
      <c r="X971">
        <v>9</v>
      </c>
      <c r="Y971" t="s">
        <v>18459</v>
      </c>
      <c r="Z971" t="s">
        <v>24178</v>
      </c>
      <c r="AA971">
        <v>0.67394609891821033</v>
      </c>
      <c r="AB971" t="str">
        <f>HYPERLINK("Melting_Curves/meltCurve_H7C5G1_IAH1.pdf", "Melting_Curves/meltCurve_H7C5G1_IAH1.pdf")</f>
        <v>Melting_Curves/meltCurve_H7C5G1_IAH1.pdf</v>
      </c>
    </row>
    <row r="972" spans="1:28" x14ac:dyDescent="0.25">
      <c r="A972" t="s">
        <v>976</v>
      </c>
      <c r="B972">
        <v>0.99334974765950101</v>
      </c>
      <c r="C972">
        <v>0.91550538528755898</v>
      </c>
      <c r="D972">
        <v>0.852292915737761</v>
      </c>
      <c r="E972">
        <v>0.87219411066963004</v>
      </c>
      <c r="F972">
        <v>1.28000137523938</v>
      </c>
      <c r="G972">
        <v>0.88205471699148497</v>
      </c>
      <c r="H972">
        <v>0.910976723074021</v>
      </c>
      <c r="I972">
        <v>1.03622259876783</v>
      </c>
      <c r="J972">
        <v>1.1824240908721899</v>
      </c>
      <c r="K972">
        <v>0.84745666554379695</v>
      </c>
      <c r="L972">
        <v>15000</v>
      </c>
      <c r="M972">
        <v>212.570789527226</v>
      </c>
      <c r="Q972">
        <v>0</v>
      </c>
      <c r="R972">
        <v>9.12376282334246E-2</v>
      </c>
      <c r="S972" t="s">
        <v>6833</v>
      </c>
      <c r="T972" t="s">
        <v>11720</v>
      </c>
      <c r="U972" t="s">
        <v>11720</v>
      </c>
      <c r="V972" t="s">
        <v>11720</v>
      </c>
      <c r="W972" t="s">
        <v>12667</v>
      </c>
      <c r="X972">
        <v>2</v>
      </c>
      <c r="Y972" t="s">
        <v>18460</v>
      </c>
      <c r="Z972" t="s">
        <v>24179</v>
      </c>
      <c r="AA972">
        <v>0.99821522339639701</v>
      </c>
      <c r="AB972" t="str">
        <f>HYPERLINK("Melting_Curves/meltCurve_H7C5H4_GPM6B.pdf", "Melting_Curves/meltCurve_H7C5H4_GPM6B.pdf")</f>
        <v>Melting_Curves/meltCurve_H7C5H4_GPM6B.pdf</v>
      </c>
    </row>
    <row r="973" spans="1:28" x14ac:dyDescent="0.25">
      <c r="A973" t="s">
        <v>977</v>
      </c>
      <c r="B973">
        <v>0.99334974765950101</v>
      </c>
      <c r="C973">
        <v>1.00875859058117</v>
      </c>
      <c r="D973">
        <v>1.03891563413868</v>
      </c>
      <c r="E973">
        <v>0.87251888920354803</v>
      </c>
      <c r="F973">
        <v>0.37915969090268398</v>
      </c>
      <c r="G973">
        <v>0.21986277983528199</v>
      </c>
      <c r="H973">
        <v>0.15778020555410299</v>
      </c>
      <c r="I973">
        <v>0.136875400130063</v>
      </c>
      <c r="J973">
        <v>0.12825184162862799</v>
      </c>
      <c r="K973">
        <v>0.10337913900208601</v>
      </c>
      <c r="L973">
        <v>2283.9104823328098</v>
      </c>
      <c r="M973">
        <v>44.000632696440299</v>
      </c>
      <c r="N973">
        <v>52.3105095635933</v>
      </c>
      <c r="O973">
        <v>51.799437101082198</v>
      </c>
      <c r="P973">
        <v>-0.18175730250060901</v>
      </c>
      <c r="Q973">
        <v>0.14411116922594899</v>
      </c>
      <c r="R973">
        <v>0.99509756252664106</v>
      </c>
      <c r="S973" t="s">
        <v>6834</v>
      </c>
      <c r="T973" t="s">
        <v>11720</v>
      </c>
      <c r="U973" t="s">
        <v>11720</v>
      </c>
      <c r="V973" t="s">
        <v>11720</v>
      </c>
      <c r="W973" t="s">
        <v>12668</v>
      </c>
      <c r="X973">
        <v>6</v>
      </c>
      <c r="Y973" t="s">
        <v>18461</v>
      </c>
      <c r="Z973" t="s">
        <v>24180</v>
      </c>
      <c r="AA973">
        <v>0.48632769144603388</v>
      </c>
      <c r="AB973" t="str">
        <f>HYPERLINK("Melting_Curves/meltCurve_H9KV44_EFR3A.pdf", "Melting_Curves/meltCurve_H9KV44_EFR3A.pdf")</f>
        <v>Melting_Curves/meltCurve_H9KV44_EFR3A.pdf</v>
      </c>
    </row>
    <row r="974" spans="1:28" x14ac:dyDescent="0.25">
      <c r="A974" t="s">
        <v>978</v>
      </c>
      <c r="B974">
        <v>0.99334974765950101</v>
      </c>
      <c r="C974">
        <v>0.94189872321499402</v>
      </c>
      <c r="D974">
        <v>0.86090823245991899</v>
      </c>
      <c r="E974">
        <v>0.569517476341727</v>
      </c>
      <c r="F974">
        <v>0.225639038286812</v>
      </c>
      <c r="G974">
        <v>0.13558906743075899</v>
      </c>
      <c r="H974">
        <v>9.1551206497148596E-2</v>
      </c>
      <c r="I974">
        <v>7.0831906485788299E-2</v>
      </c>
      <c r="J974">
        <v>5.8862524480590497E-2</v>
      </c>
      <c r="K974">
        <v>6.6463793947234701E-2</v>
      </c>
      <c r="L974">
        <v>1098.7862911391701</v>
      </c>
      <c r="M974">
        <v>21.9808292209573</v>
      </c>
      <c r="N974">
        <v>50.295457959843098</v>
      </c>
      <c r="O974">
        <v>49.5801761379646</v>
      </c>
      <c r="P974">
        <v>-0.10387761302795499</v>
      </c>
      <c r="Q974">
        <v>6.2791728280651396E-2</v>
      </c>
      <c r="R974">
        <v>0.996105065973512</v>
      </c>
      <c r="S974" t="s">
        <v>6835</v>
      </c>
      <c r="T974" t="s">
        <v>11720</v>
      </c>
      <c r="U974" t="s">
        <v>11720</v>
      </c>
      <c r="V974" t="s">
        <v>11720</v>
      </c>
      <c r="W974" t="s">
        <v>12669</v>
      </c>
      <c r="X974">
        <v>4</v>
      </c>
      <c r="Y974" t="s">
        <v>18462</v>
      </c>
      <c r="Z974" t="s">
        <v>24181</v>
      </c>
      <c r="AA974">
        <v>0.38566550389684479</v>
      </c>
      <c r="AB974" t="str">
        <f>HYPERLINK("Melting_Curves/meltCurve_H9KV50_SEPN1.pdf", "Melting_Curves/meltCurve_H9KV50_SEPN1.pdf")</f>
        <v>Melting_Curves/meltCurve_H9KV50_SEPN1.pdf</v>
      </c>
    </row>
    <row r="975" spans="1:28" x14ac:dyDescent="0.25">
      <c r="A975" t="s">
        <v>979</v>
      </c>
      <c r="B975">
        <v>0.99334974765950101</v>
      </c>
      <c r="C975">
        <v>0.97623494788361198</v>
      </c>
      <c r="D975">
        <v>0.90011297769123499</v>
      </c>
      <c r="E975">
        <v>0.983670845050995</v>
      </c>
      <c r="F975">
        <v>1.09832246662495</v>
      </c>
      <c r="G975">
        <v>1.2499990566003001</v>
      </c>
      <c r="H975">
        <v>0.92102948240041405</v>
      </c>
      <c r="I975">
        <v>0.791541490902121</v>
      </c>
      <c r="J975">
        <v>0.68389460059448404</v>
      </c>
      <c r="K975">
        <v>0.50536226256418004</v>
      </c>
      <c r="L975">
        <v>1952.3398685597001</v>
      </c>
      <c r="M975">
        <v>29.7202214098814</v>
      </c>
      <c r="O975">
        <v>65.395370594303898</v>
      </c>
      <c r="P975">
        <v>-6.2986003402722701E-2</v>
      </c>
      <c r="Q975">
        <v>0.44563467812189</v>
      </c>
      <c r="R975">
        <v>0.77347389994156202</v>
      </c>
      <c r="S975" t="s">
        <v>6836</v>
      </c>
      <c r="T975" t="s">
        <v>11720</v>
      </c>
      <c r="U975" t="s">
        <v>11720</v>
      </c>
      <c r="V975" t="s">
        <v>11720</v>
      </c>
      <c r="W975" t="s">
        <v>12670</v>
      </c>
      <c r="X975">
        <v>6</v>
      </c>
      <c r="Y975" t="s">
        <v>18463</v>
      </c>
      <c r="Z975" t="s">
        <v>24182</v>
      </c>
      <c r="AA975">
        <v>0.91748002317056077</v>
      </c>
      <c r="AB975" t="str">
        <f>HYPERLINK("Melting_Curves/meltCurve_H9KV65_SGIP1.pdf", "Melting_Curves/meltCurve_H9KV65_SGIP1.pdf")</f>
        <v>Melting_Curves/meltCurve_H9KV65_SGIP1.pdf</v>
      </c>
    </row>
    <row r="976" spans="1:28" x14ac:dyDescent="0.25">
      <c r="A976" t="s">
        <v>980</v>
      </c>
      <c r="B976">
        <v>0.99334974765950101</v>
      </c>
      <c r="C976">
        <v>0.87583650632349497</v>
      </c>
      <c r="D976">
        <v>0.67997496454978301</v>
      </c>
      <c r="E976">
        <v>0.84216109234127201</v>
      </c>
      <c r="F976">
        <v>0.80668036753588201</v>
      </c>
      <c r="G976">
        <v>0.53765816967238</v>
      </c>
      <c r="H976">
        <v>0.41966683807703598</v>
      </c>
      <c r="I976">
        <v>0.48731273610373699</v>
      </c>
      <c r="J976">
        <v>0.60699489125776696</v>
      </c>
      <c r="K976">
        <v>0.43206824617855599</v>
      </c>
      <c r="L976">
        <v>356.64395322162301</v>
      </c>
      <c r="M976">
        <v>6.7052772831942704</v>
      </c>
      <c r="N976">
        <v>64.884064389877807</v>
      </c>
      <c r="O976">
        <v>49.056751103055099</v>
      </c>
      <c r="P976">
        <v>-2.2235418026694799E-2</v>
      </c>
      <c r="Q976">
        <v>0.350698829840077</v>
      </c>
      <c r="R976">
        <v>0.75827920419190797</v>
      </c>
      <c r="S976" t="s">
        <v>6837</v>
      </c>
      <c r="T976" t="s">
        <v>11720</v>
      </c>
      <c r="U976" t="s">
        <v>11720</v>
      </c>
      <c r="V976" t="s">
        <v>11720</v>
      </c>
      <c r="W976" t="s">
        <v>12671</v>
      </c>
      <c r="X976">
        <v>2</v>
      </c>
      <c r="Y976" t="s">
        <v>18464</v>
      </c>
      <c r="Z976" t="s">
        <v>24183</v>
      </c>
      <c r="AA976">
        <v>0.66439836383007334</v>
      </c>
      <c r="AB976" t="str">
        <f>HYPERLINK("Melting_Curves/meltCurve_H9KVB8_MICU1.pdf", "Melting_Curves/meltCurve_H9KVB8_MICU1.pdf")</f>
        <v>Melting_Curves/meltCurve_H9KVB8_MICU1.pdf</v>
      </c>
    </row>
    <row r="977" spans="1:28" x14ac:dyDescent="0.25">
      <c r="A977" t="s">
        <v>981</v>
      </c>
      <c r="B977">
        <v>0.99334974765950101</v>
      </c>
      <c r="C977">
        <v>0.99961976934247698</v>
      </c>
      <c r="D977">
        <v>0.949154645288521</v>
      </c>
      <c r="E977">
        <v>0.91514928881242696</v>
      </c>
      <c r="F977">
        <v>0.65930287662609499</v>
      </c>
      <c r="G977">
        <v>0.52018912178806098</v>
      </c>
      <c r="H977">
        <v>0.39673960096515998</v>
      </c>
      <c r="I977">
        <v>0.26527524001576502</v>
      </c>
      <c r="J977">
        <v>0.31430299193917299</v>
      </c>
      <c r="K977">
        <v>0.179403628716444</v>
      </c>
      <c r="L977">
        <v>770.13863986570402</v>
      </c>
      <c r="M977">
        <v>13.8823271022549</v>
      </c>
      <c r="N977">
        <v>57.381000489460199</v>
      </c>
      <c r="O977">
        <v>54.3630591667362</v>
      </c>
      <c r="P977">
        <v>-5.2061442073957298E-2</v>
      </c>
      <c r="Q977">
        <v>0.18462310260266701</v>
      </c>
      <c r="R977">
        <v>0.98353653886459103</v>
      </c>
      <c r="S977" t="s">
        <v>6838</v>
      </c>
      <c r="T977" t="s">
        <v>11720</v>
      </c>
      <c r="U977" t="s">
        <v>11720</v>
      </c>
      <c r="V977" t="s">
        <v>11720</v>
      </c>
      <c r="W977" t="s">
        <v>12672</v>
      </c>
      <c r="X977">
        <v>1</v>
      </c>
      <c r="Y977" t="s">
        <v>18465</v>
      </c>
      <c r="Z977" t="s">
        <v>24184</v>
      </c>
      <c r="AA977">
        <v>0.62150383505719664</v>
      </c>
      <c r="AB977" t="str">
        <f>HYPERLINK("Melting_Curves/meltCurve_H9KVD4_MECOM.pdf", "Melting_Curves/meltCurve_H9KVD4_MECOM.pdf")</f>
        <v>Melting_Curves/meltCurve_H9KVD4_MECOM.pdf</v>
      </c>
    </row>
    <row r="978" spans="1:28" x14ac:dyDescent="0.25">
      <c r="A978" t="s">
        <v>982</v>
      </c>
      <c r="B978">
        <v>0.99334974765950101</v>
      </c>
      <c r="C978">
        <v>0.956664146336618</v>
      </c>
      <c r="D978">
        <v>0.87432527765613299</v>
      </c>
      <c r="E978">
        <v>0.62980238321813498</v>
      </c>
      <c r="F978">
        <v>0.38977136742164398</v>
      </c>
      <c r="G978">
        <v>0.305724131455548</v>
      </c>
      <c r="H978">
        <v>0.25348985632953602</v>
      </c>
      <c r="I978">
        <v>0.23149972241945099</v>
      </c>
      <c r="J978">
        <v>0.26764725522990701</v>
      </c>
      <c r="K978">
        <v>0.25771689235238399</v>
      </c>
      <c r="L978">
        <v>1029.5468452237401</v>
      </c>
      <c r="M978">
        <v>20.673163295574799</v>
      </c>
      <c r="N978">
        <v>51.478807893066403</v>
      </c>
      <c r="O978">
        <v>49.342142645577503</v>
      </c>
      <c r="P978">
        <v>-7.9073541540164605E-2</v>
      </c>
      <c r="Q978">
        <v>0.245098942447287</v>
      </c>
      <c r="R978">
        <v>0.99718024239709102</v>
      </c>
      <c r="S978" t="s">
        <v>6839</v>
      </c>
      <c r="T978" t="s">
        <v>11720</v>
      </c>
      <c r="U978" t="s">
        <v>11720</v>
      </c>
      <c r="V978" t="s">
        <v>11720</v>
      </c>
      <c r="W978" t="s">
        <v>12311</v>
      </c>
      <c r="X978">
        <v>14</v>
      </c>
      <c r="Z978" t="s">
        <v>24185</v>
      </c>
      <c r="AA978">
        <v>0.50158135077248445</v>
      </c>
      <c r="AB978" t="str">
        <f>HYPERLINK("Melting_Curves/meltCurve_I3L097_.pdf", "Melting_Curves/meltCurve_I3L097_.pdf")</f>
        <v>Melting_Curves/meltCurve_I3L097_.pdf</v>
      </c>
    </row>
    <row r="979" spans="1:28" x14ac:dyDescent="0.25">
      <c r="A979" t="s">
        <v>983</v>
      </c>
      <c r="B979">
        <v>0.99334974765950101</v>
      </c>
      <c r="C979">
        <v>1.08705764357825</v>
      </c>
      <c r="D979">
        <v>0.82386941366148903</v>
      </c>
      <c r="E979">
        <v>2.19379591737819</v>
      </c>
      <c r="F979">
        <v>3.05408292320352</v>
      </c>
      <c r="G979">
        <v>1.4992187040687499</v>
      </c>
      <c r="H979">
        <v>1.40168306949998</v>
      </c>
      <c r="I979">
        <v>0.90672260944935801</v>
      </c>
      <c r="J979">
        <v>1.87210307934942</v>
      </c>
      <c r="K979">
        <v>1.3432131039852799</v>
      </c>
      <c r="L979">
        <v>11948.372342242999</v>
      </c>
      <c r="M979">
        <v>250</v>
      </c>
      <c r="O979">
        <v>47.790431328439901</v>
      </c>
      <c r="P979">
        <v>0.65389659491128305</v>
      </c>
      <c r="Q979">
        <v>1.5</v>
      </c>
      <c r="R979">
        <v>0.19584718741471199</v>
      </c>
      <c r="S979" t="s">
        <v>6840</v>
      </c>
      <c r="T979" t="s">
        <v>11720</v>
      </c>
      <c r="U979" t="s">
        <v>11720</v>
      </c>
      <c r="V979" t="s">
        <v>11720</v>
      </c>
      <c r="W979" t="s">
        <v>12673</v>
      </c>
      <c r="X979">
        <v>10</v>
      </c>
      <c r="Y979" t="s">
        <v>18466</v>
      </c>
      <c r="Z979" t="s">
        <v>24186</v>
      </c>
      <c r="AA979">
        <v>1.370066572102121</v>
      </c>
      <c r="AB979" t="str">
        <f>HYPERLINK("Melting_Curves/meltCurve_I3L0A4_WASH6P.pdf", "Melting_Curves/meltCurve_I3L0A4_WASH6P.pdf")</f>
        <v>Melting_Curves/meltCurve_I3L0A4_WASH6P.pdf</v>
      </c>
    </row>
    <row r="980" spans="1:28" x14ac:dyDescent="0.25">
      <c r="A980" t="s">
        <v>984</v>
      </c>
      <c r="B980">
        <v>0.99334974765950101</v>
      </c>
      <c r="C980">
        <v>0.989325468157913</v>
      </c>
      <c r="D980">
        <v>0.77561536385219898</v>
      </c>
      <c r="E980">
        <v>0.71546093502424701</v>
      </c>
      <c r="F980">
        <v>0.49901545606119502</v>
      </c>
      <c r="G980">
        <v>0.32715686718103998</v>
      </c>
      <c r="H980">
        <v>0.20004147101422801</v>
      </c>
      <c r="I980">
        <v>0.177163388955626</v>
      </c>
      <c r="J980">
        <v>0.13668198790008701</v>
      </c>
      <c r="K980">
        <v>0.118919787589435</v>
      </c>
      <c r="L980">
        <v>629.69443442479701</v>
      </c>
      <c r="M980">
        <v>12.006042846724901</v>
      </c>
      <c r="N980">
        <v>53.137385136485797</v>
      </c>
      <c r="O980">
        <v>51.0566055333923</v>
      </c>
      <c r="P980">
        <v>-5.45620222451891E-2</v>
      </c>
      <c r="Q980">
        <v>7.2106509925197307E-2</v>
      </c>
      <c r="R980">
        <v>0.98954331652452998</v>
      </c>
      <c r="S980" t="s">
        <v>6841</v>
      </c>
      <c r="T980" t="s">
        <v>11720</v>
      </c>
      <c r="U980" t="s">
        <v>11720</v>
      </c>
      <c r="V980" t="s">
        <v>11720</v>
      </c>
      <c r="W980" t="s">
        <v>12674</v>
      </c>
      <c r="X980">
        <v>8</v>
      </c>
      <c r="Y980" t="s">
        <v>18467</v>
      </c>
      <c r="Z980" t="s">
        <v>24187</v>
      </c>
      <c r="AA980">
        <v>0.4846371690368188</v>
      </c>
      <c r="AB980" t="str">
        <f>HYPERLINK("Melting_Curves/meltCurve_I3L0K1_GOSR2.pdf", "Melting_Curves/meltCurve_I3L0K1_GOSR2.pdf")</f>
        <v>Melting_Curves/meltCurve_I3L0K1_GOSR2.pdf</v>
      </c>
    </row>
    <row r="981" spans="1:28" x14ac:dyDescent="0.25">
      <c r="A981" t="s">
        <v>985</v>
      </c>
      <c r="B981">
        <v>0.99334974765950101</v>
      </c>
      <c r="C981">
        <v>1.11538929974183</v>
      </c>
      <c r="D981">
        <v>1.0497531508278199</v>
      </c>
      <c r="E981">
        <v>1.0776323883835299</v>
      </c>
      <c r="F981">
        <v>0.55924197513816198</v>
      </c>
      <c r="G981">
        <v>0.380073487109437</v>
      </c>
      <c r="H981">
        <v>0.34107036817839798</v>
      </c>
      <c r="I981">
        <v>0.26494049955822202</v>
      </c>
      <c r="J981">
        <v>0.205685698554567</v>
      </c>
      <c r="K981">
        <v>0.17915273378680999</v>
      </c>
      <c r="L981">
        <v>13226.9023699713</v>
      </c>
      <c r="M981">
        <v>250</v>
      </c>
      <c r="N981">
        <v>53.076378221577301</v>
      </c>
      <c r="O981">
        <v>52.904232160165897</v>
      </c>
      <c r="P981">
        <v>-0.85746397916360795</v>
      </c>
      <c r="Q981">
        <v>0.27418454126957098</v>
      </c>
      <c r="R981">
        <v>0.96357556619720097</v>
      </c>
      <c r="S981" t="s">
        <v>6842</v>
      </c>
      <c r="T981" t="s">
        <v>11720</v>
      </c>
      <c r="U981" t="s">
        <v>11720</v>
      </c>
      <c r="V981" t="s">
        <v>11720</v>
      </c>
      <c r="W981" t="s">
        <v>12379</v>
      </c>
      <c r="X981">
        <v>30</v>
      </c>
      <c r="Y981" t="s">
        <v>18176</v>
      </c>
      <c r="Z981" t="s">
        <v>24188</v>
      </c>
      <c r="AA981">
        <v>0.58653668456773811</v>
      </c>
      <c r="AB981" t="str">
        <f>HYPERLINK("Melting_Curves/meltCurve_I3L0K7_TRAP1.pdf", "Melting_Curves/meltCurve_I3L0K7_TRAP1.pdf")</f>
        <v>Melting_Curves/meltCurve_I3L0K7_TRAP1.pdf</v>
      </c>
    </row>
    <row r="982" spans="1:28" x14ac:dyDescent="0.25">
      <c r="A982" t="s">
        <v>986</v>
      </c>
      <c r="B982">
        <v>0.99334974765950101</v>
      </c>
      <c r="C982">
        <v>0.93817433865178201</v>
      </c>
      <c r="D982">
        <v>0.940692399835792</v>
      </c>
      <c r="E982">
        <v>0.80776501291404801</v>
      </c>
      <c r="F982">
        <v>0.72430957561249398</v>
      </c>
      <c r="G982">
        <v>0.57110632907352099</v>
      </c>
      <c r="H982">
        <v>0.44730572050647699</v>
      </c>
      <c r="I982">
        <v>0.45177257440974899</v>
      </c>
      <c r="J982">
        <v>0.42277113912927</v>
      </c>
      <c r="K982">
        <v>0.33206422821842801</v>
      </c>
      <c r="L982">
        <v>589.84023338278996</v>
      </c>
      <c r="M982">
        <v>10.777960310428</v>
      </c>
      <c r="N982">
        <v>59.9343837929556</v>
      </c>
      <c r="O982">
        <v>52.943536010660203</v>
      </c>
      <c r="P982">
        <v>-3.5434541890448097E-2</v>
      </c>
      <c r="Q982">
        <v>0.30400723659551099</v>
      </c>
      <c r="R982">
        <v>0.990446667312191</v>
      </c>
      <c r="S982" t="s">
        <v>6843</v>
      </c>
      <c r="T982" t="s">
        <v>11720</v>
      </c>
      <c r="U982" t="s">
        <v>11720</v>
      </c>
      <c r="V982" t="s">
        <v>11720</v>
      </c>
      <c r="W982" t="s">
        <v>12675</v>
      </c>
      <c r="X982">
        <v>2</v>
      </c>
      <c r="Y982" t="s">
        <v>18468</v>
      </c>
      <c r="Z982" t="s">
        <v>24189</v>
      </c>
      <c r="AA982">
        <v>0.66377947633989043</v>
      </c>
      <c r="AB982" t="str">
        <f>HYPERLINK("Melting_Curves/meltCurve_I3L0L6_RNF167.pdf", "Melting_Curves/meltCurve_I3L0L6_RNF167.pdf")</f>
        <v>Melting_Curves/meltCurve_I3L0L6_RNF167.pdf</v>
      </c>
    </row>
    <row r="983" spans="1:28" x14ac:dyDescent="0.25">
      <c r="A983" t="s">
        <v>987</v>
      </c>
      <c r="B983">
        <v>0.99334974765950101</v>
      </c>
      <c r="C983">
        <v>0.98987362400578705</v>
      </c>
      <c r="D983">
        <v>0.92109846787110305</v>
      </c>
      <c r="E983">
        <v>0.43023920936476501</v>
      </c>
      <c r="F983">
        <v>0.17569161727334601</v>
      </c>
      <c r="G983">
        <v>0.105390225170653</v>
      </c>
      <c r="H983">
        <v>7.7743629410969503E-2</v>
      </c>
      <c r="I983">
        <v>6.6674906657282595E-2</v>
      </c>
      <c r="J983">
        <v>7.0172059775906098E-2</v>
      </c>
      <c r="K983">
        <v>5.2123734098575097E-2</v>
      </c>
      <c r="L983">
        <v>1530.51030793625</v>
      </c>
      <c r="M983">
        <v>31.035739697098599</v>
      </c>
      <c r="N983">
        <v>49.560953154752703</v>
      </c>
      <c r="O983">
        <v>49.111061690559097</v>
      </c>
      <c r="P983">
        <v>-0.14668947047074099</v>
      </c>
      <c r="Q983">
        <v>7.1517587682584399E-2</v>
      </c>
      <c r="R983">
        <v>0.99928510888250599</v>
      </c>
      <c r="S983" t="s">
        <v>6844</v>
      </c>
      <c r="T983" t="s">
        <v>11720</v>
      </c>
      <c r="U983" t="s">
        <v>11720</v>
      </c>
      <c r="V983" t="s">
        <v>11720</v>
      </c>
      <c r="W983" t="s">
        <v>12676</v>
      </c>
      <c r="X983">
        <v>29</v>
      </c>
      <c r="Y983" t="s">
        <v>18469</v>
      </c>
      <c r="Z983" t="s">
        <v>24190</v>
      </c>
      <c r="AA983">
        <v>0.36509546498664258</v>
      </c>
      <c r="AB983" t="str">
        <f>HYPERLINK("Melting_Curves/meltCurve_I3L0N3_NSF.pdf", "Melting_Curves/meltCurve_I3L0N3_NSF.pdf")</f>
        <v>Melting_Curves/meltCurve_I3L0N3_NSF.pdf</v>
      </c>
    </row>
    <row r="984" spans="1:28" x14ac:dyDescent="0.25">
      <c r="A984" t="s">
        <v>988</v>
      </c>
      <c r="B984">
        <v>0.99334974765950101</v>
      </c>
      <c r="C984">
        <v>0.936437320770933</v>
      </c>
      <c r="D984">
        <v>0.52870219984239997</v>
      </c>
      <c r="E984">
        <v>0.53897745849475598</v>
      </c>
      <c r="F984">
        <v>0.420798085346822</v>
      </c>
      <c r="G984">
        <v>8.6579052140814294E-2</v>
      </c>
      <c r="H984">
        <v>5.8394829329195701E-2</v>
      </c>
      <c r="I984">
        <v>0.15270030891914399</v>
      </c>
      <c r="J984">
        <v>0.56800329690999296</v>
      </c>
      <c r="K984">
        <v>0.24264838786408499</v>
      </c>
      <c r="L984">
        <v>801.52751329393902</v>
      </c>
      <c r="M984">
        <v>17.170794383507701</v>
      </c>
      <c r="N984">
        <v>48.499409503699702</v>
      </c>
      <c r="O984">
        <v>46.060361366876002</v>
      </c>
      <c r="P984">
        <v>-7.1069789068081701E-2</v>
      </c>
      <c r="Q984">
        <v>0.23747138379107399</v>
      </c>
      <c r="R984">
        <v>0.76028989931999902</v>
      </c>
      <c r="S984" t="s">
        <v>6845</v>
      </c>
      <c r="T984" t="s">
        <v>11720</v>
      </c>
      <c r="U984" t="s">
        <v>11720</v>
      </c>
      <c r="V984" t="s">
        <v>11720</v>
      </c>
      <c r="W984" t="s">
        <v>12677</v>
      </c>
      <c r="X984">
        <v>1</v>
      </c>
      <c r="Y984" t="s">
        <v>18470</v>
      </c>
      <c r="Z984" t="s">
        <v>24191</v>
      </c>
      <c r="AA984">
        <v>0.42311840823183478</v>
      </c>
      <c r="AB984" t="str">
        <f>HYPERLINK("Melting_Curves/meltCurve_I3L172_FAM195A.pdf", "Melting_Curves/meltCurve_I3L172_FAM195A.pdf")</f>
        <v>Melting_Curves/meltCurve_I3L172_FAM195A.pdf</v>
      </c>
    </row>
    <row r="985" spans="1:28" x14ac:dyDescent="0.25">
      <c r="A985" t="s">
        <v>989</v>
      </c>
      <c r="B985">
        <v>0.99334974765950101</v>
      </c>
      <c r="C985">
        <v>0.86432227796331096</v>
      </c>
      <c r="D985">
        <v>0.90609194561908901</v>
      </c>
      <c r="E985">
        <v>0.68273472728888496</v>
      </c>
      <c r="F985">
        <v>0.57083708110699505</v>
      </c>
      <c r="G985">
        <v>0.239415783925542</v>
      </c>
      <c r="H985">
        <v>0.14999211602002599</v>
      </c>
      <c r="I985">
        <v>0.11981088916723399</v>
      </c>
      <c r="J985">
        <v>9.7738278879281895E-2</v>
      </c>
      <c r="K985">
        <v>9.5825145106317094E-2</v>
      </c>
      <c r="L985">
        <v>735.17294480662099</v>
      </c>
      <c r="M985">
        <v>13.9408653998783</v>
      </c>
      <c r="N985">
        <v>53.0842955547812</v>
      </c>
      <c r="O985">
        <v>51.685544512876703</v>
      </c>
      <c r="P985">
        <v>-6.4485496636292397E-2</v>
      </c>
      <c r="Q985">
        <v>4.3812687321405301E-2</v>
      </c>
      <c r="R985">
        <v>0.98525573767213004</v>
      </c>
      <c r="S985" t="s">
        <v>6846</v>
      </c>
      <c r="T985" t="s">
        <v>11720</v>
      </c>
      <c r="U985" t="s">
        <v>11720</v>
      </c>
      <c r="V985" t="s">
        <v>11720</v>
      </c>
      <c r="W985" t="s">
        <v>12678</v>
      </c>
      <c r="X985">
        <v>2</v>
      </c>
      <c r="Y985" t="s">
        <v>18471</v>
      </c>
      <c r="Z985" t="s">
        <v>24192</v>
      </c>
      <c r="AA985">
        <v>0.47274024064954678</v>
      </c>
      <c r="AB985" t="str">
        <f>HYPERLINK("Melting_Curves/meltCurve_I3L1D5_ALOX15B.pdf", "Melting_Curves/meltCurve_I3L1D5_ALOX15B.pdf")</f>
        <v>Melting_Curves/meltCurve_I3L1D5_ALOX15B.pdf</v>
      </c>
    </row>
    <row r="986" spans="1:28" x14ac:dyDescent="0.25">
      <c r="A986" t="s">
        <v>990</v>
      </c>
      <c r="B986">
        <v>0.99334974765950101</v>
      </c>
      <c r="C986">
        <v>1.01076660679173</v>
      </c>
      <c r="D986">
        <v>0.91446672857609701</v>
      </c>
      <c r="E986">
        <v>0.95646942343435404</v>
      </c>
      <c r="F986">
        <v>1.1349326326111899</v>
      </c>
      <c r="G986">
        <v>1.17136393573571</v>
      </c>
      <c r="H986">
        <v>1.1873367980737599</v>
      </c>
      <c r="I986">
        <v>1.3400451815127301</v>
      </c>
      <c r="J986">
        <v>1.46042850973306</v>
      </c>
      <c r="K986">
        <v>1.3220966332499</v>
      </c>
      <c r="L986">
        <v>916.57002604299896</v>
      </c>
      <c r="M986">
        <v>15.5271049046142</v>
      </c>
      <c r="O986">
        <v>58.077183413384702</v>
      </c>
      <c r="P986">
        <v>2.81872825738709E-2</v>
      </c>
      <c r="Q986">
        <v>1.4216867453278399</v>
      </c>
      <c r="R986">
        <v>0.87351209984920197</v>
      </c>
      <c r="S986" t="s">
        <v>6847</v>
      </c>
      <c r="T986" t="s">
        <v>11720</v>
      </c>
      <c r="U986" t="s">
        <v>11720</v>
      </c>
      <c r="V986" t="s">
        <v>11720</v>
      </c>
      <c r="W986" t="s">
        <v>12679</v>
      </c>
      <c r="X986">
        <v>2</v>
      </c>
      <c r="Y986" t="s">
        <v>18472</v>
      </c>
      <c r="Z986" t="s">
        <v>24193</v>
      </c>
      <c r="AA986">
        <v>1.1497516929950871</v>
      </c>
      <c r="AB986" t="str">
        <f>HYPERLINK("Melting_Curves/meltCurve_I3L1K6_MYL4.pdf", "Melting_Curves/meltCurve_I3L1K6_MYL4.pdf")</f>
        <v>Melting_Curves/meltCurve_I3L1K6_MYL4.pdf</v>
      </c>
    </row>
    <row r="987" spans="1:28" x14ac:dyDescent="0.25">
      <c r="A987" t="s">
        <v>991</v>
      </c>
      <c r="B987">
        <v>0.99334974765950101</v>
      </c>
      <c r="C987">
        <v>1.1051942998645601</v>
      </c>
      <c r="D987">
        <v>1.11640849709844</v>
      </c>
      <c r="E987">
        <v>1.3905168117478499</v>
      </c>
      <c r="F987">
        <v>1.50747664257438</v>
      </c>
      <c r="G987">
        <v>1.36094263242248</v>
      </c>
      <c r="H987">
        <v>1.33170313146782</v>
      </c>
      <c r="I987">
        <v>1.7206065048593799</v>
      </c>
      <c r="J987">
        <v>1.8329035709516199</v>
      </c>
      <c r="K987">
        <v>1.4020634240033401</v>
      </c>
      <c r="L987">
        <v>1058.1611750362299</v>
      </c>
      <c r="M987">
        <v>22.244308997294599</v>
      </c>
      <c r="O987">
        <v>47.190523216435999</v>
      </c>
      <c r="P987">
        <v>5.8922806288079499E-2</v>
      </c>
      <c r="Q987">
        <v>1.5</v>
      </c>
      <c r="R987">
        <v>0.64912401439489098</v>
      </c>
      <c r="S987" t="s">
        <v>6848</v>
      </c>
      <c r="T987" t="s">
        <v>11720</v>
      </c>
      <c r="U987" t="s">
        <v>11720</v>
      </c>
      <c r="V987" t="s">
        <v>11720</v>
      </c>
      <c r="W987" t="s">
        <v>12680</v>
      </c>
      <c r="X987">
        <v>11</v>
      </c>
      <c r="Y987" t="s">
        <v>18473</v>
      </c>
      <c r="Z987" t="s">
        <v>24194</v>
      </c>
      <c r="AA987">
        <v>1.3681309229759451</v>
      </c>
      <c r="AB987" t="str">
        <f>HYPERLINK("Melting_Curves/meltCurve_I3L1P8_SLC25A11.pdf", "Melting_Curves/meltCurve_I3L1P8_SLC25A11.pdf")</f>
        <v>Melting_Curves/meltCurve_I3L1P8_SLC25A11.pdf</v>
      </c>
    </row>
    <row r="988" spans="1:28" x14ac:dyDescent="0.25">
      <c r="A988" t="s">
        <v>992</v>
      </c>
      <c r="B988">
        <v>0.99334974765950101</v>
      </c>
      <c r="C988">
        <v>1.0115783486821499</v>
      </c>
      <c r="D988">
        <v>0.85307161242870599</v>
      </c>
      <c r="E988">
        <v>0.89189801939705005</v>
      </c>
      <c r="F988">
        <v>0.85967327096976198</v>
      </c>
      <c r="G988">
        <v>0.84102144559255698</v>
      </c>
      <c r="H988">
        <v>0.809851427298098</v>
      </c>
      <c r="I988">
        <v>1.3309035892071901</v>
      </c>
      <c r="J988">
        <v>0.630521882389525</v>
      </c>
      <c r="K988">
        <v>0.51615175522897205</v>
      </c>
      <c r="L988">
        <v>15000</v>
      </c>
      <c r="M988">
        <v>225.050460505416</v>
      </c>
      <c r="O988">
        <v>66.646477186198496</v>
      </c>
      <c r="P988">
        <v>-0.40855126411800002</v>
      </c>
      <c r="Q988">
        <v>0.51604642685482804</v>
      </c>
      <c r="R988">
        <v>0.48534250775697302</v>
      </c>
      <c r="S988" t="s">
        <v>6849</v>
      </c>
      <c r="T988" t="s">
        <v>11720</v>
      </c>
      <c r="U988" t="s">
        <v>11720</v>
      </c>
      <c r="V988" t="s">
        <v>11720</v>
      </c>
      <c r="W988" t="s">
        <v>12681</v>
      </c>
      <c r="X988">
        <v>1</v>
      </c>
      <c r="Y988" t="s">
        <v>18474</v>
      </c>
      <c r="Z988" t="s">
        <v>24195</v>
      </c>
      <c r="AA988">
        <v>0.9460559922856151</v>
      </c>
      <c r="AB988" t="str">
        <f>HYPERLINK("Melting_Curves/meltCurve_I3L1Q3_ELP5.pdf", "Melting_Curves/meltCurve_I3L1Q3_ELP5.pdf")</f>
        <v>Melting_Curves/meltCurve_I3L1Q3_ELP5.pdf</v>
      </c>
    </row>
    <row r="989" spans="1:28" x14ac:dyDescent="0.25">
      <c r="A989" t="s">
        <v>993</v>
      </c>
      <c r="B989">
        <v>0.99334974765950101</v>
      </c>
      <c r="C989">
        <v>1.2333836872917501</v>
      </c>
      <c r="D989">
        <v>1.03337861903735</v>
      </c>
      <c r="E989">
        <v>0.96711178444232904</v>
      </c>
      <c r="F989">
        <v>0.59204089070310295</v>
      </c>
      <c r="G989">
        <v>0.46843585531167198</v>
      </c>
      <c r="H989">
        <v>0.339130149064371</v>
      </c>
      <c r="I989">
        <v>0.28682950674218699</v>
      </c>
      <c r="J989">
        <v>0.228366879066007</v>
      </c>
      <c r="K989">
        <v>0.18522787853426501</v>
      </c>
      <c r="L989">
        <v>1169.77797946178</v>
      </c>
      <c r="M989">
        <v>21.6679582607672</v>
      </c>
      <c r="N989">
        <v>55.630967931807099</v>
      </c>
      <c r="O989">
        <v>53.533011707097302</v>
      </c>
      <c r="P989">
        <v>-7.7261686664774898E-2</v>
      </c>
      <c r="Q989">
        <v>0.236485010491473</v>
      </c>
      <c r="R989">
        <v>0.93824669039126996</v>
      </c>
      <c r="S989" t="s">
        <v>6850</v>
      </c>
      <c r="T989" t="s">
        <v>11720</v>
      </c>
      <c r="U989" t="s">
        <v>11720</v>
      </c>
      <c r="V989" t="s">
        <v>11720</v>
      </c>
      <c r="W989" t="s">
        <v>12682</v>
      </c>
      <c r="X989">
        <v>4</v>
      </c>
      <c r="Y989" t="s">
        <v>18475</v>
      </c>
      <c r="Z989" t="s">
        <v>24196</v>
      </c>
      <c r="AA989">
        <v>0.60154000100409877</v>
      </c>
      <c r="AB989" t="str">
        <f>HYPERLINK("Melting_Curves/meltCurve_I3L2B0_CLUH.pdf", "Melting_Curves/meltCurve_I3L2B0_CLUH.pdf")</f>
        <v>Melting_Curves/meltCurve_I3L2B0_CLUH.pdf</v>
      </c>
    </row>
    <row r="990" spans="1:28" x14ac:dyDescent="0.25">
      <c r="A990" t="s">
        <v>994</v>
      </c>
      <c r="B990">
        <v>0.99334974765950101</v>
      </c>
      <c r="C990">
        <v>0.64570928400522698</v>
      </c>
      <c r="D990">
        <v>0.28099147891936899</v>
      </c>
      <c r="E990">
        <v>0.16642462904511299</v>
      </c>
      <c r="F990">
        <v>0.127524065153091</v>
      </c>
      <c r="G990">
        <v>0.108037494754783</v>
      </c>
      <c r="H990">
        <v>8.4471764198540897E-2</v>
      </c>
      <c r="I990">
        <v>8.2604722812920903E-2</v>
      </c>
      <c r="J990">
        <v>6.56068568844137E-2</v>
      </c>
      <c r="K990">
        <v>7.2845972169097703E-2</v>
      </c>
      <c r="L990">
        <v>1226.4564496923699</v>
      </c>
      <c r="M990">
        <v>28.039062066958898</v>
      </c>
      <c r="N990">
        <v>44.0744028302407</v>
      </c>
      <c r="O990">
        <v>43.520316448684099</v>
      </c>
      <c r="P990">
        <v>-0.14567817703622099</v>
      </c>
      <c r="Q990">
        <v>9.5560864399497403E-2</v>
      </c>
      <c r="R990">
        <v>0.990813084592714</v>
      </c>
      <c r="S990" t="s">
        <v>6851</v>
      </c>
      <c r="T990" t="s">
        <v>11720</v>
      </c>
      <c r="U990" t="s">
        <v>11720</v>
      </c>
      <c r="V990" t="s">
        <v>11720</v>
      </c>
      <c r="W990" t="s">
        <v>12683</v>
      </c>
      <c r="X990">
        <v>5</v>
      </c>
      <c r="Y990" t="s">
        <v>18476</v>
      </c>
      <c r="Z990" t="s">
        <v>24197</v>
      </c>
      <c r="AA990">
        <v>0.2165505221848327</v>
      </c>
      <c r="AB990" t="str">
        <f>HYPERLINK("Melting_Curves/meltCurve_I3L2N2_DVL2.pdf", "Melting_Curves/meltCurve_I3L2N2_DVL2.pdf")</f>
        <v>Melting_Curves/meltCurve_I3L2N2_DVL2.pdf</v>
      </c>
    </row>
    <row r="991" spans="1:28" x14ac:dyDescent="0.25">
      <c r="A991" t="s">
        <v>995</v>
      </c>
      <c r="B991">
        <v>0.99334974765950101</v>
      </c>
      <c r="C991">
        <v>1.2170035266810399</v>
      </c>
      <c r="D991">
        <v>0.95202908444620205</v>
      </c>
      <c r="E991">
        <v>0.70380309976146604</v>
      </c>
      <c r="F991">
        <v>0.45533275342437601</v>
      </c>
      <c r="G991">
        <v>0.35000488380311801</v>
      </c>
      <c r="H991">
        <v>0.29832031892426802</v>
      </c>
      <c r="I991">
        <v>0.31135034533776901</v>
      </c>
      <c r="J991">
        <v>0.15143778238891401</v>
      </c>
      <c r="K991">
        <v>6.3369235169746699E-2</v>
      </c>
      <c r="L991">
        <v>1002.2368635579001</v>
      </c>
      <c r="M991">
        <v>19.3796663970266</v>
      </c>
      <c r="N991">
        <v>53.0138500778977</v>
      </c>
      <c r="O991">
        <v>51.174683036208897</v>
      </c>
      <c r="P991">
        <v>-7.67934685040291E-2</v>
      </c>
      <c r="Q991">
        <v>0.18889490399551301</v>
      </c>
      <c r="R991">
        <v>0.93285432506773003</v>
      </c>
      <c r="S991" t="s">
        <v>6852</v>
      </c>
      <c r="T991" t="s">
        <v>11720</v>
      </c>
      <c r="U991" t="s">
        <v>11720</v>
      </c>
      <c r="V991" t="s">
        <v>11720</v>
      </c>
      <c r="W991" t="s">
        <v>12684</v>
      </c>
      <c r="X991">
        <v>1</v>
      </c>
      <c r="Y991" t="s">
        <v>18477</v>
      </c>
      <c r="Z991" t="s">
        <v>24198</v>
      </c>
      <c r="AA991">
        <v>0.51754961317400805</v>
      </c>
      <c r="AB991" t="str">
        <f>HYPERLINK("Melting_Curves/meltCurve_I3L354_RUNX2.pdf", "Melting_Curves/meltCurve_I3L354_RUNX2.pdf")</f>
        <v>Melting_Curves/meltCurve_I3L354_RUNX2.pdf</v>
      </c>
    </row>
    <row r="992" spans="1:28" x14ac:dyDescent="0.25">
      <c r="A992" t="s">
        <v>996</v>
      </c>
      <c r="B992">
        <v>0.99334974765950101</v>
      </c>
      <c r="C992">
        <v>0.85478349025062095</v>
      </c>
      <c r="D992">
        <v>0.93806718887896201</v>
      </c>
      <c r="E992">
        <v>0.780608030634799</v>
      </c>
      <c r="F992">
        <v>0.460828838870113</v>
      </c>
      <c r="G992">
        <v>0.16609661716311</v>
      </c>
      <c r="H992">
        <v>0.119745618501334</v>
      </c>
      <c r="I992">
        <v>0.12814913246734499</v>
      </c>
      <c r="J992">
        <v>0.10450532147276299</v>
      </c>
      <c r="K992">
        <v>9.3376945147542398E-2</v>
      </c>
      <c r="L992">
        <v>1295.6095760614101</v>
      </c>
      <c r="M992">
        <v>24.863096928605898</v>
      </c>
      <c r="N992">
        <v>52.567419190412302</v>
      </c>
      <c r="O992">
        <v>51.776154891282701</v>
      </c>
      <c r="P992">
        <v>-0.10836829431660901</v>
      </c>
      <c r="Q992">
        <v>9.7326313011626905E-2</v>
      </c>
      <c r="R992">
        <v>0.98343197410664995</v>
      </c>
      <c r="S992" t="s">
        <v>6853</v>
      </c>
      <c r="T992" t="s">
        <v>11720</v>
      </c>
      <c r="U992" t="s">
        <v>11720</v>
      </c>
      <c r="V992" t="s">
        <v>11720</v>
      </c>
      <c r="W992" t="s">
        <v>12685</v>
      </c>
      <c r="X992">
        <v>4</v>
      </c>
      <c r="Y992" t="s">
        <v>18478</v>
      </c>
      <c r="Z992" t="s">
        <v>24199</v>
      </c>
      <c r="AA992">
        <v>0.47003445500666879</v>
      </c>
      <c r="AB992" t="str">
        <f>HYPERLINK("Melting_Curves/meltCurve_I3L367_TOM1L1.pdf", "Melting_Curves/meltCurve_I3L367_TOM1L1.pdf")</f>
        <v>Melting_Curves/meltCurve_I3L367_TOM1L1.pdf</v>
      </c>
    </row>
    <row r="993" spans="1:28" x14ac:dyDescent="0.25">
      <c r="A993" t="s">
        <v>997</v>
      </c>
      <c r="B993">
        <v>0.99334974765950101</v>
      </c>
      <c r="C993">
        <v>1.1408712075104499</v>
      </c>
      <c r="D993">
        <v>0.95349249971880801</v>
      </c>
      <c r="E993">
        <v>0.60348824540692003</v>
      </c>
      <c r="F993">
        <v>0.385378806039264</v>
      </c>
      <c r="G993">
        <v>0.25790205964921398</v>
      </c>
      <c r="H993">
        <v>0.197120291551699</v>
      </c>
      <c r="I993">
        <v>0.20242506637187399</v>
      </c>
      <c r="J993">
        <v>0.18500047527740099</v>
      </c>
      <c r="K993">
        <v>0.17014702047226199</v>
      </c>
      <c r="L993">
        <v>1328.0946224418999</v>
      </c>
      <c r="M993">
        <v>26.382056554960901</v>
      </c>
      <c r="N993">
        <v>51.295687134261499</v>
      </c>
      <c r="O993">
        <v>50.054266289546597</v>
      </c>
      <c r="P993">
        <v>-0.10620267877791301</v>
      </c>
      <c r="Q993">
        <v>0.194022062267553</v>
      </c>
      <c r="R993">
        <v>0.98088517182232704</v>
      </c>
      <c r="S993" t="s">
        <v>6854</v>
      </c>
      <c r="T993" t="s">
        <v>11720</v>
      </c>
      <c r="U993" t="s">
        <v>11720</v>
      </c>
      <c r="V993" t="s">
        <v>11720</v>
      </c>
      <c r="W993" t="s">
        <v>12686</v>
      </c>
      <c r="X993">
        <v>16</v>
      </c>
      <c r="Y993" t="s">
        <v>18479</v>
      </c>
      <c r="Z993" t="s">
        <v>24200</v>
      </c>
      <c r="AA993">
        <v>0.47832963214431001</v>
      </c>
      <c r="AB993" t="str">
        <f>HYPERLINK("Melting_Curves/meltCurve_I3L397_EIF5A.pdf", "Melting_Curves/meltCurve_I3L397_EIF5A.pdf")</f>
        <v>Melting_Curves/meltCurve_I3L397_EIF5A.pdf</v>
      </c>
    </row>
    <row r="994" spans="1:28" x14ac:dyDescent="0.25">
      <c r="A994" t="s">
        <v>998</v>
      </c>
      <c r="B994">
        <v>0.99334974765950101</v>
      </c>
      <c r="C994">
        <v>0.91624100817769205</v>
      </c>
      <c r="D994">
        <v>0.81991701015141705</v>
      </c>
      <c r="E994">
        <v>0.50586379432598705</v>
      </c>
      <c r="F994">
        <v>0.26809904842751398</v>
      </c>
      <c r="G994">
        <v>0.14682018105338601</v>
      </c>
      <c r="H994">
        <v>9.5404070986963005E-2</v>
      </c>
      <c r="I994">
        <v>7.4924278632869407E-2</v>
      </c>
      <c r="J994">
        <v>7.1136632208432707E-2</v>
      </c>
      <c r="K994">
        <v>5.0889678966358598E-2</v>
      </c>
      <c r="L994">
        <v>875.031584405393</v>
      </c>
      <c r="M994">
        <v>17.639329807423099</v>
      </c>
      <c r="N994">
        <v>49.939941894301498</v>
      </c>
      <c r="O994">
        <v>48.982470401567298</v>
      </c>
      <c r="P994">
        <v>-8.5037017133155798E-2</v>
      </c>
      <c r="Q994">
        <v>5.5497167991275402E-2</v>
      </c>
      <c r="R994">
        <v>0.99883819140247998</v>
      </c>
      <c r="S994" t="s">
        <v>6855</v>
      </c>
      <c r="T994" t="s">
        <v>11720</v>
      </c>
      <c r="U994" t="s">
        <v>11720</v>
      </c>
      <c r="V994" t="s">
        <v>11720</v>
      </c>
      <c r="W994" t="s">
        <v>12687</v>
      </c>
      <c r="X994">
        <v>6</v>
      </c>
      <c r="Y994" t="s">
        <v>18480</v>
      </c>
      <c r="Z994" t="s">
        <v>24201</v>
      </c>
      <c r="AA994">
        <v>0.37479428334642012</v>
      </c>
      <c r="AB994" t="str">
        <f>HYPERLINK("Melting_Curves/meltCurve_I3L448_ATPAF1.pdf", "Melting_Curves/meltCurve_I3L448_ATPAF1.pdf")</f>
        <v>Melting_Curves/meltCurve_I3L448_ATPAF1.pdf</v>
      </c>
    </row>
    <row r="995" spans="1:28" x14ac:dyDescent="0.25">
      <c r="A995" t="s">
        <v>999</v>
      </c>
      <c r="B995">
        <v>0.99334974765950101</v>
      </c>
      <c r="C995">
        <v>1.0724599842084599</v>
      </c>
      <c r="D995">
        <v>0.99300872113035599</v>
      </c>
      <c r="E995">
        <v>0.924763163558038</v>
      </c>
      <c r="F995">
        <v>0.87150468414020599</v>
      </c>
      <c r="G995">
        <v>0.84226122541390902</v>
      </c>
      <c r="H995">
        <v>0.79612410898321195</v>
      </c>
      <c r="I995">
        <v>1.1249387373367301</v>
      </c>
      <c r="J995">
        <v>1.02986086278597</v>
      </c>
      <c r="K995">
        <v>0.98855760983378804</v>
      </c>
      <c r="L995">
        <v>11593.4324633551</v>
      </c>
      <c r="M995">
        <v>250</v>
      </c>
      <c r="O995">
        <v>46.370757994223503</v>
      </c>
      <c r="P995">
        <v>-8.1253017700421204E-2</v>
      </c>
      <c r="Q995">
        <v>0.93971577021863195</v>
      </c>
      <c r="R995">
        <v>0.12626520841373001</v>
      </c>
      <c r="S995" t="s">
        <v>6856</v>
      </c>
      <c r="T995" t="s">
        <v>11720</v>
      </c>
      <c r="U995" t="s">
        <v>11720</v>
      </c>
      <c r="V995" t="s">
        <v>11720</v>
      </c>
      <c r="W995" t="s">
        <v>12688</v>
      </c>
      <c r="X995">
        <v>7</v>
      </c>
      <c r="Y995" t="s">
        <v>18481</v>
      </c>
      <c r="Z995" t="s">
        <v>24202</v>
      </c>
      <c r="AA995">
        <v>0.95252852296277013</v>
      </c>
      <c r="AB995" t="str">
        <f>HYPERLINK("Melting_Curves/meltCurve_I3L4Q0_FAM195B.pdf", "Melting_Curves/meltCurve_I3L4Q0_FAM195B.pdf")</f>
        <v>Melting_Curves/meltCurve_I3L4Q0_FAM195B.pdf</v>
      </c>
    </row>
    <row r="996" spans="1:28" x14ac:dyDescent="0.25">
      <c r="A996" t="s">
        <v>1000</v>
      </c>
      <c r="B996">
        <v>0.99334974765950101</v>
      </c>
      <c r="C996">
        <v>0.89987428242984102</v>
      </c>
      <c r="D996">
        <v>1.0408422508599</v>
      </c>
      <c r="E996">
        <v>0.79050596262483097</v>
      </c>
      <c r="F996">
        <v>0.86501719134287902</v>
      </c>
      <c r="G996">
        <v>0.297021805695173</v>
      </c>
      <c r="H996">
        <v>0.26215975071860298</v>
      </c>
      <c r="I996">
        <v>0.13836045996590701</v>
      </c>
      <c r="J996">
        <v>0.29534810156988001</v>
      </c>
      <c r="K996">
        <v>0.17004580410819201</v>
      </c>
      <c r="L996">
        <v>2130.9426762008502</v>
      </c>
      <c r="M996">
        <v>39.032253981452499</v>
      </c>
      <c r="N996">
        <v>55.348747793366798</v>
      </c>
      <c r="O996">
        <v>54.451698335505299</v>
      </c>
      <c r="P996">
        <v>-0.142240366387127</v>
      </c>
      <c r="Q996">
        <v>0.20627583439404801</v>
      </c>
      <c r="R996">
        <v>0.94557702002487398</v>
      </c>
      <c r="S996" t="s">
        <v>6857</v>
      </c>
      <c r="T996" t="s">
        <v>11720</v>
      </c>
      <c r="U996" t="s">
        <v>11720</v>
      </c>
      <c r="V996" t="s">
        <v>11720</v>
      </c>
      <c r="W996" t="s">
        <v>12689</v>
      </c>
      <c r="X996">
        <v>1</v>
      </c>
      <c r="Y996" t="s">
        <v>18482</v>
      </c>
      <c r="Z996" t="s">
        <v>24203</v>
      </c>
      <c r="AA996">
        <v>0.59554274948168151</v>
      </c>
      <c r="AB996" t="str">
        <f>HYPERLINK("Melting_Curves/meltCurve_I3L4V0_LSMD1.pdf", "Melting_Curves/meltCurve_I3L4V0_LSMD1.pdf")</f>
        <v>Melting_Curves/meltCurve_I3L4V0_LSMD1.pdf</v>
      </c>
    </row>
    <row r="997" spans="1:28" x14ac:dyDescent="0.25">
      <c r="A997" t="s">
        <v>1001</v>
      </c>
      <c r="B997">
        <v>0.99334974765950101</v>
      </c>
      <c r="C997">
        <v>0.97817359167334295</v>
      </c>
      <c r="D997">
        <v>0.980998753536658</v>
      </c>
      <c r="E997">
        <v>0.80092138432230298</v>
      </c>
      <c r="F997">
        <v>0.29366238848751702</v>
      </c>
      <c r="G997">
        <v>0.15702807775095101</v>
      </c>
      <c r="H997">
        <v>0.131319891890983</v>
      </c>
      <c r="I997">
        <v>0.13510422510487899</v>
      </c>
      <c r="J997">
        <v>0.159454444507132</v>
      </c>
      <c r="K997">
        <v>0.194912091026504</v>
      </c>
      <c r="L997">
        <v>2469.5302263711701</v>
      </c>
      <c r="M997">
        <v>48.216638129326597</v>
      </c>
      <c r="N997">
        <v>51.612169135655897</v>
      </c>
      <c r="O997">
        <v>51.129518307618198</v>
      </c>
      <c r="P997">
        <v>-0.199397841574421</v>
      </c>
      <c r="Q997">
        <v>0.15422511734511701</v>
      </c>
      <c r="R997">
        <v>0.99764851983418201</v>
      </c>
      <c r="S997" t="s">
        <v>6858</v>
      </c>
      <c r="T997" t="s">
        <v>11720</v>
      </c>
      <c r="U997" t="s">
        <v>11720</v>
      </c>
      <c r="V997" t="s">
        <v>11720</v>
      </c>
      <c r="W997" t="s">
        <v>12690</v>
      </c>
      <c r="X997">
        <v>4</v>
      </c>
      <c r="Y997" t="s">
        <v>18483</v>
      </c>
      <c r="Z997" t="s">
        <v>24204</v>
      </c>
      <c r="AA997">
        <v>0.47252677165175733</v>
      </c>
      <c r="AB997" t="str">
        <f>HYPERLINK("Melting_Curves/meltCurve_I3L4X3_NFKBIB.pdf", "Melting_Curves/meltCurve_I3L4X3_NFKBIB.pdf")</f>
        <v>Melting_Curves/meltCurve_I3L4X3_NFKBIB.pdf</v>
      </c>
    </row>
    <row r="998" spans="1:28" x14ac:dyDescent="0.25">
      <c r="A998" t="s">
        <v>1002</v>
      </c>
      <c r="B998">
        <v>0.99334974765950101</v>
      </c>
      <c r="C998">
        <v>0.90905200574795197</v>
      </c>
      <c r="D998">
        <v>0.94218251349927495</v>
      </c>
      <c r="E998">
        <v>0.82851168493332605</v>
      </c>
      <c r="F998">
        <v>0.68806371561175705</v>
      </c>
      <c r="G998">
        <v>0.56826884685536405</v>
      </c>
      <c r="H998">
        <v>0.38476428219647002</v>
      </c>
      <c r="I998">
        <v>0.211820568785173</v>
      </c>
      <c r="J998">
        <v>0.183216912484855</v>
      </c>
      <c r="K998">
        <v>0.121340927516516</v>
      </c>
      <c r="L998">
        <v>605.98185671188003</v>
      </c>
      <c r="M998">
        <v>10.526003848219499</v>
      </c>
      <c r="N998">
        <v>57.569982061606098</v>
      </c>
      <c r="O998">
        <v>55.608568617386197</v>
      </c>
      <c r="P998">
        <v>-4.7340773461252199E-2</v>
      </c>
      <c r="Q998">
        <v>0</v>
      </c>
      <c r="R998">
        <v>0.99057028154523497</v>
      </c>
      <c r="S998" t="s">
        <v>6859</v>
      </c>
      <c r="T998" t="s">
        <v>11720</v>
      </c>
      <c r="U998" t="s">
        <v>11720</v>
      </c>
      <c r="V998" t="s">
        <v>11720</v>
      </c>
      <c r="W998" t="s">
        <v>12691</v>
      </c>
      <c r="X998">
        <v>14</v>
      </c>
      <c r="Y998" t="s">
        <v>18437</v>
      </c>
      <c r="Z998" t="s">
        <v>24205</v>
      </c>
      <c r="AA998">
        <v>0.59896821209923379</v>
      </c>
      <c r="AB998" t="str">
        <f>HYPERLINK("Melting_Curves/meltCurve_I3NI03_P4HB.pdf", "Melting_Curves/meltCurve_I3NI03_P4HB.pdf")</f>
        <v>Melting_Curves/meltCurve_I3NI03_P4HB.pdf</v>
      </c>
    </row>
    <row r="999" spans="1:28" x14ac:dyDescent="0.25">
      <c r="A999" t="s">
        <v>1003</v>
      </c>
      <c r="B999">
        <v>0.99334974765950101</v>
      </c>
      <c r="C999">
        <v>1.00849728156221</v>
      </c>
      <c r="D999">
        <v>0.94414485886577204</v>
      </c>
      <c r="E999">
        <v>0.90836541059986298</v>
      </c>
      <c r="F999">
        <v>0.72624007661858503</v>
      </c>
      <c r="G999">
        <v>0.56568177792501595</v>
      </c>
      <c r="H999">
        <v>0.54021338860815904</v>
      </c>
      <c r="I999">
        <v>0.62156988972512806</v>
      </c>
      <c r="J999">
        <v>0.63916686622574204</v>
      </c>
      <c r="K999">
        <v>0.44957443014282999</v>
      </c>
      <c r="L999">
        <v>1608.89338503916</v>
      </c>
      <c r="M999">
        <v>30.891056802028501</v>
      </c>
      <c r="O999">
        <v>51.866016582797101</v>
      </c>
      <c r="P999">
        <v>-6.5948247592628004E-2</v>
      </c>
      <c r="Q999">
        <v>0.55709471743012395</v>
      </c>
      <c r="R999">
        <v>0.93345007369256705</v>
      </c>
      <c r="S999" t="s">
        <v>6860</v>
      </c>
      <c r="T999" t="s">
        <v>11720</v>
      </c>
      <c r="U999" t="s">
        <v>11720</v>
      </c>
      <c r="V999" t="s">
        <v>11720</v>
      </c>
      <c r="W999" t="s">
        <v>12692</v>
      </c>
      <c r="X999">
        <v>2</v>
      </c>
      <c r="Y999" t="s">
        <v>18484</v>
      </c>
      <c r="Z999" t="s">
        <v>24206</v>
      </c>
      <c r="AA999">
        <v>0.73815322337549294</v>
      </c>
      <c r="AB999" t="str">
        <f>HYPERLINK("Melting_Curves/meltCurve_I3NI23_TMEM159.pdf", "Melting_Curves/meltCurve_I3NI23_TMEM159.pdf")</f>
        <v>Melting_Curves/meltCurve_I3NI23_TMEM159.pdf</v>
      </c>
    </row>
    <row r="1000" spans="1:28" x14ac:dyDescent="0.25">
      <c r="A1000" t="s">
        <v>1004</v>
      </c>
      <c r="B1000">
        <v>0.99334974765950101</v>
      </c>
      <c r="C1000">
        <v>1.0369260208828099</v>
      </c>
      <c r="D1000">
        <v>0.80728510486399996</v>
      </c>
      <c r="E1000">
        <v>0.372029295505998</v>
      </c>
      <c r="F1000">
        <v>0.14368533231102701</v>
      </c>
      <c r="G1000">
        <v>2.3602044853170499E-2</v>
      </c>
      <c r="H1000">
        <v>5.8905686094625096E-3</v>
      </c>
      <c r="I1000">
        <v>0</v>
      </c>
      <c r="J1000">
        <v>0</v>
      </c>
      <c r="K1000">
        <v>0</v>
      </c>
      <c r="L1000">
        <v>1207.5088687724301</v>
      </c>
      <c r="M1000">
        <v>24.6722093450798</v>
      </c>
      <c r="N1000">
        <v>48.942064819319597</v>
      </c>
      <c r="O1000">
        <v>48.623935644354198</v>
      </c>
      <c r="P1000">
        <v>-0.126853979428278</v>
      </c>
      <c r="Q1000">
        <v>0</v>
      </c>
      <c r="R1000">
        <v>0.99701466834209995</v>
      </c>
      <c r="S1000" t="s">
        <v>6861</v>
      </c>
      <c r="T1000" t="s">
        <v>11720</v>
      </c>
      <c r="U1000" t="s">
        <v>11720</v>
      </c>
      <c r="V1000" t="s">
        <v>11720</v>
      </c>
      <c r="W1000" t="s">
        <v>12693</v>
      </c>
      <c r="X1000">
        <v>1</v>
      </c>
      <c r="Y1000" t="s">
        <v>18485</v>
      </c>
      <c r="Z1000" t="s">
        <v>24207</v>
      </c>
      <c r="AA1000">
        <v>0.30717165596927581</v>
      </c>
      <c r="AB1000" t="str">
        <f>HYPERLINK("Melting_Curves/meltCurve_I3NI25_FOPNL.pdf", "Melting_Curves/meltCurve_I3NI25_FOPNL.pdf")</f>
        <v>Melting_Curves/meltCurve_I3NI25_FOPNL.pdf</v>
      </c>
    </row>
    <row r="1001" spans="1:28" x14ac:dyDescent="0.25">
      <c r="A1001" t="s">
        <v>1005</v>
      </c>
      <c r="B1001">
        <v>0.99334974765950101</v>
      </c>
      <c r="C1001">
        <v>1.0125788149508199</v>
      </c>
      <c r="D1001">
        <v>0.76692734047591005</v>
      </c>
      <c r="E1001">
        <v>0.54390884391432104</v>
      </c>
      <c r="F1001">
        <v>0.76223469947451705</v>
      </c>
      <c r="G1001">
        <v>0.493944145319477</v>
      </c>
      <c r="H1001">
        <v>0.37062781835666397</v>
      </c>
      <c r="I1001">
        <v>0.35273982643490798</v>
      </c>
      <c r="J1001">
        <v>0.16745828553179801</v>
      </c>
      <c r="K1001">
        <v>0.10934966885457099</v>
      </c>
      <c r="L1001">
        <v>430.73092037971298</v>
      </c>
      <c r="M1001">
        <v>7.6608505206665001</v>
      </c>
      <c r="N1001">
        <v>56.2249477656826</v>
      </c>
      <c r="O1001">
        <v>52.778174968033099</v>
      </c>
      <c r="P1001">
        <v>-3.6336201900942E-2</v>
      </c>
      <c r="Q1001">
        <v>0</v>
      </c>
      <c r="R1001">
        <v>0.90766363175568698</v>
      </c>
      <c r="S1001" t="s">
        <v>6862</v>
      </c>
      <c r="T1001" t="s">
        <v>11720</v>
      </c>
      <c r="U1001" t="s">
        <v>11720</v>
      </c>
      <c r="V1001" t="s">
        <v>11720</v>
      </c>
      <c r="W1001" t="s">
        <v>12694</v>
      </c>
      <c r="X1001">
        <v>17</v>
      </c>
      <c r="Y1001" t="s">
        <v>18486</v>
      </c>
      <c r="Z1001" t="s">
        <v>24208</v>
      </c>
      <c r="AA1001">
        <v>0.558285681333902</v>
      </c>
      <c r="AB1001" t="str">
        <f>HYPERLINK("Melting_Curves/meltCurve_I6L894_ANK2.pdf", "Melting_Curves/meltCurve_I6L894_ANK2.pdf")</f>
        <v>Melting_Curves/meltCurve_I6L894_ANK2.pdf</v>
      </c>
    </row>
    <row r="1002" spans="1:28" x14ac:dyDescent="0.25">
      <c r="A1002" t="s">
        <v>1006</v>
      </c>
      <c r="B1002">
        <v>0.99334974765950101</v>
      </c>
      <c r="C1002">
        <v>0.98698726205167497</v>
      </c>
      <c r="D1002">
        <v>1.1421973046496501</v>
      </c>
      <c r="E1002">
        <v>1.2247017591265299</v>
      </c>
      <c r="F1002">
        <v>1.38747846687968</v>
      </c>
      <c r="G1002">
        <v>1.3635351906670501</v>
      </c>
      <c r="H1002">
        <v>0.67826351622521497</v>
      </c>
      <c r="I1002">
        <v>0.714542833741865</v>
      </c>
      <c r="J1002">
        <v>0.70980533149609204</v>
      </c>
      <c r="K1002">
        <v>0.46222730536015699</v>
      </c>
      <c r="L1002">
        <v>14661.6286525176</v>
      </c>
      <c r="M1002">
        <v>242.228172435462</v>
      </c>
      <c r="O1002">
        <v>60.524047894218199</v>
      </c>
      <c r="P1002">
        <v>-0.37134481692753202</v>
      </c>
      <c r="Q1002">
        <v>0.62885752198023204</v>
      </c>
      <c r="R1002">
        <v>0.56138040002618805</v>
      </c>
      <c r="S1002" t="s">
        <v>6863</v>
      </c>
      <c r="T1002" t="s">
        <v>11720</v>
      </c>
      <c r="U1002" t="s">
        <v>11720</v>
      </c>
      <c r="V1002" t="s">
        <v>11720</v>
      </c>
      <c r="W1002" t="s">
        <v>12695</v>
      </c>
      <c r="X1002">
        <v>15</v>
      </c>
      <c r="Y1002" t="s">
        <v>18487</v>
      </c>
      <c r="Z1002" t="s">
        <v>24209</v>
      </c>
      <c r="AA1002">
        <v>0.88286208079489881</v>
      </c>
      <c r="AB1002" t="str">
        <f>HYPERLINK("Melting_Curves/meltCurve_I6L8B7_FABP5.pdf", "Melting_Curves/meltCurve_I6L8B7_FABP5.pdf")</f>
        <v>Melting_Curves/meltCurve_I6L8B7_FABP5.pdf</v>
      </c>
    </row>
    <row r="1003" spans="1:28" x14ac:dyDescent="0.25">
      <c r="A1003" t="s">
        <v>1007</v>
      </c>
      <c r="B1003">
        <v>0.99334974765950101</v>
      </c>
      <c r="C1003">
        <v>1.02525669006409</v>
      </c>
      <c r="D1003">
        <v>0.80596811658533796</v>
      </c>
      <c r="E1003">
        <v>0.67180689100943103</v>
      </c>
      <c r="F1003">
        <v>0.28844106259274599</v>
      </c>
      <c r="G1003">
        <v>0.21767227910838899</v>
      </c>
      <c r="H1003">
        <v>0.197568868118917</v>
      </c>
      <c r="I1003">
        <v>0.19315513446582899</v>
      </c>
      <c r="J1003">
        <v>0.227039477361828</v>
      </c>
      <c r="K1003">
        <v>0.25223597844150802</v>
      </c>
      <c r="L1003">
        <v>1185.2923088350301</v>
      </c>
      <c r="M1003">
        <v>23.7849153498974</v>
      </c>
      <c r="N1003">
        <v>50.945347044852703</v>
      </c>
      <c r="O1003">
        <v>49.4855264557646</v>
      </c>
      <c r="P1003">
        <v>-9.5838409195712695E-2</v>
      </c>
      <c r="Q1003">
        <v>0.20242957948799101</v>
      </c>
      <c r="R1003">
        <v>0.97482179847827799</v>
      </c>
      <c r="S1003" t="s">
        <v>6864</v>
      </c>
      <c r="T1003" t="s">
        <v>11720</v>
      </c>
      <c r="U1003" t="s">
        <v>11720</v>
      </c>
      <c r="V1003" t="s">
        <v>11720</v>
      </c>
      <c r="W1003" t="s">
        <v>12696</v>
      </c>
      <c r="X1003">
        <v>1</v>
      </c>
      <c r="Y1003" t="s">
        <v>18488</v>
      </c>
      <c r="Z1003" t="s">
        <v>24210</v>
      </c>
      <c r="AA1003">
        <v>0.47173574198852591</v>
      </c>
      <c r="AB1003" t="str">
        <f>HYPERLINK("Melting_Curves/meltCurve_J3KMW8_CACTIN.pdf", "Melting_Curves/meltCurve_J3KMW8_CACTIN.pdf")</f>
        <v>Melting_Curves/meltCurve_J3KMW8_CACTIN.pdf</v>
      </c>
    </row>
    <row r="1004" spans="1:28" x14ac:dyDescent="0.25">
      <c r="A1004" t="s">
        <v>1008</v>
      </c>
      <c r="B1004">
        <v>0.99334974765950101</v>
      </c>
      <c r="C1004">
        <v>1.03122095052707</v>
      </c>
      <c r="D1004">
        <v>0.892106589308854</v>
      </c>
      <c r="E1004">
        <v>0.88721623737459598</v>
      </c>
      <c r="F1004">
        <v>0.81087084190251701</v>
      </c>
      <c r="G1004">
        <v>0.72330230611867596</v>
      </c>
      <c r="H1004">
        <v>0.68843319807583903</v>
      </c>
      <c r="I1004">
        <v>0.82923543913261699</v>
      </c>
      <c r="J1004">
        <v>0.59504438078412003</v>
      </c>
      <c r="K1004">
        <v>0.37391948348054599</v>
      </c>
      <c r="L1004">
        <v>374.02576724241402</v>
      </c>
      <c r="M1004">
        <v>5.3027383490041498</v>
      </c>
      <c r="O1004">
        <v>62.375646119494803</v>
      </c>
      <c r="P1004">
        <v>-2.1359577222882599E-2</v>
      </c>
      <c r="Q1004">
        <v>0</v>
      </c>
      <c r="R1004">
        <v>0.79854961140166003</v>
      </c>
      <c r="S1004" t="s">
        <v>6865</v>
      </c>
      <c r="T1004" t="s">
        <v>11720</v>
      </c>
      <c r="U1004" t="s">
        <v>11720</v>
      </c>
      <c r="V1004" t="s">
        <v>11720</v>
      </c>
      <c r="W1004" t="s">
        <v>12697</v>
      </c>
      <c r="X1004">
        <v>11</v>
      </c>
      <c r="Y1004" t="s">
        <v>18489</v>
      </c>
      <c r="Z1004" t="s">
        <v>24211</v>
      </c>
      <c r="AA1004">
        <v>0.79158886887071134</v>
      </c>
      <c r="AB1004" t="str">
        <f>HYPERLINK("Melting_Curves/meltCurve_J3KMY5_NPC2.pdf", "Melting_Curves/meltCurve_J3KMY5_NPC2.pdf")</f>
        <v>Melting_Curves/meltCurve_J3KMY5_NPC2.pdf</v>
      </c>
    </row>
    <row r="1005" spans="1:28" x14ac:dyDescent="0.25">
      <c r="A1005" t="s">
        <v>1009</v>
      </c>
      <c r="B1005">
        <v>0.99334974765950101</v>
      </c>
      <c r="C1005">
        <v>0.94810668073251203</v>
      </c>
      <c r="D1005">
        <v>0.95811801418805898</v>
      </c>
      <c r="E1005">
        <v>0.85925260550226101</v>
      </c>
      <c r="F1005">
        <v>0.77705420671409497</v>
      </c>
      <c r="G1005">
        <v>0.57513503701082402</v>
      </c>
      <c r="H1005">
        <v>0.43615302168514197</v>
      </c>
      <c r="I1005">
        <v>0.34708856722291598</v>
      </c>
      <c r="J1005">
        <v>0.27434010216670102</v>
      </c>
      <c r="K1005">
        <v>0.17542513842327101</v>
      </c>
      <c r="L1005">
        <v>568.73249822482899</v>
      </c>
      <c r="M1005">
        <v>9.5809014653648799</v>
      </c>
      <c r="N1005">
        <v>59.424833970406901</v>
      </c>
      <c r="O1005">
        <v>56.947796758179699</v>
      </c>
      <c r="P1005">
        <v>-4.1868867170353298E-2</v>
      </c>
      <c r="Q1005">
        <v>5.1147916266774101E-3</v>
      </c>
      <c r="R1005">
        <v>0.99688020066675498</v>
      </c>
      <c r="S1005" t="s">
        <v>6866</v>
      </c>
      <c r="T1005" t="s">
        <v>11720</v>
      </c>
      <c r="U1005" t="s">
        <v>11720</v>
      </c>
      <c r="V1005" t="s">
        <v>11720</v>
      </c>
      <c r="W1005" t="s">
        <v>12698</v>
      </c>
      <c r="X1005">
        <v>24</v>
      </c>
      <c r="Y1005" t="s">
        <v>18490</v>
      </c>
      <c r="Z1005" t="s">
        <v>24212</v>
      </c>
      <c r="AA1005">
        <v>0.64639307523207123</v>
      </c>
      <c r="AB1005" t="str">
        <f>HYPERLINK("Melting_Curves/meltCurve_J3KMZ9_LDLR.pdf", "Melting_Curves/meltCurve_J3KMZ9_LDLR.pdf")</f>
        <v>Melting_Curves/meltCurve_J3KMZ9_LDLR.pdf</v>
      </c>
    </row>
    <row r="1006" spans="1:28" x14ac:dyDescent="0.25">
      <c r="A1006" t="s">
        <v>1010</v>
      </c>
      <c r="B1006">
        <v>0.99334974765950101</v>
      </c>
      <c r="C1006">
        <v>1.0048840244014601</v>
      </c>
      <c r="D1006">
        <v>0.93378426210760901</v>
      </c>
      <c r="E1006">
        <v>0.88602338870313702</v>
      </c>
      <c r="F1006">
        <v>0.34671606724749399</v>
      </c>
      <c r="G1006">
        <v>0.29006000590796899</v>
      </c>
      <c r="H1006">
        <v>0.29327219263502602</v>
      </c>
      <c r="I1006">
        <v>0.19951362580065099</v>
      </c>
      <c r="J1006">
        <v>0.139425633089833</v>
      </c>
      <c r="K1006">
        <v>5.0943174981154297E-2</v>
      </c>
      <c r="L1006">
        <v>2726.9007515554699</v>
      </c>
      <c r="M1006">
        <v>52.813323802837402</v>
      </c>
      <c r="N1006">
        <v>52.110825202353297</v>
      </c>
      <c r="O1006">
        <v>51.558956457248399</v>
      </c>
      <c r="P1006">
        <v>-0.20691905901892901</v>
      </c>
      <c r="Q1006">
        <v>0.191982537048522</v>
      </c>
      <c r="R1006">
        <v>0.96636643973519898</v>
      </c>
      <c r="S1006" t="s">
        <v>6867</v>
      </c>
      <c r="T1006" t="s">
        <v>11720</v>
      </c>
      <c r="U1006" t="s">
        <v>11720</v>
      </c>
      <c r="V1006" t="s">
        <v>11720</v>
      </c>
      <c r="W1006" t="s">
        <v>12699</v>
      </c>
      <c r="X1006">
        <v>1</v>
      </c>
      <c r="Y1006" t="s">
        <v>18491</v>
      </c>
      <c r="Z1006" t="s">
        <v>24213</v>
      </c>
      <c r="AA1006">
        <v>0.5069483296277153</v>
      </c>
      <c r="AB1006" t="str">
        <f>HYPERLINK("Melting_Curves/meltCurve_J3KN10_PI4KA.pdf", "Melting_Curves/meltCurve_J3KN10_PI4KA.pdf")</f>
        <v>Melting_Curves/meltCurve_J3KN10_PI4KA.pdf</v>
      </c>
    </row>
    <row r="1007" spans="1:28" x14ac:dyDescent="0.25">
      <c r="A1007" t="s">
        <v>1011</v>
      </c>
      <c r="B1007">
        <v>0.99334974765950101</v>
      </c>
      <c r="C1007">
        <v>1.0104814746305499</v>
      </c>
      <c r="D1007">
        <v>0.97029567201741695</v>
      </c>
      <c r="E1007">
        <v>0.38693535139165097</v>
      </c>
      <c r="F1007">
        <v>0.13508187320811599</v>
      </c>
      <c r="G1007">
        <v>8.9339046513305598E-2</v>
      </c>
      <c r="H1007">
        <v>7.0668373520910197E-2</v>
      </c>
      <c r="I1007">
        <v>6.7475394291581503E-2</v>
      </c>
      <c r="J1007">
        <v>6.0451370521245801E-2</v>
      </c>
      <c r="K1007">
        <v>5.0357930098892598E-2</v>
      </c>
      <c r="L1007">
        <v>2087.8840533768298</v>
      </c>
      <c r="M1007">
        <v>42.383257783917898</v>
      </c>
      <c r="N1007">
        <v>49.438134614211897</v>
      </c>
      <c r="O1007">
        <v>49.152711970116101</v>
      </c>
      <c r="P1007">
        <v>-0.20046226864672001</v>
      </c>
      <c r="Q1007">
        <v>7.0081125169297598E-2</v>
      </c>
      <c r="R1007">
        <v>0.99903081210956801</v>
      </c>
      <c r="S1007" t="s">
        <v>6868</v>
      </c>
      <c r="T1007" t="s">
        <v>11720</v>
      </c>
      <c r="U1007" t="s">
        <v>11720</v>
      </c>
      <c r="V1007" t="s">
        <v>11720</v>
      </c>
      <c r="W1007" t="s">
        <v>12700</v>
      </c>
      <c r="X1007">
        <v>49</v>
      </c>
      <c r="Y1007" t="s">
        <v>18492</v>
      </c>
      <c r="Z1007" t="s">
        <v>24214</v>
      </c>
      <c r="AA1007">
        <v>0.35999752911365163</v>
      </c>
      <c r="AB1007" t="str">
        <f>HYPERLINK("Melting_Curves/meltCurve_J3KN16_KIAA0368.pdf", "Melting_Curves/meltCurve_J3KN16_KIAA0368.pdf")</f>
        <v>Melting_Curves/meltCurve_J3KN16_KIAA0368.pdf</v>
      </c>
    </row>
    <row r="1008" spans="1:28" x14ac:dyDescent="0.25">
      <c r="A1008" t="s">
        <v>1012</v>
      </c>
      <c r="B1008">
        <v>0.99334974765950101</v>
      </c>
      <c r="C1008">
        <v>0.97497152074985505</v>
      </c>
      <c r="D1008">
        <v>0.90149771080943197</v>
      </c>
      <c r="E1008">
        <v>0.86470548872106801</v>
      </c>
      <c r="F1008">
        <v>0.94663907992639096</v>
      </c>
      <c r="G1008">
        <v>0.82728371115652799</v>
      </c>
      <c r="H1008">
        <v>0.79222279413221197</v>
      </c>
      <c r="I1008">
        <v>0.83955093812745796</v>
      </c>
      <c r="J1008">
        <v>0.778289839030335</v>
      </c>
      <c r="K1008">
        <v>0.63674633530865099</v>
      </c>
      <c r="L1008">
        <v>265.97959850445699</v>
      </c>
      <c r="M1008">
        <v>2.9295209656385399</v>
      </c>
      <c r="O1008">
        <v>66.145372657515097</v>
      </c>
      <c r="P1008">
        <v>-1.14384166611891E-2</v>
      </c>
      <c r="Q1008">
        <v>0</v>
      </c>
      <c r="R1008">
        <v>0.80952356079947596</v>
      </c>
      <c r="S1008" t="s">
        <v>6869</v>
      </c>
      <c r="T1008" t="s">
        <v>11720</v>
      </c>
      <c r="U1008" t="s">
        <v>11720</v>
      </c>
      <c r="V1008" t="s">
        <v>11720</v>
      </c>
      <c r="W1008" t="s">
        <v>12701</v>
      </c>
      <c r="X1008">
        <v>16</v>
      </c>
      <c r="Y1008" t="s">
        <v>18493</v>
      </c>
      <c r="Z1008" t="s">
        <v>24215</v>
      </c>
      <c r="AA1008">
        <v>0.8603250335159538</v>
      </c>
      <c r="AB1008" t="str">
        <f>HYPERLINK("Melting_Curves/meltCurve_J3KN29_PSMD9.pdf", "Melting_Curves/meltCurve_J3KN29_PSMD9.pdf")</f>
        <v>Melting_Curves/meltCurve_J3KN29_PSMD9.pdf</v>
      </c>
    </row>
    <row r="1009" spans="1:28" x14ac:dyDescent="0.25">
      <c r="A1009" t="s">
        <v>1013</v>
      </c>
      <c r="B1009">
        <v>0.99334974765950101</v>
      </c>
      <c r="C1009">
        <v>0.96859385364720796</v>
      </c>
      <c r="D1009">
        <v>0.96597543238608197</v>
      </c>
      <c r="E1009">
        <v>0.91206386822001795</v>
      </c>
      <c r="F1009">
        <v>0.40524446304509398</v>
      </c>
      <c r="G1009">
        <v>0.237188031047849</v>
      </c>
      <c r="H1009">
        <v>0.20000388342817099</v>
      </c>
      <c r="I1009">
        <v>0.175977117011787</v>
      </c>
      <c r="J1009">
        <v>0.11859621308214</v>
      </c>
      <c r="K1009">
        <v>0.14237681781924799</v>
      </c>
      <c r="L1009">
        <v>2554.7034734198101</v>
      </c>
      <c r="M1009">
        <v>49.084770785715598</v>
      </c>
      <c r="N1009">
        <v>52.495236234965603</v>
      </c>
      <c r="O1009">
        <v>51.960593517286398</v>
      </c>
      <c r="P1009">
        <v>-0.19571865076659201</v>
      </c>
      <c r="Q1009">
        <v>0.171258402621252</v>
      </c>
      <c r="R1009">
        <v>0.99307499739646199</v>
      </c>
      <c r="S1009" t="s">
        <v>6870</v>
      </c>
      <c r="T1009" t="s">
        <v>11720</v>
      </c>
      <c r="U1009" t="s">
        <v>11720</v>
      </c>
      <c r="V1009" t="s">
        <v>11720</v>
      </c>
      <c r="W1009" t="s">
        <v>12702</v>
      </c>
      <c r="X1009">
        <v>37</v>
      </c>
      <c r="Y1009" t="s">
        <v>18494</v>
      </c>
      <c r="Z1009" t="s">
        <v>24216</v>
      </c>
      <c r="AA1009">
        <v>0.50602135769462764</v>
      </c>
      <c r="AB1009" t="str">
        <f>HYPERLINK("Melting_Curves/meltCurve_J3KN36_NOMO3.pdf", "Melting_Curves/meltCurve_J3KN36_NOMO3.pdf")</f>
        <v>Melting_Curves/meltCurve_J3KN36_NOMO3.pdf</v>
      </c>
    </row>
    <row r="1010" spans="1:28" x14ac:dyDescent="0.25">
      <c r="A1010" t="s">
        <v>1014</v>
      </c>
      <c r="B1010">
        <v>0.99334974765950101</v>
      </c>
      <c r="C1010">
        <v>0.99725076183180505</v>
      </c>
      <c r="D1010">
        <v>0.94248372797754798</v>
      </c>
      <c r="E1010">
        <v>0.92937066618179498</v>
      </c>
      <c r="F1010">
        <v>1.03957600205527</v>
      </c>
      <c r="G1010">
        <v>1.12540795738665</v>
      </c>
      <c r="H1010">
        <v>1.0078779639909401</v>
      </c>
      <c r="I1010">
        <v>0.98430618713023299</v>
      </c>
      <c r="J1010">
        <v>0.92677559782229302</v>
      </c>
      <c r="K1010">
        <v>0.51843855709881104</v>
      </c>
      <c r="L1010">
        <v>3816.0387518543798</v>
      </c>
      <c r="M1010">
        <v>54.440188099634</v>
      </c>
      <c r="Q1010">
        <v>0</v>
      </c>
      <c r="R1010">
        <v>0.88995089603854305</v>
      </c>
      <c r="S1010" t="s">
        <v>6871</v>
      </c>
      <c r="T1010" t="s">
        <v>11720</v>
      </c>
      <c r="U1010" t="s">
        <v>11720</v>
      </c>
      <c r="V1010" t="s">
        <v>11720</v>
      </c>
      <c r="W1010" t="s">
        <v>12703</v>
      </c>
      <c r="X1010">
        <v>3</v>
      </c>
      <c r="Y1010" t="s">
        <v>18495</v>
      </c>
      <c r="Z1010" t="s">
        <v>24217</v>
      </c>
      <c r="AA1010">
        <v>0.97304461235667206</v>
      </c>
      <c r="AB1010" t="str">
        <f>HYPERLINK("Melting_Curves/meltCurve_J3KN56_CHFR.pdf", "Melting_Curves/meltCurve_J3KN56_CHFR.pdf")</f>
        <v>Melting_Curves/meltCurve_J3KN56_CHFR.pdf</v>
      </c>
    </row>
    <row r="1011" spans="1:28" x14ac:dyDescent="0.25">
      <c r="A1011" t="s">
        <v>1015</v>
      </c>
      <c r="B1011">
        <v>0.99334974765950101</v>
      </c>
      <c r="C1011">
        <v>1.05906695365575</v>
      </c>
      <c r="D1011">
        <v>0.88156752904761904</v>
      </c>
      <c r="E1011">
        <v>0.93264136017068</v>
      </c>
      <c r="F1011">
        <v>1.1262084517295901</v>
      </c>
      <c r="G1011">
        <v>0.66729477476613297</v>
      </c>
      <c r="H1011">
        <v>0.43771334222543701</v>
      </c>
      <c r="I1011">
        <v>0.37786293167050899</v>
      </c>
      <c r="J1011">
        <v>0.47884669669183699</v>
      </c>
      <c r="K1011">
        <v>0.33617363644239401</v>
      </c>
      <c r="L1011">
        <v>11930.475379535101</v>
      </c>
      <c r="M1011">
        <v>209.554522848696</v>
      </c>
      <c r="N1011">
        <v>57.395166790687703</v>
      </c>
      <c r="O1011">
        <v>56.927374582975297</v>
      </c>
      <c r="P1011">
        <v>-0.54512364667436397</v>
      </c>
      <c r="Q1011">
        <v>0.40764899752060701</v>
      </c>
      <c r="R1011">
        <v>0.93977984828762695</v>
      </c>
      <c r="S1011" t="s">
        <v>6872</v>
      </c>
      <c r="T1011" t="s">
        <v>11720</v>
      </c>
      <c r="U1011" t="s">
        <v>11720</v>
      </c>
      <c r="V1011" t="s">
        <v>11720</v>
      </c>
      <c r="W1011" t="s">
        <v>12704</v>
      </c>
      <c r="X1011">
        <v>4</v>
      </c>
      <c r="Y1011" t="s">
        <v>18496</v>
      </c>
      <c r="Z1011" t="s">
        <v>24218</v>
      </c>
      <c r="AA1011">
        <v>0.74206719848148894</v>
      </c>
      <c r="AB1011" t="str">
        <f>HYPERLINK("Melting_Curves/meltCurve_J3KN59_BNIP2.pdf", "Melting_Curves/meltCurve_J3KN59_BNIP2.pdf")</f>
        <v>Melting_Curves/meltCurve_J3KN59_BNIP2.pdf</v>
      </c>
    </row>
    <row r="1012" spans="1:28" x14ac:dyDescent="0.25">
      <c r="A1012" t="s">
        <v>1016</v>
      </c>
      <c r="B1012">
        <v>0.99334974765950101</v>
      </c>
      <c r="C1012">
        <v>1.02310651749391</v>
      </c>
      <c r="D1012">
        <v>0.939203860923148</v>
      </c>
      <c r="E1012">
        <v>0.88179861769514001</v>
      </c>
      <c r="F1012">
        <v>0.97195706496545697</v>
      </c>
      <c r="G1012">
        <v>0.676576413986131</v>
      </c>
      <c r="H1012">
        <v>0.45768431047570801</v>
      </c>
      <c r="I1012">
        <v>0.15394293126832101</v>
      </c>
      <c r="J1012">
        <v>0.114312015202669</v>
      </c>
      <c r="K1012">
        <v>8.63905485573013E-2</v>
      </c>
      <c r="L1012">
        <v>1136.15071285206</v>
      </c>
      <c r="M1012">
        <v>19.058007638562199</v>
      </c>
      <c r="N1012">
        <v>59.659913367642503</v>
      </c>
      <c r="O1012">
        <v>58.970651949959901</v>
      </c>
      <c r="P1012">
        <v>-8.0227223918118803E-2</v>
      </c>
      <c r="Q1012">
        <v>7.0597488066591199E-3</v>
      </c>
      <c r="R1012">
        <v>0.98184502194952805</v>
      </c>
      <c r="S1012" t="s">
        <v>6873</v>
      </c>
      <c r="T1012" t="s">
        <v>11720</v>
      </c>
      <c r="U1012" t="s">
        <v>11720</v>
      </c>
      <c r="V1012" t="s">
        <v>11720</v>
      </c>
      <c r="W1012" t="s">
        <v>12705</v>
      </c>
      <c r="X1012">
        <v>12</v>
      </c>
      <c r="Y1012" t="s">
        <v>18497</v>
      </c>
      <c r="Z1012" t="s">
        <v>24219</v>
      </c>
      <c r="AA1012">
        <v>0.66542234209274131</v>
      </c>
      <c r="AB1012" t="str">
        <f>HYPERLINK("Melting_Curves/meltCurve_J3KN69_NCEH1.pdf", "Melting_Curves/meltCurve_J3KN69_NCEH1.pdf")</f>
        <v>Melting_Curves/meltCurve_J3KN69_NCEH1.pdf</v>
      </c>
    </row>
    <row r="1013" spans="1:28" x14ac:dyDescent="0.25">
      <c r="A1013" t="s">
        <v>1017</v>
      </c>
      <c r="B1013">
        <v>0.99334974765950101</v>
      </c>
      <c r="C1013">
        <v>1.0274487291602099</v>
      </c>
      <c r="D1013">
        <v>1.09731070867062</v>
      </c>
      <c r="E1013">
        <v>0.79775546260192398</v>
      </c>
      <c r="F1013">
        <v>0.14857576305210901</v>
      </c>
      <c r="G1013">
        <v>9.6962584320830297E-2</v>
      </c>
      <c r="H1013">
        <v>6.3434625766479499E-2</v>
      </c>
      <c r="I1013">
        <v>6.23927040765659E-2</v>
      </c>
      <c r="J1013">
        <v>5.4035509851307097E-2</v>
      </c>
      <c r="K1013">
        <v>4.8579274299469101E-2</v>
      </c>
      <c r="L1013">
        <v>3203.0308585740499</v>
      </c>
      <c r="M1013">
        <v>62.765295847178201</v>
      </c>
      <c r="N1013">
        <v>51.145199825752002</v>
      </c>
      <c r="O1013">
        <v>50.980151184973899</v>
      </c>
      <c r="P1013">
        <v>-0.287811888750102</v>
      </c>
      <c r="Q1013">
        <v>6.4917154512258393E-2</v>
      </c>
      <c r="R1013">
        <v>0.99410196364119296</v>
      </c>
      <c r="S1013" t="s">
        <v>6874</v>
      </c>
      <c r="T1013" t="s">
        <v>11720</v>
      </c>
      <c r="U1013" t="s">
        <v>11720</v>
      </c>
      <c r="V1013" t="s">
        <v>11720</v>
      </c>
      <c r="W1013" t="s">
        <v>12706</v>
      </c>
      <c r="X1013">
        <v>16</v>
      </c>
      <c r="Y1013" t="s">
        <v>18498</v>
      </c>
      <c r="Z1013" t="s">
        <v>24220</v>
      </c>
      <c r="AA1013">
        <v>0.41010748923399648</v>
      </c>
      <c r="AB1013" t="str">
        <f>HYPERLINK("Melting_Curves/meltCurve_J3KN75_TBC1D8B.pdf", "Melting_Curves/meltCurve_J3KN75_TBC1D8B.pdf")</f>
        <v>Melting_Curves/meltCurve_J3KN75_TBC1D8B.pdf</v>
      </c>
    </row>
    <row r="1014" spans="1:28" x14ac:dyDescent="0.25">
      <c r="A1014" t="s">
        <v>1018</v>
      </c>
      <c r="B1014">
        <v>0.99334974765950101</v>
      </c>
      <c r="C1014">
        <v>1.0151572608369701</v>
      </c>
      <c r="D1014">
        <v>0.86248366592529302</v>
      </c>
      <c r="E1014">
        <v>0.90069899153903399</v>
      </c>
      <c r="F1014">
        <v>1.5872572927433199</v>
      </c>
      <c r="G1014">
        <v>0.86780412167579901</v>
      </c>
      <c r="H1014">
        <v>0.86078155338015505</v>
      </c>
      <c r="I1014">
        <v>1.1518448631806799</v>
      </c>
      <c r="J1014">
        <v>1.6704551283156901</v>
      </c>
      <c r="K1014">
        <v>1.2833121034403401</v>
      </c>
      <c r="L1014">
        <v>15000</v>
      </c>
      <c r="M1014">
        <v>233.61439642151799</v>
      </c>
      <c r="O1014">
        <v>64.203662977027406</v>
      </c>
      <c r="P1014">
        <v>0.43380275089911202</v>
      </c>
      <c r="Q1014">
        <v>1.47688374386697</v>
      </c>
      <c r="R1014">
        <v>0.40855152633202901</v>
      </c>
      <c r="S1014" t="s">
        <v>6875</v>
      </c>
      <c r="T1014" t="s">
        <v>11720</v>
      </c>
      <c r="U1014" t="s">
        <v>11720</v>
      </c>
      <c r="V1014" t="s">
        <v>11720</v>
      </c>
      <c r="W1014" t="s">
        <v>12500</v>
      </c>
      <c r="X1014">
        <v>15</v>
      </c>
      <c r="Y1014" t="s">
        <v>18296</v>
      </c>
      <c r="Z1014" t="s">
        <v>24221</v>
      </c>
      <c r="AA1014">
        <v>1.092002904155442</v>
      </c>
      <c r="AB1014" t="str">
        <f>HYPERLINK("Melting_Curves/meltCurve_J3KND3_MYL6.pdf", "Melting_Curves/meltCurve_J3KND3_MYL6.pdf")</f>
        <v>Melting_Curves/meltCurve_J3KND3_MYL6.pdf</v>
      </c>
    </row>
    <row r="1015" spans="1:28" x14ac:dyDescent="0.25">
      <c r="A1015" t="s">
        <v>1019</v>
      </c>
      <c r="B1015">
        <v>0.99334974765950101</v>
      </c>
      <c r="C1015">
        <v>0.94210303306889598</v>
      </c>
      <c r="D1015">
        <v>0.85470703241557799</v>
      </c>
      <c r="E1015">
        <v>0.67507064551745999</v>
      </c>
      <c r="F1015">
        <v>0.366343242353181</v>
      </c>
      <c r="G1015">
        <v>0.227096718790602</v>
      </c>
      <c r="H1015">
        <v>0.15770081396244001</v>
      </c>
      <c r="I1015">
        <v>0.14184830040610999</v>
      </c>
      <c r="J1015">
        <v>0.13875685084355599</v>
      </c>
      <c r="K1015">
        <v>0.117925790191078</v>
      </c>
      <c r="L1015">
        <v>910.40010204036003</v>
      </c>
      <c r="M1015">
        <v>17.905378337648902</v>
      </c>
      <c r="N1015">
        <v>51.606466850583097</v>
      </c>
      <c r="O1015">
        <v>50.223601302531002</v>
      </c>
      <c r="P1015">
        <v>-7.8786245975647498E-2</v>
      </c>
      <c r="Q1015">
        <v>0.11608059450356201</v>
      </c>
      <c r="R1015">
        <v>0.99522979398719902</v>
      </c>
      <c r="S1015" t="s">
        <v>6876</v>
      </c>
      <c r="T1015" t="s">
        <v>11720</v>
      </c>
      <c r="U1015" t="s">
        <v>11720</v>
      </c>
      <c r="V1015" t="s">
        <v>11720</v>
      </c>
      <c r="W1015" t="s">
        <v>12707</v>
      </c>
      <c r="X1015">
        <v>14</v>
      </c>
      <c r="Y1015" t="s">
        <v>18499</v>
      </c>
      <c r="Z1015" t="s">
        <v>24222</v>
      </c>
      <c r="AA1015">
        <v>0.45068324959801098</v>
      </c>
      <c r="AB1015" t="str">
        <f>HYPERLINK("Melting_Curves/meltCurve_J3KNF4_CCS.pdf", "Melting_Curves/meltCurve_J3KNF4_CCS.pdf")</f>
        <v>Melting_Curves/meltCurve_J3KNF4_CCS.pdf</v>
      </c>
    </row>
    <row r="1016" spans="1:28" x14ac:dyDescent="0.25">
      <c r="A1016" t="s">
        <v>1020</v>
      </c>
      <c r="B1016">
        <v>0.99334974765950101</v>
      </c>
      <c r="C1016">
        <v>1.0142146261187099</v>
      </c>
      <c r="D1016">
        <v>1.12743441884756</v>
      </c>
      <c r="E1016">
        <v>1.27030275847465</v>
      </c>
      <c r="F1016">
        <v>1.05245587613275</v>
      </c>
      <c r="G1016">
        <v>0.63225633852186602</v>
      </c>
      <c r="H1016">
        <v>0.51204146956097596</v>
      </c>
      <c r="I1016">
        <v>0.26639239642677198</v>
      </c>
      <c r="J1016">
        <v>0.147159856667128</v>
      </c>
      <c r="K1016">
        <v>8.4464551317374598E-2</v>
      </c>
      <c r="L1016">
        <v>1285.93301580498</v>
      </c>
      <c r="M1016">
        <v>21.434939058456401</v>
      </c>
      <c r="N1016">
        <v>60.361222895775498</v>
      </c>
      <c r="O1016">
        <v>59.477557018848003</v>
      </c>
      <c r="P1016">
        <v>-8.4568630395060698E-2</v>
      </c>
      <c r="Q1016">
        <v>6.1381050377209902E-2</v>
      </c>
      <c r="R1016">
        <v>0.92393468384838295</v>
      </c>
      <c r="S1016" t="s">
        <v>6877</v>
      </c>
      <c r="T1016" t="s">
        <v>11720</v>
      </c>
      <c r="U1016" t="s">
        <v>11720</v>
      </c>
      <c r="V1016" t="s">
        <v>11720</v>
      </c>
      <c r="W1016" t="s">
        <v>12708</v>
      </c>
      <c r="X1016">
        <v>2</v>
      </c>
      <c r="Y1016" t="s">
        <v>18500</v>
      </c>
      <c r="Z1016" t="s">
        <v>24223</v>
      </c>
      <c r="AA1016">
        <v>0.69459842537563432</v>
      </c>
      <c r="AB1016" t="str">
        <f>HYPERLINK("Melting_Curves/meltCurve_J3KNF5_CEP290.pdf", "Melting_Curves/meltCurve_J3KNF5_CEP290.pdf")</f>
        <v>Melting_Curves/meltCurve_J3KNF5_CEP290.pdf</v>
      </c>
    </row>
    <row r="1017" spans="1:28" x14ac:dyDescent="0.25">
      <c r="A1017" t="s">
        <v>1021</v>
      </c>
      <c r="B1017">
        <v>0.99334974765950101</v>
      </c>
      <c r="C1017">
        <v>0.93052197994388497</v>
      </c>
      <c r="D1017">
        <v>0.894022827744819</v>
      </c>
      <c r="E1017">
        <v>0.77589460988510595</v>
      </c>
      <c r="F1017">
        <v>0.36289413879119298</v>
      </c>
      <c r="G1017">
        <v>0.35222932406961299</v>
      </c>
      <c r="H1017">
        <v>0.348423758058862</v>
      </c>
      <c r="I1017">
        <v>0.71783479925961802</v>
      </c>
      <c r="J1017">
        <v>0.84831252942769697</v>
      </c>
      <c r="K1017">
        <v>0.57756405090400997</v>
      </c>
      <c r="L1017">
        <v>12503.706684671401</v>
      </c>
      <c r="M1017">
        <v>250</v>
      </c>
      <c r="O1017">
        <v>50.011639930762101</v>
      </c>
      <c r="P1017">
        <v>-0.58168586690907698</v>
      </c>
      <c r="Q1017">
        <v>0.53454310245536896</v>
      </c>
      <c r="R1017">
        <v>0.56919221261118302</v>
      </c>
      <c r="S1017" t="s">
        <v>6878</v>
      </c>
      <c r="T1017" t="s">
        <v>11720</v>
      </c>
      <c r="U1017" t="s">
        <v>11720</v>
      </c>
      <c r="V1017" t="s">
        <v>11720</v>
      </c>
      <c r="W1017" t="s">
        <v>12709</v>
      </c>
      <c r="X1017">
        <v>2</v>
      </c>
      <c r="Y1017" t="s">
        <v>18501</v>
      </c>
      <c r="Z1017" t="s">
        <v>24224</v>
      </c>
      <c r="AA1017">
        <v>0.68996629748862248</v>
      </c>
      <c r="AB1017" t="str">
        <f>HYPERLINK("Melting_Curves/meltCurve_J3KNF6_RGMB.pdf", "Melting_Curves/meltCurve_J3KNF6_RGMB.pdf")</f>
        <v>Melting_Curves/meltCurve_J3KNF6_RGMB.pdf</v>
      </c>
    </row>
    <row r="1018" spans="1:28" x14ac:dyDescent="0.25">
      <c r="A1018" t="s">
        <v>1022</v>
      </c>
      <c r="B1018">
        <v>0.99334974765950101</v>
      </c>
      <c r="C1018">
        <v>1.0063240999626899</v>
      </c>
      <c r="D1018">
        <v>0.84205278540680295</v>
      </c>
      <c r="E1018">
        <v>0.80645784369606499</v>
      </c>
      <c r="F1018">
        <v>0.52598501651381802</v>
      </c>
      <c r="G1018">
        <v>0.53677409223152805</v>
      </c>
      <c r="H1018">
        <v>0.462215016771304</v>
      </c>
      <c r="I1018">
        <v>0.75617405559476103</v>
      </c>
      <c r="J1018">
        <v>0.58629246037805205</v>
      </c>
      <c r="K1018">
        <v>0.441825995352293</v>
      </c>
      <c r="L1018">
        <v>1074.2445963391799</v>
      </c>
      <c r="M1018">
        <v>22.0088727989163</v>
      </c>
      <c r="O1018">
        <v>48.412027585900297</v>
      </c>
      <c r="P1018">
        <v>-5.1654120865510099E-2</v>
      </c>
      <c r="Q1018">
        <v>0.54552432102312098</v>
      </c>
      <c r="R1018">
        <v>0.79050472464593702</v>
      </c>
      <c r="S1018" t="s">
        <v>6879</v>
      </c>
      <c r="T1018" t="s">
        <v>11720</v>
      </c>
      <c r="U1018" t="s">
        <v>11720</v>
      </c>
      <c r="V1018" t="s">
        <v>11720</v>
      </c>
      <c r="W1018" t="s">
        <v>12710</v>
      </c>
      <c r="X1018">
        <v>2</v>
      </c>
      <c r="Y1018" t="s">
        <v>18502</v>
      </c>
      <c r="Z1018" t="s">
        <v>24225</v>
      </c>
      <c r="AA1018">
        <v>0.68422032961773227</v>
      </c>
      <c r="AB1018" t="str">
        <f>HYPERLINK("Melting_Curves/meltCurve_J3KNF8_CYB5B.pdf", "Melting_Curves/meltCurve_J3KNF8_CYB5B.pdf")</f>
        <v>Melting_Curves/meltCurve_J3KNF8_CYB5B.pdf</v>
      </c>
    </row>
    <row r="1019" spans="1:28" x14ac:dyDescent="0.25">
      <c r="A1019" t="s">
        <v>1023</v>
      </c>
      <c r="B1019">
        <v>0.99334974765950101</v>
      </c>
      <c r="C1019">
        <v>0.958237842501381</v>
      </c>
      <c r="D1019">
        <v>0.75350494431580695</v>
      </c>
      <c r="E1019">
        <v>0.29153310616876399</v>
      </c>
      <c r="F1019">
        <v>0.19902228885144599</v>
      </c>
      <c r="G1019">
        <v>0.133677486305987</v>
      </c>
      <c r="H1019">
        <v>8.9113213523313403E-2</v>
      </c>
      <c r="I1019">
        <v>7.5846764359342803E-2</v>
      </c>
      <c r="J1019">
        <v>6.7978876481481904E-2</v>
      </c>
      <c r="K1019">
        <v>4.5935202983273797E-2</v>
      </c>
      <c r="L1019">
        <v>1145.2364114126999</v>
      </c>
      <c r="M1019">
        <v>23.931822572697499</v>
      </c>
      <c r="N1019">
        <v>48.203223371105203</v>
      </c>
      <c r="O1019">
        <v>47.523746960381402</v>
      </c>
      <c r="P1019">
        <v>-0.115879107826643</v>
      </c>
      <c r="Q1019">
        <v>7.9565078180288004E-2</v>
      </c>
      <c r="R1019">
        <v>0.99614298609877305</v>
      </c>
      <c r="S1019" t="s">
        <v>6880</v>
      </c>
      <c r="T1019" t="s">
        <v>11720</v>
      </c>
      <c r="U1019" t="s">
        <v>11720</v>
      </c>
      <c r="V1019" t="s">
        <v>11720</v>
      </c>
      <c r="W1019" t="s">
        <v>12711</v>
      </c>
      <c r="X1019">
        <v>13</v>
      </c>
      <c r="Y1019" t="s">
        <v>18503</v>
      </c>
      <c r="Z1019" t="s">
        <v>24226</v>
      </c>
      <c r="AA1019">
        <v>0.32947417843560289</v>
      </c>
      <c r="AB1019" t="str">
        <f>HYPERLINK("Melting_Curves/meltCurve_J3KNI1_COG4.pdf", "Melting_Curves/meltCurve_J3KNI1_COG4.pdf")</f>
        <v>Melting_Curves/meltCurve_J3KNI1_COG4.pdf</v>
      </c>
    </row>
    <row r="1020" spans="1:28" x14ac:dyDescent="0.25">
      <c r="A1020" t="s">
        <v>1024</v>
      </c>
      <c r="B1020">
        <v>0.99334974765950101</v>
      </c>
      <c r="C1020">
        <v>0.95404313086093195</v>
      </c>
      <c r="D1020">
        <v>0.82914271088131797</v>
      </c>
      <c r="E1020">
        <v>0.49660048294933901</v>
      </c>
      <c r="F1020">
        <v>0.25366992547603201</v>
      </c>
      <c r="G1020">
        <v>0.18684367855401099</v>
      </c>
      <c r="H1020">
        <v>0.146475762782771</v>
      </c>
      <c r="I1020">
        <v>0.116611204619986</v>
      </c>
      <c r="J1020">
        <v>9.6934204169072294E-2</v>
      </c>
      <c r="K1020">
        <v>8.4063450268416898E-2</v>
      </c>
      <c r="L1020">
        <v>988.33958987157905</v>
      </c>
      <c r="M1020">
        <v>20.055685181000801</v>
      </c>
      <c r="N1020">
        <v>49.862956966109898</v>
      </c>
      <c r="O1020">
        <v>48.797675297584497</v>
      </c>
      <c r="P1020">
        <v>-9.20104501936789E-2</v>
      </c>
      <c r="Q1020">
        <v>0.10454284249937899</v>
      </c>
      <c r="R1020">
        <v>0.99780478449351595</v>
      </c>
      <c r="S1020" t="s">
        <v>6881</v>
      </c>
      <c r="T1020" t="s">
        <v>11720</v>
      </c>
      <c r="U1020" t="s">
        <v>11720</v>
      </c>
      <c r="V1020" t="s">
        <v>11720</v>
      </c>
      <c r="W1020" t="s">
        <v>12712</v>
      </c>
      <c r="X1020">
        <v>2</v>
      </c>
      <c r="Y1020" t="s">
        <v>18504</v>
      </c>
      <c r="Z1020" t="s">
        <v>24227</v>
      </c>
      <c r="AA1020">
        <v>0.39397531316623818</v>
      </c>
      <c r="AB1020" t="str">
        <f>HYPERLINK("Melting_Curves/meltCurve_J3KNL3_CHID1.pdf", "Melting_Curves/meltCurve_J3KNL3_CHID1.pdf")</f>
        <v>Melting_Curves/meltCurve_J3KNL3_CHID1.pdf</v>
      </c>
    </row>
    <row r="1021" spans="1:28" x14ac:dyDescent="0.25">
      <c r="A1021" t="s">
        <v>1025</v>
      </c>
      <c r="B1021">
        <v>0.99334974765950101</v>
      </c>
      <c r="C1021">
        <v>1.00668638018236</v>
      </c>
      <c r="D1021">
        <v>0.81978126255857398</v>
      </c>
      <c r="E1021">
        <v>0.82918913654047</v>
      </c>
      <c r="F1021">
        <v>0.73983472690000596</v>
      </c>
      <c r="G1021">
        <v>0.57888461568402305</v>
      </c>
      <c r="H1021">
        <v>0.50072397385620104</v>
      </c>
      <c r="I1021">
        <v>0.58497212895888495</v>
      </c>
      <c r="J1021">
        <v>0.64610471783873702</v>
      </c>
      <c r="K1021">
        <v>0.65066192184639005</v>
      </c>
      <c r="L1021">
        <v>769.20302930891705</v>
      </c>
      <c r="M1021">
        <v>15.516076655903399</v>
      </c>
      <c r="O1021">
        <v>48.773014911077198</v>
      </c>
      <c r="P1021">
        <v>-3.30722483715905E-2</v>
      </c>
      <c r="Q1021">
        <v>0.584201453548023</v>
      </c>
      <c r="R1021">
        <v>0.87480922559739804</v>
      </c>
      <c r="S1021" t="s">
        <v>6882</v>
      </c>
      <c r="T1021" t="s">
        <v>11720</v>
      </c>
      <c r="U1021" t="s">
        <v>11720</v>
      </c>
      <c r="V1021" t="s">
        <v>11720</v>
      </c>
      <c r="W1021" t="s">
        <v>12713</v>
      </c>
      <c r="X1021">
        <v>19</v>
      </c>
      <c r="Y1021" t="s">
        <v>18505</v>
      </c>
      <c r="Z1021" t="s">
        <v>24228</v>
      </c>
      <c r="AA1021">
        <v>0.7263557970261717</v>
      </c>
      <c r="AB1021" t="str">
        <f>HYPERLINK("Melting_Curves/meltCurve_J3KNL6_SEC16A.pdf", "Melting_Curves/meltCurve_J3KNL6_SEC16A.pdf")</f>
        <v>Melting_Curves/meltCurve_J3KNL6_SEC16A.pdf</v>
      </c>
    </row>
    <row r="1022" spans="1:28" x14ac:dyDescent="0.25">
      <c r="A1022" t="s">
        <v>1026</v>
      </c>
      <c r="B1022">
        <v>0.99334974765950101</v>
      </c>
      <c r="C1022">
        <v>0.94358555631012897</v>
      </c>
      <c r="D1022">
        <v>0.77824171985325397</v>
      </c>
      <c r="E1022">
        <v>0.426368589425695</v>
      </c>
      <c r="F1022">
        <v>0.53101414086725496</v>
      </c>
      <c r="G1022">
        <v>0.29316904234171198</v>
      </c>
      <c r="H1022">
        <v>0.29139254187112301</v>
      </c>
      <c r="I1022">
        <v>0.23660855830969399</v>
      </c>
      <c r="J1022">
        <v>0.39326416153951799</v>
      </c>
      <c r="K1022">
        <v>0.31461419997512902</v>
      </c>
      <c r="L1022">
        <v>925.24961024260097</v>
      </c>
      <c r="M1022">
        <v>19.4322026274316</v>
      </c>
      <c r="N1022">
        <v>50.120693648872901</v>
      </c>
      <c r="O1022">
        <v>47.118609469111803</v>
      </c>
      <c r="P1022">
        <v>-7.1061616392640095E-2</v>
      </c>
      <c r="Q1022">
        <v>0.310793217959346</v>
      </c>
      <c r="R1022">
        <v>0.94336988293587798</v>
      </c>
      <c r="S1022" t="s">
        <v>6883</v>
      </c>
      <c r="T1022" t="s">
        <v>11720</v>
      </c>
      <c r="U1022" t="s">
        <v>11720</v>
      </c>
      <c r="V1022" t="s">
        <v>11720</v>
      </c>
      <c r="W1022" t="s">
        <v>12714</v>
      </c>
      <c r="X1022">
        <v>3</v>
      </c>
      <c r="Y1022" t="s">
        <v>18506</v>
      </c>
      <c r="Z1022" t="s">
        <v>24229</v>
      </c>
      <c r="AA1022">
        <v>0.49623647970648632</v>
      </c>
      <c r="AB1022" t="str">
        <f>HYPERLINK("Melting_Curves/meltCurve_J3KNL7_FAM63B.pdf", "Melting_Curves/meltCurve_J3KNL7_FAM63B.pdf")</f>
        <v>Melting_Curves/meltCurve_J3KNL7_FAM63B.pdf</v>
      </c>
    </row>
    <row r="1023" spans="1:28" x14ac:dyDescent="0.25">
      <c r="A1023" t="s">
        <v>1027</v>
      </c>
      <c r="B1023">
        <v>0.99334974765950101</v>
      </c>
      <c r="C1023">
        <v>0.95718321437991105</v>
      </c>
      <c r="D1023">
        <v>0.859510100711814</v>
      </c>
      <c r="E1023">
        <v>0.43537507404473602</v>
      </c>
      <c r="F1023">
        <v>0.45371582714759701</v>
      </c>
      <c r="G1023">
        <v>0.25883333869938102</v>
      </c>
      <c r="H1023">
        <v>0.21126648021900599</v>
      </c>
      <c r="I1023">
        <v>0.224538912795262</v>
      </c>
      <c r="J1023">
        <v>0.29432442357336502</v>
      </c>
      <c r="K1023">
        <v>0.117925221113667</v>
      </c>
      <c r="L1023">
        <v>921.21950802241895</v>
      </c>
      <c r="M1023">
        <v>18.823705890135699</v>
      </c>
      <c r="N1023">
        <v>50.398539475948397</v>
      </c>
      <c r="O1023">
        <v>48.397040936169901</v>
      </c>
      <c r="P1023">
        <v>-7.6811525475923001E-2</v>
      </c>
      <c r="Q1023">
        <v>0.21008196189994499</v>
      </c>
      <c r="R1023">
        <v>0.96512980604185405</v>
      </c>
      <c r="S1023" t="s">
        <v>6884</v>
      </c>
      <c r="T1023" t="s">
        <v>11720</v>
      </c>
      <c r="U1023" t="s">
        <v>11720</v>
      </c>
      <c r="V1023" t="s">
        <v>11720</v>
      </c>
      <c r="W1023" t="s">
        <v>12715</v>
      </c>
      <c r="X1023">
        <v>1</v>
      </c>
      <c r="Y1023" t="s">
        <v>18507</v>
      </c>
      <c r="Z1023" t="s">
        <v>24230</v>
      </c>
      <c r="AA1023">
        <v>0.45797991714382669</v>
      </c>
      <c r="AB1023" t="str">
        <f>HYPERLINK("Melting_Curves/meltCurve_J3KNM9_FBXL7.pdf", "Melting_Curves/meltCurve_J3KNM9_FBXL7.pdf")</f>
        <v>Melting_Curves/meltCurve_J3KNM9_FBXL7.pdf</v>
      </c>
    </row>
    <row r="1024" spans="1:28" x14ac:dyDescent="0.25">
      <c r="A1024" t="s">
        <v>1028</v>
      </c>
      <c r="B1024">
        <v>0.99334974765950101</v>
      </c>
      <c r="C1024">
        <v>1.14008649978606</v>
      </c>
      <c r="D1024">
        <v>0.92321312389237897</v>
      </c>
      <c r="E1024">
        <v>0.50714810486329098</v>
      </c>
      <c r="F1024">
        <v>0.242328177820752</v>
      </c>
      <c r="G1024">
        <v>0.135224064922635</v>
      </c>
      <c r="H1024">
        <v>0.109348003373938</v>
      </c>
      <c r="I1024">
        <v>9.70461517944253E-2</v>
      </c>
      <c r="J1024">
        <v>0.13539485091914699</v>
      </c>
      <c r="K1024">
        <v>0.148294172352852</v>
      </c>
      <c r="L1024">
        <v>1589.1789146641399</v>
      </c>
      <c r="M1024">
        <v>32.004496014522303</v>
      </c>
      <c r="N1024">
        <v>50.099936745809799</v>
      </c>
      <c r="O1024">
        <v>49.462208261479702</v>
      </c>
      <c r="P1024">
        <v>-0.14174720927183401</v>
      </c>
      <c r="Q1024">
        <v>0.12373629578426899</v>
      </c>
      <c r="R1024">
        <v>0.98504048214926498</v>
      </c>
      <c r="S1024" t="s">
        <v>6885</v>
      </c>
      <c r="T1024" t="s">
        <v>11720</v>
      </c>
      <c r="U1024" t="s">
        <v>11720</v>
      </c>
      <c r="V1024" t="s">
        <v>11720</v>
      </c>
      <c r="W1024" t="s">
        <v>12716</v>
      </c>
      <c r="X1024">
        <v>10</v>
      </c>
      <c r="Y1024" t="s">
        <v>18508</v>
      </c>
      <c r="Z1024" t="s">
        <v>24231</v>
      </c>
      <c r="AA1024">
        <v>0.410469745361005</v>
      </c>
      <c r="AB1024" t="str">
        <f>HYPERLINK("Melting_Curves/meltCurve_J3KNN7_BRAP.pdf", "Melting_Curves/meltCurve_J3KNN7_BRAP.pdf")</f>
        <v>Melting_Curves/meltCurve_J3KNN7_BRAP.pdf</v>
      </c>
    </row>
    <row r="1025" spans="1:28" x14ac:dyDescent="0.25">
      <c r="A1025" t="s">
        <v>1029</v>
      </c>
      <c r="B1025">
        <v>0.99334974765950101</v>
      </c>
      <c r="C1025">
        <v>1.07136434329444</v>
      </c>
      <c r="D1025">
        <v>1.0853243228199501</v>
      </c>
      <c r="E1025">
        <v>0.95044956623227195</v>
      </c>
      <c r="F1025">
        <v>0.28733222579026102</v>
      </c>
      <c r="G1025">
        <v>0.16220145922964899</v>
      </c>
      <c r="H1025">
        <v>0.110752441065759</v>
      </c>
      <c r="I1025">
        <v>0.107017779353398</v>
      </c>
      <c r="J1025">
        <v>0.113550300096372</v>
      </c>
      <c r="K1025">
        <v>7.9212610461309299E-2</v>
      </c>
      <c r="L1025">
        <v>3712.56097254515</v>
      </c>
      <c r="M1025">
        <v>71.454843290003893</v>
      </c>
      <c r="N1025">
        <v>52.1456916660891</v>
      </c>
      <c r="O1025">
        <v>51.916083155154404</v>
      </c>
      <c r="P1025">
        <v>-0.30484316606936102</v>
      </c>
      <c r="Q1025">
        <v>0.114055139729358</v>
      </c>
      <c r="R1025">
        <v>0.99167364434495997</v>
      </c>
      <c r="S1025" t="s">
        <v>6886</v>
      </c>
      <c r="T1025" t="s">
        <v>11720</v>
      </c>
      <c r="U1025" t="s">
        <v>11720</v>
      </c>
      <c r="V1025" t="s">
        <v>11720</v>
      </c>
      <c r="W1025" t="s">
        <v>12717</v>
      </c>
      <c r="X1025">
        <v>11</v>
      </c>
      <c r="Y1025" t="s">
        <v>18509</v>
      </c>
      <c r="Z1025" t="s">
        <v>24232</v>
      </c>
      <c r="AA1025">
        <v>0.46814699949187938</v>
      </c>
      <c r="AB1025" t="str">
        <f>HYPERLINK("Melting_Curves/meltCurve_J3KNQ4_PARVA.pdf", "Melting_Curves/meltCurve_J3KNQ4_PARVA.pdf")</f>
        <v>Melting_Curves/meltCurve_J3KNQ4_PARVA.pdf</v>
      </c>
    </row>
    <row r="1026" spans="1:28" x14ac:dyDescent="0.25">
      <c r="A1026" t="s">
        <v>1030</v>
      </c>
      <c r="B1026">
        <v>0.99334974765950101</v>
      </c>
      <c r="C1026">
        <v>0.970540366606502</v>
      </c>
      <c r="D1026">
        <v>0.96318639510750603</v>
      </c>
      <c r="E1026">
        <v>0.48568761220133</v>
      </c>
      <c r="F1026">
        <v>0.334160833763748</v>
      </c>
      <c r="G1026">
        <v>0.35954393979065502</v>
      </c>
      <c r="H1026">
        <v>0.32422583561707302</v>
      </c>
      <c r="I1026">
        <v>0.29624064897229202</v>
      </c>
      <c r="J1026">
        <v>0.259737975518265</v>
      </c>
      <c r="K1026">
        <v>0.188863426675239</v>
      </c>
      <c r="L1026">
        <v>1986.9159911115701</v>
      </c>
      <c r="M1026">
        <v>40.632526710197098</v>
      </c>
      <c r="N1026">
        <v>49.951274972439897</v>
      </c>
      <c r="O1026">
        <v>48.781656692205701</v>
      </c>
      <c r="P1026">
        <v>-0.148378814221484</v>
      </c>
      <c r="Q1026">
        <v>0.28745277143148601</v>
      </c>
      <c r="R1026">
        <v>0.98092460776885604</v>
      </c>
      <c r="S1026" t="s">
        <v>6887</v>
      </c>
      <c r="T1026" t="s">
        <v>11720</v>
      </c>
      <c r="U1026" t="s">
        <v>11720</v>
      </c>
      <c r="V1026" t="s">
        <v>11720</v>
      </c>
      <c r="W1026" t="s">
        <v>12718</v>
      </c>
      <c r="X1026">
        <v>3</v>
      </c>
      <c r="Y1026" t="s">
        <v>18510</v>
      </c>
      <c r="Z1026" t="s">
        <v>24233</v>
      </c>
      <c r="AA1026">
        <v>0.50116924421428488</v>
      </c>
      <c r="AB1026" t="str">
        <f>HYPERLINK("Melting_Curves/meltCurve_J3KNT4_FGFR1.pdf", "Melting_Curves/meltCurve_J3KNT4_FGFR1.pdf")</f>
        <v>Melting_Curves/meltCurve_J3KNT4_FGFR1.pdf</v>
      </c>
    </row>
    <row r="1027" spans="1:28" x14ac:dyDescent="0.25">
      <c r="A1027" t="s">
        <v>1031</v>
      </c>
      <c r="B1027">
        <v>0.99334974765950101</v>
      </c>
      <c r="C1027">
        <v>0.89724693054387405</v>
      </c>
      <c r="D1027">
        <v>0.83725177628658998</v>
      </c>
      <c r="E1027">
        <v>0.60685133986631701</v>
      </c>
      <c r="F1027">
        <v>0.3553857246994</v>
      </c>
      <c r="G1027">
        <v>0.35767074132064702</v>
      </c>
      <c r="H1027">
        <v>0.16729095713355499</v>
      </c>
      <c r="I1027">
        <v>0.15188560194983</v>
      </c>
      <c r="J1027">
        <v>0.19288860986897</v>
      </c>
      <c r="K1027">
        <v>0.28056062205216598</v>
      </c>
      <c r="L1027">
        <v>804.35017243038499</v>
      </c>
      <c r="M1027">
        <v>16.179198859417799</v>
      </c>
      <c r="N1027">
        <v>51.232462032393002</v>
      </c>
      <c r="O1027">
        <v>48.974181967217199</v>
      </c>
      <c r="P1027">
        <v>-6.6873900992121996E-2</v>
      </c>
      <c r="Q1027">
        <v>0.19035561236442899</v>
      </c>
      <c r="R1027">
        <v>0.97227153405656996</v>
      </c>
      <c r="S1027" t="s">
        <v>6888</v>
      </c>
      <c r="T1027" t="s">
        <v>11720</v>
      </c>
      <c r="U1027" t="s">
        <v>11720</v>
      </c>
      <c r="V1027" t="s">
        <v>11720</v>
      </c>
      <c r="W1027" t="s">
        <v>12719</v>
      </c>
      <c r="X1027">
        <v>25</v>
      </c>
      <c r="Y1027" t="s">
        <v>18511</v>
      </c>
      <c r="Z1027" t="s">
        <v>24234</v>
      </c>
      <c r="AA1027">
        <v>0.46951200961543071</v>
      </c>
      <c r="AB1027" t="str">
        <f>HYPERLINK("Melting_Curves/meltCurve_J3KNW4_FHL2.pdf", "Melting_Curves/meltCurve_J3KNW4_FHL2.pdf")</f>
        <v>Melting_Curves/meltCurve_J3KNW4_FHL2.pdf</v>
      </c>
    </row>
    <row r="1028" spans="1:28" x14ac:dyDescent="0.25">
      <c r="A1028" t="s">
        <v>1032</v>
      </c>
      <c r="B1028">
        <v>0.99334974765950101</v>
      </c>
      <c r="C1028">
        <v>1.0221036460966599</v>
      </c>
      <c r="D1028">
        <v>0.96046390103420698</v>
      </c>
      <c r="E1028">
        <v>1.10971444202426</v>
      </c>
      <c r="F1028">
        <v>1.1888752700766001</v>
      </c>
      <c r="G1028">
        <v>0.77154336415052305</v>
      </c>
      <c r="H1028">
        <v>0.80279359073142897</v>
      </c>
      <c r="I1028">
        <v>0.75700354903252098</v>
      </c>
      <c r="J1028">
        <v>1.0765890791405199</v>
      </c>
      <c r="K1028">
        <v>0.889612571979433</v>
      </c>
      <c r="L1028">
        <v>2704.1462502333402</v>
      </c>
      <c r="M1028">
        <v>48.785956420362602</v>
      </c>
      <c r="O1028">
        <v>55.335893022453398</v>
      </c>
      <c r="P1028">
        <v>-3.0221402523784201E-2</v>
      </c>
      <c r="Q1028">
        <v>0.862884588780364</v>
      </c>
      <c r="R1028">
        <v>0.344499437010864</v>
      </c>
      <c r="S1028" t="s">
        <v>6889</v>
      </c>
      <c r="T1028" t="s">
        <v>11720</v>
      </c>
      <c r="U1028" t="s">
        <v>11720</v>
      </c>
      <c r="V1028" t="s">
        <v>11720</v>
      </c>
      <c r="W1028" t="s">
        <v>12720</v>
      </c>
      <c r="X1028">
        <v>6</v>
      </c>
      <c r="Y1028" t="s">
        <v>18512</v>
      </c>
      <c r="Z1028" t="s">
        <v>24235</v>
      </c>
      <c r="AA1028">
        <v>0.93375395699519081</v>
      </c>
      <c r="AB1028" t="str">
        <f>HYPERLINK("Melting_Curves/meltCurve_J3KNX9_MYO18A.pdf", "Melting_Curves/meltCurve_J3KNX9_MYO18A.pdf")</f>
        <v>Melting_Curves/meltCurve_J3KNX9_MYO18A.pdf</v>
      </c>
    </row>
    <row r="1029" spans="1:28" x14ac:dyDescent="0.25">
      <c r="A1029" t="s">
        <v>1033</v>
      </c>
      <c r="B1029">
        <v>0.99334974765950101</v>
      </c>
      <c r="C1029">
        <v>1.0506554127599399</v>
      </c>
      <c r="D1029">
        <v>0.96796263980382102</v>
      </c>
      <c r="E1029">
        <v>0.95081710225751004</v>
      </c>
      <c r="F1029">
        <v>0.92105512194016403</v>
      </c>
      <c r="G1029">
        <v>0.75535377106671597</v>
      </c>
      <c r="H1029">
        <v>1.0218234066863701</v>
      </c>
      <c r="I1029">
        <v>1.2514611853686699</v>
      </c>
      <c r="J1029">
        <v>1.9027876626006299</v>
      </c>
      <c r="K1029">
        <v>1.9793776913896</v>
      </c>
      <c r="L1029">
        <v>15000</v>
      </c>
      <c r="M1029">
        <v>234.38704927419701</v>
      </c>
      <c r="O1029">
        <v>63.992066067493802</v>
      </c>
      <c r="P1029">
        <v>0.45784407273144001</v>
      </c>
      <c r="Q1029">
        <v>1.5</v>
      </c>
      <c r="R1029">
        <v>0.70738454360439795</v>
      </c>
      <c r="S1029" t="s">
        <v>6890</v>
      </c>
      <c r="T1029" t="s">
        <v>11720</v>
      </c>
      <c r="U1029" t="s">
        <v>11720</v>
      </c>
      <c r="V1029" t="s">
        <v>11720</v>
      </c>
      <c r="W1029" t="s">
        <v>12721</v>
      </c>
      <c r="X1029">
        <v>9</v>
      </c>
      <c r="Y1029" t="s">
        <v>18513</v>
      </c>
      <c r="Z1029" t="s">
        <v>24236</v>
      </c>
      <c r="AA1029">
        <v>1.099990945651379</v>
      </c>
      <c r="AB1029" t="str">
        <f>HYPERLINK("Melting_Curves/meltCurve_J3KP15_SRSF2.pdf", "Melting_Curves/meltCurve_J3KP15_SRSF2.pdf")</f>
        <v>Melting_Curves/meltCurve_J3KP15_SRSF2.pdf</v>
      </c>
    </row>
    <row r="1030" spans="1:28" x14ac:dyDescent="0.25">
      <c r="A1030" t="s">
        <v>1034</v>
      </c>
      <c r="B1030">
        <v>0.99334974765950101</v>
      </c>
      <c r="C1030">
        <v>1.02007767348346</v>
      </c>
      <c r="D1030">
        <v>0.95857908186667695</v>
      </c>
      <c r="E1030">
        <v>0.90750985124496097</v>
      </c>
      <c r="F1030">
        <v>0.76782821205119001</v>
      </c>
      <c r="G1030">
        <v>0.475514060194628</v>
      </c>
      <c r="H1030">
        <v>0.41802287987745601</v>
      </c>
      <c r="I1030">
        <v>0.41203966472243098</v>
      </c>
      <c r="J1030">
        <v>0.56156103706880101</v>
      </c>
      <c r="K1030">
        <v>0.667613733039359</v>
      </c>
      <c r="L1030">
        <v>2121.6316904089899</v>
      </c>
      <c r="M1030">
        <v>40.1342438996057</v>
      </c>
      <c r="O1030">
        <v>52.732633432731902</v>
      </c>
      <c r="P1030">
        <v>-9.4368440881438101E-2</v>
      </c>
      <c r="Q1030">
        <v>0.504035795009663</v>
      </c>
      <c r="R1030">
        <v>0.89781740773020902</v>
      </c>
      <c r="S1030" t="s">
        <v>6891</v>
      </c>
      <c r="T1030" t="s">
        <v>11720</v>
      </c>
      <c r="U1030" t="s">
        <v>11720</v>
      </c>
      <c r="V1030" t="s">
        <v>11720</v>
      </c>
      <c r="W1030" t="s">
        <v>12722</v>
      </c>
      <c r="X1030">
        <v>4</v>
      </c>
      <c r="Y1030" t="s">
        <v>18514</v>
      </c>
      <c r="Z1030" t="s">
        <v>24237</v>
      </c>
      <c r="AA1030">
        <v>0.71849336568492128</v>
      </c>
      <c r="AB1030" t="str">
        <f>HYPERLINK("Melting_Curves/meltCurve_J3KP19_SIPA1L1.pdf", "Melting_Curves/meltCurve_J3KP19_SIPA1L1.pdf")</f>
        <v>Melting_Curves/meltCurve_J3KP19_SIPA1L1.pdf</v>
      </c>
    </row>
    <row r="1031" spans="1:28" x14ac:dyDescent="0.25">
      <c r="A1031" t="s">
        <v>1035</v>
      </c>
      <c r="B1031">
        <v>0.99334974765950101</v>
      </c>
      <c r="C1031">
        <v>0.95393431770175596</v>
      </c>
      <c r="D1031">
        <v>0.98039702775180404</v>
      </c>
      <c r="E1031">
        <v>0.82435821896038097</v>
      </c>
      <c r="F1031">
        <v>0.38301694592989499</v>
      </c>
      <c r="G1031">
        <v>0.31146148759834202</v>
      </c>
      <c r="H1031">
        <v>0.23704890751175001</v>
      </c>
      <c r="I1031">
        <v>0.217816254434262</v>
      </c>
      <c r="J1031">
        <v>0.25286109240767202</v>
      </c>
      <c r="K1031">
        <v>0.28647335206395103</v>
      </c>
      <c r="L1031">
        <v>2365.8347857207</v>
      </c>
      <c r="M1031">
        <v>46.174555489601303</v>
      </c>
      <c r="N1031">
        <v>52.057682463114297</v>
      </c>
      <c r="O1031">
        <v>51.140939919034203</v>
      </c>
      <c r="P1031">
        <v>-0.16735209376962201</v>
      </c>
      <c r="Q1031">
        <v>0.25859313727526501</v>
      </c>
      <c r="R1031">
        <v>0.99295425510032997</v>
      </c>
      <c r="S1031" t="s">
        <v>6892</v>
      </c>
      <c r="T1031" t="s">
        <v>11720</v>
      </c>
      <c r="U1031" t="s">
        <v>11720</v>
      </c>
      <c r="V1031" t="s">
        <v>11720</v>
      </c>
      <c r="W1031" t="s">
        <v>12723</v>
      </c>
      <c r="X1031">
        <v>7</v>
      </c>
      <c r="Y1031" t="s">
        <v>18515</v>
      </c>
      <c r="Z1031" t="s">
        <v>24238</v>
      </c>
      <c r="AA1031">
        <v>0.5382600987138686</v>
      </c>
      <c r="AB1031" t="str">
        <f>HYPERLINK("Melting_Curves/meltCurve_J3KP22_PTPRA.pdf", "Melting_Curves/meltCurve_J3KP22_PTPRA.pdf")</f>
        <v>Melting_Curves/meltCurve_J3KP22_PTPRA.pdf</v>
      </c>
    </row>
    <row r="1032" spans="1:28" x14ac:dyDescent="0.25">
      <c r="A1032" t="s">
        <v>1036</v>
      </c>
      <c r="B1032">
        <v>0.99334974765950101</v>
      </c>
      <c r="C1032">
        <v>1.0738779252252</v>
      </c>
      <c r="D1032">
        <v>1.1746981553245599</v>
      </c>
      <c r="E1032">
        <v>1.15101909526521</v>
      </c>
      <c r="F1032">
        <v>0.74696472832390204</v>
      </c>
      <c r="G1032">
        <v>0.63151736463742303</v>
      </c>
      <c r="H1032">
        <v>0.48796200037322801</v>
      </c>
      <c r="I1032">
        <v>0.36367285639084002</v>
      </c>
      <c r="J1032">
        <v>0.22266934403112201</v>
      </c>
      <c r="K1032">
        <v>0.155940919448885</v>
      </c>
      <c r="L1032">
        <v>925.18216065181196</v>
      </c>
      <c r="M1032">
        <v>15.668641268373101</v>
      </c>
      <c r="N1032">
        <v>60.052107643205701</v>
      </c>
      <c r="O1032">
        <v>58.110031642850799</v>
      </c>
      <c r="P1032">
        <v>-5.9637635468161802E-2</v>
      </c>
      <c r="Q1032">
        <v>0.11536686797612</v>
      </c>
      <c r="R1032">
        <v>0.92341078330792903</v>
      </c>
      <c r="S1032" t="s">
        <v>6893</v>
      </c>
      <c r="T1032" t="s">
        <v>11720</v>
      </c>
      <c r="U1032" t="s">
        <v>11720</v>
      </c>
      <c r="V1032" t="s">
        <v>11720</v>
      </c>
      <c r="W1032" t="s">
        <v>12724</v>
      </c>
      <c r="X1032">
        <v>2</v>
      </c>
      <c r="Y1032" t="s">
        <v>18516</v>
      </c>
      <c r="Z1032" t="s">
        <v>24239</v>
      </c>
      <c r="AA1032">
        <v>0.68631023956891657</v>
      </c>
      <c r="AB1032" t="str">
        <f>HYPERLINK("Melting_Curves/meltCurve_J3KP26_ANKRD46.pdf", "Melting_Curves/meltCurve_J3KP26_ANKRD46.pdf")</f>
        <v>Melting_Curves/meltCurve_J3KP26_ANKRD46.pdf</v>
      </c>
    </row>
    <row r="1033" spans="1:28" x14ac:dyDescent="0.25">
      <c r="A1033" t="s">
        <v>1037</v>
      </c>
      <c r="B1033">
        <v>0.99334974765950101</v>
      </c>
      <c r="C1033">
        <v>0.96069377028430103</v>
      </c>
      <c r="D1033">
        <v>0.75861813731816397</v>
      </c>
      <c r="E1033">
        <v>0.53976059226645101</v>
      </c>
      <c r="F1033">
        <v>0.42952056487416601</v>
      </c>
      <c r="G1033">
        <v>0.300599089290355</v>
      </c>
      <c r="H1033">
        <v>0.261777535767793</v>
      </c>
      <c r="I1033">
        <v>0.27545156847702001</v>
      </c>
      <c r="J1033">
        <v>0.28641523299508098</v>
      </c>
      <c r="K1033">
        <v>0.31925605277966002</v>
      </c>
      <c r="L1033">
        <v>858.18940971366203</v>
      </c>
      <c r="M1033">
        <v>17.766817810303401</v>
      </c>
      <c r="N1033">
        <v>50.610033587768598</v>
      </c>
      <c r="O1033">
        <v>47.703448523914403</v>
      </c>
      <c r="P1033">
        <v>-6.7271144429393998E-2</v>
      </c>
      <c r="Q1033">
        <v>0.27755210940520397</v>
      </c>
      <c r="R1033">
        <v>0.99194102265768602</v>
      </c>
      <c r="S1033" t="s">
        <v>6894</v>
      </c>
      <c r="T1033" t="s">
        <v>11720</v>
      </c>
      <c r="U1033" t="s">
        <v>11720</v>
      </c>
      <c r="V1033" t="s">
        <v>11720</v>
      </c>
      <c r="W1033" t="s">
        <v>12725</v>
      </c>
      <c r="X1033">
        <v>9</v>
      </c>
      <c r="Y1033" t="s">
        <v>18517</v>
      </c>
      <c r="Z1033" t="s">
        <v>24240</v>
      </c>
      <c r="AA1033">
        <v>0.4905545654361016</v>
      </c>
      <c r="AB1033" t="str">
        <f>HYPERLINK("Melting_Curves/meltCurve_J3KP29_NUP98.pdf", "Melting_Curves/meltCurve_J3KP29_NUP98.pdf")</f>
        <v>Melting_Curves/meltCurve_J3KP29_NUP98.pdf</v>
      </c>
    </row>
    <row r="1034" spans="1:28" x14ac:dyDescent="0.25">
      <c r="A1034" t="s">
        <v>1038</v>
      </c>
      <c r="B1034">
        <v>0.99334974765950101</v>
      </c>
      <c r="C1034">
        <v>1.0210585999519499</v>
      </c>
      <c r="D1034">
        <v>1.08730676310413</v>
      </c>
      <c r="E1034">
        <v>1.0881313482713399</v>
      </c>
      <c r="F1034">
        <v>1.12224688275341</v>
      </c>
      <c r="G1034">
        <v>0.99062823286134405</v>
      </c>
      <c r="H1034">
        <v>0.83941296493411799</v>
      </c>
      <c r="I1034">
        <v>1.0871425587255801</v>
      </c>
      <c r="J1034">
        <v>0.92534119171804496</v>
      </c>
      <c r="K1034">
        <v>0.80297402860507106</v>
      </c>
      <c r="L1034">
        <v>15000</v>
      </c>
      <c r="M1034">
        <v>223.386177553679</v>
      </c>
      <c r="O1034">
        <v>67.142908766648304</v>
      </c>
      <c r="P1034">
        <v>-0.163896651385884</v>
      </c>
      <c r="Q1034">
        <v>0.80295113968556697</v>
      </c>
      <c r="R1034">
        <v>0.40747283986511201</v>
      </c>
      <c r="S1034" t="s">
        <v>6895</v>
      </c>
      <c r="T1034" t="s">
        <v>11720</v>
      </c>
      <c r="U1034" t="s">
        <v>11720</v>
      </c>
      <c r="V1034" t="s">
        <v>11720</v>
      </c>
      <c r="W1034" t="s">
        <v>12726</v>
      </c>
      <c r="X1034">
        <v>11</v>
      </c>
      <c r="Y1034" t="s">
        <v>18518</v>
      </c>
      <c r="Z1034" t="s">
        <v>24241</v>
      </c>
      <c r="AA1034">
        <v>0.98129797499631821</v>
      </c>
      <c r="AB1034" t="str">
        <f>HYPERLINK("Melting_Curves/meltCurve_J3KP75_PHACTR2.pdf", "Melting_Curves/meltCurve_J3KP75_PHACTR2.pdf")</f>
        <v>Melting_Curves/meltCurve_J3KP75_PHACTR2.pdf</v>
      </c>
    </row>
    <row r="1035" spans="1:28" x14ac:dyDescent="0.25">
      <c r="A1035" t="s">
        <v>1039</v>
      </c>
      <c r="B1035">
        <v>0.99334974765950101</v>
      </c>
      <c r="C1035">
        <v>1.0016894517637001</v>
      </c>
      <c r="D1035">
        <v>0.93787411729288295</v>
      </c>
      <c r="E1035">
        <v>1.01803012335249</v>
      </c>
      <c r="F1035">
        <v>1.0373082410786301</v>
      </c>
      <c r="G1035">
        <v>0.89155255276468903</v>
      </c>
      <c r="H1035">
        <v>0.98088139957530995</v>
      </c>
      <c r="I1035">
        <v>1.3559725392530599</v>
      </c>
      <c r="J1035">
        <v>1.93813716908082</v>
      </c>
      <c r="K1035">
        <v>1.6531972338466301</v>
      </c>
      <c r="L1035">
        <v>15000</v>
      </c>
      <c r="M1035">
        <v>235.28006084333299</v>
      </c>
      <c r="O1035">
        <v>63.749211881522797</v>
      </c>
      <c r="P1035">
        <v>0.46133922431360602</v>
      </c>
      <c r="Q1035">
        <v>1.5</v>
      </c>
      <c r="R1035">
        <v>0.79260119085870495</v>
      </c>
      <c r="S1035" t="s">
        <v>6896</v>
      </c>
      <c r="T1035" t="s">
        <v>11720</v>
      </c>
      <c r="U1035" t="s">
        <v>11720</v>
      </c>
      <c r="V1035" t="s">
        <v>11720</v>
      </c>
      <c r="W1035" t="s">
        <v>12727</v>
      </c>
      <c r="X1035">
        <v>1</v>
      </c>
      <c r="Y1035" t="s">
        <v>18519</v>
      </c>
      <c r="Z1035" t="s">
        <v>24242</v>
      </c>
      <c r="AA1035">
        <v>1.104040023340036</v>
      </c>
      <c r="AB1035" t="str">
        <f>HYPERLINK("Melting_Curves/meltCurve_J3KPA2_TM2D1.pdf", "Melting_Curves/meltCurve_J3KPA2_TM2D1.pdf")</f>
        <v>Melting_Curves/meltCurve_J3KPA2_TM2D1.pdf</v>
      </c>
    </row>
    <row r="1036" spans="1:28" x14ac:dyDescent="0.25">
      <c r="A1036" t="s">
        <v>1040</v>
      </c>
      <c r="B1036">
        <v>0.99334974765950101</v>
      </c>
      <c r="C1036">
        <v>0.95594605767354501</v>
      </c>
      <c r="D1036">
        <v>1.0240364039296299</v>
      </c>
      <c r="E1036">
        <v>0.85879445163179802</v>
      </c>
      <c r="F1036">
        <v>0.50320200490307598</v>
      </c>
      <c r="G1036">
        <v>0.19412089754245601</v>
      </c>
      <c r="H1036">
        <v>0.12577240457318101</v>
      </c>
      <c r="I1036">
        <v>0.103374093958068</v>
      </c>
      <c r="J1036">
        <v>9.8605651735216598E-2</v>
      </c>
      <c r="K1036">
        <v>7.6766035351356093E-2</v>
      </c>
      <c r="L1036">
        <v>1590.5655540183</v>
      </c>
      <c r="M1036">
        <v>30.171385089893999</v>
      </c>
      <c r="N1036">
        <v>53.099535579471699</v>
      </c>
      <c r="O1036">
        <v>52.487722129642897</v>
      </c>
      <c r="P1036">
        <v>-0.129693078356348</v>
      </c>
      <c r="Q1036">
        <v>9.75222897172979E-2</v>
      </c>
      <c r="R1036">
        <v>0.99746492049687796</v>
      </c>
      <c r="S1036" t="s">
        <v>6897</v>
      </c>
      <c r="T1036" t="s">
        <v>11720</v>
      </c>
      <c r="U1036" t="s">
        <v>11720</v>
      </c>
      <c r="V1036" t="s">
        <v>11720</v>
      </c>
      <c r="W1036" t="s">
        <v>12728</v>
      </c>
      <c r="X1036">
        <v>7</v>
      </c>
      <c r="Y1036" t="s">
        <v>18520</v>
      </c>
      <c r="Z1036" t="s">
        <v>24243</v>
      </c>
      <c r="AA1036">
        <v>0.48586727555773862</v>
      </c>
      <c r="AB1036" t="str">
        <f>HYPERLINK("Melting_Curves/meltCurve_J3KPC8_SIK3.pdf", "Melting_Curves/meltCurve_J3KPC8_SIK3.pdf")</f>
        <v>Melting_Curves/meltCurve_J3KPC8_SIK3.pdf</v>
      </c>
    </row>
    <row r="1037" spans="1:28" x14ac:dyDescent="0.25">
      <c r="A1037" t="s">
        <v>1041</v>
      </c>
      <c r="B1037">
        <v>0.99334974765950101</v>
      </c>
      <c r="C1037">
        <v>0.94306956134278896</v>
      </c>
      <c r="D1037">
        <v>1.0633118695989201</v>
      </c>
      <c r="E1037">
        <v>1.0036302299430899</v>
      </c>
      <c r="F1037">
        <v>0.27648102999985302</v>
      </c>
      <c r="G1037">
        <v>0.18308075205517599</v>
      </c>
      <c r="H1037">
        <v>0.15350513368065699</v>
      </c>
      <c r="I1037">
        <v>0.114990922844383</v>
      </c>
      <c r="J1037">
        <v>9.8955949083450595E-2</v>
      </c>
      <c r="K1037">
        <v>7.2132637776658196E-2</v>
      </c>
      <c r="L1037">
        <v>13167.2888188134</v>
      </c>
      <c r="M1037">
        <v>250</v>
      </c>
      <c r="N1037">
        <v>52.729571131515499</v>
      </c>
      <c r="O1037">
        <v>52.665776697138298</v>
      </c>
      <c r="P1037">
        <v>-1.0389417582843701</v>
      </c>
      <c r="Q1037">
        <v>0.124533071739234</v>
      </c>
      <c r="R1037">
        <v>0.99149973335193198</v>
      </c>
      <c r="S1037" t="s">
        <v>6898</v>
      </c>
      <c r="T1037" t="s">
        <v>11720</v>
      </c>
      <c r="U1037" t="s">
        <v>11720</v>
      </c>
      <c r="V1037" t="s">
        <v>11720</v>
      </c>
      <c r="W1037" t="s">
        <v>12729</v>
      </c>
      <c r="X1037">
        <v>2</v>
      </c>
      <c r="Y1037" t="s">
        <v>18521</v>
      </c>
      <c r="Z1037" t="s">
        <v>24244</v>
      </c>
      <c r="AA1037">
        <v>0.49432820933622179</v>
      </c>
      <c r="AB1037" t="str">
        <f>HYPERLINK("Melting_Curves/meltCurve_J3KPF9_KIF3A.pdf", "Melting_Curves/meltCurve_J3KPF9_KIF3A.pdf")</f>
        <v>Melting_Curves/meltCurve_J3KPF9_KIF3A.pdf</v>
      </c>
    </row>
    <row r="1038" spans="1:28" x14ac:dyDescent="0.25">
      <c r="A1038" t="s">
        <v>1042</v>
      </c>
      <c r="B1038">
        <v>0.99334974765950101</v>
      </c>
      <c r="C1038">
        <v>1.0358249616258901</v>
      </c>
      <c r="D1038">
        <v>1.0999954816292199</v>
      </c>
      <c r="E1038">
        <v>0.95940774249120098</v>
      </c>
      <c r="F1038">
        <v>0.90329984152887199</v>
      </c>
      <c r="G1038">
        <v>0.88248665075753296</v>
      </c>
      <c r="H1038">
        <v>0.53129440044116705</v>
      </c>
      <c r="I1038">
        <v>0.26533527728029699</v>
      </c>
      <c r="J1038">
        <v>0.15482139617409699</v>
      </c>
      <c r="K1038">
        <v>7.9404019014215996E-2</v>
      </c>
      <c r="L1038">
        <v>1464.83459855302</v>
      </c>
      <c r="M1038">
        <v>23.9677272632591</v>
      </c>
      <c r="N1038">
        <v>61.31694844383</v>
      </c>
      <c r="O1038">
        <v>60.696269479467297</v>
      </c>
      <c r="P1038">
        <v>-9.5009475715240099E-2</v>
      </c>
      <c r="Q1038">
        <v>3.7601083473361101E-2</v>
      </c>
      <c r="R1038">
        <v>0.98630243204267598</v>
      </c>
      <c r="S1038" t="s">
        <v>6899</v>
      </c>
      <c r="T1038" t="s">
        <v>11720</v>
      </c>
      <c r="U1038" t="s">
        <v>11720</v>
      </c>
      <c r="V1038" t="s">
        <v>11720</v>
      </c>
      <c r="W1038" t="s">
        <v>12730</v>
      </c>
      <c r="X1038">
        <v>7</v>
      </c>
      <c r="Y1038" t="s">
        <v>18522</v>
      </c>
      <c r="Z1038" t="s">
        <v>24245</v>
      </c>
      <c r="AA1038">
        <v>0.72096871932026785</v>
      </c>
      <c r="AB1038" t="str">
        <f>HYPERLINK("Melting_Curves/meltCurve_J3KPG9_CSAD.pdf", "Melting_Curves/meltCurve_J3KPG9_CSAD.pdf")</f>
        <v>Melting_Curves/meltCurve_J3KPG9_CSAD.pdf</v>
      </c>
    </row>
    <row r="1039" spans="1:28" x14ac:dyDescent="0.25">
      <c r="A1039" t="s">
        <v>1043</v>
      </c>
      <c r="B1039">
        <v>0.99334974765950101</v>
      </c>
      <c r="C1039">
        <v>0.95746428412912699</v>
      </c>
      <c r="D1039">
        <v>0.74435119374297798</v>
      </c>
      <c r="E1039">
        <v>0.96488917392389395</v>
      </c>
      <c r="F1039">
        <v>0.76699679214958605</v>
      </c>
      <c r="G1039">
        <v>0.37321670684972003</v>
      </c>
      <c r="H1039">
        <v>0.52442703080271902</v>
      </c>
      <c r="I1039">
        <v>0.27572998609386901</v>
      </c>
      <c r="J1039">
        <v>0.24424954870797999</v>
      </c>
      <c r="K1039">
        <v>0</v>
      </c>
      <c r="L1039">
        <v>597.54109024346405</v>
      </c>
      <c r="M1039">
        <v>10.3233975541671</v>
      </c>
      <c r="N1039">
        <v>57.882211589428003</v>
      </c>
      <c r="O1039">
        <v>55.836510691987399</v>
      </c>
      <c r="P1039">
        <v>-4.6241433730527901E-2</v>
      </c>
      <c r="Q1039">
        <v>0</v>
      </c>
      <c r="R1039">
        <v>0.88343629391401302</v>
      </c>
      <c r="S1039" t="s">
        <v>6900</v>
      </c>
      <c r="T1039" t="s">
        <v>11720</v>
      </c>
      <c r="U1039" t="s">
        <v>11720</v>
      </c>
      <c r="V1039" t="s">
        <v>11720</v>
      </c>
      <c r="W1039" t="s">
        <v>12731</v>
      </c>
      <c r="X1039">
        <v>1</v>
      </c>
      <c r="Y1039" t="s">
        <v>18523</v>
      </c>
      <c r="Z1039" t="s">
        <v>24246</v>
      </c>
      <c r="AA1039">
        <v>0.60731828465373172</v>
      </c>
      <c r="AB1039" t="str">
        <f>HYPERLINK("Melting_Curves/meltCurve_J3KPJ3_CAMKK1.pdf", "Melting_Curves/meltCurve_J3KPJ3_CAMKK1.pdf")</f>
        <v>Melting_Curves/meltCurve_J3KPJ3_CAMKK1.pdf</v>
      </c>
    </row>
    <row r="1040" spans="1:28" x14ac:dyDescent="0.25">
      <c r="A1040" t="s">
        <v>1044</v>
      </c>
      <c r="B1040">
        <v>0.99334974765950101</v>
      </c>
      <c r="C1040">
        <v>0.99812270623799604</v>
      </c>
      <c r="D1040">
        <v>0.998019229635146</v>
      </c>
      <c r="E1040">
        <v>0.78480140640881901</v>
      </c>
      <c r="F1040">
        <v>0.35952534440705902</v>
      </c>
      <c r="G1040">
        <v>0.19672451794325499</v>
      </c>
      <c r="H1040">
        <v>0.16554455635304099</v>
      </c>
      <c r="I1040">
        <v>0.164368128854783</v>
      </c>
      <c r="J1040">
        <v>0.185705449833381</v>
      </c>
      <c r="K1040">
        <v>0.15809716881892499</v>
      </c>
      <c r="L1040">
        <v>1993.4939095101299</v>
      </c>
      <c r="M1040">
        <v>38.820266808471402</v>
      </c>
      <c r="N1040">
        <v>51.907109470770102</v>
      </c>
      <c r="O1040">
        <v>51.216185626569697</v>
      </c>
      <c r="P1040">
        <v>-0.15729549679128099</v>
      </c>
      <c r="Q1040">
        <v>0.16991230900825099</v>
      </c>
      <c r="R1040">
        <v>0.999529016676038</v>
      </c>
      <c r="S1040" t="s">
        <v>6901</v>
      </c>
      <c r="T1040" t="s">
        <v>11720</v>
      </c>
      <c r="U1040" t="s">
        <v>11720</v>
      </c>
      <c r="V1040" t="s">
        <v>11720</v>
      </c>
      <c r="W1040" t="s">
        <v>12732</v>
      </c>
      <c r="X1040">
        <v>6</v>
      </c>
      <c r="Y1040" t="s">
        <v>18524</v>
      </c>
      <c r="Z1040" t="s">
        <v>24247</v>
      </c>
      <c r="AA1040">
        <v>0.487143217826081</v>
      </c>
      <c r="AB1040" t="str">
        <f>HYPERLINK("Melting_Curves/meltCurve_J3KPK1_SYNJ1.pdf", "Melting_Curves/meltCurve_J3KPK1_SYNJ1.pdf")</f>
        <v>Melting_Curves/meltCurve_J3KPK1_SYNJ1.pdf</v>
      </c>
    </row>
    <row r="1041" spans="1:28" x14ac:dyDescent="0.25">
      <c r="A1041" t="s">
        <v>1045</v>
      </c>
      <c r="B1041">
        <v>0.99334974765950101</v>
      </c>
      <c r="C1041">
        <v>1.1569480406597601</v>
      </c>
      <c r="D1041">
        <v>1.0392922599975001</v>
      </c>
      <c r="E1041">
        <v>0.70422584134436705</v>
      </c>
      <c r="F1041">
        <v>0.33129902994857102</v>
      </c>
      <c r="G1041">
        <v>0.19173907727701101</v>
      </c>
      <c r="H1041">
        <v>0.191266166626548</v>
      </c>
      <c r="I1041">
        <v>0.155108034842287</v>
      </c>
      <c r="J1041">
        <v>0.112920560927533</v>
      </c>
      <c r="K1041">
        <v>6.2186999681053401E-2</v>
      </c>
      <c r="L1041">
        <v>1736.1584981823401</v>
      </c>
      <c r="M1041">
        <v>34.001551195159202</v>
      </c>
      <c r="N1041">
        <v>51.543882981768398</v>
      </c>
      <c r="O1041">
        <v>50.885502990595299</v>
      </c>
      <c r="P1041">
        <v>-0.144271124775877</v>
      </c>
      <c r="Q1041">
        <v>0.136359461215695</v>
      </c>
      <c r="R1041">
        <v>0.97698454600189499</v>
      </c>
      <c r="S1041" t="s">
        <v>6902</v>
      </c>
      <c r="T1041" t="s">
        <v>11720</v>
      </c>
      <c r="U1041" t="s">
        <v>11720</v>
      </c>
      <c r="V1041" t="s">
        <v>11720</v>
      </c>
      <c r="W1041" t="s">
        <v>12733</v>
      </c>
      <c r="X1041">
        <v>3</v>
      </c>
      <c r="Y1041" t="s">
        <v>18525</v>
      </c>
      <c r="Z1041" t="s">
        <v>24248</v>
      </c>
      <c r="AA1041">
        <v>0.45901570286219612</v>
      </c>
      <c r="AB1041" t="str">
        <f>HYPERLINK("Melting_Curves/meltCurve_J3KPP4_LUC7L3.pdf", "Melting_Curves/meltCurve_J3KPP4_LUC7L3.pdf")</f>
        <v>Melting_Curves/meltCurve_J3KPP4_LUC7L3.pdf</v>
      </c>
    </row>
    <row r="1042" spans="1:28" x14ac:dyDescent="0.25">
      <c r="A1042" t="s">
        <v>1046</v>
      </c>
      <c r="B1042">
        <v>0.99334974765950101</v>
      </c>
      <c r="C1042">
        <v>1.00285678337136</v>
      </c>
      <c r="D1042">
        <v>0.88352330556857905</v>
      </c>
      <c r="E1042">
        <v>0.74664308190564599</v>
      </c>
      <c r="F1042">
        <v>0.64467627728795296</v>
      </c>
      <c r="G1042">
        <v>0.47954767099325701</v>
      </c>
      <c r="H1042">
        <v>0.45143792132400501</v>
      </c>
      <c r="I1042">
        <v>0.49119560552646102</v>
      </c>
      <c r="J1042">
        <v>0.37760211225670198</v>
      </c>
      <c r="K1042">
        <v>0.28110804496244002</v>
      </c>
      <c r="L1042">
        <v>610.99890403286497</v>
      </c>
      <c r="M1042">
        <v>11.6271349413769</v>
      </c>
      <c r="N1042">
        <v>57.678884340266301</v>
      </c>
      <c r="O1042">
        <v>51.067135768586901</v>
      </c>
      <c r="P1042">
        <v>-3.8590702255840797E-2</v>
      </c>
      <c r="Q1042">
        <v>0.32221311701337502</v>
      </c>
      <c r="R1042">
        <v>0.96866471786527497</v>
      </c>
      <c r="S1042" t="s">
        <v>6903</v>
      </c>
      <c r="T1042" t="s">
        <v>11720</v>
      </c>
      <c r="U1042" t="s">
        <v>11720</v>
      </c>
      <c r="V1042" t="s">
        <v>11720</v>
      </c>
      <c r="W1042" t="s">
        <v>12734</v>
      </c>
      <c r="X1042">
        <v>1</v>
      </c>
      <c r="Y1042" t="s">
        <v>18526</v>
      </c>
      <c r="Z1042" t="s">
        <v>24249</v>
      </c>
      <c r="AA1042">
        <v>0.62645858164411894</v>
      </c>
      <c r="AB1042" t="str">
        <f>HYPERLINK("Melting_Curves/meltCurve_J3KPT4_TRABD.pdf", "Melting_Curves/meltCurve_J3KPT4_TRABD.pdf")</f>
        <v>Melting_Curves/meltCurve_J3KPT4_TRABD.pdf</v>
      </c>
    </row>
    <row r="1043" spans="1:28" x14ac:dyDescent="0.25">
      <c r="A1043" t="s">
        <v>1047</v>
      </c>
      <c r="B1043">
        <v>0.99334974765950101</v>
      </c>
      <c r="C1043">
        <v>0.942517437495479</v>
      </c>
      <c r="D1043">
        <v>0.826134364741269</v>
      </c>
      <c r="E1043">
        <v>0.55994484864329996</v>
      </c>
      <c r="F1043">
        <v>0.19071930859046701</v>
      </c>
      <c r="G1043">
        <v>0.124196964135617</v>
      </c>
      <c r="H1043">
        <v>9.7037039221313307E-2</v>
      </c>
      <c r="I1043">
        <v>8.2513534148077203E-2</v>
      </c>
      <c r="J1043">
        <v>7.6813200873535006E-2</v>
      </c>
      <c r="K1043">
        <v>6.2293526308727601E-2</v>
      </c>
      <c r="L1043">
        <v>1079.4973446450299</v>
      </c>
      <c r="M1043">
        <v>21.7384782566083</v>
      </c>
      <c r="N1043">
        <v>49.989632267519802</v>
      </c>
      <c r="O1043">
        <v>49.243856306016397</v>
      </c>
      <c r="P1043">
        <v>-0.102960804768352</v>
      </c>
      <c r="Q1043">
        <v>6.7079183669769296E-2</v>
      </c>
      <c r="R1043">
        <v>0.99260584683395303</v>
      </c>
      <c r="S1043" t="s">
        <v>6904</v>
      </c>
      <c r="T1043" t="s">
        <v>11720</v>
      </c>
      <c r="U1043" t="s">
        <v>11720</v>
      </c>
      <c r="V1043" t="s">
        <v>11720</v>
      </c>
      <c r="W1043" t="s">
        <v>12735</v>
      </c>
      <c r="X1043">
        <v>20</v>
      </c>
      <c r="Y1043" t="s">
        <v>18527</v>
      </c>
      <c r="Z1043" t="s">
        <v>24250</v>
      </c>
      <c r="AA1043">
        <v>0.37844653830279068</v>
      </c>
      <c r="AB1043" t="str">
        <f>HYPERLINK("Melting_Curves/meltCurve_J3KPV7_MPST.pdf", "Melting_Curves/meltCurve_J3KPV7_MPST.pdf")</f>
        <v>Melting_Curves/meltCurve_J3KPV7_MPST.pdf</v>
      </c>
    </row>
    <row r="1044" spans="1:28" x14ac:dyDescent="0.25">
      <c r="A1044" t="s">
        <v>1048</v>
      </c>
      <c r="B1044">
        <v>0.99334974765950101</v>
      </c>
      <c r="C1044">
        <v>1.0199608739628401</v>
      </c>
      <c r="D1044">
        <v>0.98905532757671899</v>
      </c>
      <c r="E1044">
        <v>1.01594666650656</v>
      </c>
      <c r="F1044">
        <v>0.42081659992368398</v>
      </c>
      <c r="G1044">
        <v>0.23411058322168199</v>
      </c>
      <c r="H1044">
        <v>0.19201288640540801</v>
      </c>
      <c r="I1044">
        <v>0.18346782824468899</v>
      </c>
      <c r="J1044">
        <v>0.219226703674401</v>
      </c>
      <c r="K1044">
        <v>0.19205024635972401</v>
      </c>
      <c r="L1044">
        <v>13197.881493393799</v>
      </c>
      <c r="M1044">
        <v>250</v>
      </c>
      <c r="N1044">
        <v>52.902578034358697</v>
      </c>
      <c r="O1044">
        <v>52.788149620886202</v>
      </c>
      <c r="P1044">
        <v>-0.94224082048477897</v>
      </c>
      <c r="Q1044">
        <v>0.20417363981592701</v>
      </c>
      <c r="R1044">
        <v>0.99815525335926403</v>
      </c>
      <c r="S1044" t="s">
        <v>6905</v>
      </c>
      <c r="T1044" t="s">
        <v>11720</v>
      </c>
      <c r="U1044" t="s">
        <v>11720</v>
      </c>
      <c r="V1044" t="s">
        <v>11720</v>
      </c>
      <c r="W1044" t="s">
        <v>12736</v>
      </c>
      <c r="X1044">
        <v>4</v>
      </c>
      <c r="Y1044" t="s">
        <v>18528</v>
      </c>
      <c r="Z1044" t="s">
        <v>24251</v>
      </c>
      <c r="AA1044">
        <v>0.54357515700545167</v>
      </c>
      <c r="AB1044" t="str">
        <f>HYPERLINK("Melting_Curves/meltCurve_J3KPW7_HDAC2.pdf", "Melting_Curves/meltCurve_J3KPW7_HDAC2.pdf")</f>
        <v>Melting_Curves/meltCurve_J3KPW7_HDAC2.pdf</v>
      </c>
    </row>
    <row r="1045" spans="1:28" x14ac:dyDescent="0.25">
      <c r="A1045" t="s">
        <v>1049</v>
      </c>
      <c r="B1045">
        <v>0.99334974765950101</v>
      </c>
      <c r="C1045">
        <v>1.0487413921125901</v>
      </c>
      <c r="D1045">
        <v>1.0069106861216499</v>
      </c>
      <c r="E1045">
        <v>1.1786443907383799</v>
      </c>
      <c r="F1045">
        <v>1.96652723010729</v>
      </c>
      <c r="G1045">
        <v>1.4357546872934599</v>
      </c>
      <c r="H1045">
        <v>1.18536048547301</v>
      </c>
      <c r="I1045">
        <v>1.3070958210289001</v>
      </c>
      <c r="J1045">
        <v>0.43017534850386602</v>
      </c>
      <c r="K1045">
        <v>0.31321514005675199</v>
      </c>
      <c r="L1045">
        <v>15000</v>
      </c>
      <c r="M1045">
        <v>225.45931102764601</v>
      </c>
      <c r="N1045">
        <v>66.822353484587097</v>
      </c>
      <c r="O1045">
        <v>66.525594673025296</v>
      </c>
      <c r="P1045">
        <v>-0.58206635883547297</v>
      </c>
      <c r="Q1045">
        <v>0.31300555288052401</v>
      </c>
      <c r="R1045">
        <v>0.35914977463381698</v>
      </c>
      <c r="S1045" t="s">
        <v>6906</v>
      </c>
      <c r="T1045" t="s">
        <v>11720</v>
      </c>
      <c r="U1045" t="s">
        <v>11720</v>
      </c>
      <c r="V1045" t="s">
        <v>11720</v>
      </c>
      <c r="W1045" t="s">
        <v>12737</v>
      </c>
      <c r="X1045">
        <v>10</v>
      </c>
      <c r="Y1045" t="s">
        <v>18529</v>
      </c>
      <c r="Z1045" t="s">
        <v>24252</v>
      </c>
      <c r="AA1045">
        <v>0.92065567284313976</v>
      </c>
      <c r="AB1045" t="str">
        <f>HYPERLINK("Melting_Curves/meltCurve_J3KPX7_PHB2.pdf", "Melting_Curves/meltCurve_J3KPX7_PHB2.pdf")</f>
        <v>Melting_Curves/meltCurve_J3KPX7_PHB2.pdf</v>
      </c>
    </row>
    <row r="1046" spans="1:28" x14ac:dyDescent="0.25">
      <c r="A1046" t="s">
        <v>1050</v>
      </c>
      <c r="B1046">
        <v>0.99334974765950101</v>
      </c>
      <c r="C1046">
        <v>1.0263377250885299</v>
      </c>
      <c r="D1046">
        <v>0.92732400233011703</v>
      </c>
      <c r="E1046">
        <v>0.91163630981382904</v>
      </c>
      <c r="F1046">
        <v>0.84986932682508398</v>
      </c>
      <c r="G1046">
        <v>0.60777899534047497</v>
      </c>
      <c r="H1046">
        <v>0.47371186626105199</v>
      </c>
      <c r="I1046">
        <v>0.47953649784381502</v>
      </c>
      <c r="J1046">
        <v>0.41089014722308498</v>
      </c>
      <c r="K1046">
        <v>0.35030336337745699</v>
      </c>
      <c r="L1046">
        <v>871.52552220305904</v>
      </c>
      <c r="M1046">
        <v>15.5382349730138</v>
      </c>
      <c r="N1046">
        <v>60.824449521907198</v>
      </c>
      <c r="O1046">
        <v>55.184691801939003</v>
      </c>
      <c r="P1046">
        <v>-4.5698530822260802E-2</v>
      </c>
      <c r="Q1046">
        <v>0.35085594261485598</v>
      </c>
      <c r="R1046">
        <v>0.98499242148163202</v>
      </c>
      <c r="S1046" t="s">
        <v>6907</v>
      </c>
      <c r="T1046" t="s">
        <v>11720</v>
      </c>
      <c r="U1046" t="s">
        <v>11720</v>
      </c>
      <c r="V1046" t="s">
        <v>11720</v>
      </c>
      <c r="W1046" t="s">
        <v>12738</v>
      </c>
      <c r="X1046">
        <v>86</v>
      </c>
      <c r="Y1046" t="s">
        <v>18530</v>
      </c>
      <c r="Z1046" t="s">
        <v>24253</v>
      </c>
      <c r="AA1046">
        <v>0.71006939577206085</v>
      </c>
      <c r="AB1046" t="str">
        <f>HYPERLINK("Melting_Curves/meltCurve_J3KPX8_MAP1A.pdf", "Melting_Curves/meltCurve_J3KPX8_MAP1A.pdf")</f>
        <v>Melting_Curves/meltCurve_J3KPX8_MAP1A.pdf</v>
      </c>
    </row>
    <row r="1047" spans="1:28" x14ac:dyDescent="0.25">
      <c r="A1047" t="s">
        <v>1051</v>
      </c>
      <c r="B1047">
        <v>0.99334974765950101</v>
      </c>
      <c r="C1047">
        <v>0.93074900642338099</v>
      </c>
      <c r="D1047">
        <v>0.92765087726015105</v>
      </c>
      <c r="E1047">
        <v>0.85553056273517203</v>
      </c>
      <c r="F1047">
        <v>0.953949640545522</v>
      </c>
      <c r="G1047">
        <v>0.70689185001469002</v>
      </c>
      <c r="H1047">
        <v>0.55084776076708197</v>
      </c>
      <c r="I1047">
        <v>0.47817469442640198</v>
      </c>
      <c r="J1047">
        <v>0.51428317226787401</v>
      </c>
      <c r="K1047">
        <v>0.39526683275077601</v>
      </c>
      <c r="L1047">
        <v>672.613962138494</v>
      </c>
      <c r="M1047">
        <v>11.4671695993115</v>
      </c>
      <c r="N1047">
        <v>64.439317531178204</v>
      </c>
      <c r="O1047">
        <v>56.956869142583002</v>
      </c>
      <c r="P1047">
        <v>-3.4167688222207102E-2</v>
      </c>
      <c r="Q1047">
        <v>0.32135830447200397</v>
      </c>
      <c r="R1047">
        <v>0.94108080272983796</v>
      </c>
      <c r="S1047" t="s">
        <v>6908</v>
      </c>
      <c r="T1047" t="s">
        <v>11720</v>
      </c>
      <c r="U1047" t="s">
        <v>11720</v>
      </c>
      <c r="V1047" t="s">
        <v>11720</v>
      </c>
      <c r="W1047" t="s">
        <v>12739</v>
      </c>
      <c r="X1047">
        <v>12</v>
      </c>
      <c r="Y1047" t="s">
        <v>18531</v>
      </c>
      <c r="Z1047" t="s">
        <v>24254</v>
      </c>
      <c r="AA1047">
        <v>0.74939398428917059</v>
      </c>
      <c r="AB1047" t="str">
        <f>HYPERLINK("Melting_Curves/meltCurve_J3KPY9_ANTXR2.pdf", "Melting_Curves/meltCurve_J3KPY9_ANTXR2.pdf")</f>
        <v>Melting_Curves/meltCurve_J3KPY9_ANTXR2.pdf</v>
      </c>
    </row>
    <row r="1048" spans="1:28" x14ac:dyDescent="0.25">
      <c r="A1048" t="s">
        <v>1052</v>
      </c>
      <c r="B1048">
        <v>0.99334974765950101</v>
      </c>
      <c r="C1048">
        <v>1.0537918809059199</v>
      </c>
      <c r="D1048">
        <v>1.1425303278982699</v>
      </c>
      <c r="E1048">
        <v>0.98740802427702501</v>
      </c>
      <c r="F1048">
        <v>1.24312807083848</v>
      </c>
      <c r="G1048">
        <v>1.5838035677378399</v>
      </c>
      <c r="H1048">
        <v>1.0257663615258801</v>
      </c>
      <c r="I1048">
        <v>0.93226242388273795</v>
      </c>
      <c r="J1048">
        <v>0.73127815232153304</v>
      </c>
      <c r="K1048">
        <v>0.60427745339517602</v>
      </c>
      <c r="L1048">
        <v>3512.7146424612001</v>
      </c>
      <c r="M1048">
        <v>53.065709012343099</v>
      </c>
      <c r="O1048">
        <v>66.101756376272206</v>
      </c>
      <c r="P1048">
        <v>-8.3544182390900196E-2</v>
      </c>
      <c r="Q1048">
        <v>0.58373014693483005</v>
      </c>
      <c r="R1048">
        <v>0.34551664431211299</v>
      </c>
      <c r="S1048" t="s">
        <v>6909</v>
      </c>
      <c r="T1048" t="s">
        <v>11720</v>
      </c>
      <c r="U1048" t="s">
        <v>11720</v>
      </c>
      <c r="V1048" t="s">
        <v>11720</v>
      </c>
      <c r="W1048" t="s">
        <v>12740</v>
      </c>
      <c r="X1048">
        <v>1</v>
      </c>
      <c r="Y1048" t="s">
        <v>18532</v>
      </c>
      <c r="Z1048" t="s">
        <v>24255</v>
      </c>
      <c r="AA1048">
        <v>0.94719109814725699</v>
      </c>
      <c r="AB1048" t="str">
        <f>HYPERLINK("Melting_Curves/meltCurve_J3KQ06_TMEM45A.pdf", "Melting_Curves/meltCurve_J3KQ06_TMEM45A.pdf")</f>
        <v>Melting_Curves/meltCurve_J3KQ06_TMEM45A.pdf</v>
      </c>
    </row>
    <row r="1049" spans="1:28" x14ac:dyDescent="0.25">
      <c r="A1049" t="s">
        <v>1053</v>
      </c>
      <c r="B1049">
        <v>0.99334974765950101</v>
      </c>
      <c r="C1049">
        <v>0.96898726869251905</v>
      </c>
      <c r="D1049">
        <v>1.1226778089973699</v>
      </c>
      <c r="E1049">
        <v>0.88719694361448898</v>
      </c>
      <c r="F1049">
        <v>9.8225735561463398E-2</v>
      </c>
      <c r="G1049">
        <v>7.8807841227705996E-2</v>
      </c>
      <c r="H1049">
        <v>4.0020327875691403E-2</v>
      </c>
      <c r="I1049">
        <v>4.0156655999902098E-2</v>
      </c>
      <c r="J1049">
        <v>3.49189209910735E-2</v>
      </c>
      <c r="K1049">
        <v>2.41321387185775E-2</v>
      </c>
      <c r="L1049">
        <v>4254.4786506003202</v>
      </c>
      <c r="M1049">
        <v>83.075891604222406</v>
      </c>
      <c r="N1049">
        <v>51.268177234437402</v>
      </c>
      <c r="O1049">
        <v>51.182300726055303</v>
      </c>
      <c r="P1049">
        <v>-0.388109033673946</v>
      </c>
      <c r="Q1049">
        <v>4.35583398583059E-2</v>
      </c>
      <c r="R1049">
        <v>0.99174974827690499</v>
      </c>
      <c r="S1049" t="s">
        <v>6910</v>
      </c>
      <c r="T1049" t="s">
        <v>11720</v>
      </c>
      <c r="U1049" t="s">
        <v>11720</v>
      </c>
      <c r="V1049" t="s">
        <v>11720</v>
      </c>
      <c r="W1049" t="s">
        <v>12741</v>
      </c>
      <c r="X1049">
        <v>17</v>
      </c>
      <c r="Y1049" t="s">
        <v>18533</v>
      </c>
      <c r="Z1049" t="s">
        <v>24256</v>
      </c>
      <c r="AA1049">
        <v>0.4017908164009657</v>
      </c>
      <c r="AB1049" t="str">
        <f>HYPERLINK("Melting_Curves/meltCurve_J3KQ32_OLA1.pdf", "Melting_Curves/meltCurve_J3KQ32_OLA1.pdf")</f>
        <v>Melting_Curves/meltCurve_J3KQ32_OLA1.pdf</v>
      </c>
    </row>
    <row r="1050" spans="1:28" x14ac:dyDescent="0.25">
      <c r="A1050" t="s">
        <v>1054</v>
      </c>
      <c r="B1050">
        <v>0.99334974765950101</v>
      </c>
      <c r="C1050">
        <v>0.93713047238493896</v>
      </c>
      <c r="D1050">
        <v>0.90441165833928905</v>
      </c>
      <c r="E1050">
        <v>0.85021730134636797</v>
      </c>
      <c r="F1050">
        <v>0.64523755883360001</v>
      </c>
      <c r="G1050">
        <v>0.274279267298011</v>
      </c>
      <c r="H1050">
        <v>0.15462615927766099</v>
      </c>
      <c r="I1050">
        <v>0.13087579590654</v>
      </c>
      <c r="J1050">
        <v>0.125380395479534</v>
      </c>
      <c r="K1050">
        <v>0.101964508075801</v>
      </c>
      <c r="L1050">
        <v>1157.5610602040799</v>
      </c>
      <c r="M1050">
        <v>21.538580919097701</v>
      </c>
      <c r="N1050">
        <v>54.291913895839699</v>
      </c>
      <c r="O1050">
        <v>53.286763064109103</v>
      </c>
      <c r="P1050">
        <v>-9.1175174226012595E-2</v>
      </c>
      <c r="Q1050">
        <v>9.7747067002601301E-2</v>
      </c>
      <c r="R1050">
        <v>0.99210317131336101</v>
      </c>
      <c r="S1050" t="s">
        <v>6911</v>
      </c>
      <c r="T1050" t="s">
        <v>11720</v>
      </c>
      <c r="U1050" t="s">
        <v>11720</v>
      </c>
      <c r="V1050" t="s">
        <v>11720</v>
      </c>
      <c r="W1050" t="s">
        <v>12742</v>
      </c>
      <c r="X1050">
        <v>8</v>
      </c>
      <c r="Y1050" t="s">
        <v>18534</v>
      </c>
      <c r="Z1050" t="s">
        <v>24257</v>
      </c>
      <c r="AA1050">
        <v>0.52195946600581744</v>
      </c>
      <c r="AB1050" t="str">
        <f>HYPERLINK("Melting_Curves/meltCurve_J3KQ48_PTRH2.pdf", "Melting_Curves/meltCurve_J3KQ48_PTRH2.pdf")</f>
        <v>Melting_Curves/meltCurve_J3KQ48_PTRH2.pdf</v>
      </c>
    </row>
    <row r="1051" spans="1:28" x14ac:dyDescent="0.25">
      <c r="A1051" t="s">
        <v>1055</v>
      </c>
      <c r="B1051">
        <v>0.99334974765950101</v>
      </c>
      <c r="C1051">
        <v>1.0401608942682801</v>
      </c>
      <c r="D1051">
        <v>0.78932387900982903</v>
      </c>
      <c r="E1051">
        <v>0.58588927965207005</v>
      </c>
      <c r="F1051">
        <v>0.20497790485285899</v>
      </c>
      <c r="G1051">
        <v>0.11283756637115</v>
      </c>
      <c r="H1051">
        <v>8.4628932638448895E-2</v>
      </c>
      <c r="I1051">
        <v>6.3175630953139203E-2</v>
      </c>
      <c r="J1051">
        <v>6.8850342859981206E-2</v>
      </c>
      <c r="K1051">
        <v>4.6866269850947502E-2</v>
      </c>
      <c r="L1051">
        <v>1073.5499566956701</v>
      </c>
      <c r="M1051">
        <v>21.511814759258701</v>
      </c>
      <c r="N1051">
        <v>50.165215556950301</v>
      </c>
      <c r="O1051">
        <v>49.479874115916502</v>
      </c>
      <c r="P1051">
        <v>-0.102956984784435</v>
      </c>
      <c r="Q1051">
        <v>5.2767159098056203E-2</v>
      </c>
      <c r="R1051">
        <v>0.98721974677719304</v>
      </c>
      <c r="S1051" t="s">
        <v>6912</v>
      </c>
      <c r="T1051" t="s">
        <v>11720</v>
      </c>
      <c r="U1051" t="s">
        <v>11720</v>
      </c>
      <c r="V1051" t="s">
        <v>11720</v>
      </c>
      <c r="W1051" t="s">
        <v>12743</v>
      </c>
      <c r="X1051">
        <v>7</v>
      </c>
      <c r="Y1051" t="s">
        <v>18535</v>
      </c>
      <c r="Z1051" t="s">
        <v>24258</v>
      </c>
      <c r="AA1051">
        <v>0.37694231144577051</v>
      </c>
      <c r="AB1051" t="str">
        <f>HYPERLINK("Melting_Curves/meltCurve_J3KQ88_C6orf203.pdf", "Melting_Curves/meltCurve_J3KQ88_C6orf203.pdf")</f>
        <v>Melting_Curves/meltCurve_J3KQ88_C6orf203.pdf</v>
      </c>
    </row>
    <row r="1052" spans="1:28" x14ac:dyDescent="0.25">
      <c r="A1052" t="s">
        <v>1056</v>
      </c>
      <c r="B1052">
        <v>0.99334974765950101</v>
      </c>
      <c r="C1052">
        <v>0.979342495629968</v>
      </c>
      <c r="D1052">
        <v>0.81356577502502403</v>
      </c>
      <c r="E1052">
        <v>0.41894160660477597</v>
      </c>
      <c r="F1052">
        <v>0.303870486957459</v>
      </c>
      <c r="G1052">
        <v>0.409475766721277</v>
      </c>
      <c r="H1052">
        <v>0.52151123298781599</v>
      </c>
      <c r="I1052">
        <v>0.29071040478432503</v>
      </c>
      <c r="J1052">
        <v>0.14078444859190301</v>
      </c>
      <c r="K1052">
        <v>8.6583119878587994E-2</v>
      </c>
      <c r="L1052">
        <v>1345.4079738610999</v>
      </c>
      <c r="M1052">
        <v>28.242956739585502</v>
      </c>
      <c r="N1052">
        <v>49.084638432934597</v>
      </c>
      <c r="O1052">
        <v>47.400014702753197</v>
      </c>
      <c r="P1052">
        <v>-0.106861326044515</v>
      </c>
      <c r="Q1052">
        <v>0.28262631950401901</v>
      </c>
      <c r="R1052">
        <v>0.86571679056212303</v>
      </c>
      <c r="S1052" t="s">
        <v>6913</v>
      </c>
      <c r="T1052" t="s">
        <v>11720</v>
      </c>
      <c r="U1052" t="s">
        <v>11720</v>
      </c>
      <c r="V1052" t="s">
        <v>11720</v>
      </c>
      <c r="W1052" t="s">
        <v>12744</v>
      </c>
      <c r="X1052">
        <v>4</v>
      </c>
      <c r="Y1052" t="s">
        <v>18536</v>
      </c>
      <c r="Z1052" t="s">
        <v>24259</v>
      </c>
      <c r="AA1052">
        <v>0.47013748284839763</v>
      </c>
      <c r="AB1052" t="str">
        <f>HYPERLINK("Melting_Curves/meltCurve_J3KQ98_PPP1R37.pdf", "Melting_Curves/meltCurve_J3KQ98_PPP1R37.pdf")</f>
        <v>Melting_Curves/meltCurve_J3KQ98_PPP1R37.pdf</v>
      </c>
    </row>
    <row r="1053" spans="1:28" x14ac:dyDescent="0.25">
      <c r="A1053" t="s">
        <v>1057</v>
      </c>
      <c r="B1053">
        <v>0.99334974765950101</v>
      </c>
      <c r="C1053">
        <v>1.04494269029951</v>
      </c>
      <c r="D1053">
        <v>1.0136367045947601</v>
      </c>
      <c r="E1053">
        <v>0.97259740786328697</v>
      </c>
      <c r="F1053">
        <v>0.76055400321189004</v>
      </c>
      <c r="G1053">
        <v>0.54540799248405103</v>
      </c>
      <c r="H1053">
        <v>0.37492740666954499</v>
      </c>
      <c r="I1053">
        <v>0.17291768339477301</v>
      </c>
      <c r="J1053">
        <v>0.11596355552941801</v>
      </c>
      <c r="K1053">
        <v>7.8170368761504294E-2</v>
      </c>
      <c r="L1053">
        <v>882.49898887634197</v>
      </c>
      <c r="M1053">
        <v>15.240368141920399</v>
      </c>
      <c r="N1053">
        <v>57.984028908766703</v>
      </c>
      <c r="O1053">
        <v>56.935857840180297</v>
      </c>
      <c r="P1053">
        <v>-6.6240565942544405E-2</v>
      </c>
      <c r="Q1053">
        <v>1.02325059118549E-2</v>
      </c>
      <c r="R1053">
        <v>0.99140205366099599</v>
      </c>
      <c r="S1053" t="s">
        <v>6914</v>
      </c>
      <c r="T1053" t="s">
        <v>11720</v>
      </c>
      <c r="U1053" t="s">
        <v>11720</v>
      </c>
      <c r="V1053" t="s">
        <v>11720</v>
      </c>
      <c r="W1053" t="s">
        <v>12745</v>
      </c>
      <c r="X1053">
        <v>16</v>
      </c>
      <c r="Y1053" t="s">
        <v>18537</v>
      </c>
      <c r="Z1053" t="s">
        <v>24260</v>
      </c>
      <c r="AA1053">
        <v>0.61445757831582404</v>
      </c>
      <c r="AB1053" t="str">
        <f>HYPERLINK("Melting_Curves/meltCurve_J3KQB0_THUMPD1.pdf", "Melting_Curves/meltCurve_J3KQB0_THUMPD1.pdf")</f>
        <v>Melting_Curves/meltCurve_J3KQB0_THUMPD1.pdf</v>
      </c>
    </row>
    <row r="1054" spans="1:28" x14ac:dyDescent="0.25">
      <c r="A1054" t="s">
        <v>1058</v>
      </c>
      <c r="B1054">
        <v>0.99334974765950101</v>
      </c>
      <c r="C1054">
        <v>1.0423720159086101</v>
      </c>
      <c r="D1054">
        <v>1.27927106059775</v>
      </c>
      <c r="E1054">
        <v>1.2917786983636199</v>
      </c>
      <c r="F1054">
        <v>1.54678726902715</v>
      </c>
      <c r="G1054">
        <v>1.61620300710354</v>
      </c>
      <c r="H1054">
        <v>1.7355747366714001</v>
      </c>
      <c r="I1054">
        <v>2.3292471611292398</v>
      </c>
      <c r="J1054">
        <v>2.3631279548385198</v>
      </c>
      <c r="K1054">
        <v>2.3333161583344699</v>
      </c>
      <c r="L1054">
        <v>1154.0290131766601</v>
      </c>
      <c r="M1054">
        <v>24.905825593188201</v>
      </c>
      <c r="O1054">
        <v>46.040082800261501</v>
      </c>
      <c r="P1054">
        <v>6.7620875347900705E-2</v>
      </c>
      <c r="Q1054">
        <v>1.5</v>
      </c>
      <c r="R1054">
        <v>0.11725458498486201</v>
      </c>
      <c r="S1054" t="s">
        <v>6915</v>
      </c>
      <c r="T1054" t="s">
        <v>11720</v>
      </c>
      <c r="U1054" t="s">
        <v>11720</v>
      </c>
      <c r="V1054" t="s">
        <v>11720</v>
      </c>
      <c r="W1054" t="s">
        <v>12746</v>
      </c>
      <c r="X1054">
        <v>1</v>
      </c>
      <c r="Y1054" t="s">
        <v>18538</v>
      </c>
      <c r="Z1054" t="s">
        <v>24261</v>
      </c>
      <c r="AA1054">
        <v>1.389815802710247</v>
      </c>
      <c r="AB1054" t="str">
        <f>HYPERLINK("Melting_Curves/meltCurve_J3KQC3_SHANK2.pdf", "Melting_Curves/meltCurve_J3KQC3_SHANK2.pdf")</f>
        <v>Melting_Curves/meltCurve_J3KQC3_SHANK2.pdf</v>
      </c>
    </row>
    <row r="1055" spans="1:28" x14ac:dyDescent="0.25">
      <c r="A1055" t="s">
        <v>1059</v>
      </c>
      <c r="B1055">
        <v>0.99334974765950101</v>
      </c>
      <c r="C1055">
        <v>0.99681081699010199</v>
      </c>
      <c r="D1055">
        <v>0.85772328829039801</v>
      </c>
      <c r="E1055">
        <v>0.78776355116080499</v>
      </c>
      <c r="F1055">
        <v>0.61819589040029799</v>
      </c>
      <c r="G1055">
        <v>0.375449639549916</v>
      </c>
      <c r="H1055">
        <v>0.15067182692808101</v>
      </c>
      <c r="I1055">
        <v>0.138821616752687</v>
      </c>
      <c r="J1055">
        <v>0.14793120558622899</v>
      </c>
      <c r="K1055">
        <v>0.16916717246591501</v>
      </c>
      <c r="L1055">
        <v>834.40363983328803</v>
      </c>
      <c r="M1055">
        <v>15.559646461820201</v>
      </c>
      <c r="N1055">
        <v>54.388031828967101</v>
      </c>
      <c r="O1055">
        <v>52.763772736961499</v>
      </c>
      <c r="P1055">
        <v>-6.6509644217044306E-2</v>
      </c>
      <c r="Q1055">
        <v>9.7924823858607499E-2</v>
      </c>
      <c r="R1055">
        <v>0.98739683288661695</v>
      </c>
      <c r="S1055" t="s">
        <v>6916</v>
      </c>
      <c r="T1055" t="s">
        <v>11720</v>
      </c>
      <c r="U1055" t="s">
        <v>11720</v>
      </c>
      <c r="V1055" t="s">
        <v>11720</v>
      </c>
      <c r="W1055" t="s">
        <v>12747</v>
      </c>
      <c r="X1055">
        <v>8</v>
      </c>
      <c r="Y1055" t="s">
        <v>18539</v>
      </c>
      <c r="Z1055" t="s">
        <v>24262</v>
      </c>
      <c r="AA1055">
        <v>0.52562606135820233</v>
      </c>
      <c r="AB1055" t="str">
        <f>HYPERLINK("Melting_Curves/meltCurve_J3KQD0_FAM213B.pdf", "Melting_Curves/meltCurve_J3KQD0_FAM213B.pdf")</f>
        <v>Melting_Curves/meltCurve_J3KQD0_FAM213B.pdf</v>
      </c>
    </row>
    <row r="1056" spans="1:28" x14ac:dyDescent="0.25">
      <c r="A1056" t="s">
        <v>1060</v>
      </c>
      <c r="B1056">
        <v>0.99334974765950101</v>
      </c>
      <c r="C1056">
        <v>0.99479515376997496</v>
      </c>
      <c r="D1056">
        <v>0.91668736577010101</v>
      </c>
      <c r="E1056">
        <v>0.77685732257404205</v>
      </c>
      <c r="F1056">
        <v>0.60595419822930596</v>
      </c>
      <c r="G1056">
        <v>0.404123454597211</v>
      </c>
      <c r="H1056">
        <v>0.150907209315887</v>
      </c>
      <c r="I1056">
        <v>6.2740465816686006E-2</v>
      </c>
      <c r="J1056">
        <v>5.4455577279167597E-2</v>
      </c>
      <c r="K1056">
        <v>4.8861283821001598E-2</v>
      </c>
      <c r="L1056">
        <v>799.58234011538298</v>
      </c>
      <c r="M1056">
        <v>14.644678431561699</v>
      </c>
      <c r="N1056">
        <v>54.598832217895101</v>
      </c>
      <c r="O1056">
        <v>53.611076100987397</v>
      </c>
      <c r="P1056">
        <v>-6.8298869579948296E-2</v>
      </c>
      <c r="Q1056">
        <v>0</v>
      </c>
      <c r="R1056">
        <v>0.99564607896742796</v>
      </c>
      <c r="S1056" t="s">
        <v>6917</v>
      </c>
      <c r="T1056" t="s">
        <v>11720</v>
      </c>
      <c r="U1056" t="s">
        <v>11720</v>
      </c>
      <c r="V1056" t="s">
        <v>11720</v>
      </c>
      <c r="W1056" t="s">
        <v>12748</v>
      </c>
      <c r="X1056">
        <v>16</v>
      </c>
      <c r="Y1056" t="s">
        <v>18540</v>
      </c>
      <c r="Z1056" t="s">
        <v>24263</v>
      </c>
      <c r="AA1056">
        <v>0.50697698322696216</v>
      </c>
      <c r="AB1056" t="str">
        <f>HYPERLINK("Melting_Curves/meltCurve_J3KQE5_RAN.pdf", "Melting_Curves/meltCurve_J3KQE5_RAN.pdf")</f>
        <v>Melting_Curves/meltCurve_J3KQE5_RAN.pdf</v>
      </c>
    </row>
    <row r="1057" spans="1:28" x14ac:dyDescent="0.25">
      <c r="A1057" t="s">
        <v>1061</v>
      </c>
      <c r="B1057">
        <v>0.99334974765950101</v>
      </c>
      <c r="C1057">
        <v>0.98771758578763302</v>
      </c>
      <c r="D1057">
        <v>1.00017680226825</v>
      </c>
      <c r="E1057">
        <v>1.0260027968102401</v>
      </c>
      <c r="F1057">
        <v>1.01710981532163</v>
      </c>
      <c r="G1057">
        <v>0.827285321734191</v>
      </c>
      <c r="H1057">
        <v>0.69639490622203704</v>
      </c>
      <c r="I1057">
        <v>0.36282063851639601</v>
      </c>
      <c r="J1057">
        <v>0.15441228249348099</v>
      </c>
      <c r="K1057">
        <v>0.121273883979715</v>
      </c>
      <c r="L1057">
        <v>1426.9255951930199</v>
      </c>
      <c r="M1057">
        <v>22.834917086317201</v>
      </c>
      <c r="N1057">
        <v>62.574807059031002</v>
      </c>
      <c r="O1057">
        <v>62.015436002581403</v>
      </c>
      <c r="P1057">
        <v>-9.0632092666249595E-2</v>
      </c>
      <c r="Q1057">
        <v>1.54585684884543E-2</v>
      </c>
      <c r="R1057">
        <v>0.98942264358226895</v>
      </c>
      <c r="S1057" t="s">
        <v>6918</v>
      </c>
      <c r="T1057" t="s">
        <v>11720</v>
      </c>
      <c r="U1057" t="s">
        <v>11720</v>
      </c>
      <c r="V1057" t="s">
        <v>11720</v>
      </c>
      <c r="W1057" t="s">
        <v>12749</v>
      </c>
      <c r="X1057">
        <v>14</v>
      </c>
      <c r="Y1057" t="s">
        <v>18541</v>
      </c>
      <c r="Z1057" t="s">
        <v>24264</v>
      </c>
      <c r="AA1057">
        <v>0.75636482139612815</v>
      </c>
      <c r="AB1057" t="str">
        <f>HYPERLINK("Melting_Curves/meltCurve_J3KQG4_GBA.pdf", "Melting_Curves/meltCurve_J3KQG4_GBA.pdf")</f>
        <v>Melting_Curves/meltCurve_J3KQG4_GBA.pdf</v>
      </c>
    </row>
    <row r="1058" spans="1:28" x14ac:dyDescent="0.25">
      <c r="A1058" t="s">
        <v>1062</v>
      </c>
      <c r="B1058">
        <v>0.99334974765950101</v>
      </c>
      <c r="C1058">
        <v>0.98696681630900196</v>
      </c>
      <c r="D1058">
        <v>0.84355400573286399</v>
      </c>
      <c r="E1058">
        <v>0.66027787445859898</v>
      </c>
      <c r="F1058">
        <v>0.265558449657323</v>
      </c>
      <c r="G1058">
        <v>0.17651768291842401</v>
      </c>
      <c r="H1058">
        <v>0.13797496211824101</v>
      </c>
      <c r="I1058">
        <v>0.129809712925603</v>
      </c>
      <c r="J1058">
        <v>0.119638294945821</v>
      </c>
      <c r="K1058">
        <v>9.7277647548717996E-2</v>
      </c>
      <c r="L1058">
        <v>1157.3931428344299</v>
      </c>
      <c r="M1058">
        <v>22.9738917372995</v>
      </c>
      <c r="N1058">
        <v>50.9329054033525</v>
      </c>
      <c r="O1058">
        <v>50.0015811166082</v>
      </c>
      <c r="P1058">
        <v>-0.102163213265086</v>
      </c>
      <c r="Q1058">
        <v>0.11060326857872101</v>
      </c>
      <c r="R1058">
        <v>0.99000729001336996</v>
      </c>
      <c r="S1058" t="s">
        <v>6919</v>
      </c>
      <c r="T1058" t="s">
        <v>11720</v>
      </c>
      <c r="U1058" t="s">
        <v>11720</v>
      </c>
      <c r="V1058" t="s">
        <v>11720</v>
      </c>
      <c r="W1058" t="s">
        <v>12750</v>
      </c>
      <c r="X1058">
        <v>12</v>
      </c>
      <c r="Y1058" t="s">
        <v>18542</v>
      </c>
      <c r="Z1058" t="s">
        <v>24265</v>
      </c>
      <c r="AA1058">
        <v>0.42773184741748432</v>
      </c>
      <c r="AB1058" t="str">
        <f>HYPERLINK("Melting_Curves/meltCurve_J3KQJ1_SUMF2.pdf", "Melting_Curves/meltCurve_J3KQJ1_SUMF2.pdf")</f>
        <v>Melting_Curves/meltCurve_J3KQJ1_SUMF2.pdf</v>
      </c>
    </row>
    <row r="1059" spans="1:28" x14ac:dyDescent="0.25">
      <c r="A1059" t="s">
        <v>1063</v>
      </c>
      <c r="B1059">
        <v>0.99334974765950101</v>
      </c>
      <c r="C1059">
        <v>1.03734442448982</v>
      </c>
      <c r="D1059">
        <v>0.81537629354727104</v>
      </c>
      <c r="E1059">
        <v>0.54006493277379297</v>
      </c>
      <c r="F1059">
        <v>0.49976191452963098</v>
      </c>
      <c r="G1059">
        <v>0.26054589763036901</v>
      </c>
      <c r="H1059">
        <v>0.25066018545033503</v>
      </c>
      <c r="I1059">
        <v>0.213850842506664</v>
      </c>
      <c r="J1059">
        <v>0.26908430397162297</v>
      </c>
      <c r="K1059">
        <v>0.190541513865948</v>
      </c>
      <c r="L1059">
        <v>843.02242036863595</v>
      </c>
      <c r="M1059">
        <v>16.940257001545099</v>
      </c>
      <c r="N1059">
        <v>51.464675646028802</v>
      </c>
      <c r="O1059">
        <v>49.086490437313799</v>
      </c>
      <c r="P1059">
        <v>-6.7792781910404304E-2</v>
      </c>
      <c r="Q1059">
        <v>0.214297383053596</v>
      </c>
      <c r="R1059">
        <v>0.97793888734257295</v>
      </c>
      <c r="S1059" t="s">
        <v>6920</v>
      </c>
      <c r="T1059" t="s">
        <v>11720</v>
      </c>
      <c r="U1059" t="s">
        <v>11720</v>
      </c>
      <c r="V1059" t="s">
        <v>11720</v>
      </c>
      <c r="W1059" t="s">
        <v>12751</v>
      </c>
      <c r="X1059">
        <v>14</v>
      </c>
      <c r="Y1059" t="s">
        <v>18543</v>
      </c>
      <c r="Z1059" t="s">
        <v>24266</v>
      </c>
      <c r="AA1059">
        <v>0.48511679212993891</v>
      </c>
      <c r="AB1059" t="str">
        <f>HYPERLINK("Melting_Curves/meltCurve_J3KQL8_APOL2.pdf", "Melting_Curves/meltCurve_J3KQL8_APOL2.pdf")</f>
        <v>Melting_Curves/meltCurve_J3KQL8_APOL2.pdf</v>
      </c>
    </row>
    <row r="1060" spans="1:28" x14ac:dyDescent="0.25">
      <c r="A1060" t="s">
        <v>1064</v>
      </c>
      <c r="B1060">
        <v>0.99334974765950101</v>
      </c>
      <c r="C1060">
        <v>0.90590763151697495</v>
      </c>
      <c r="D1060">
        <v>0.66860001725803098</v>
      </c>
      <c r="E1060">
        <v>0.39430145617750301</v>
      </c>
      <c r="F1060">
        <v>0.29746322192656099</v>
      </c>
      <c r="G1060">
        <v>0.26283746851381201</v>
      </c>
      <c r="H1060">
        <v>0.241017890813952</v>
      </c>
      <c r="I1060">
        <v>0.26436517592404701</v>
      </c>
      <c r="J1060">
        <v>0.239884431476348</v>
      </c>
      <c r="K1060">
        <v>0.175951273493789</v>
      </c>
      <c r="L1060">
        <v>962.76462061108396</v>
      </c>
      <c r="M1060">
        <v>20.5902085056257</v>
      </c>
      <c r="N1060">
        <v>48.212033452825999</v>
      </c>
      <c r="O1060">
        <v>46.324023579326102</v>
      </c>
      <c r="P1060">
        <v>-8.5426490601143198E-2</v>
      </c>
      <c r="Q1060">
        <v>0.23124936557506801</v>
      </c>
      <c r="R1060">
        <v>0.99404517483014898</v>
      </c>
      <c r="S1060" t="s">
        <v>6921</v>
      </c>
      <c r="T1060" t="s">
        <v>11720</v>
      </c>
      <c r="U1060" t="s">
        <v>11720</v>
      </c>
      <c r="V1060" t="s">
        <v>11720</v>
      </c>
      <c r="W1060" t="s">
        <v>12752</v>
      </c>
      <c r="X1060">
        <v>16</v>
      </c>
      <c r="Y1060" t="s">
        <v>18544</v>
      </c>
      <c r="Z1060" t="s">
        <v>24267</v>
      </c>
      <c r="AA1060">
        <v>0.41508979825143411</v>
      </c>
      <c r="AB1060" t="str">
        <f>HYPERLINK("Melting_Curves/meltCurve_J3KQR7_CEP170B.pdf", "Melting_Curves/meltCurve_J3KQR7_CEP170B.pdf")</f>
        <v>Melting_Curves/meltCurve_J3KQR7_CEP170B.pdf</v>
      </c>
    </row>
    <row r="1061" spans="1:28" x14ac:dyDescent="0.25">
      <c r="A1061" t="s">
        <v>1065</v>
      </c>
      <c r="B1061">
        <v>0.99334974765950101</v>
      </c>
      <c r="C1061">
        <v>1.0262996019899899</v>
      </c>
      <c r="D1061">
        <v>0.89735315844094299</v>
      </c>
      <c r="E1061">
        <v>0.78303852897658599</v>
      </c>
      <c r="F1061">
        <v>0.80684854631679304</v>
      </c>
      <c r="G1061">
        <v>0.78534383656488504</v>
      </c>
      <c r="H1061">
        <v>0.68566611194267402</v>
      </c>
      <c r="I1061">
        <v>0.66918591993062504</v>
      </c>
      <c r="J1061">
        <v>0.35795780315307002</v>
      </c>
      <c r="K1061">
        <v>0.29377843250539398</v>
      </c>
      <c r="L1061">
        <v>480.14290940328101</v>
      </c>
      <c r="M1061">
        <v>7.3746085860327204</v>
      </c>
      <c r="N1061">
        <v>65.107578399445003</v>
      </c>
      <c r="O1061">
        <v>60.833856117509399</v>
      </c>
      <c r="P1061">
        <v>-3.0352726824557301E-2</v>
      </c>
      <c r="Q1061">
        <v>0</v>
      </c>
      <c r="R1061">
        <v>0.88547622091447498</v>
      </c>
      <c r="S1061" t="s">
        <v>6922</v>
      </c>
      <c r="T1061" t="s">
        <v>11720</v>
      </c>
      <c r="U1061" t="s">
        <v>11720</v>
      </c>
      <c r="V1061" t="s">
        <v>11720</v>
      </c>
      <c r="W1061" t="s">
        <v>12753</v>
      </c>
      <c r="X1061">
        <v>11</v>
      </c>
      <c r="Y1061" t="s">
        <v>18545</v>
      </c>
      <c r="Z1061" t="s">
        <v>24268</v>
      </c>
      <c r="AA1061">
        <v>0.75125968496357542</v>
      </c>
      <c r="AB1061" t="str">
        <f>HYPERLINK("Melting_Curves/meltCurve_J3KQS6_BABAM1.pdf", "Melting_Curves/meltCurve_J3KQS6_BABAM1.pdf")</f>
        <v>Melting_Curves/meltCurve_J3KQS6_BABAM1.pdf</v>
      </c>
    </row>
    <row r="1062" spans="1:28" x14ac:dyDescent="0.25">
      <c r="A1062" t="s">
        <v>1066</v>
      </c>
      <c r="B1062">
        <v>0.99334974765950101</v>
      </c>
      <c r="C1062">
        <v>1.013416009795</v>
      </c>
      <c r="D1062">
        <v>1.10609360379524</v>
      </c>
      <c r="E1062">
        <v>0.70237386035253901</v>
      </c>
      <c r="F1062">
        <v>0.65972946159454704</v>
      </c>
      <c r="G1062">
        <v>0.477248271090985</v>
      </c>
      <c r="H1062">
        <v>0.39743310719239799</v>
      </c>
      <c r="I1062">
        <v>0.46504248715070501</v>
      </c>
      <c r="J1062">
        <v>0.43958688779933403</v>
      </c>
      <c r="K1062">
        <v>0.50667313336012099</v>
      </c>
      <c r="L1062">
        <v>1400.46333562314</v>
      </c>
      <c r="M1062">
        <v>27.590985115952499</v>
      </c>
      <c r="N1062">
        <v>55.710379616212201</v>
      </c>
      <c r="O1062">
        <v>50.493625433569399</v>
      </c>
      <c r="P1062">
        <v>-7.4182109366420806E-2</v>
      </c>
      <c r="Q1062">
        <v>0.45696921012435199</v>
      </c>
      <c r="R1062">
        <v>0.94130838355623903</v>
      </c>
      <c r="S1062" t="s">
        <v>6923</v>
      </c>
      <c r="T1062" t="s">
        <v>11720</v>
      </c>
      <c r="U1062" t="s">
        <v>11720</v>
      </c>
      <c r="V1062" t="s">
        <v>11720</v>
      </c>
      <c r="W1062" t="s">
        <v>12754</v>
      </c>
      <c r="X1062">
        <v>2</v>
      </c>
      <c r="Y1062" t="s">
        <v>18546</v>
      </c>
      <c r="Z1062" t="s">
        <v>24269</v>
      </c>
      <c r="AA1062">
        <v>0.65572166966279621</v>
      </c>
      <c r="AB1062" t="str">
        <f>HYPERLINK("Melting_Curves/meltCurve_J3KQV0_CDKN1A.pdf", "Melting_Curves/meltCurve_J3KQV0_CDKN1A.pdf")</f>
        <v>Melting_Curves/meltCurve_J3KQV0_CDKN1A.pdf</v>
      </c>
    </row>
    <row r="1063" spans="1:28" x14ac:dyDescent="0.25">
      <c r="A1063" t="s">
        <v>1067</v>
      </c>
      <c r="B1063">
        <v>0.99334974765950101</v>
      </c>
      <c r="C1063">
        <v>1.1770782727885101</v>
      </c>
      <c r="D1063">
        <v>0.89806041470157705</v>
      </c>
      <c r="E1063">
        <v>1.4021150294770199</v>
      </c>
      <c r="F1063">
        <v>1.7005132471557201</v>
      </c>
      <c r="G1063">
        <v>1.82291731365428</v>
      </c>
      <c r="H1063">
        <v>2.2619217876783799</v>
      </c>
      <c r="I1063">
        <v>3.3420537163642501</v>
      </c>
      <c r="J1063">
        <v>4.3020539930594497</v>
      </c>
      <c r="K1063">
        <v>3.6911394323629998</v>
      </c>
      <c r="L1063">
        <v>12429.3525982964</v>
      </c>
      <c r="M1063">
        <v>250</v>
      </c>
      <c r="O1063">
        <v>49.714229090853003</v>
      </c>
      <c r="P1063">
        <v>0.62859267427986198</v>
      </c>
      <c r="Q1063">
        <v>1.5</v>
      </c>
      <c r="R1063">
        <v>-0.27762226955797698</v>
      </c>
      <c r="S1063" t="s">
        <v>6924</v>
      </c>
      <c r="T1063" t="s">
        <v>11720</v>
      </c>
      <c r="U1063" t="s">
        <v>11720</v>
      </c>
      <c r="V1063" t="s">
        <v>11720</v>
      </c>
      <c r="W1063" t="s">
        <v>12755</v>
      </c>
      <c r="X1063">
        <v>2</v>
      </c>
      <c r="Y1063" t="s">
        <v>18547</v>
      </c>
      <c r="Z1063" t="s">
        <v>24270</v>
      </c>
      <c r="AA1063">
        <v>1.3379995334728401</v>
      </c>
      <c r="AB1063" t="str">
        <f>HYPERLINK("Melting_Curves/meltCurve_J3KR35_CCDC12.pdf", "Melting_Curves/meltCurve_J3KR35_CCDC12.pdf")</f>
        <v>Melting_Curves/meltCurve_J3KR35_CCDC12.pdf</v>
      </c>
    </row>
    <row r="1064" spans="1:28" x14ac:dyDescent="0.25">
      <c r="A1064" t="s">
        <v>1068</v>
      </c>
      <c r="B1064">
        <v>0.99334974765950101</v>
      </c>
      <c r="C1064">
        <v>1.06007368374271</v>
      </c>
      <c r="D1064">
        <v>1.0652509824774801</v>
      </c>
      <c r="E1064">
        <v>1.01061181012351</v>
      </c>
      <c r="F1064">
        <v>0.97115792841122395</v>
      </c>
      <c r="G1064">
        <v>0.67372105241830504</v>
      </c>
      <c r="H1064">
        <v>0.53805292916293002</v>
      </c>
      <c r="I1064">
        <v>0.47988545059127102</v>
      </c>
      <c r="J1064">
        <v>0.38691149291848198</v>
      </c>
      <c r="K1064">
        <v>0.137686234306656</v>
      </c>
      <c r="L1064">
        <v>774.86139778445397</v>
      </c>
      <c r="M1064">
        <v>12.389070999621399</v>
      </c>
      <c r="N1064">
        <v>62.543946846463598</v>
      </c>
      <c r="O1064">
        <v>60.981440720360602</v>
      </c>
      <c r="P1064">
        <v>-5.0801142986981303E-2</v>
      </c>
      <c r="Q1064">
        <v>0</v>
      </c>
      <c r="R1064">
        <v>0.95719329449711898</v>
      </c>
      <c r="S1064" t="s">
        <v>6925</v>
      </c>
      <c r="T1064" t="s">
        <v>11720</v>
      </c>
      <c r="U1064" t="s">
        <v>11720</v>
      </c>
      <c r="V1064" t="s">
        <v>11720</v>
      </c>
      <c r="W1064" t="s">
        <v>12756</v>
      </c>
      <c r="X1064">
        <v>3</v>
      </c>
      <c r="Y1064" t="s">
        <v>18548</v>
      </c>
      <c r="Z1064" t="s">
        <v>24271</v>
      </c>
      <c r="AA1064">
        <v>0.73731939498601851</v>
      </c>
      <c r="AB1064" t="str">
        <f>HYPERLINK("Melting_Curves/meltCurve_J3KR58_SEPHS2.pdf", "Melting_Curves/meltCurve_J3KR58_SEPHS2.pdf")</f>
        <v>Melting_Curves/meltCurve_J3KR58_SEPHS2.pdf</v>
      </c>
    </row>
    <row r="1065" spans="1:28" x14ac:dyDescent="0.25">
      <c r="A1065" t="s">
        <v>1069</v>
      </c>
      <c r="B1065">
        <v>0.99334974765950101</v>
      </c>
      <c r="C1065">
        <v>1.0987611979787999</v>
      </c>
      <c r="D1065">
        <v>1.1312141137327201</v>
      </c>
      <c r="E1065">
        <v>1.1028010298953399</v>
      </c>
      <c r="F1065">
        <v>0.91777032544660697</v>
      </c>
      <c r="G1065">
        <v>0.81779517583823602</v>
      </c>
      <c r="H1065">
        <v>0.63339826016381096</v>
      </c>
      <c r="I1065">
        <v>0.92450927069017397</v>
      </c>
      <c r="J1065">
        <v>0.74717325477537999</v>
      </c>
      <c r="K1065">
        <v>0.67838472938571204</v>
      </c>
      <c r="L1065">
        <v>2290.4295167883001</v>
      </c>
      <c r="M1065">
        <v>41.916143844951499</v>
      </c>
      <c r="O1065">
        <v>54.519201938067603</v>
      </c>
      <c r="P1065">
        <v>-4.7948434669418699E-2</v>
      </c>
      <c r="Q1065">
        <v>0.75053946803951099</v>
      </c>
      <c r="R1065">
        <v>0.69322879714547603</v>
      </c>
      <c r="S1065" t="s">
        <v>6926</v>
      </c>
      <c r="T1065" t="s">
        <v>11720</v>
      </c>
      <c r="U1065" t="s">
        <v>11720</v>
      </c>
      <c r="V1065" t="s">
        <v>11720</v>
      </c>
      <c r="W1065" t="s">
        <v>12757</v>
      </c>
      <c r="X1065">
        <v>9</v>
      </c>
      <c r="Y1065" t="s">
        <v>18549</v>
      </c>
      <c r="Z1065" t="s">
        <v>24272</v>
      </c>
      <c r="AA1065">
        <v>0.87315797548011342</v>
      </c>
      <c r="AB1065" t="str">
        <f>HYPERLINK("Melting_Curves/meltCurve_J3KR88_CORIN.pdf", "Melting_Curves/meltCurve_J3KR88_CORIN.pdf")</f>
        <v>Melting_Curves/meltCurve_J3KR88_CORIN.pdf</v>
      </c>
    </row>
    <row r="1066" spans="1:28" x14ac:dyDescent="0.25">
      <c r="A1066" t="s">
        <v>1070</v>
      </c>
      <c r="B1066">
        <v>0.99334974765950101</v>
      </c>
      <c r="C1066">
        <v>1.06933627855253</v>
      </c>
      <c r="D1066">
        <v>1.1048824728525399</v>
      </c>
      <c r="E1066">
        <v>1.2068306695436</v>
      </c>
      <c r="F1066">
        <v>0.32393709871523502</v>
      </c>
      <c r="G1066">
        <v>0.23582659963545599</v>
      </c>
      <c r="H1066">
        <v>0.182051218524445</v>
      </c>
      <c r="I1066">
        <v>0.17173709099547599</v>
      </c>
      <c r="J1066">
        <v>0.16311031110084501</v>
      </c>
      <c r="K1066">
        <v>0.125985562556229</v>
      </c>
      <c r="L1066">
        <v>13169.559953621199</v>
      </c>
      <c r="M1066">
        <v>250</v>
      </c>
      <c r="N1066">
        <v>52.769651354328197</v>
      </c>
      <c r="O1066">
        <v>52.674868795048098</v>
      </c>
      <c r="P1066">
        <v>-0.978002146663146</v>
      </c>
      <c r="Q1066">
        <v>0.17574184546055099</v>
      </c>
      <c r="R1066">
        <v>0.96691739067235505</v>
      </c>
      <c r="S1066" t="s">
        <v>6927</v>
      </c>
      <c r="T1066" t="s">
        <v>11720</v>
      </c>
      <c r="U1066" t="s">
        <v>11720</v>
      </c>
      <c r="V1066" t="s">
        <v>11720</v>
      </c>
      <c r="W1066" t="s">
        <v>12758</v>
      </c>
      <c r="X1066">
        <v>22</v>
      </c>
      <c r="Y1066" t="s">
        <v>18550</v>
      </c>
      <c r="Z1066" t="s">
        <v>24273</v>
      </c>
      <c r="AA1066">
        <v>0.52415613278393391</v>
      </c>
      <c r="AB1066" t="str">
        <f>HYPERLINK("Melting_Curves/meltCurve_J3KR97_TBCD.pdf", "Melting_Curves/meltCurve_J3KR97_TBCD.pdf")</f>
        <v>Melting_Curves/meltCurve_J3KR97_TBCD.pdf</v>
      </c>
    </row>
    <row r="1067" spans="1:28" x14ac:dyDescent="0.25">
      <c r="A1067" t="s">
        <v>1071</v>
      </c>
      <c r="B1067">
        <v>0.99334974765950101</v>
      </c>
      <c r="C1067">
        <v>0.98865866123134605</v>
      </c>
      <c r="D1067">
        <v>0.95971397558981497</v>
      </c>
      <c r="E1067">
        <v>0.93534060908073702</v>
      </c>
      <c r="F1067">
        <v>0.988244382225272</v>
      </c>
      <c r="G1067">
        <v>0.80626051232790497</v>
      </c>
      <c r="H1067">
        <v>0.85086464934741601</v>
      </c>
      <c r="I1067">
        <v>0.82093668007625797</v>
      </c>
      <c r="J1067">
        <v>0.88089760176806398</v>
      </c>
      <c r="K1067">
        <v>0.77973171013896603</v>
      </c>
      <c r="L1067">
        <v>13388.541542708601</v>
      </c>
      <c r="M1067">
        <v>250</v>
      </c>
      <c r="O1067">
        <v>53.550714667979001</v>
      </c>
      <c r="P1067">
        <v>-0.20104971813903799</v>
      </c>
      <c r="Q1067">
        <v>0.82773822373843398</v>
      </c>
      <c r="R1067">
        <v>0.80230586583858898</v>
      </c>
      <c r="S1067" t="s">
        <v>6928</v>
      </c>
      <c r="T1067" t="s">
        <v>11720</v>
      </c>
      <c r="U1067" t="s">
        <v>11720</v>
      </c>
      <c r="V1067" t="s">
        <v>11720</v>
      </c>
      <c r="W1067" t="s">
        <v>12759</v>
      </c>
      <c r="X1067">
        <v>2</v>
      </c>
      <c r="Y1067" t="s">
        <v>18551</v>
      </c>
      <c r="Z1067" t="s">
        <v>24274</v>
      </c>
      <c r="AA1067">
        <v>0.90558323873691249</v>
      </c>
      <c r="AB1067" t="str">
        <f>HYPERLINK("Melting_Curves/meltCurve_J3KRP6_SS18.pdf", "Melting_Curves/meltCurve_J3KRP6_SS18.pdf")</f>
        <v>Melting_Curves/meltCurve_J3KRP6_SS18.pdf</v>
      </c>
    </row>
    <row r="1068" spans="1:28" x14ac:dyDescent="0.25">
      <c r="A1068" t="s">
        <v>1072</v>
      </c>
      <c r="B1068">
        <v>0.99334974765950101</v>
      </c>
      <c r="C1068">
        <v>1.01228074201774</v>
      </c>
      <c r="D1068">
        <v>0.95127704567749705</v>
      </c>
      <c r="E1068">
        <v>0.84665026726140902</v>
      </c>
      <c r="F1068">
        <v>0.87217217196959596</v>
      </c>
      <c r="G1068">
        <v>0.50724153681028505</v>
      </c>
      <c r="H1068">
        <v>0.34935986916730699</v>
      </c>
      <c r="I1068">
        <v>0.25631089236604299</v>
      </c>
      <c r="J1068">
        <v>0.31318979209529602</v>
      </c>
      <c r="K1068">
        <v>0.279117036523717</v>
      </c>
      <c r="L1068">
        <v>1220.5115743286101</v>
      </c>
      <c r="M1068">
        <v>21.9997534655161</v>
      </c>
      <c r="N1068">
        <v>57.412969116388503</v>
      </c>
      <c r="O1068">
        <v>55.0261245211017</v>
      </c>
      <c r="P1068">
        <v>-7.3790736015889397E-2</v>
      </c>
      <c r="Q1068">
        <v>0.26175030092235202</v>
      </c>
      <c r="R1068">
        <v>0.98051126413971501</v>
      </c>
      <c r="S1068" t="s">
        <v>6929</v>
      </c>
      <c r="T1068" t="s">
        <v>11720</v>
      </c>
      <c r="U1068" t="s">
        <v>11720</v>
      </c>
      <c r="V1068" t="s">
        <v>11720</v>
      </c>
      <c r="W1068" t="s">
        <v>12760</v>
      </c>
      <c r="X1068">
        <v>9</v>
      </c>
      <c r="Y1068" t="s">
        <v>18552</v>
      </c>
      <c r="Z1068" t="s">
        <v>24275</v>
      </c>
      <c r="AA1068">
        <v>0.65104975471065418</v>
      </c>
      <c r="AB1068" t="str">
        <f>HYPERLINK("Melting_Curves/meltCurve_J3KS05_CBX1.pdf", "Melting_Curves/meltCurve_J3KS05_CBX1.pdf")</f>
        <v>Melting_Curves/meltCurve_J3KS05_CBX1.pdf</v>
      </c>
    </row>
    <row r="1069" spans="1:28" x14ac:dyDescent="0.25">
      <c r="A1069" t="s">
        <v>1073</v>
      </c>
      <c r="B1069">
        <v>0.99334974765950101</v>
      </c>
      <c r="C1069">
        <v>0.94603356019646301</v>
      </c>
      <c r="D1069">
        <v>0.823044718107666</v>
      </c>
      <c r="E1069">
        <v>0.690638713283523</v>
      </c>
      <c r="F1069">
        <v>0.22463694195188399</v>
      </c>
      <c r="G1069">
        <v>6.1336874071055598E-2</v>
      </c>
      <c r="H1069">
        <v>4.1358998799072899E-2</v>
      </c>
      <c r="I1069">
        <v>3.0926149855040701E-2</v>
      </c>
      <c r="J1069">
        <v>4.4967054487953698E-2</v>
      </c>
      <c r="K1069">
        <v>3.0909907130393401E-2</v>
      </c>
      <c r="L1069">
        <v>1314.5212977374099</v>
      </c>
      <c r="M1069">
        <v>25.856951473068801</v>
      </c>
      <c r="N1069">
        <v>50.933119093886198</v>
      </c>
      <c r="O1069">
        <v>50.537066386096498</v>
      </c>
      <c r="P1069">
        <v>-0.124904106370545</v>
      </c>
      <c r="Q1069">
        <v>2.3517987178599299E-2</v>
      </c>
      <c r="R1069">
        <v>0.98440525013959301</v>
      </c>
      <c r="S1069" t="s">
        <v>6930</v>
      </c>
      <c r="T1069" t="s">
        <v>11720</v>
      </c>
      <c r="U1069" t="s">
        <v>11720</v>
      </c>
      <c r="V1069" t="s">
        <v>11720</v>
      </c>
      <c r="W1069" t="s">
        <v>12761</v>
      </c>
      <c r="X1069">
        <v>1</v>
      </c>
      <c r="Y1069" t="s">
        <v>18553</v>
      </c>
      <c r="Z1069" t="s">
        <v>24276</v>
      </c>
      <c r="AA1069">
        <v>0.38453328141736792</v>
      </c>
      <c r="AB1069" t="str">
        <f>HYPERLINK("Melting_Curves/meltCurve_J3KSL8_TRAPPC8.pdf", "Melting_Curves/meltCurve_J3KSL8_TRAPPC8.pdf")</f>
        <v>Melting_Curves/meltCurve_J3KSL8_TRAPPC8.pdf</v>
      </c>
    </row>
    <row r="1070" spans="1:28" x14ac:dyDescent="0.25">
      <c r="A1070" t="s">
        <v>1074</v>
      </c>
      <c r="B1070">
        <v>0.99334974765950101</v>
      </c>
      <c r="C1070">
        <v>0.99448036379421101</v>
      </c>
      <c r="D1070">
        <v>0.84116862484354005</v>
      </c>
      <c r="E1070">
        <v>0.58410124792970897</v>
      </c>
      <c r="F1070">
        <v>0.42563966173995199</v>
      </c>
      <c r="G1070">
        <v>0.25139893858098999</v>
      </c>
      <c r="H1070">
        <v>0.20067074579258701</v>
      </c>
      <c r="I1070">
        <v>0.20382324877951499</v>
      </c>
      <c r="J1070">
        <v>0.232040376749726</v>
      </c>
      <c r="K1070">
        <v>0.160707607255094</v>
      </c>
      <c r="L1070">
        <v>891.13833194454105</v>
      </c>
      <c r="M1070">
        <v>17.815947344781499</v>
      </c>
      <c r="N1070">
        <v>51.335479870688197</v>
      </c>
      <c r="O1070">
        <v>49.401715976542398</v>
      </c>
      <c r="P1070">
        <v>-7.3630882112135004E-2</v>
      </c>
      <c r="Q1070">
        <v>0.18335965335102</v>
      </c>
      <c r="R1070">
        <v>0.99529290348937005</v>
      </c>
      <c r="S1070" t="s">
        <v>6931</v>
      </c>
      <c r="T1070" t="s">
        <v>11720</v>
      </c>
      <c r="U1070" t="s">
        <v>11720</v>
      </c>
      <c r="V1070" t="s">
        <v>11720</v>
      </c>
      <c r="W1070" t="s">
        <v>12762</v>
      </c>
      <c r="X1070">
        <v>8</v>
      </c>
      <c r="Y1070" t="s">
        <v>18554</v>
      </c>
      <c r="Z1070" t="s">
        <v>24277</v>
      </c>
      <c r="AA1070">
        <v>0.47029090170644727</v>
      </c>
      <c r="AB1070" t="str">
        <f>HYPERLINK("Melting_Curves/meltCurve_J3KSS7_GGA3.pdf", "Melting_Curves/meltCurve_J3KSS7_GGA3.pdf")</f>
        <v>Melting_Curves/meltCurve_J3KSS7_GGA3.pdf</v>
      </c>
    </row>
    <row r="1071" spans="1:28" x14ac:dyDescent="0.25">
      <c r="A1071" t="s">
        <v>1075</v>
      </c>
      <c r="B1071">
        <v>0.99334974765950101</v>
      </c>
      <c r="C1071">
        <v>0.992762902820152</v>
      </c>
      <c r="D1071">
        <v>1.1534638106355799</v>
      </c>
      <c r="E1071">
        <v>1.37026179433137</v>
      </c>
      <c r="F1071">
        <v>1.2857096316297001</v>
      </c>
      <c r="G1071">
        <v>0.63459699138701797</v>
      </c>
      <c r="H1071">
        <v>0.23558310351063</v>
      </c>
      <c r="I1071">
        <v>0.17662087094658199</v>
      </c>
      <c r="J1071">
        <v>0.120590796662705</v>
      </c>
      <c r="K1071">
        <v>0.103238518832836</v>
      </c>
      <c r="L1071">
        <v>5397.1338727373604</v>
      </c>
      <c r="M1071">
        <v>94.414173663922497</v>
      </c>
      <c r="N1071">
        <v>57.3958314766939</v>
      </c>
      <c r="O1071">
        <v>57.138813274957698</v>
      </c>
      <c r="P1071">
        <v>-0.34770904103304601</v>
      </c>
      <c r="Q1071">
        <v>0.15827550848404501</v>
      </c>
      <c r="R1071">
        <v>0.89253175538088803</v>
      </c>
      <c r="S1071" t="s">
        <v>6932</v>
      </c>
      <c r="T1071" t="s">
        <v>11720</v>
      </c>
      <c r="U1071" t="s">
        <v>11720</v>
      </c>
      <c r="V1071" t="s">
        <v>11720</v>
      </c>
      <c r="W1071" t="s">
        <v>12763</v>
      </c>
      <c r="X1071">
        <v>4</v>
      </c>
      <c r="Y1071" t="s">
        <v>18555</v>
      </c>
      <c r="Z1071" t="s">
        <v>24278</v>
      </c>
      <c r="AA1071">
        <v>0.64045950508974048</v>
      </c>
      <c r="AB1071" t="str">
        <f>HYPERLINK("Melting_Curves/meltCurve_J3KT10_NUP85.pdf", "Melting_Curves/meltCurve_J3KT10_NUP85.pdf")</f>
        <v>Melting_Curves/meltCurve_J3KT10_NUP85.pdf</v>
      </c>
    </row>
    <row r="1072" spans="1:28" x14ac:dyDescent="0.25">
      <c r="A1072" t="s">
        <v>1076</v>
      </c>
      <c r="B1072">
        <v>0.99334974765950101</v>
      </c>
      <c r="C1072">
        <v>1.20076473040887</v>
      </c>
      <c r="D1072">
        <v>1.10050461713599</v>
      </c>
      <c r="E1072">
        <v>0.56883234773114599</v>
      </c>
      <c r="F1072">
        <v>0.480433740446645</v>
      </c>
      <c r="G1072">
        <v>0.29390896610309702</v>
      </c>
      <c r="H1072">
        <v>0.20949091980114901</v>
      </c>
      <c r="I1072">
        <v>0.19443971794237999</v>
      </c>
      <c r="J1072">
        <v>0.20488245242864001</v>
      </c>
      <c r="K1072">
        <v>0.14544643535978999</v>
      </c>
      <c r="L1072">
        <v>1302.3340861276399</v>
      </c>
      <c r="M1072">
        <v>25.625572706245499</v>
      </c>
      <c r="N1072">
        <v>51.8579185560517</v>
      </c>
      <c r="O1072">
        <v>50.515172002271697</v>
      </c>
      <c r="P1072">
        <v>-0.10141093788259201</v>
      </c>
      <c r="Q1072">
        <v>0.20037212133651</v>
      </c>
      <c r="R1072">
        <v>0.94071931995764901</v>
      </c>
      <c r="S1072" t="s">
        <v>6933</v>
      </c>
      <c r="T1072" t="s">
        <v>11720</v>
      </c>
      <c r="U1072" t="s">
        <v>11720</v>
      </c>
      <c r="V1072" t="s">
        <v>11720</v>
      </c>
      <c r="W1072" t="s">
        <v>12764</v>
      </c>
      <c r="X1072">
        <v>10</v>
      </c>
      <c r="Y1072" t="s">
        <v>18556</v>
      </c>
      <c r="Z1072" t="s">
        <v>24279</v>
      </c>
      <c r="AA1072">
        <v>0.49568116612655261</v>
      </c>
      <c r="AB1072" t="str">
        <f>HYPERLINK("Melting_Curves/meltCurve_J3KTA4_DDX5.pdf", "Melting_Curves/meltCurve_J3KTA4_DDX5.pdf")</f>
        <v>Melting_Curves/meltCurve_J3KTA4_DDX5.pdf</v>
      </c>
    </row>
    <row r="1073" spans="1:28" x14ac:dyDescent="0.25">
      <c r="A1073" t="s">
        <v>1077</v>
      </c>
      <c r="B1073">
        <v>0.99334974765950101</v>
      </c>
      <c r="C1073">
        <v>0.99330954230462198</v>
      </c>
      <c r="D1073">
        <v>0.916852003551345</v>
      </c>
      <c r="E1073">
        <v>0.84977970639971001</v>
      </c>
      <c r="F1073">
        <v>0.90837523377239204</v>
      </c>
      <c r="G1073">
        <v>0.78903195660289804</v>
      </c>
      <c r="H1073">
        <v>0.94019720530052098</v>
      </c>
      <c r="I1073">
        <v>1.3715094413911999</v>
      </c>
      <c r="J1073">
        <v>2.2085212731384098</v>
      </c>
      <c r="K1073">
        <v>2.9073625354155901</v>
      </c>
      <c r="L1073">
        <v>15000</v>
      </c>
      <c r="M1073">
        <v>235.43699744793301</v>
      </c>
      <c r="O1073">
        <v>63.706719018186099</v>
      </c>
      <c r="P1073">
        <v>0.46195483056685399</v>
      </c>
      <c r="Q1073">
        <v>1.5</v>
      </c>
      <c r="R1073">
        <v>0.42843081575971698</v>
      </c>
      <c r="S1073" t="s">
        <v>6934</v>
      </c>
      <c r="T1073" t="s">
        <v>11720</v>
      </c>
      <c r="U1073" t="s">
        <v>11720</v>
      </c>
      <c r="V1073" t="s">
        <v>11720</v>
      </c>
      <c r="W1073" t="s">
        <v>12765</v>
      </c>
      <c r="X1073">
        <v>17</v>
      </c>
      <c r="Y1073" t="s">
        <v>18557</v>
      </c>
      <c r="Z1073" t="s">
        <v>24280</v>
      </c>
      <c r="AA1073">
        <v>1.1047484286872249</v>
      </c>
      <c r="AB1073" t="str">
        <f>HYPERLINK("Melting_Curves/meltCurve_J3KTL2_SRSF1.pdf", "Melting_Curves/meltCurve_J3KTL2_SRSF1.pdf")</f>
        <v>Melting_Curves/meltCurve_J3KTL2_SRSF1.pdf</v>
      </c>
    </row>
    <row r="1074" spans="1:28" x14ac:dyDescent="0.25">
      <c r="A1074" t="s">
        <v>1078</v>
      </c>
      <c r="B1074">
        <v>0.99334974765950101</v>
      </c>
      <c r="C1074">
        <v>0.90932026901454799</v>
      </c>
      <c r="D1074">
        <v>0.68958757891177902</v>
      </c>
      <c r="E1074">
        <v>0.53884091738570306</v>
      </c>
      <c r="F1074">
        <v>0.405081056637774</v>
      </c>
      <c r="G1074">
        <v>0.29208226861439901</v>
      </c>
      <c r="H1074">
        <v>0.30969073387248303</v>
      </c>
      <c r="I1074">
        <v>0.30362816018592398</v>
      </c>
      <c r="J1074">
        <v>0.460065127144624</v>
      </c>
      <c r="K1074">
        <v>0.62515136238747504</v>
      </c>
      <c r="L1074">
        <v>1063.82011671687</v>
      </c>
      <c r="M1074">
        <v>23.0810216700343</v>
      </c>
      <c r="N1074">
        <v>49.538220840761603</v>
      </c>
      <c r="O1074">
        <v>45.748891292694204</v>
      </c>
      <c r="P1074">
        <v>-7.57185237534517E-2</v>
      </c>
      <c r="Q1074">
        <v>0.39968443434335099</v>
      </c>
      <c r="R1074">
        <v>0.84197733908243999</v>
      </c>
      <c r="S1074" t="s">
        <v>6935</v>
      </c>
      <c r="T1074" t="s">
        <v>11720</v>
      </c>
      <c r="U1074" t="s">
        <v>11720</v>
      </c>
      <c r="V1074" t="s">
        <v>11720</v>
      </c>
      <c r="W1074" t="s">
        <v>12766</v>
      </c>
      <c r="X1074">
        <v>4</v>
      </c>
      <c r="Y1074" t="s">
        <v>18558</v>
      </c>
      <c r="Z1074" t="s">
        <v>24281</v>
      </c>
      <c r="AA1074">
        <v>0.52819718645483305</v>
      </c>
      <c r="AB1074" t="str">
        <f>HYPERLINK("Melting_Curves/meltCurve_J3QK89_CHERP.pdf", "Melting_Curves/meltCurve_J3QK89_CHERP.pdf")</f>
        <v>Melting_Curves/meltCurve_J3QK89_CHERP.pdf</v>
      </c>
    </row>
    <row r="1075" spans="1:28" x14ac:dyDescent="0.25">
      <c r="A1075" t="s">
        <v>1079</v>
      </c>
      <c r="B1075">
        <v>0.99334974765950101</v>
      </c>
      <c r="C1075">
        <v>0.993108573129169</v>
      </c>
      <c r="D1075">
        <v>0.99255721971662203</v>
      </c>
      <c r="E1075">
        <v>1.02179211699443</v>
      </c>
      <c r="F1075">
        <v>1.2170220313079601</v>
      </c>
      <c r="G1075">
        <v>3.08753342901178</v>
      </c>
      <c r="H1075">
        <v>3.8697792971107901</v>
      </c>
      <c r="I1075">
        <v>4.8054366675235203</v>
      </c>
      <c r="J1075">
        <v>2.9770853939658601</v>
      </c>
      <c r="K1075">
        <v>2.2654182245235499</v>
      </c>
      <c r="L1075">
        <v>13264.064529964</v>
      </c>
      <c r="M1075">
        <v>250</v>
      </c>
      <c r="O1075">
        <v>53.052862610050902</v>
      </c>
      <c r="P1075">
        <v>0.58903513110035799</v>
      </c>
      <c r="Q1075">
        <v>1.5</v>
      </c>
      <c r="R1075">
        <v>-0.23388874969762399</v>
      </c>
      <c r="S1075" t="s">
        <v>6936</v>
      </c>
      <c r="T1075" t="s">
        <v>11720</v>
      </c>
      <c r="U1075" t="s">
        <v>11720</v>
      </c>
      <c r="V1075" t="s">
        <v>11720</v>
      </c>
      <c r="W1075" t="s">
        <v>12767</v>
      </c>
      <c r="X1075">
        <v>6</v>
      </c>
      <c r="Y1075" t="s">
        <v>18559</v>
      </c>
      <c r="Z1075" t="s">
        <v>24282</v>
      </c>
      <c r="AA1075">
        <v>1.2823491415487689</v>
      </c>
      <c r="AB1075" t="str">
        <f>HYPERLINK("Melting_Curves/meltCurve_J3QKR3_PSMB3.pdf", "Melting_Curves/meltCurve_J3QKR3_PSMB3.pdf")</f>
        <v>Melting_Curves/meltCurve_J3QKR3_PSMB3.pdf</v>
      </c>
    </row>
    <row r="1076" spans="1:28" x14ac:dyDescent="0.25">
      <c r="A1076" t="s">
        <v>1080</v>
      </c>
      <c r="B1076">
        <v>0.99334974765950101</v>
      </c>
      <c r="C1076">
        <v>1.0330395450841201</v>
      </c>
      <c r="D1076">
        <v>0.77403950784840903</v>
      </c>
      <c r="E1076">
        <v>0.79028325701869395</v>
      </c>
      <c r="F1076">
        <v>0.84392319225812995</v>
      </c>
      <c r="G1076">
        <v>0.63033603784947401</v>
      </c>
      <c r="H1076">
        <v>0.57998422305811204</v>
      </c>
      <c r="I1076">
        <v>0.70492351471260695</v>
      </c>
      <c r="J1076">
        <v>0.89792169057537896</v>
      </c>
      <c r="K1076">
        <v>0.60393590200340497</v>
      </c>
      <c r="L1076">
        <v>825.57544914089499</v>
      </c>
      <c r="M1076">
        <v>17.675389960385601</v>
      </c>
      <c r="O1076">
        <v>46.122078320117602</v>
      </c>
      <c r="P1076">
        <v>-2.8917579906068601E-2</v>
      </c>
      <c r="Q1076">
        <v>0.69818649678835998</v>
      </c>
      <c r="R1076">
        <v>0.561047961146802</v>
      </c>
      <c r="S1076" t="s">
        <v>6937</v>
      </c>
      <c r="T1076" t="s">
        <v>11720</v>
      </c>
      <c r="U1076" t="s">
        <v>11720</v>
      </c>
      <c r="V1076" t="s">
        <v>11720</v>
      </c>
      <c r="W1076" t="s">
        <v>12768</v>
      </c>
      <c r="X1076">
        <v>2</v>
      </c>
      <c r="Y1076" t="s">
        <v>18560</v>
      </c>
      <c r="Z1076" t="s">
        <v>24283</v>
      </c>
      <c r="AA1076">
        <v>0.77155324934436131</v>
      </c>
      <c r="AB1076" t="str">
        <f>HYPERLINK("Melting_Curves/meltCurve_J3QKS7_SMARCE1.pdf", "Melting_Curves/meltCurve_J3QKS7_SMARCE1.pdf")</f>
        <v>Melting_Curves/meltCurve_J3QKS7_SMARCE1.pdf</v>
      </c>
    </row>
    <row r="1077" spans="1:28" x14ac:dyDescent="0.25">
      <c r="A1077" t="s">
        <v>1081</v>
      </c>
      <c r="B1077">
        <v>0.99334974765950101</v>
      </c>
      <c r="C1077">
        <v>0.93809779101257296</v>
      </c>
      <c r="D1077">
        <v>0.75761224400687599</v>
      </c>
      <c r="E1077">
        <v>0.553060091906726</v>
      </c>
      <c r="F1077">
        <v>0.244208755925548</v>
      </c>
      <c r="G1077">
        <v>0.134339408040557</v>
      </c>
      <c r="H1077">
        <v>0.10643525746075699</v>
      </c>
      <c r="I1077">
        <v>8.6566901712997593E-2</v>
      </c>
      <c r="J1077">
        <v>9.5239654326490203E-2</v>
      </c>
      <c r="K1077">
        <v>6.9991425467898605E-2</v>
      </c>
      <c r="L1077">
        <v>853.25843576371506</v>
      </c>
      <c r="M1077">
        <v>17.258217364995399</v>
      </c>
      <c r="N1077">
        <v>49.8525638486419</v>
      </c>
      <c r="O1077">
        <v>48.791217382834503</v>
      </c>
      <c r="P1077">
        <v>-8.2558451911762698E-2</v>
      </c>
      <c r="Q1077">
        <v>6.6440593794925701E-2</v>
      </c>
      <c r="R1077">
        <v>0.99315333464393696</v>
      </c>
      <c r="S1077" t="s">
        <v>6938</v>
      </c>
      <c r="T1077" t="s">
        <v>11720</v>
      </c>
      <c r="U1077" t="s">
        <v>11720</v>
      </c>
      <c r="V1077" t="s">
        <v>11720</v>
      </c>
      <c r="W1077" t="s">
        <v>12769</v>
      </c>
      <c r="X1077">
        <v>3</v>
      </c>
      <c r="Y1077" t="s">
        <v>18561</v>
      </c>
      <c r="Z1077" t="s">
        <v>24284</v>
      </c>
      <c r="AA1077">
        <v>0.37763636397052242</v>
      </c>
      <c r="AB1077" t="str">
        <f>HYPERLINK("Melting_Curves/meltCurve_J3QL56_SCO1.pdf", "Melting_Curves/meltCurve_J3QL56_SCO1.pdf")</f>
        <v>Melting_Curves/meltCurve_J3QL56_SCO1.pdf</v>
      </c>
    </row>
    <row r="1078" spans="1:28" x14ac:dyDescent="0.25">
      <c r="A1078" t="s">
        <v>1082</v>
      </c>
      <c r="B1078">
        <v>0.99334974765950101</v>
      </c>
      <c r="C1078">
        <v>0.96300066043108001</v>
      </c>
      <c r="D1078">
        <v>0.85219878765243495</v>
      </c>
      <c r="E1078">
        <v>0.67050730965126504</v>
      </c>
      <c r="F1078">
        <v>0.28652258378485201</v>
      </c>
      <c r="G1078">
        <v>0.15520992969909</v>
      </c>
      <c r="H1078">
        <v>0.118972084310021</v>
      </c>
      <c r="I1078">
        <v>9.5247986098241894E-2</v>
      </c>
      <c r="J1078">
        <v>0.132531974966491</v>
      </c>
      <c r="K1078">
        <v>0.101094987149853</v>
      </c>
      <c r="L1078">
        <v>1168.13445137433</v>
      </c>
      <c r="M1078">
        <v>23.095394985815599</v>
      </c>
      <c r="N1078">
        <v>51.070692744998397</v>
      </c>
      <c r="O1078">
        <v>50.204052867253701</v>
      </c>
      <c r="P1078">
        <v>-0.10353831908733301</v>
      </c>
      <c r="Q1078">
        <v>9.9743041030191507E-2</v>
      </c>
      <c r="R1078">
        <v>0.99125421532517699</v>
      </c>
      <c r="S1078" t="s">
        <v>6939</v>
      </c>
      <c r="T1078" t="s">
        <v>11720</v>
      </c>
      <c r="U1078" t="s">
        <v>11720</v>
      </c>
      <c r="V1078" t="s">
        <v>11720</v>
      </c>
      <c r="W1078" t="s">
        <v>12770</v>
      </c>
      <c r="X1078">
        <v>7</v>
      </c>
      <c r="Y1078" t="s">
        <v>18562</v>
      </c>
      <c r="Z1078" t="s">
        <v>24285</v>
      </c>
      <c r="AA1078">
        <v>0.42666117035278123</v>
      </c>
      <c r="AB1078" t="str">
        <f>HYPERLINK("Melting_Curves/meltCurve_J3QL71_SCRN2.pdf", "Melting_Curves/meltCurve_J3QL71_SCRN2.pdf")</f>
        <v>Melting_Curves/meltCurve_J3QL71_SCRN2.pdf</v>
      </c>
    </row>
    <row r="1079" spans="1:28" x14ac:dyDescent="0.25">
      <c r="A1079" t="s">
        <v>1083</v>
      </c>
      <c r="B1079">
        <v>0.99334974765950101</v>
      </c>
      <c r="C1079">
        <v>1.05997697271512</v>
      </c>
      <c r="D1079">
        <v>1.0179387043938699</v>
      </c>
      <c r="E1079">
        <v>1.2588284735116699</v>
      </c>
      <c r="F1079">
        <v>1.8854497774533701</v>
      </c>
      <c r="G1079">
        <v>2.1952401097277798</v>
      </c>
      <c r="H1079">
        <v>1.8982469156208499</v>
      </c>
      <c r="I1079">
        <v>2.1351993616639202</v>
      </c>
      <c r="J1079">
        <v>1.74528558667269</v>
      </c>
      <c r="K1079">
        <v>1.0396355468358101</v>
      </c>
      <c r="L1079">
        <v>12496.466751293299</v>
      </c>
      <c r="M1079">
        <v>250</v>
      </c>
      <c r="O1079">
        <v>49.982667914602096</v>
      </c>
      <c r="P1079">
        <v>0.62521672284048102</v>
      </c>
      <c r="Q1079">
        <v>1.5</v>
      </c>
      <c r="R1079">
        <v>0.33230699160487798</v>
      </c>
      <c r="S1079" t="s">
        <v>6940</v>
      </c>
      <c r="T1079" t="s">
        <v>11720</v>
      </c>
      <c r="U1079" t="s">
        <v>11720</v>
      </c>
      <c r="V1079" t="s">
        <v>11720</v>
      </c>
      <c r="W1079" t="s">
        <v>12771</v>
      </c>
      <c r="X1079">
        <v>8</v>
      </c>
      <c r="Y1079" t="s">
        <v>18563</v>
      </c>
      <c r="Z1079" t="s">
        <v>24286</v>
      </c>
      <c r="AA1079">
        <v>1.3335250210377949</v>
      </c>
      <c r="AB1079" t="str">
        <f>HYPERLINK("Melting_Curves/meltCurve_J3QLE5_SNRPN.pdf", "Melting_Curves/meltCurve_J3QLE5_SNRPN.pdf")</f>
        <v>Melting_Curves/meltCurve_J3QLE5_SNRPN.pdf</v>
      </c>
    </row>
    <row r="1080" spans="1:28" x14ac:dyDescent="0.25">
      <c r="A1080" t="s">
        <v>1084</v>
      </c>
      <c r="B1080">
        <v>0.99334974765950101</v>
      </c>
      <c r="C1080">
        <v>0.89441686161721401</v>
      </c>
      <c r="D1080">
        <v>0.877069694245183</v>
      </c>
      <c r="E1080">
        <v>0.59658568490176</v>
      </c>
      <c r="F1080">
        <v>0.51476653102005898</v>
      </c>
      <c r="G1080">
        <v>0.43498196882350798</v>
      </c>
      <c r="H1080">
        <v>0.335413275857251</v>
      </c>
      <c r="I1080">
        <v>0.25493833454064402</v>
      </c>
      <c r="J1080">
        <v>0.141385019586803</v>
      </c>
      <c r="K1080">
        <v>0.10697987976500101</v>
      </c>
      <c r="L1080">
        <v>447.97879053448003</v>
      </c>
      <c r="M1080">
        <v>8.2479196756796291</v>
      </c>
      <c r="N1080">
        <v>54.314155252944502</v>
      </c>
      <c r="O1080">
        <v>51.401956859800997</v>
      </c>
      <c r="P1080">
        <v>-4.0155285839021497E-2</v>
      </c>
      <c r="Q1080">
        <v>0</v>
      </c>
      <c r="R1080">
        <v>0.979983615116928</v>
      </c>
      <c r="S1080" t="s">
        <v>6941</v>
      </c>
      <c r="T1080" t="s">
        <v>11720</v>
      </c>
      <c r="U1080" t="s">
        <v>11720</v>
      </c>
      <c r="V1080" t="s">
        <v>11720</v>
      </c>
      <c r="W1080" t="s">
        <v>12772</v>
      </c>
      <c r="X1080">
        <v>3</v>
      </c>
      <c r="Y1080" t="s">
        <v>18564</v>
      </c>
      <c r="Z1080" t="s">
        <v>24287</v>
      </c>
      <c r="AA1080">
        <v>0.50877292810806107</v>
      </c>
      <c r="AB1080" t="str">
        <f>HYPERLINK("Melting_Curves/meltCurve_J3QLU9_ERBB2.pdf", "Melting_Curves/meltCurve_J3QLU9_ERBB2.pdf")</f>
        <v>Melting_Curves/meltCurve_J3QLU9_ERBB2.pdf</v>
      </c>
    </row>
    <row r="1081" spans="1:28" x14ac:dyDescent="0.25">
      <c r="A1081" t="s">
        <v>1085</v>
      </c>
      <c r="B1081">
        <v>0.99334974765950101</v>
      </c>
      <c r="C1081">
        <v>1.0049948786075</v>
      </c>
      <c r="D1081">
        <v>0.94447986748011004</v>
      </c>
      <c r="E1081">
        <v>0.92515645946546998</v>
      </c>
      <c r="F1081">
        <v>0.80097926465269798</v>
      </c>
      <c r="G1081">
        <v>0.64486056399744796</v>
      </c>
      <c r="H1081">
        <v>0.57113421096995798</v>
      </c>
      <c r="I1081">
        <v>0.64765782100698799</v>
      </c>
      <c r="J1081">
        <v>0.68676224746607495</v>
      </c>
      <c r="K1081">
        <v>0.60588356199244997</v>
      </c>
      <c r="L1081">
        <v>1551.2706221789399</v>
      </c>
      <c r="M1081">
        <v>29.5372272782426</v>
      </c>
      <c r="O1081">
        <v>52.280209374867198</v>
      </c>
      <c r="P1081">
        <v>-5.3054872269749399E-2</v>
      </c>
      <c r="Q1081">
        <v>0.62437906252501296</v>
      </c>
      <c r="R1081">
        <v>0.95780729101668605</v>
      </c>
      <c r="S1081" t="s">
        <v>6942</v>
      </c>
      <c r="T1081" t="s">
        <v>11720</v>
      </c>
      <c r="U1081" t="s">
        <v>11720</v>
      </c>
      <c r="V1081" t="s">
        <v>11720</v>
      </c>
      <c r="W1081" t="s">
        <v>12773</v>
      </c>
      <c r="X1081">
        <v>8</v>
      </c>
      <c r="Y1081" t="s">
        <v>18565</v>
      </c>
      <c r="Z1081" t="s">
        <v>24288</v>
      </c>
      <c r="AA1081">
        <v>0.78362202372643142</v>
      </c>
      <c r="AB1081" t="str">
        <f>HYPERLINK("Melting_Curves/meltCurve_J3QQJ0_SAP30BP.pdf", "Melting_Curves/meltCurve_J3QQJ0_SAP30BP.pdf")</f>
        <v>Melting_Curves/meltCurve_J3QQJ0_SAP30BP.pdf</v>
      </c>
    </row>
    <row r="1082" spans="1:28" x14ac:dyDescent="0.25">
      <c r="A1082" t="s">
        <v>1086</v>
      </c>
      <c r="B1082">
        <v>0.99334974765950101</v>
      </c>
      <c r="C1082">
        <v>0.99994515103175796</v>
      </c>
      <c r="D1082">
        <v>0.89783531848013398</v>
      </c>
      <c r="E1082">
        <v>0.53864934437295597</v>
      </c>
      <c r="F1082">
        <v>0.27253798781111499</v>
      </c>
      <c r="G1082">
        <v>0.18400497917485001</v>
      </c>
      <c r="H1082">
        <v>0.142132347303428</v>
      </c>
      <c r="I1082">
        <v>0.108185996254949</v>
      </c>
      <c r="J1082">
        <v>9.1696052807883094E-2</v>
      </c>
      <c r="K1082">
        <v>6.18083205203694E-2</v>
      </c>
      <c r="L1082">
        <v>1154.35733556026</v>
      </c>
      <c r="M1082">
        <v>23.121358324389799</v>
      </c>
      <c r="N1082">
        <v>50.415483998719402</v>
      </c>
      <c r="O1082">
        <v>49.557038958263597</v>
      </c>
      <c r="P1082">
        <v>-0.10491598044907501</v>
      </c>
      <c r="Q1082">
        <v>0.10053188048454199</v>
      </c>
      <c r="R1082">
        <v>0.996805219005654</v>
      </c>
      <c r="S1082" t="s">
        <v>6943</v>
      </c>
      <c r="T1082" t="s">
        <v>11720</v>
      </c>
      <c r="U1082" t="s">
        <v>11720</v>
      </c>
      <c r="V1082" t="s">
        <v>11720</v>
      </c>
      <c r="W1082" t="s">
        <v>12774</v>
      </c>
      <c r="X1082">
        <v>3</v>
      </c>
      <c r="Y1082" t="s">
        <v>18566</v>
      </c>
      <c r="Z1082" t="s">
        <v>24289</v>
      </c>
      <c r="AA1082">
        <v>0.4075340499688932</v>
      </c>
      <c r="AB1082" t="str">
        <f>HYPERLINK("Melting_Curves/meltCurve_J3QQN7_GDPD1.pdf", "Melting_Curves/meltCurve_J3QQN7_GDPD1.pdf")</f>
        <v>Melting_Curves/meltCurve_J3QQN7_GDPD1.pdf</v>
      </c>
    </row>
    <row r="1083" spans="1:28" x14ac:dyDescent="0.25">
      <c r="A1083" t="s">
        <v>1087</v>
      </c>
      <c r="B1083">
        <v>0.99334974765950101</v>
      </c>
      <c r="C1083">
        <v>1.0350627996897599</v>
      </c>
      <c r="D1083">
        <v>0.94470960545704696</v>
      </c>
      <c r="E1083">
        <v>0.93605153644096795</v>
      </c>
      <c r="F1083">
        <v>0.701343868194231</v>
      </c>
      <c r="G1083">
        <v>0.38090377282502103</v>
      </c>
      <c r="H1083">
        <v>0.28229313168465903</v>
      </c>
      <c r="I1083">
        <v>0.32214832956302702</v>
      </c>
      <c r="J1083">
        <v>0.250822347527411</v>
      </c>
      <c r="K1083">
        <v>0.24660016590720699</v>
      </c>
      <c r="L1083">
        <v>1559.4234304061499</v>
      </c>
      <c r="M1083">
        <v>29.032032794752698</v>
      </c>
      <c r="N1083">
        <v>55.164250913329198</v>
      </c>
      <c r="O1083">
        <v>53.460976138480603</v>
      </c>
      <c r="P1083">
        <v>-9.9523409241143598E-2</v>
      </c>
      <c r="Q1083">
        <v>0.26693675101867598</v>
      </c>
      <c r="R1083">
        <v>0.99327981683436894</v>
      </c>
      <c r="S1083" t="s">
        <v>6944</v>
      </c>
      <c r="T1083" t="s">
        <v>11720</v>
      </c>
      <c r="U1083" t="s">
        <v>11720</v>
      </c>
      <c r="V1083" t="s">
        <v>11720</v>
      </c>
      <c r="W1083" t="s">
        <v>12775</v>
      </c>
      <c r="X1083">
        <v>6</v>
      </c>
      <c r="Y1083" t="s">
        <v>18567</v>
      </c>
      <c r="Z1083" t="s">
        <v>24290</v>
      </c>
      <c r="AA1083">
        <v>0.60715445089074338</v>
      </c>
      <c r="AB1083" t="str">
        <f>HYPERLINK("Melting_Curves/meltCurve_J3QQT2_RPL17.pdf", "Melting_Curves/meltCurve_J3QQT2_RPL17.pdf")</f>
        <v>Melting_Curves/meltCurve_J3QQT2_RPL17.pdf</v>
      </c>
    </row>
    <row r="1084" spans="1:28" x14ac:dyDescent="0.25">
      <c r="A1084" t="s">
        <v>1088</v>
      </c>
      <c r="B1084">
        <v>0.99334974765950101</v>
      </c>
      <c r="C1084">
        <v>1.1567102981233099</v>
      </c>
      <c r="D1084">
        <v>0.96778434674245395</v>
      </c>
      <c r="E1084">
        <v>0.83707267192433199</v>
      </c>
      <c r="F1084">
        <v>0.82773093488814697</v>
      </c>
      <c r="G1084">
        <v>0.65101758969575496</v>
      </c>
      <c r="H1084">
        <v>0.57477978339345503</v>
      </c>
      <c r="I1084">
        <v>0.61384782149832895</v>
      </c>
      <c r="J1084">
        <v>0.89777650184437396</v>
      </c>
      <c r="K1084">
        <v>1.139772233003</v>
      </c>
      <c r="L1084">
        <v>1959.6141648965699</v>
      </c>
      <c r="M1084">
        <v>40.2178990756845</v>
      </c>
      <c r="O1084">
        <v>48.604931693028099</v>
      </c>
      <c r="P1084">
        <v>-4.5071816154756902E-2</v>
      </c>
      <c r="Q1084">
        <v>0.78211613882541398</v>
      </c>
      <c r="R1084">
        <v>0.332034937055601</v>
      </c>
      <c r="S1084" t="s">
        <v>6945</v>
      </c>
      <c r="T1084" t="s">
        <v>11720</v>
      </c>
      <c r="U1084" t="s">
        <v>11720</v>
      </c>
      <c r="V1084" t="s">
        <v>11720</v>
      </c>
      <c r="W1084" t="s">
        <v>12776</v>
      </c>
      <c r="X1084">
        <v>2</v>
      </c>
      <c r="Y1084" t="s">
        <v>18568</v>
      </c>
      <c r="Z1084" t="s">
        <v>24291</v>
      </c>
      <c r="AA1084">
        <v>0.84621032291326037</v>
      </c>
      <c r="AB1084" t="str">
        <f>HYPERLINK("Melting_Curves/meltCurve_J3QR07_YTHDC1.pdf", "Melting_Curves/meltCurve_J3QR07_YTHDC1.pdf")</f>
        <v>Melting_Curves/meltCurve_J3QR07_YTHDC1.pdf</v>
      </c>
    </row>
    <row r="1085" spans="1:28" x14ac:dyDescent="0.25">
      <c r="A1085" t="s">
        <v>1089</v>
      </c>
      <c r="B1085">
        <v>0.99334974765950101</v>
      </c>
      <c r="C1085">
        <v>0.75291305119977303</v>
      </c>
      <c r="D1085">
        <v>0.52401299430299597</v>
      </c>
      <c r="E1085">
        <v>0.52480849158562703</v>
      </c>
      <c r="F1085">
        <v>0.40187955325043401</v>
      </c>
      <c r="G1085">
        <v>0.30094733985564498</v>
      </c>
      <c r="H1085">
        <v>0.26806134388213998</v>
      </c>
      <c r="I1085">
        <v>0.382910898126188</v>
      </c>
      <c r="J1085">
        <v>0.49208570384487899</v>
      </c>
      <c r="K1085">
        <v>0.51122035245050901</v>
      </c>
      <c r="L1085">
        <v>1105.5390649984099</v>
      </c>
      <c r="M1085">
        <v>25.289059357899699</v>
      </c>
      <c r="N1085">
        <v>46.779664122737103</v>
      </c>
      <c r="O1085">
        <v>43.445493899229596</v>
      </c>
      <c r="P1085">
        <v>-8.6649982117857599E-2</v>
      </c>
      <c r="Q1085">
        <v>0.40456419228360901</v>
      </c>
      <c r="R1085">
        <v>0.85512895638430098</v>
      </c>
      <c r="S1085" t="s">
        <v>6946</v>
      </c>
      <c r="T1085" t="s">
        <v>11720</v>
      </c>
      <c r="U1085" t="s">
        <v>11720</v>
      </c>
      <c r="V1085" t="s">
        <v>11720</v>
      </c>
      <c r="W1085" t="s">
        <v>12777</v>
      </c>
      <c r="X1085">
        <v>1</v>
      </c>
      <c r="Y1085" t="s">
        <v>18569</v>
      </c>
      <c r="Z1085" t="s">
        <v>24292</v>
      </c>
      <c r="AA1085">
        <v>0.48532111966433378</v>
      </c>
      <c r="AB1085" t="str">
        <f>HYPERLINK("Melting_Curves/meltCurve_J3QR29_CDK11B.pdf", "Melting_Curves/meltCurve_J3QR29_CDK11B.pdf")</f>
        <v>Melting_Curves/meltCurve_J3QR29_CDK11B.pdf</v>
      </c>
    </row>
    <row r="1086" spans="1:28" x14ac:dyDescent="0.25">
      <c r="A1086" t="s">
        <v>1090</v>
      </c>
      <c r="B1086">
        <v>0.99334974765950101</v>
      </c>
      <c r="C1086">
        <v>1.1357088000367599</v>
      </c>
      <c r="D1086">
        <v>1.16103422434593</v>
      </c>
      <c r="E1086">
        <v>1.0165738401253099</v>
      </c>
      <c r="F1086">
        <v>0.34201681840432002</v>
      </c>
      <c r="G1086">
        <v>0.22470315787085701</v>
      </c>
      <c r="H1086">
        <v>0.154252473334131</v>
      </c>
      <c r="I1086">
        <v>0.11978079273672899</v>
      </c>
      <c r="J1086">
        <v>0.11900307109516201</v>
      </c>
      <c r="K1086">
        <v>5.2710795185042701E-2</v>
      </c>
      <c r="L1086">
        <v>13188.9443845757</v>
      </c>
      <c r="M1086">
        <v>250</v>
      </c>
      <c r="N1086">
        <v>52.821749042493401</v>
      </c>
      <c r="O1086">
        <v>52.752401519740197</v>
      </c>
      <c r="P1086">
        <v>-1.02591295843914</v>
      </c>
      <c r="Q1086">
        <v>0.13409004410977399</v>
      </c>
      <c r="R1086">
        <v>0.97058349049714099</v>
      </c>
      <c r="S1086" t="s">
        <v>6947</v>
      </c>
      <c r="T1086" t="s">
        <v>11720</v>
      </c>
      <c r="U1086" t="s">
        <v>11720</v>
      </c>
      <c r="V1086" t="s">
        <v>11720</v>
      </c>
      <c r="W1086" t="s">
        <v>12778</v>
      </c>
      <c r="X1086">
        <v>15</v>
      </c>
      <c r="Y1086" t="s">
        <v>18570</v>
      </c>
      <c r="Z1086" t="s">
        <v>24293</v>
      </c>
      <c r="AA1086">
        <v>0.50234870705990298</v>
      </c>
      <c r="AB1086" t="str">
        <f>HYPERLINK("Melting_Curves/meltCurve_J3QR64_EIF4A1.pdf", "Melting_Curves/meltCurve_J3QR64_EIF4A1.pdf")</f>
        <v>Melting_Curves/meltCurve_J3QR64_EIF4A1.pdf</v>
      </c>
    </row>
    <row r="1087" spans="1:28" x14ac:dyDescent="0.25">
      <c r="A1087" t="s">
        <v>1091</v>
      </c>
      <c r="B1087">
        <v>0.99334974765950101</v>
      </c>
      <c r="C1087">
        <v>0.76657865229102196</v>
      </c>
      <c r="D1087">
        <v>0.30773504440203198</v>
      </c>
      <c r="E1087">
        <v>0.17617526253294499</v>
      </c>
      <c r="F1087">
        <v>0.111567269818818</v>
      </c>
      <c r="G1087">
        <v>5.6116963424621698E-2</v>
      </c>
      <c r="H1087">
        <v>4.9568001779426302E-2</v>
      </c>
      <c r="I1087">
        <v>4.8065883635758699E-2</v>
      </c>
      <c r="J1087">
        <v>4.7532645824492098E-2</v>
      </c>
      <c r="K1087">
        <v>3.2017118224991301E-2</v>
      </c>
      <c r="L1087">
        <v>1235.40270703958</v>
      </c>
      <c r="M1087">
        <v>27.737513584472801</v>
      </c>
      <c r="N1087">
        <v>44.757056093554603</v>
      </c>
      <c r="O1087">
        <v>44.309482643002497</v>
      </c>
      <c r="P1087">
        <v>-0.146612060480696</v>
      </c>
      <c r="Q1087">
        <v>6.3182541133267295E-2</v>
      </c>
      <c r="R1087">
        <v>0.99052779327671303</v>
      </c>
      <c r="S1087" t="s">
        <v>6948</v>
      </c>
      <c r="T1087" t="s">
        <v>11720</v>
      </c>
      <c r="U1087" t="s">
        <v>11720</v>
      </c>
      <c r="V1087" t="s">
        <v>11720</v>
      </c>
      <c r="W1087" t="s">
        <v>12779</v>
      </c>
      <c r="X1087">
        <v>3</v>
      </c>
      <c r="Y1087" t="s">
        <v>18571</v>
      </c>
      <c r="Z1087" t="s">
        <v>24294</v>
      </c>
      <c r="AA1087">
        <v>0.21257711308698859</v>
      </c>
      <c r="AB1087" t="str">
        <f>HYPERLINK("Melting_Curves/meltCurve_J3QRC3_NAT9.pdf", "Melting_Curves/meltCurve_J3QRC3_NAT9.pdf")</f>
        <v>Melting_Curves/meltCurve_J3QRC3_NAT9.pdf</v>
      </c>
    </row>
    <row r="1088" spans="1:28" x14ac:dyDescent="0.25">
      <c r="A1088" t="s">
        <v>1092</v>
      </c>
      <c r="B1088">
        <v>0.99334974765950101</v>
      </c>
      <c r="C1088">
        <v>0.86652007586500301</v>
      </c>
      <c r="D1088">
        <v>0.90338464712591504</v>
      </c>
      <c r="E1088">
        <v>0.69545395459111303</v>
      </c>
      <c r="F1088">
        <v>0.43308389842688699</v>
      </c>
      <c r="G1088">
        <v>0.19498321835535501</v>
      </c>
      <c r="H1088">
        <v>0.188789143378705</v>
      </c>
      <c r="I1088">
        <v>0.15605681165197799</v>
      </c>
      <c r="J1088">
        <v>0.14537833662250399</v>
      </c>
      <c r="K1088">
        <v>0.13090734661831499</v>
      </c>
      <c r="L1088">
        <v>941.95074963400998</v>
      </c>
      <c r="M1088">
        <v>18.376788215865101</v>
      </c>
      <c r="N1088">
        <v>52.077026017316598</v>
      </c>
      <c r="O1088">
        <v>50.6622299834169</v>
      </c>
      <c r="P1088">
        <v>-7.9301470157639803E-2</v>
      </c>
      <c r="Q1088">
        <v>0.12554759805562199</v>
      </c>
      <c r="R1088">
        <v>0.98593205693333497</v>
      </c>
      <c r="S1088" t="s">
        <v>6949</v>
      </c>
      <c r="T1088" t="s">
        <v>11720</v>
      </c>
      <c r="U1088" t="s">
        <v>11720</v>
      </c>
      <c r="V1088" t="s">
        <v>11720</v>
      </c>
      <c r="W1088" t="s">
        <v>12780</v>
      </c>
      <c r="X1088">
        <v>2</v>
      </c>
      <c r="Y1088" t="s">
        <v>18572</v>
      </c>
      <c r="Z1088" t="s">
        <v>24295</v>
      </c>
      <c r="AA1088">
        <v>0.46784552773574978</v>
      </c>
      <c r="AB1088" t="str">
        <f>HYPERLINK("Melting_Curves/meltCurve_J3QRD1_ALDH3A2.pdf", "Melting_Curves/meltCurve_J3QRD1_ALDH3A2.pdf")</f>
        <v>Melting_Curves/meltCurve_J3QRD1_ALDH3A2.pdf</v>
      </c>
    </row>
    <row r="1089" spans="1:28" x14ac:dyDescent="0.25">
      <c r="A1089" t="s">
        <v>1093</v>
      </c>
      <c r="B1089">
        <v>0.99334974765950101</v>
      </c>
      <c r="C1089">
        <v>1.0696797804124201</v>
      </c>
      <c r="D1089">
        <v>0.92606675373180702</v>
      </c>
      <c r="E1089">
        <v>0.95830229972560099</v>
      </c>
      <c r="F1089">
        <v>0.72998544817936695</v>
      </c>
      <c r="G1089">
        <v>0.433446457943234</v>
      </c>
      <c r="H1089">
        <v>0.28366741606017698</v>
      </c>
      <c r="I1089">
        <v>0.306234928868514</v>
      </c>
      <c r="J1089">
        <v>0.19739504882290701</v>
      </c>
      <c r="K1089">
        <v>0.15151219987721501</v>
      </c>
      <c r="L1089">
        <v>1154.6983556178</v>
      </c>
      <c r="M1089">
        <v>21.0147029288119</v>
      </c>
      <c r="N1089">
        <v>56.2459221567577</v>
      </c>
      <c r="O1089">
        <v>54.456881867622599</v>
      </c>
      <c r="P1089">
        <v>-7.7931305665016798E-2</v>
      </c>
      <c r="Q1089">
        <v>0.19222638354473701</v>
      </c>
      <c r="R1089">
        <v>0.98349053760736405</v>
      </c>
      <c r="S1089" t="s">
        <v>6950</v>
      </c>
      <c r="T1089" t="s">
        <v>11720</v>
      </c>
      <c r="U1089" t="s">
        <v>11720</v>
      </c>
      <c r="V1089" t="s">
        <v>11720</v>
      </c>
      <c r="W1089" t="s">
        <v>12781</v>
      </c>
      <c r="X1089">
        <v>2</v>
      </c>
      <c r="Y1089" t="s">
        <v>18573</v>
      </c>
      <c r="Z1089" t="s">
        <v>24296</v>
      </c>
      <c r="AA1089">
        <v>0.60467233488734229</v>
      </c>
      <c r="AB1089" t="str">
        <f>HYPERLINK("Melting_Curves/meltCurve_J3QRL9_DSC3.pdf", "Melting_Curves/meltCurve_J3QRL9_DSC3.pdf")</f>
        <v>Melting_Curves/meltCurve_J3QRL9_DSC3.pdf</v>
      </c>
    </row>
    <row r="1090" spans="1:28" x14ac:dyDescent="0.25">
      <c r="A1090" t="s">
        <v>1094</v>
      </c>
      <c r="B1090">
        <v>0.99334974765950101</v>
      </c>
      <c r="C1090">
        <v>1.13239935660487</v>
      </c>
      <c r="D1090">
        <v>1.25962961534853</v>
      </c>
      <c r="E1090">
        <v>1.53193852494986</v>
      </c>
      <c r="F1090">
        <v>1.7902487145182799</v>
      </c>
      <c r="G1090">
        <v>0.83807796420762304</v>
      </c>
      <c r="H1090">
        <v>0.75173946992216101</v>
      </c>
      <c r="I1090">
        <v>0.94832549679976696</v>
      </c>
      <c r="J1090">
        <v>1.3034185378585801</v>
      </c>
      <c r="K1090">
        <v>2.2113872994045201</v>
      </c>
      <c r="L1090">
        <v>200.68669689548301</v>
      </c>
      <c r="M1090">
        <v>3.9702803077420601</v>
      </c>
      <c r="O1090">
        <v>41.398470677007097</v>
      </c>
      <c r="P1090">
        <v>1.21458264590476E-2</v>
      </c>
      <c r="Q1090">
        <v>1.5</v>
      </c>
      <c r="R1090">
        <v>4.7670616095880601E-2</v>
      </c>
      <c r="S1090" t="s">
        <v>6951</v>
      </c>
      <c r="T1090" t="s">
        <v>11720</v>
      </c>
      <c r="U1090" t="s">
        <v>11720</v>
      </c>
      <c r="V1090" t="s">
        <v>11720</v>
      </c>
      <c r="W1090" t="s">
        <v>12782</v>
      </c>
      <c r="X1090">
        <v>9</v>
      </c>
      <c r="Y1090" t="s">
        <v>18574</v>
      </c>
      <c r="Z1090" t="s">
        <v>24297</v>
      </c>
      <c r="AA1090">
        <v>1.2766631893566101</v>
      </c>
      <c r="AB1090" t="str">
        <f>HYPERLINK("Melting_Curves/meltCurve_J3QRS3_MYL12A.pdf", "Melting_Curves/meltCurve_J3QRS3_MYL12A.pdf")</f>
        <v>Melting_Curves/meltCurve_J3QRS3_MYL12A.pdf</v>
      </c>
    </row>
    <row r="1091" spans="1:28" x14ac:dyDescent="0.25">
      <c r="A1091" t="s">
        <v>1095</v>
      </c>
      <c r="B1091">
        <v>0.99334974765950101</v>
      </c>
      <c r="C1091">
        <v>0.96609515416554104</v>
      </c>
      <c r="D1091">
        <v>0.87434301097551304</v>
      </c>
      <c r="E1091">
        <v>0.83172927810948605</v>
      </c>
      <c r="F1091">
        <v>0.74776783960542204</v>
      </c>
      <c r="G1091">
        <v>0.52806542346603502</v>
      </c>
      <c r="H1091">
        <v>0.42188791702305301</v>
      </c>
      <c r="I1091">
        <v>0.422839410965833</v>
      </c>
      <c r="J1091">
        <v>0.43402801790057</v>
      </c>
      <c r="K1091">
        <v>0.38559761277933302</v>
      </c>
      <c r="L1091">
        <v>700.92558399800396</v>
      </c>
      <c r="M1091">
        <v>13.098217309668501</v>
      </c>
      <c r="N1091">
        <v>59.1408339828265</v>
      </c>
      <c r="O1091">
        <v>52.311806289356198</v>
      </c>
      <c r="P1091">
        <v>-4.0304711500434999E-2</v>
      </c>
      <c r="Q1091">
        <v>0.35623283723987698</v>
      </c>
      <c r="R1091">
        <v>0.98197669737696203</v>
      </c>
      <c r="S1091" t="s">
        <v>6952</v>
      </c>
      <c r="T1091" t="s">
        <v>11720</v>
      </c>
      <c r="U1091" t="s">
        <v>11720</v>
      </c>
      <c r="V1091" t="s">
        <v>11720</v>
      </c>
      <c r="W1091" t="s">
        <v>12783</v>
      </c>
      <c r="X1091">
        <v>3</v>
      </c>
      <c r="Y1091" t="s">
        <v>18575</v>
      </c>
      <c r="Z1091" t="s">
        <v>24298</v>
      </c>
      <c r="AA1091">
        <v>0.66219649056232333</v>
      </c>
      <c r="AB1091" t="str">
        <f>HYPERLINK("Melting_Curves/meltCurve_J3QRS9_ZNF207.pdf", "Melting_Curves/meltCurve_J3QRS9_ZNF207.pdf")</f>
        <v>Melting_Curves/meltCurve_J3QRS9_ZNF207.pdf</v>
      </c>
    </row>
    <row r="1092" spans="1:28" x14ac:dyDescent="0.25">
      <c r="A1092" t="s">
        <v>1096</v>
      </c>
      <c r="B1092">
        <v>0.99334974765950101</v>
      </c>
      <c r="C1092">
        <v>0.90547412179029496</v>
      </c>
      <c r="D1092">
        <v>0.69091468896014596</v>
      </c>
      <c r="E1092">
        <v>0.41336490066376402</v>
      </c>
      <c r="F1092">
        <v>0.120522225094948</v>
      </c>
      <c r="G1092">
        <v>7.2603532953383898E-2</v>
      </c>
      <c r="H1092">
        <v>5.3164474210528299E-2</v>
      </c>
      <c r="I1092">
        <v>3.72806035318674E-2</v>
      </c>
      <c r="J1092">
        <v>4.1129447219771499E-2</v>
      </c>
      <c r="K1092">
        <v>3.25755515706408E-2</v>
      </c>
      <c r="L1092">
        <v>892.727858164542</v>
      </c>
      <c r="M1092">
        <v>18.52247953526</v>
      </c>
      <c r="N1092">
        <v>48.333952435383502</v>
      </c>
      <c r="O1092">
        <v>47.645746426703298</v>
      </c>
      <c r="P1092">
        <v>-9.4708392489618501E-2</v>
      </c>
      <c r="Q1092">
        <v>2.55617421165634E-2</v>
      </c>
      <c r="R1092">
        <v>0.99426284512517904</v>
      </c>
      <c r="S1092" t="s">
        <v>6953</v>
      </c>
      <c r="T1092" t="s">
        <v>11720</v>
      </c>
      <c r="U1092" t="s">
        <v>11720</v>
      </c>
      <c r="V1092" t="s">
        <v>11720</v>
      </c>
      <c r="W1092" t="s">
        <v>12784</v>
      </c>
      <c r="X1092">
        <v>16</v>
      </c>
      <c r="Y1092" t="s">
        <v>18576</v>
      </c>
      <c r="Z1092" t="s">
        <v>24299</v>
      </c>
      <c r="AA1092">
        <v>0.30801009783543593</v>
      </c>
      <c r="AB1092" t="str">
        <f>HYPERLINK("Melting_Curves/meltCurve_J3QRU1_YES1.pdf", "Melting_Curves/meltCurve_J3QRU1_YES1.pdf")</f>
        <v>Melting_Curves/meltCurve_J3QRU1_YES1.pdf</v>
      </c>
    </row>
    <row r="1093" spans="1:28" x14ac:dyDescent="0.25">
      <c r="A1093" t="s">
        <v>1097</v>
      </c>
      <c r="B1093">
        <v>0.99334974765950101</v>
      </c>
      <c r="C1093">
        <v>0.99024381357608904</v>
      </c>
      <c r="D1093">
        <v>0.86866475175012903</v>
      </c>
      <c r="E1093">
        <v>0.82039416277625699</v>
      </c>
      <c r="F1093">
        <v>1.1241466038046799</v>
      </c>
      <c r="G1093">
        <v>0.94405812245491405</v>
      </c>
      <c r="H1093">
        <v>0.840295468129025</v>
      </c>
      <c r="I1093">
        <v>0.82089728599395995</v>
      </c>
      <c r="J1093">
        <v>0.97397994548528199</v>
      </c>
      <c r="K1093">
        <v>0.78496853172199199</v>
      </c>
      <c r="L1093">
        <v>195.54032512978401</v>
      </c>
      <c r="M1093">
        <v>1.0865260619252199</v>
      </c>
      <c r="O1093">
        <v>68.879183605401806</v>
      </c>
      <c r="P1093">
        <v>-5.18983508428459E-3</v>
      </c>
      <c r="Q1093">
        <v>0</v>
      </c>
      <c r="R1093">
        <v>0.17181451571016099</v>
      </c>
      <c r="S1093" t="s">
        <v>6954</v>
      </c>
      <c r="T1093" t="s">
        <v>11720</v>
      </c>
      <c r="U1093" t="s">
        <v>11720</v>
      </c>
      <c r="V1093" t="s">
        <v>11720</v>
      </c>
      <c r="W1093" t="s">
        <v>12785</v>
      </c>
      <c r="X1093">
        <v>8</v>
      </c>
      <c r="Y1093" t="s">
        <v>18577</v>
      </c>
      <c r="Z1093" t="s">
        <v>24300</v>
      </c>
      <c r="AA1093">
        <v>0.91872409193973836</v>
      </c>
      <c r="AB1093" t="str">
        <f>HYPERLINK("Melting_Curves/meltCurve_J3QRU4_VAMP2.pdf", "Melting_Curves/meltCurve_J3QRU4_VAMP2.pdf")</f>
        <v>Melting_Curves/meltCurve_J3QRU4_VAMP2.pdf</v>
      </c>
    </row>
    <row r="1094" spans="1:28" x14ac:dyDescent="0.25">
      <c r="A1094" t="s">
        <v>1098</v>
      </c>
      <c r="B1094">
        <v>0.99334974765950101</v>
      </c>
      <c r="C1094">
        <v>0.97363517954996304</v>
      </c>
      <c r="D1094">
        <v>1.14705872547004</v>
      </c>
      <c r="E1094">
        <v>0.96376533658419805</v>
      </c>
      <c r="F1094">
        <v>1.02728872147797</v>
      </c>
      <c r="G1094">
        <v>0.75941022398328695</v>
      </c>
      <c r="H1094">
        <v>0.97342190426963005</v>
      </c>
      <c r="I1094">
        <v>1.2866055178049201</v>
      </c>
      <c r="J1094">
        <v>1.19566295291368</v>
      </c>
      <c r="K1094">
        <v>0.88792168903028901</v>
      </c>
      <c r="L1094">
        <v>15000</v>
      </c>
      <c r="M1094">
        <v>241.03568569544299</v>
      </c>
      <c r="O1094">
        <v>62.227159262772503</v>
      </c>
      <c r="P1094">
        <v>0.119409197891458</v>
      </c>
      <c r="Q1094">
        <v>1.12330947307268</v>
      </c>
      <c r="R1094">
        <v>0.19486147311336199</v>
      </c>
      <c r="S1094" t="s">
        <v>6955</v>
      </c>
      <c r="T1094" t="s">
        <v>11720</v>
      </c>
      <c r="U1094" t="s">
        <v>11720</v>
      </c>
      <c r="V1094" t="s">
        <v>11720</v>
      </c>
      <c r="W1094" t="s">
        <v>12786</v>
      </c>
      <c r="X1094">
        <v>1</v>
      </c>
      <c r="Y1094" t="s">
        <v>18578</v>
      </c>
      <c r="Z1094" t="s">
        <v>24301</v>
      </c>
      <c r="AA1094">
        <v>1.031916709503697</v>
      </c>
      <c r="AB1094" t="str">
        <f>HYPERLINK("Melting_Curves/meltCurve_J3QRX6_COPRS.pdf", "Melting_Curves/meltCurve_J3QRX6_COPRS.pdf")</f>
        <v>Melting_Curves/meltCurve_J3QRX6_COPRS.pdf</v>
      </c>
    </row>
    <row r="1095" spans="1:28" x14ac:dyDescent="0.25">
      <c r="A1095" t="s">
        <v>1099</v>
      </c>
      <c r="B1095">
        <v>0.99334974765950101</v>
      </c>
      <c r="C1095">
        <v>0.82159638347835195</v>
      </c>
      <c r="D1095">
        <v>0.62406933132553499</v>
      </c>
      <c r="E1095">
        <v>0.65156409417897099</v>
      </c>
      <c r="F1095">
        <v>0.72993913327565896</v>
      </c>
      <c r="G1095">
        <v>0.70759040744881196</v>
      </c>
      <c r="H1095">
        <v>0.64614767208743396</v>
      </c>
      <c r="I1095">
        <v>0.72084775362618303</v>
      </c>
      <c r="J1095">
        <v>0.59991297186131998</v>
      </c>
      <c r="K1095">
        <v>0.53914758407726604</v>
      </c>
      <c r="L1095">
        <v>10722.726194062399</v>
      </c>
      <c r="M1095">
        <v>250</v>
      </c>
      <c r="O1095">
        <v>42.888160055983199</v>
      </c>
      <c r="P1095">
        <v>-0.50654661024014902</v>
      </c>
      <c r="Q1095">
        <v>0.65240236698128795</v>
      </c>
      <c r="R1095">
        <v>0.79726058131418398</v>
      </c>
      <c r="S1095" t="s">
        <v>6956</v>
      </c>
      <c r="T1095" t="s">
        <v>11720</v>
      </c>
      <c r="U1095" t="s">
        <v>11720</v>
      </c>
      <c r="V1095" t="s">
        <v>11720</v>
      </c>
      <c r="W1095" t="s">
        <v>12787</v>
      </c>
      <c r="X1095">
        <v>1</v>
      </c>
      <c r="Y1095" t="s">
        <v>18579</v>
      </c>
      <c r="Z1095" t="s">
        <v>24302</v>
      </c>
      <c r="AA1095">
        <v>0.68592425359416276</v>
      </c>
      <c r="AB1095" t="str">
        <f>HYPERLINK("Melting_Curves/meltCurve_J3QS47_CYB561.pdf", "Melting_Curves/meltCurve_J3QS47_CYB561.pdf")</f>
        <v>Melting_Curves/meltCurve_J3QS47_CYB561.pdf</v>
      </c>
    </row>
    <row r="1096" spans="1:28" x14ac:dyDescent="0.25">
      <c r="A1096" t="s">
        <v>1100</v>
      </c>
      <c r="B1096">
        <v>0.99334974765950101</v>
      </c>
      <c r="C1096">
        <v>1.1201476335187199</v>
      </c>
      <c r="D1096">
        <v>0.87806810819629499</v>
      </c>
      <c r="E1096">
        <v>0.91568313736366502</v>
      </c>
      <c r="F1096">
        <v>0.85534576676698904</v>
      </c>
      <c r="G1096">
        <v>0.65630326173295706</v>
      </c>
      <c r="H1096">
        <v>0.59634128303223399</v>
      </c>
      <c r="I1096">
        <v>0.91791483515341699</v>
      </c>
      <c r="J1096">
        <v>1.6620472443352301</v>
      </c>
      <c r="K1096">
        <v>2.0418799364339599</v>
      </c>
      <c r="L1096">
        <v>15000</v>
      </c>
      <c r="M1096">
        <v>229.45559531837199</v>
      </c>
      <c r="O1096">
        <v>65.367162031562799</v>
      </c>
      <c r="P1096">
        <v>0.43878225100606599</v>
      </c>
      <c r="Q1096">
        <v>1.5</v>
      </c>
      <c r="R1096">
        <v>0.63558468045598904</v>
      </c>
      <c r="S1096" t="s">
        <v>6957</v>
      </c>
      <c r="T1096" t="s">
        <v>11720</v>
      </c>
      <c r="U1096" t="s">
        <v>11720</v>
      </c>
      <c r="V1096" t="s">
        <v>11720</v>
      </c>
      <c r="W1096" t="s">
        <v>12788</v>
      </c>
      <c r="X1096">
        <v>1</v>
      </c>
      <c r="Y1096" t="s">
        <v>18580</v>
      </c>
      <c r="Z1096" t="s">
        <v>24303</v>
      </c>
      <c r="AA1096">
        <v>1.077063142837227</v>
      </c>
      <c r="AB1096" t="str">
        <f>HYPERLINK("Melting_Curves/meltCurve_J3QS68_RNF135.pdf", "Melting_Curves/meltCurve_J3QS68_RNF135.pdf")</f>
        <v>Melting_Curves/meltCurve_J3QS68_RNF135.pdf</v>
      </c>
    </row>
    <row r="1097" spans="1:28" x14ac:dyDescent="0.25">
      <c r="A1097" t="s">
        <v>1101</v>
      </c>
      <c r="B1097">
        <v>0.99334974765950101</v>
      </c>
      <c r="C1097">
        <v>0.94900321297752899</v>
      </c>
      <c r="D1097">
        <v>0.88805878194923105</v>
      </c>
      <c r="E1097">
        <v>0.59654747896365401</v>
      </c>
      <c r="F1097">
        <v>0.240251401015739</v>
      </c>
      <c r="G1097">
        <v>0.17462412001101299</v>
      </c>
      <c r="H1097">
        <v>0.13806556528292799</v>
      </c>
      <c r="I1097">
        <v>0.118766527076807</v>
      </c>
      <c r="J1097">
        <v>8.1811625828090803E-2</v>
      </c>
      <c r="K1097">
        <v>4.1763523698532201E-2</v>
      </c>
      <c r="L1097">
        <v>1161.05422418487</v>
      </c>
      <c r="M1097">
        <v>23.148205896963901</v>
      </c>
      <c r="N1097">
        <v>50.589171248415497</v>
      </c>
      <c r="O1097">
        <v>49.787587939917302</v>
      </c>
      <c r="P1097">
        <v>-0.105818231272296</v>
      </c>
      <c r="Q1097">
        <v>8.9633388224012706E-2</v>
      </c>
      <c r="R1097">
        <v>0.99233746573815096</v>
      </c>
      <c r="S1097" t="s">
        <v>6958</v>
      </c>
      <c r="T1097" t="s">
        <v>11720</v>
      </c>
      <c r="U1097" t="s">
        <v>11720</v>
      </c>
      <c r="V1097" t="s">
        <v>11720</v>
      </c>
      <c r="W1097" t="s">
        <v>12789</v>
      </c>
      <c r="X1097">
        <v>1</v>
      </c>
      <c r="Y1097" t="s">
        <v>18581</v>
      </c>
      <c r="Z1097" t="s">
        <v>24304</v>
      </c>
      <c r="AA1097">
        <v>0.40736907792974719</v>
      </c>
      <c r="AB1097" t="str">
        <f>HYPERLINK("Melting_Curves/meltCurve_J3QS74_SKA2.pdf", "Melting_Curves/meltCurve_J3QS74_SKA2.pdf")</f>
        <v>Melting_Curves/meltCurve_J3QS74_SKA2.pdf</v>
      </c>
    </row>
    <row r="1098" spans="1:28" x14ac:dyDescent="0.25">
      <c r="A1098" t="s">
        <v>1102</v>
      </c>
      <c r="B1098">
        <v>0.99334974765950101</v>
      </c>
      <c r="C1098">
        <v>0.96613574605488495</v>
      </c>
      <c r="D1098">
        <v>0.89375687352024002</v>
      </c>
      <c r="E1098">
        <v>0.63984786739873101</v>
      </c>
      <c r="F1098">
        <v>0.51307757125543096</v>
      </c>
      <c r="G1098">
        <v>0.25051421456747802</v>
      </c>
      <c r="H1098">
        <v>0.14630636295183799</v>
      </c>
      <c r="I1098">
        <v>0.13842948398667901</v>
      </c>
      <c r="J1098">
        <v>0.144308892183899</v>
      </c>
      <c r="K1098">
        <v>0.12584045293709001</v>
      </c>
      <c r="L1098">
        <v>821.673420501397</v>
      </c>
      <c r="M1098">
        <v>15.8870936503822</v>
      </c>
      <c r="N1098">
        <v>52.471235163436397</v>
      </c>
      <c r="O1098">
        <v>50.920933092917501</v>
      </c>
      <c r="P1098">
        <v>-7.0066204209631902E-2</v>
      </c>
      <c r="Q1098">
        <v>0.101774541886358</v>
      </c>
      <c r="R1098">
        <v>0.99598156451108399</v>
      </c>
      <c r="S1098" t="s">
        <v>6959</v>
      </c>
      <c r="T1098" t="s">
        <v>11720</v>
      </c>
      <c r="U1098" t="s">
        <v>11720</v>
      </c>
      <c r="V1098" t="s">
        <v>11720</v>
      </c>
      <c r="W1098" t="s">
        <v>12790</v>
      </c>
      <c r="X1098">
        <v>1</v>
      </c>
      <c r="Y1098" t="s">
        <v>18582</v>
      </c>
      <c r="Z1098" t="s">
        <v>24305</v>
      </c>
      <c r="AA1098">
        <v>0.47116969405857068</v>
      </c>
      <c r="AB1098" t="str">
        <f>HYPERLINK("Melting_Curves/meltCurve_J3QSW1_SAMD4A.pdf", "Melting_Curves/meltCurve_J3QSW1_SAMD4A.pdf")</f>
        <v>Melting_Curves/meltCurve_J3QSW1_SAMD4A.pdf</v>
      </c>
    </row>
    <row r="1099" spans="1:28" x14ac:dyDescent="0.25">
      <c r="A1099" t="s">
        <v>1103</v>
      </c>
      <c r="B1099">
        <v>0.99334974765950101</v>
      </c>
      <c r="C1099">
        <v>0.69858512420984897</v>
      </c>
      <c r="D1099">
        <v>0.84788342499304103</v>
      </c>
      <c r="E1099">
        <v>0.79041043746084205</v>
      </c>
      <c r="F1099">
        <v>0.83944364411134298</v>
      </c>
      <c r="G1099">
        <v>0.86959310922978506</v>
      </c>
      <c r="H1099">
        <v>1.13933870649758</v>
      </c>
      <c r="I1099">
        <v>1.36013194371016</v>
      </c>
      <c r="J1099">
        <v>1.12299744208436</v>
      </c>
      <c r="K1099">
        <v>1.1587444530767099</v>
      </c>
      <c r="L1099">
        <v>15000</v>
      </c>
      <c r="M1099">
        <v>246.52622613776799</v>
      </c>
      <c r="O1099">
        <v>60.841449827838403</v>
      </c>
      <c r="P1099">
        <v>0.21673585422790001</v>
      </c>
      <c r="Q1099">
        <v>1.2139573326803501</v>
      </c>
      <c r="R1099">
        <v>0.396746969045011</v>
      </c>
      <c r="S1099" t="s">
        <v>6960</v>
      </c>
      <c r="T1099" t="s">
        <v>11720</v>
      </c>
      <c r="U1099" t="s">
        <v>11720</v>
      </c>
      <c r="V1099" t="s">
        <v>11720</v>
      </c>
      <c r="W1099" t="s">
        <v>12791</v>
      </c>
      <c r="X1099">
        <v>2</v>
      </c>
      <c r="Y1099" t="s">
        <v>18583</v>
      </c>
      <c r="Z1099" t="s">
        <v>24306</v>
      </c>
      <c r="AA1099">
        <v>1.065265917019891</v>
      </c>
      <c r="AB1099" t="str">
        <f>HYPERLINK("Melting_Curves/meltCurve_J3QSY4_NHP2.pdf", "Melting_Curves/meltCurve_J3QSY4_NHP2.pdf")</f>
        <v>Melting_Curves/meltCurve_J3QSY4_NHP2.pdf</v>
      </c>
    </row>
    <row r="1100" spans="1:28" x14ac:dyDescent="0.25">
      <c r="A1100" t="s">
        <v>1104</v>
      </c>
      <c r="B1100">
        <v>0.99334974765950101</v>
      </c>
      <c r="C1100">
        <v>0.98299952177452399</v>
      </c>
      <c r="D1100">
        <v>0.82626421931982696</v>
      </c>
      <c r="E1100">
        <v>0.74548974945588697</v>
      </c>
      <c r="F1100">
        <v>0.59910045063402595</v>
      </c>
      <c r="G1100">
        <v>0.51312179883368003</v>
      </c>
      <c r="H1100">
        <v>0.43944194855812602</v>
      </c>
      <c r="I1100">
        <v>0.41706316289732998</v>
      </c>
      <c r="J1100">
        <v>0.40453484220718899</v>
      </c>
      <c r="K1100">
        <v>0.312810698085352</v>
      </c>
      <c r="L1100">
        <v>568.97896631428705</v>
      </c>
      <c r="M1100">
        <v>10.9706104535955</v>
      </c>
      <c r="N1100">
        <v>57.284665682421199</v>
      </c>
      <c r="O1100">
        <v>50.229997587061398</v>
      </c>
      <c r="P1100">
        <v>-3.6981278273513697E-2</v>
      </c>
      <c r="Q1100">
        <v>0.32294142382817498</v>
      </c>
      <c r="R1100">
        <v>0.98512647045565305</v>
      </c>
      <c r="S1100" t="s">
        <v>6961</v>
      </c>
      <c r="T1100" t="s">
        <v>11720</v>
      </c>
      <c r="U1100" t="s">
        <v>11720</v>
      </c>
      <c r="V1100" t="s">
        <v>11720</v>
      </c>
      <c r="W1100" t="s">
        <v>12792</v>
      </c>
      <c r="X1100">
        <v>12</v>
      </c>
      <c r="Y1100" t="s">
        <v>18584</v>
      </c>
      <c r="Z1100" t="s">
        <v>24307</v>
      </c>
      <c r="AA1100">
        <v>0.61409405018568952</v>
      </c>
      <c r="AB1100" t="str">
        <f>HYPERLINK("Melting_Curves/meltCurve_J3QT34_MAST4.pdf", "Melting_Curves/meltCurve_J3QT34_MAST4.pdf")</f>
        <v>Melting_Curves/meltCurve_J3QT34_MAST4.pdf</v>
      </c>
    </row>
    <row r="1101" spans="1:28" x14ac:dyDescent="0.25">
      <c r="A1101" t="s">
        <v>1105</v>
      </c>
      <c r="B1101">
        <v>0.99334974765950101</v>
      </c>
      <c r="C1101">
        <v>0.906822067993304</v>
      </c>
      <c r="D1101">
        <v>0.83352025547975594</v>
      </c>
      <c r="E1101">
        <v>0.79384542164274496</v>
      </c>
      <c r="F1101">
        <v>0.71804233211567403</v>
      </c>
      <c r="G1101">
        <v>0.53209295008713997</v>
      </c>
      <c r="H1101">
        <v>0.47691461482442998</v>
      </c>
      <c r="I1101">
        <v>0.430586663992719</v>
      </c>
      <c r="J1101">
        <v>0.38972302528156999</v>
      </c>
      <c r="K1101">
        <v>0.31987548214213701</v>
      </c>
      <c r="L1101">
        <v>406.60093579808398</v>
      </c>
      <c r="M1101">
        <v>7.1600509124170699</v>
      </c>
      <c r="N1101">
        <v>60.049935991705503</v>
      </c>
      <c r="O1101">
        <v>52.858389379753199</v>
      </c>
      <c r="P1101">
        <v>-2.8456086110974301E-2</v>
      </c>
      <c r="Q1101">
        <v>0.161134209039553</v>
      </c>
      <c r="R1101">
        <v>0.98687835449113004</v>
      </c>
      <c r="S1101" t="s">
        <v>6962</v>
      </c>
      <c r="T1101" t="s">
        <v>11720</v>
      </c>
      <c r="U1101" t="s">
        <v>11720</v>
      </c>
      <c r="V1101" t="s">
        <v>11720</v>
      </c>
      <c r="W1101" t="s">
        <v>12793</v>
      </c>
      <c r="X1101">
        <v>3</v>
      </c>
      <c r="Y1101" t="s">
        <v>18585</v>
      </c>
      <c r="Z1101" t="s">
        <v>24308</v>
      </c>
      <c r="AA1101">
        <v>0.63985411109736923</v>
      </c>
      <c r="AB1101" t="str">
        <f>HYPERLINK("Melting_Curves/meltCurve_J3QTA2_BAG1.pdf", "Melting_Curves/meltCurve_J3QTA2_BAG1.pdf")</f>
        <v>Melting_Curves/meltCurve_J3QTA2_BAG1.pdf</v>
      </c>
    </row>
    <row r="1102" spans="1:28" x14ac:dyDescent="0.25">
      <c r="A1102" t="s">
        <v>1106</v>
      </c>
      <c r="B1102">
        <v>0.99334974765950101</v>
      </c>
      <c r="C1102">
        <v>1.11248452059176</v>
      </c>
      <c r="D1102">
        <v>0.99499515278612705</v>
      </c>
      <c r="E1102">
        <v>0.99629857719498605</v>
      </c>
      <c r="F1102">
        <v>1.37272773109093</v>
      </c>
      <c r="G1102">
        <v>1.09574895696844</v>
      </c>
      <c r="H1102">
        <v>0.99878809917315103</v>
      </c>
      <c r="I1102">
        <v>1.0499813009021901</v>
      </c>
      <c r="J1102">
        <v>1.19296706958895</v>
      </c>
      <c r="K1102">
        <v>1.12050619065081</v>
      </c>
      <c r="L1102">
        <v>12762.9180387406</v>
      </c>
      <c r="M1102">
        <v>250</v>
      </c>
      <c r="O1102">
        <v>51.048426287781197</v>
      </c>
      <c r="P1102">
        <v>0.169504843139344</v>
      </c>
      <c r="Q1102">
        <v>1.1384472308256299</v>
      </c>
      <c r="R1102">
        <v>0.22413882478785299</v>
      </c>
      <c r="S1102" t="s">
        <v>6963</v>
      </c>
      <c r="T1102" t="s">
        <v>11720</v>
      </c>
      <c r="U1102" t="s">
        <v>11720</v>
      </c>
      <c r="V1102" t="s">
        <v>11720</v>
      </c>
      <c r="W1102" t="s">
        <v>12794</v>
      </c>
      <c r="X1102">
        <v>7</v>
      </c>
      <c r="Y1102" t="s">
        <v>18586</v>
      </c>
      <c r="Z1102" t="s">
        <v>24309</v>
      </c>
      <c r="AA1102">
        <v>1.0874323797998131</v>
      </c>
      <c r="AB1102" t="str">
        <f>HYPERLINK("Melting_Curves/meltCurve_J3QTA6_CHCHD6.pdf", "Melting_Curves/meltCurve_J3QTA6_CHCHD6.pdf")</f>
        <v>Melting_Curves/meltCurve_J3QTA6_CHCHD6.pdf</v>
      </c>
    </row>
    <row r="1103" spans="1:28" x14ac:dyDescent="0.25">
      <c r="A1103" t="s">
        <v>1107</v>
      </c>
      <c r="B1103">
        <v>0.99334974765950101</v>
      </c>
      <c r="C1103">
        <v>0.959266251681541</v>
      </c>
      <c r="D1103">
        <v>0.99180215897573698</v>
      </c>
      <c r="E1103">
        <v>0.97201166795952798</v>
      </c>
      <c r="F1103">
        <v>1.63281990568378</v>
      </c>
      <c r="G1103">
        <v>0.93984982599687295</v>
      </c>
      <c r="H1103">
        <v>0.76425286555098904</v>
      </c>
      <c r="I1103">
        <v>0.85588619058669002</v>
      </c>
      <c r="J1103">
        <v>0.71544726667838898</v>
      </c>
      <c r="K1103">
        <v>0.69554087065576398</v>
      </c>
      <c r="L1103">
        <v>14313.129577489401</v>
      </c>
      <c r="M1103">
        <v>250</v>
      </c>
      <c r="O1103">
        <v>57.248854555572997</v>
      </c>
      <c r="P1103">
        <v>-0.26443565778682399</v>
      </c>
      <c r="Q1103">
        <v>0.757781784207194</v>
      </c>
      <c r="R1103">
        <v>0.33975632868372502</v>
      </c>
      <c r="S1103" t="s">
        <v>6964</v>
      </c>
      <c r="T1103" t="s">
        <v>11720</v>
      </c>
      <c r="U1103" t="s">
        <v>11720</v>
      </c>
      <c r="V1103" t="s">
        <v>11720</v>
      </c>
      <c r="W1103" t="s">
        <v>12795</v>
      </c>
      <c r="X1103">
        <v>16</v>
      </c>
      <c r="Y1103" t="s">
        <v>18587</v>
      </c>
      <c r="Z1103" t="s">
        <v>24310</v>
      </c>
      <c r="AA1103">
        <v>0.89710192840002922</v>
      </c>
      <c r="AB1103" t="str">
        <f>HYPERLINK("Melting_Curves/meltCurve_J9JID7_LMNB2.pdf", "Melting_Curves/meltCurve_J9JID7_LMNB2.pdf")</f>
        <v>Melting_Curves/meltCurve_J9JID7_LMNB2.pdf</v>
      </c>
    </row>
    <row r="1104" spans="1:28" x14ac:dyDescent="0.25">
      <c r="A1104" t="s">
        <v>1108</v>
      </c>
      <c r="B1104">
        <v>0.99334974765950101</v>
      </c>
      <c r="C1104">
        <v>0.91488059473879602</v>
      </c>
      <c r="D1104">
        <v>0.818746144444636</v>
      </c>
      <c r="E1104">
        <v>0.82122836369964702</v>
      </c>
      <c r="F1104">
        <v>0.39828918690273002</v>
      </c>
      <c r="G1104">
        <v>0.20851294053463801</v>
      </c>
      <c r="H1104">
        <v>9.3619366069280799E-2</v>
      </c>
      <c r="I1104">
        <v>9.8382110405642306E-2</v>
      </c>
      <c r="J1104">
        <v>6.3798667713878002E-2</v>
      </c>
      <c r="K1104">
        <v>5.0961869294788097E-2</v>
      </c>
      <c r="L1104">
        <v>966.54838370974301</v>
      </c>
      <c r="M1104">
        <v>18.508129059429798</v>
      </c>
      <c r="N1104">
        <v>52.4872685696647</v>
      </c>
      <c r="O1104">
        <v>51.624707452001601</v>
      </c>
      <c r="P1104">
        <v>-8.5643353044461801E-2</v>
      </c>
      <c r="Q1104">
        <v>4.4502537220028802E-2</v>
      </c>
      <c r="R1104">
        <v>0.97610612940861996</v>
      </c>
      <c r="S1104" t="s">
        <v>6965</v>
      </c>
      <c r="T1104" t="s">
        <v>11720</v>
      </c>
      <c r="U1104" t="s">
        <v>11720</v>
      </c>
      <c r="V1104" t="s">
        <v>11720</v>
      </c>
      <c r="W1104" t="s">
        <v>12796</v>
      </c>
      <c r="X1104">
        <v>3</v>
      </c>
      <c r="Y1104" t="s">
        <v>18588</v>
      </c>
      <c r="Z1104" t="s">
        <v>24311</v>
      </c>
      <c r="AA1104">
        <v>0.44892031549449007</v>
      </c>
      <c r="AB1104" t="str">
        <f>HYPERLINK("Melting_Curves/meltCurve_J9JIE6_TMCO1.pdf", "Melting_Curves/meltCurve_J9JIE6_TMCO1.pdf")</f>
        <v>Melting_Curves/meltCurve_J9JIE6_TMCO1.pdf</v>
      </c>
    </row>
    <row r="1105" spans="1:28" x14ac:dyDescent="0.25">
      <c r="A1105" t="s">
        <v>1109</v>
      </c>
      <c r="B1105">
        <v>0.99334974765950101</v>
      </c>
      <c r="C1105">
        <v>0.97029654082161299</v>
      </c>
      <c r="D1105">
        <v>0.97636117622628704</v>
      </c>
      <c r="E1105">
        <v>0.88589891293591905</v>
      </c>
      <c r="F1105">
        <v>0.75090273498212101</v>
      </c>
      <c r="G1105">
        <v>0.61110173996822603</v>
      </c>
      <c r="H1105">
        <v>0.56722810035488103</v>
      </c>
      <c r="I1105">
        <v>0.65652180119024806</v>
      </c>
      <c r="J1105">
        <v>0.64856654851752704</v>
      </c>
      <c r="K1105">
        <v>0.54932467153537301</v>
      </c>
      <c r="L1105">
        <v>1408.0144928765201</v>
      </c>
      <c r="M1105">
        <v>27.200507672466902</v>
      </c>
      <c r="O1105">
        <v>51.486911921106802</v>
      </c>
      <c r="P1105">
        <v>-5.2805808244583398E-2</v>
      </c>
      <c r="Q1105">
        <v>0.60018660616497699</v>
      </c>
      <c r="R1105">
        <v>0.96232606123825204</v>
      </c>
      <c r="S1105" t="s">
        <v>6966</v>
      </c>
      <c r="T1105" t="s">
        <v>11720</v>
      </c>
      <c r="U1105" t="s">
        <v>11720</v>
      </c>
      <c r="V1105" t="s">
        <v>11720</v>
      </c>
      <c r="W1105" t="s">
        <v>12797</v>
      </c>
      <c r="X1105">
        <v>9</v>
      </c>
      <c r="Y1105" t="s">
        <v>18589</v>
      </c>
      <c r="Z1105" t="s">
        <v>24312</v>
      </c>
      <c r="AA1105">
        <v>0.76005929233542802</v>
      </c>
      <c r="AB1105" t="str">
        <f>HYPERLINK("Melting_Curves/meltCurve_J9JIE9_HYI.pdf", "Melting_Curves/meltCurve_J9JIE9_HYI.pdf")</f>
        <v>Melting_Curves/meltCurve_J9JIE9_HYI.pdf</v>
      </c>
    </row>
    <row r="1106" spans="1:28" x14ac:dyDescent="0.25">
      <c r="A1106" t="s">
        <v>1110</v>
      </c>
      <c r="B1106">
        <v>0.99334974765950101</v>
      </c>
      <c r="C1106">
        <v>1.1387275616855199</v>
      </c>
      <c r="D1106">
        <v>0.878031369923438</v>
      </c>
      <c r="E1106">
        <v>0.78109703862134405</v>
      </c>
      <c r="F1106">
        <v>0.67549780710908602</v>
      </c>
      <c r="G1106">
        <v>0.53991374150651705</v>
      </c>
      <c r="H1106">
        <v>0.441729427497417</v>
      </c>
      <c r="I1106">
        <v>0.38546591117599899</v>
      </c>
      <c r="J1106">
        <v>0.47909734425544998</v>
      </c>
      <c r="K1106">
        <v>0.47474602977630198</v>
      </c>
      <c r="L1106">
        <v>922.45372898335802</v>
      </c>
      <c r="M1106">
        <v>17.882349285174701</v>
      </c>
      <c r="N1106">
        <v>58.238395406547099</v>
      </c>
      <c r="O1106">
        <v>50.952476846191701</v>
      </c>
      <c r="P1106">
        <v>-4.9559524428978298E-2</v>
      </c>
      <c r="Q1106">
        <v>0.435185470177258</v>
      </c>
      <c r="R1106">
        <v>0.93976617284352804</v>
      </c>
      <c r="S1106" t="s">
        <v>6967</v>
      </c>
      <c r="T1106" t="s">
        <v>11720</v>
      </c>
      <c r="U1106" t="s">
        <v>11720</v>
      </c>
      <c r="V1106" t="s">
        <v>11720</v>
      </c>
      <c r="W1106" t="s">
        <v>12798</v>
      </c>
      <c r="X1106">
        <v>2</v>
      </c>
      <c r="Y1106" t="s">
        <v>18590</v>
      </c>
      <c r="Z1106" t="s">
        <v>24313</v>
      </c>
      <c r="AA1106">
        <v>0.66284938285646922</v>
      </c>
      <c r="AB1106" t="str">
        <f>HYPERLINK("Melting_Curves/meltCurve_J9JIG6_ARSG.pdf", "Melting_Curves/meltCurve_J9JIG6_ARSG.pdf")</f>
        <v>Melting_Curves/meltCurve_J9JIG6_ARSG.pdf</v>
      </c>
    </row>
    <row r="1107" spans="1:28" x14ac:dyDescent="0.25">
      <c r="A1107" t="s">
        <v>1111</v>
      </c>
      <c r="B1107">
        <v>0.99334974765950101</v>
      </c>
      <c r="C1107">
        <v>0.88677320642100399</v>
      </c>
      <c r="D1107">
        <v>0.64564839311224198</v>
      </c>
      <c r="E1107">
        <v>0.344945058338753</v>
      </c>
      <c r="F1107">
        <v>0.24190811298520201</v>
      </c>
      <c r="G1107">
        <v>0.14851884825596501</v>
      </c>
      <c r="H1107">
        <v>0.14514765042404901</v>
      </c>
      <c r="I1107">
        <v>0.19886105321688999</v>
      </c>
      <c r="J1107">
        <v>0.201969658643427</v>
      </c>
      <c r="K1107">
        <v>0.19101189563519</v>
      </c>
      <c r="L1107">
        <v>1001.97815694181</v>
      </c>
      <c r="M1107">
        <v>21.472883365982302</v>
      </c>
      <c r="N1107">
        <v>47.617375131219802</v>
      </c>
      <c r="O1107">
        <v>46.263444553435598</v>
      </c>
      <c r="P1107">
        <v>-9.5738775021133996E-2</v>
      </c>
      <c r="Q1107">
        <v>0.17494152321855599</v>
      </c>
      <c r="R1107">
        <v>0.99470522718877596</v>
      </c>
      <c r="S1107" t="s">
        <v>6968</v>
      </c>
      <c r="T1107" t="s">
        <v>11720</v>
      </c>
      <c r="U1107" t="s">
        <v>11720</v>
      </c>
      <c r="V1107" t="s">
        <v>11720</v>
      </c>
      <c r="W1107" t="s">
        <v>12799</v>
      </c>
      <c r="X1107">
        <v>2</v>
      </c>
      <c r="Y1107" t="s">
        <v>18591</v>
      </c>
      <c r="Z1107" t="s">
        <v>24314</v>
      </c>
      <c r="AA1107">
        <v>0.36862591831808961</v>
      </c>
      <c r="AB1107" t="str">
        <f>HYPERLINK("Melting_Curves/meltCurve_K4DI92_RWDD4.pdf", "Melting_Curves/meltCurve_K4DI92_RWDD4.pdf")</f>
        <v>Melting_Curves/meltCurve_K4DI92_RWDD4.pdf</v>
      </c>
    </row>
    <row r="1108" spans="1:28" x14ac:dyDescent="0.25">
      <c r="A1108" t="s">
        <v>1112</v>
      </c>
      <c r="B1108">
        <v>0.99334974765950101</v>
      </c>
      <c r="C1108">
        <v>1.14851401369894</v>
      </c>
      <c r="D1108">
        <v>1.2819382816356999</v>
      </c>
      <c r="E1108">
        <v>1.5139694778435699</v>
      </c>
      <c r="F1108">
        <v>1.6459594972543401</v>
      </c>
      <c r="G1108">
        <v>0.62979423322201999</v>
      </c>
      <c r="H1108">
        <v>0.23264372395233501</v>
      </c>
      <c r="I1108">
        <v>0.172011273198207</v>
      </c>
      <c r="J1108">
        <v>0.21837927498957199</v>
      </c>
      <c r="K1108">
        <v>0.17098156751531199</v>
      </c>
      <c r="L1108">
        <v>14258.705185683601</v>
      </c>
      <c r="M1108">
        <v>250</v>
      </c>
      <c r="N1108">
        <v>57.1504591531722</v>
      </c>
      <c r="O1108">
        <v>57.031164770672902</v>
      </c>
      <c r="P1108">
        <v>-0.87835306734032403</v>
      </c>
      <c r="Q1108">
        <v>0.19850393859547899</v>
      </c>
      <c r="R1108">
        <v>0.74608588929119601</v>
      </c>
      <c r="S1108" t="s">
        <v>6969</v>
      </c>
      <c r="T1108" t="s">
        <v>11720</v>
      </c>
      <c r="U1108" t="s">
        <v>11720</v>
      </c>
      <c r="V1108" t="s">
        <v>11720</v>
      </c>
      <c r="W1108" t="s">
        <v>12800</v>
      </c>
      <c r="X1108">
        <v>12</v>
      </c>
      <c r="Y1108" t="s">
        <v>18592</v>
      </c>
      <c r="Z1108" t="s">
        <v>24315</v>
      </c>
      <c r="AA1108">
        <v>0.65369555559006354</v>
      </c>
      <c r="AB1108" t="str">
        <f>HYPERLINK("Melting_Curves/meltCurve_K4DI93_CUL4B.pdf", "Melting_Curves/meltCurve_K4DI93_CUL4B.pdf")</f>
        <v>Melting_Curves/meltCurve_K4DI93_CUL4B.pdf</v>
      </c>
    </row>
    <row r="1109" spans="1:28" x14ac:dyDescent="0.25">
      <c r="A1109" t="s">
        <v>1113</v>
      </c>
      <c r="B1109">
        <v>0.99334974765950101</v>
      </c>
      <c r="C1109">
        <v>0.89356873833296102</v>
      </c>
      <c r="D1109">
        <v>0.79988674011366101</v>
      </c>
      <c r="E1109">
        <v>0.58796539474272602</v>
      </c>
      <c r="F1109">
        <v>0.36681180800216501</v>
      </c>
      <c r="G1109">
        <v>0.34521722987439302</v>
      </c>
      <c r="H1109">
        <v>0.226466440597586</v>
      </c>
      <c r="I1109">
        <v>0.20626062409222701</v>
      </c>
      <c r="J1109">
        <v>0.20799444336499401</v>
      </c>
      <c r="K1109">
        <v>0.13387181765182901</v>
      </c>
      <c r="L1109">
        <v>651.31107597349501</v>
      </c>
      <c r="M1109">
        <v>13.0550087075314</v>
      </c>
      <c r="N1109">
        <v>51.3585608608999</v>
      </c>
      <c r="O1109">
        <v>48.762685043883401</v>
      </c>
      <c r="P1109">
        <v>-5.6513792091458299E-2</v>
      </c>
      <c r="Q1109">
        <v>0.15579207581124599</v>
      </c>
      <c r="R1109">
        <v>0.98970794096564296</v>
      </c>
      <c r="S1109" t="s">
        <v>6970</v>
      </c>
      <c r="T1109" t="s">
        <v>11720</v>
      </c>
      <c r="U1109" t="s">
        <v>11720</v>
      </c>
      <c r="V1109" t="s">
        <v>11720</v>
      </c>
      <c r="W1109" t="s">
        <v>12801</v>
      </c>
      <c r="X1109">
        <v>1</v>
      </c>
      <c r="Y1109" t="s">
        <v>18593</v>
      </c>
      <c r="Z1109" t="s">
        <v>24316</v>
      </c>
      <c r="AA1109">
        <v>0.45975832403466038</v>
      </c>
      <c r="AB1109" t="str">
        <f>HYPERLINK("Melting_Curves/meltCurve_K7EID0_MLX.pdf", "Melting_Curves/meltCurve_K7EID0_MLX.pdf")</f>
        <v>Melting_Curves/meltCurve_K7EID0_MLX.pdf</v>
      </c>
    </row>
    <row r="1110" spans="1:28" x14ac:dyDescent="0.25">
      <c r="A1110" t="s">
        <v>1114</v>
      </c>
      <c r="B1110">
        <v>0.99334974765950101</v>
      </c>
      <c r="C1110">
        <v>0.93117070308451699</v>
      </c>
      <c r="D1110">
        <v>0.87593724758139802</v>
      </c>
      <c r="E1110">
        <v>0.40820779143129399</v>
      </c>
      <c r="F1110">
        <v>0.211019449300694</v>
      </c>
      <c r="G1110">
        <v>0.16839205638636501</v>
      </c>
      <c r="H1110">
        <v>0.14972629393526701</v>
      </c>
      <c r="I1110">
        <v>0.159491636131457</v>
      </c>
      <c r="J1110">
        <v>0.119711399734292</v>
      </c>
      <c r="K1110">
        <v>8.9379741326701401E-2</v>
      </c>
      <c r="L1110">
        <v>1350.1391919161699</v>
      </c>
      <c r="M1110">
        <v>27.726437955926301</v>
      </c>
      <c r="N1110">
        <v>49.239418849996099</v>
      </c>
      <c r="O1110">
        <v>48.4438166560629</v>
      </c>
      <c r="P1110">
        <v>-0.124197860340284</v>
      </c>
      <c r="Q1110">
        <v>0.13201044872752399</v>
      </c>
      <c r="R1110">
        <v>0.99503637470049999</v>
      </c>
      <c r="S1110" t="s">
        <v>6971</v>
      </c>
      <c r="T1110" t="s">
        <v>11720</v>
      </c>
      <c r="U1110" t="s">
        <v>11720</v>
      </c>
      <c r="V1110" t="s">
        <v>11720</v>
      </c>
      <c r="W1110" t="s">
        <v>12802</v>
      </c>
      <c r="X1110">
        <v>1</v>
      </c>
      <c r="Y1110" t="s">
        <v>18594</v>
      </c>
      <c r="Z1110" t="s">
        <v>24317</v>
      </c>
      <c r="AA1110">
        <v>0.38977809432046151</v>
      </c>
      <c r="AB1110" t="str">
        <f>HYPERLINK("Melting_Curves/meltCurve_K7EIE9_PTPN2.pdf", "Melting_Curves/meltCurve_K7EIE9_PTPN2.pdf")</f>
        <v>Melting_Curves/meltCurve_K7EIE9_PTPN2.pdf</v>
      </c>
    </row>
    <row r="1111" spans="1:28" x14ac:dyDescent="0.25">
      <c r="A1111" t="s">
        <v>1115</v>
      </c>
      <c r="B1111">
        <v>0.99334974765950101</v>
      </c>
      <c r="C1111">
        <v>1.0997175184483201</v>
      </c>
      <c r="D1111">
        <v>1.3750323905048101</v>
      </c>
      <c r="E1111">
        <v>0.87050364315884199</v>
      </c>
      <c r="F1111">
        <v>0.64527613782215798</v>
      </c>
      <c r="G1111">
        <v>0.567872772078159</v>
      </c>
      <c r="H1111">
        <v>0.57224615139303303</v>
      </c>
      <c r="I1111">
        <v>0.477385083044714</v>
      </c>
      <c r="J1111">
        <v>0.27975364509555201</v>
      </c>
      <c r="K1111">
        <v>0.161100041489461</v>
      </c>
      <c r="L1111">
        <v>651.17113456459299</v>
      </c>
      <c r="M1111">
        <v>10.943371874694</v>
      </c>
      <c r="N1111">
        <v>60.530631077533101</v>
      </c>
      <c r="O1111">
        <v>57.620231882751298</v>
      </c>
      <c r="P1111">
        <v>-4.3472874522436103E-2</v>
      </c>
      <c r="Q1111">
        <v>8.4722686204958694E-2</v>
      </c>
      <c r="R1111">
        <v>0.81283513209733405</v>
      </c>
      <c r="S1111" t="s">
        <v>6972</v>
      </c>
      <c r="T1111" t="s">
        <v>11720</v>
      </c>
      <c r="U1111" t="s">
        <v>11720</v>
      </c>
      <c r="V1111" t="s">
        <v>11720</v>
      </c>
      <c r="W1111" t="s">
        <v>12682</v>
      </c>
      <c r="X1111">
        <v>4</v>
      </c>
      <c r="Y1111" t="s">
        <v>18475</v>
      </c>
      <c r="Z1111" t="s">
        <v>24318</v>
      </c>
      <c r="AA1111">
        <v>0.68229040439315947</v>
      </c>
      <c r="AB1111" t="str">
        <f>HYPERLINK("Melting_Curves/meltCurve_K7EIG1_CLUH.pdf", "Melting_Curves/meltCurve_K7EIG1_CLUH.pdf")</f>
        <v>Melting_Curves/meltCurve_K7EIG1_CLUH.pdf</v>
      </c>
    </row>
    <row r="1112" spans="1:28" x14ac:dyDescent="0.25">
      <c r="A1112" t="s">
        <v>1116</v>
      </c>
      <c r="B1112">
        <v>0.99334974765950101</v>
      </c>
      <c r="C1112">
        <v>1.0346094818599401</v>
      </c>
      <c r="D1112">
        <v>0.89571438509469603</v>
      </c>
      <c r="E1112">
        <v>0.64339327222265097</v>
      </c>
      <c r="F1112">
        <v>1.2667961956410201</v>
      </c>
      <c r="G1112">
        <v>0.600500988848925</v>
      </c>
      <c r="H1112">
        <v>0.60314668306082997</v>
      </c>
      <c r="I1112">
        <v>0.53619262591022698</v>
      </c>
      <c r="J1112">
        <v>0.63153993280079301</v>
      </c>
      <c r="K1112">
        <v>0.48090823190878601</v>
      </c>
      <c r="L1112">
        <v>14115.228189715601</v>
      </c>
      <c r="M1112">
        <v>250</v>
      </c>
      <c r="O1112">
        <v>56.457317022990502</v>
      </c>
      <c r="P1112">
        <v>-0.483831583680215</v>
      </c>
      <c r="Q1112">
        <v>0.56294680478232895</v>
      </c>
      <c r="R1112">
        <v>0.633907845945481</v>
      </c>
      <c r="S1112" t="s">
        <v>6973</v>
      </c>
      <c r="T1112" t="s">
        <v>11720</v>
      </c>
      <c r="U1112" t="s">
        <v>11720</v>
      </c>
      <c r="V1112" t="s">
        <v>11720</v>
      </c>
      <c r="W1112" t="s">
        <v>12803</v>
      </c>
      <c r="X1112">
        <v>2</v>
      </c>
      <c r="Y1112" t="s">
        <v>18595</v>
      </c>
      <c r="Z1112" t="s">
        <v>24319</v>
      </c>
      <c r="AA1112">
        <v>0.80279992876813444</v>
      </c>
      <c r="AB1112" t="str">
        <f>HYPERLINK("Melting_Curves/meltCurve_K7EIP7_YIPF2.pdf", "Melting_Curves/meltCurve_K7EIP7_YIPF2.pdf")</f>
        <v>Melting_Curves/meltCurve_K7EIP7_YIPF2.pdf</v>
      </c>
    </row>
    <row r="1113" spans="1:28" x14ac:dyDescent="0.25">
      <c r="A1113" t="s">
        <v>1117</v>
      </c>
      <c r="B1113">
        <v>0.99334974765950101</v>
      </c>
      <c r="C1113">
        <v>0.98355420749593903</v>
      </c>
      <c r="D1113">
        <v>0.92977722223144899</v>
      </c>
      <c r="E1113">
        <v>0.71758741471139598</v>
      </c>
      <c r="F1113">
        <v>0.40898206261345899</v>
      </c>
      <c r="G1113">
        <v>0.19883745015478901</v>
      </c>
      <c r="H1113">
        <v>0.144842060040864</v>
      </c>
      <c r="I1113">
        <v>9.6186088920225996E-2</v>
      </c>
      <c r="J1113">
        <v>8.3382693847159295E-2</v>
      </c>
      <c r="K1113">
        <v>8.0148170211530895E-2</v>
      </c>
      <c r="L1113">
        <v>1100.8337901699299</v>
      </c>
      <c r="M1113">
        <v>21.291886626764999</v>
      </c>
      <c r="N1113">
        <v>52.158855009186802</v>
      </c>
      <c r="O1113">
        <v>51.252445572206099</v>
      </c>
      <c r="P1113">
        <v>-9.5026117619283507E-2</v>
      </c>
      <c r="Q1113">
        <v>8.5060485926145901E-2</v>
      </c>
      <c r="R1113">
        <v>0.99895458844796703</v>
      </c>
      <c r="S1113" t="s">
        <v>6974</v>
      </c>
      <c r="T1113" t="s">
        <v>11720</v>
      </c>
      <c r="U1113" t="s">
        <v>11720</v>
      </c>
      <c r="V1113" t="s">
        <v>11720</v>
      </c>
      <c r="W1113" t="s">
        <v>12804</v>
      </c>
      <c r="X1113">
        <v>14</v>
      </c>
      <c r="Y1113" t="s">
        <v>18596</v>
      </c>
      <c r="Z1113" t="s">
        <v>24320</v>
      </c>
      <c r="AA1113">
        <v>0.45324766607618411</v>
      </c>
      <c r="AB1113" t="str">
        <f>HYPERLINK("Melting_Curves/meltCurve_K7EIU8_SMAD4.pdf", "Melting_Curves/meltCurve_K7EIU8_SMAD4.pdf")</f>
        <v>Melting_Curves/meltCurve_K7EIU8_SMAD4.pdf</v>
      </c>
    </row>
    <row r="1114" spans="1:28" x14ac:dyDescent="0.25">
      <c r="A1114" t="s">
        <v>1118</v>
      </c>
      <c r="B1114">
        <v>0.99334974765950101</v>
      </c>
      <c r="C1114">
        <v>1.11469887976347</v>
      </c>
      <c r="D1114">
        <v>0.97919142973955497</v>
      </c>
      <c r="E1114">
        <v>1.1157908883737999</v>
      </c>
      <c r="F1114">
        <v>0.96475649562007204</v>
      </c>
      <c r="G1114">
        <v>0.685661909481455</v>
      </c>
      <c r="H1114">
        <v>0.51066732538767801</v>
      </c>
      <c r="I1114">
        <v>0.472294357854321</v>
      </c>
      <c r="J1114">
        <v>0.41154324765715899</v>
      </c>
      <c r="K1114">
        <v>0.50382901054354901</v>
      </c>
      <c r="L1114">
        <v>2366.5813228895599</v>
      </c>
      <c r="M1114">
        <v>41.8469727910039</v>
      </c>
      <c r="N1114">
        <v>60.459650580074403</v>
      </c>
      <c r="O1114">
        <v>56.424537801370597</v>
      </c>
      <c r="P1114">
        <v>-9.8912362615818594E-2</v>
      </c>
      <c r="Q1114">
        <v>0.46652536030134301</v>
      </c>
      <c r="R1114">
        <v>0.95561865985518402</v>
      </c>
      <c r="S1114" t="s">
        <v>6975</v>
      </c>
      <c r="T1114" t="s">
        <v>11720</v>
      </c>
      <c r="U1114" t="s">
        <v>11720</v>
      </c>
      <c r="V1114" t="s">
        <v>11720</v>
      </c>
      <c r="W1114" t="s">
        <v>12805</v>
      </c>
      <c r="X1114">
        <v>1</v>
      </c>
      <c r="Y1114" t="s">
        <v>18597</v>
      </c>
      <c r="Z1114" t="s">
        <v>24321</v>
      </c>
      <c r="AA1114">
        <v>0.7627747334584658</v>
      </c>
      <c r="AB1114" t="str">
        <f>HYPERLINK("Melting_Curves/meltCurve_K7EJ78_RPS15.pdf", "Melting_Curves/meltCurve_K7EJ78_RPS15.pdf")</f>
        <v>Melting_Curves/meltCurve_K7EJ78_RPS15.pdf</v>
      </c>
    </row>
    <row r="1115" spans="1:28" x14ac:dyDescent="0.25">
      <c r="A1115" t="s">
        <v>1119</v>
      </c>
      <c r="B1115">
        <v>0.99334974765950101</v>
      </c>
      <c r="C1115">
        <v>0.96642436466998505</v>
      </c>
      <c r="D1115">
        <v>0.59676336082297698</v>
      </c>
      <c r="E1115">
        <v>0.496792812035592</v>
      </c>
      <c r="F1115">
        <v>0.36807437236948698</v>
      </c>
      <c r="G1115">
        <v>0.173963353682414</v>
      </c>
      <c r="H1115">
        <v>0.19281022480828899</v>
      </c>
      <c r="I1115">
        <v>0.21714494524532499</v>
      </c>
      <c r="J1115">
        <v>0.30106365369297999</v>
      </c>
      <c r="K1115">
        <v>0.19233884184172501</v>
      </c>
      <c r="L1115">
        <v>810.635693822093</v>
      </c>
      <c r="M1115">
        <v>17.1302014182295</v>
      </c>
      <c r="N1115">
        <v>48.904102873338097</v>
      </c>
      <c r="O1115">
        <v>46.691229152395103</v>
      </c>
      <c r="P1115">
        <v>-7.2213508551034505E-2</v>
      </c>
      <c r="Q1115">
        <v>0.21272701178808501</v>
      </c>
      <c r="R1115">
        <v>0.95541233054668295</v>
      </c>
      <c r="S1115" t="s">
        <v>6976</v>
      </c>
      <c r="T1115" t="s">
        <v>11720</v>
      </c>
      <c r="U1115" t="s">
        <v>11720</v>
      </c>
      <c r="V1115" t="s">
        <v>11720</v>
      </c>
      <c r="W1115" t="s">
        <v>12806</v>
      </c>
      <c r="X1115">
        <v>1</v>
      </c>
      <c r="Y1115" t="s">
        <v>18598</v>
      </c>
      <c r="Z1115" t="s">
        <v>24322</v>
      </c>
      <c r="AA1115">
        <v>0.42078635394583708</v>
      </c>
      <c r="AB1115" t="str">
        <f>HYPERLINK("Melting_Curves/meltCurve_K7EJH0_SPC24.pdf", "Melting_Curves/meltCurve_K7EJH0_SPC24.pdf")</f>
        <v>Melting_Curves/meltCurve_K7EJH0_SPC24.pdf</v>
      </c>
    </row>
    <row r="1116" spans="1:28" x14ac:dyDescent="0.25">
      <c r="A1116" t="s">
        <v>1120</v>
      </c>
      <c r="B1116">
        <v>0.99334974765950101</v>
      </c>
      <c r="C1116">
        <v>0.99643270773346904</v>
      </c>
      <c r="D1116">
        <v>1.25284176883714</v>
      </c>
      <c r="E1116">
        <v>1.02095866475664</v>
      </c>
      <c r="F1116">
        <v>0.82368163563729702</v>
      </c>
      <c r="G1116">
        <v>0.893353285267664</v>
      </c>
      <c r="H1116">
        <v>0.26552905814401601</v>
      </c>
      <c r="I1116">
        <v>0.163205255052988</v>
      </c>
      <c r="J1116">
        <v>0.11040961540461799</v>
      </c>
      <c r="K1116">
        <v>8.3096627882784102E-2</v>
      </c>
      <c r="L1116">
        <v>2839.21733498818</v>
      </c>
      <c r="M1116">
        <v>47.973354895790202</v>
      </c>
      <c r="N1116">
        <v>59.479783586529202</v>
      </c>
      <c r="O1116">
        <v>59.080641165416097</v>
      </c>
      <c r="P1116">
        <v>-0.181406479873747</v>
      </c>
      <c r="Q1116">
        <v>0.106370466509787</v>
      </c>
      <c r="R1116">
        <v>0.94711904797400603</v>
      </c>
      <c r="S1116" t="s">
        <v>6977</v>
      </c>
      <c r="T1116" t="s">
        <v>11720</v>
      </c>
      <c r="U1116" t="s">
        <v>11720</v>
      </c>
      <c r="V1116" t="s">
        <v>11720</v>
      </c>
      <c r="W1116" t="s">
        <v>12807</v>
      </c>
      <c r="X1116">
        <v>14</v>
      </c>
      <c r="Y1116" t="s">
        <v>18599</v>
      </c>
      <c r="Z1116" t="s">
        <v>24323</v>
      </c>
      <c r="AA1116">
        <v>0.68029610971602317</v>
      </c>
      <c r="AB1116" t="str">
        <f>HYPERLINK("Melting_Curves/meltCurve_K7EJL1_AP1M1.pdf", "Melting_Curves/meltCurve_K7EJL1_AP1M1.pdf")</f>
        <v>Melting_Curves/meltCurve_K7EJL1_AP1M1.pdf</v>
      </c>
    </row>
    <row r="1117" spans="1:28" x14ac:dyDescent="0.25">
      <c r="A1117" t="s">
        <v>1121</v>
      </c>
      <c r="B1117">
        <v>0.99334974765950101</v>
      </c>
      <c r="C1117">
        <v>1.0227362291187401</v>
      </c>
      <c r="D1117">
        <v>0.93394101458356105</v>
      </c>
      <c r="E1117">
        <v>1.03049150105136</v>
      </c>
      <c r="F1117">
        <v>1.1418978102010899</v>
      </c>
      <c r="G1117">
        <v>1.1804311275922099</v>
      </c>
      <c r="H1117">
        <v>1.07692620938564</v>
      </c>
      <c r="I1117">
        <v>1.18291514283197</v>
      </c>
      <c r="J1117">
        <v>1.2040232593471301</v>
      </c>
      <c r="K1117">
        <v>0.64690002385273404</v>
      </c>
      <c r="L1117">
        <v>15000</v>
      </c>
      <c r="M1117">
        <v>213.680128453447</v>
      </c>
      <c r="Q1117">
        <v>0</v>
      </c>
      <c r="R1117">
        <v>0.43524482401107301</v>
      </c>
      <c r="S1117" t="s">
        <v>6978</v>
      </c>
      <c r="T1117" t="s">
        <v>11720</v>
      </c>
      <c r="U1117" t="s">
        <v>11720</v>
      </c>
      <c r="V1117" t="s">
        <v>11720</v>
      </c>
      <c r="W1117" t="s">
        <v>12808</v>
      </c>
      <c r="X1117">
        <v>4</v>
      </c>
      <c r="Y1117" t="s">
        <v>18600</v>
      </c>
      <c r="Z1117" t="s">
        <v>24324</v>
      </c>
      <c r="AA1117">
        <v>0.99530635181657767</v>
      </c>
      <c r="AB1117" t="str">
        <f>HYPERLINK("Melting_Curves/meltCurve_K7EK00_FAM210A.pdf", "Melting_Curves/meltCurve_K7EK00_FAM210A.pdf")</f>
        <v>Melting_Curves/meltCurve_K7EK00_FAM210A.pdf</v>
      </c>
    </row>
    <row r="1118" spans="1:28" x14ac:dyDescent="0.25">
      <c r="A1118" t="s">
        <v>1122</v>
      </c>
      <c r="B1118">
        <v>0.99334974765950101</v>
      </c>
      <c r="C1118">
        <v>1.03806520081888</v>
      </c>
      <c r="D1118">
        <v>0.81503339331826197</v>
      </c>
      <c r="E1118">
        <v>0.78120554704012801</v>
      </c>
      <c r="F1118">
        <v>0.71023636265656398</v>
      </c>
      <c r="G1118">
        <v>0.71989776342543499</v>
      </c>
      <c r="H1118">
        <v>0.75112452832604504</v>
      </c>
      <c r="I1118">
        <v>0.58388676349589597</v>
      </c>
      <c r="J1118">
        <v>0.482051699579779</v>
      </c>
      <c r="K1118">
        <v>0.30954826159236098</v>
      </c>
      <c r="L1118">
        <v>343.38182416999399</v>
      </c>
      <c r="M1118">
        <v>5.2000804734487298</v>
      </c>
      <c r="N1118">
        <v>66.033953283354407</v>
      </c>
      <c r="O1118">
        <v>58.148255013476302</v>
      </c>
      <c r="P1118">
        <v>-2.24766931203856E-2</v>
      </c>
      <c r="Q1118">
        <v>0</v>
      </c>
      <c r="R1118">
        <v>0.85196168891183999</v>
      </c>
      <c r="S1118" t="s">
        <v>6979</v>
      </c>
      <c r="T1118" t="s">
        <v>11720</v>
      </c>
      <c r="U1118" t="s">
        <v>11720</v>
      </c>
      <c r="V1118" t="s">
        <v>11720</v>
      </c>
      <c r="W1118" t="s">
        <v>12809</v>
      </c>
      <c r="X1118">
        <v>3</v>
      </c>
      <c r="Y1118" t="s">
        <v>18601</v>
      </c>
      <c r="Z1118" t="s">
        <v>24325</v>
      </c>
      <c r="AA1118">
        <v>0.72495414501842181</v>
      </c>
      <c r="AB1118" t="str">
        <f>HYPERLINK("Melting_Curves/meltCurve_K7EK07_H3F3B.pdf", "Melting_Curves/meltCurve_K7EK07_H3F3B.pdf")</f>
        <v>Melting_Curves/meltCurve_K7EK07_H3F3B.pdf</v>
      </c>
    </row>
    <row r="1119" spans="1:28" x14ac:dyDescent="0.25">
      <c r="A1119" t="s">
        <v>1123</v>
      </c>
      <c r="B1119">
        <v>0.99334974765950101</v>
      </c>
      <c r="C1119">
        <v>1.0745256083710499</v>
      </c>
      <c r="D1119">
        <v>0.91513853546809698</v>
      </c>
      <c r="E1119">
        <v>0.55752092230154704</v>
      </c>
      <c r="F1119">
        <v>0.28294401335295899</v>
      </c>
      <c r="G1119">
        <v>0.33656232339371001</v>
      </c>
      <c r="H1119">
        <v>0.424978846260615</v>
      </c>
      <c r="I1119">
        <v>0.78809473747463898</v>
      </c>
      <c r="J1119">
        <v>1.5535577329069199</v>
      </c>
      <c r="K1119">
        <v>0.96574893302819598</v>
      </c>
      <c r="L1119">
        <v>11542.503799992301</v>
      </c>
      <c r="M1119">
        <v>250</v>
      </c>
      <c r="O1119">
        <v>46.167069227348897</v>
      </c>
      <c r="P1119">
        <v>-0.40431433454868598</v>
      </c>
      <c r="Q1119">
        <v>0.70134392987219696</v>
      </c>
      <c r="R1119">
        <v>0.133664921800217</v>
      </c>
      <c r="S1119" t="s">
        <v>6980</v>
      </c>
      <c r="T1119" t="s">
        <v>11720</v>
      </c>
      <c r="U1119" t="s">
        <v>11720</v>
      </c>
      <c r="V1119" t="s">
        <v>11720</v>
      </c>
      <c r="W1119" t="s">
        <v>12810</v>
      </c>
      <c r="X1119">
        <v>12</v>
      </c>
      <c r="Y1119" t="s">
        <v>18602</v>
      </c>
      <c r="Z1119" t="s">
        <v>24326</v>
      </c>
      <c r="AA1119">
        <v>0.76279187901586065</v>
      </c>
      <c r="AB1119" t="str">
        <f>HYPERLINK("Melting_Curves/meltCurve_K7EK35_STAT5A.pdf", "Melting_Curves/meltCurve_K7EK35_STAT5A.pdf")</f>
        <v>Melting_Curves/meltCurve_K7EK35_STAT5A.pdf</v>
      </c>
    </row>
    <row r="1120" spans="1:28" x14ac:dyDescent="0.25">
      <c r="A1120" t="s">
        <v>1124</v>
      </c>
      <c r="B1120">
        <v>0.99334974765950101</v>
      </c>
      <c r="C1120">
        <v>0.91579995045367102</v>
      </c>
      <c r="D1120">
        <v>0.965742981423798</v>
      </c>
      <c r="E1120">
        <v>0.85890136790552196</v>
      </c>
      <c r="F1120">
        <v>0.69867002284161495</v>
      </c>
      <c r="G1120">
        <v>0.30523908045660098</v>
      </c>
      <c r="H1120">
        <v>0.146795142281268</v>
      </c>
      <c r="I1120">
        <v>0.111914680894488</v>
      </c>
      <c r="J1120">
        <v>0.100673829244444</v>
      </c>
      <c r="K1120">
        <v>8.0615612423645996E-2</v>
      </c>
      <c r="L1120">
        <v>1198.2420918776199</v>
      </c>
      <c r="M1120">
        <v>22.028251369407599</v>
      </c>
      <c r="N1120">
        <v>54.803936833358499</v>
      </c>
      <c r="O1120">
        <v>53.953362852135001</v>
      </c>
      <c r="P1120">
        <v>-9.4349547959949806E-2</v>
      </c>
      <c r="Q1120">
        <v>7.5666559279924106E-2</v>
      </c>
      <c r="R1120">
        <v>0.99373955596215002</v>
      </c>
      <c r="S1120" t="s">
        <v>6981</v>
      </c>
      <c r="T1120" t="s">
        <v>11720</v>
      </c>
      <c r="U1120" t="s">
        <v>11720</v>
      </c>
      <c r="V1120" t="s">
        <v>11720</v>
      </c>
      <c r="W1120" t="s">
        <v>12811</v>
      </c>
      <c r="X1120">
        <v>42</v>
      </c>
      <c r="Y1120" t="s">
        <v>18603</v>
      </c>
      <c r="Z1120" t="s">
        <v>24327</v>
      </c>
      <c r="AA1120">
        <v>0.52987947810441671</v>
      </c>
      <c r="AB1120" t="str">
        <f>HYPERLINK("Melting_Curves/meltCurve_K7EKE6_LONP1.pdf", "Melting_Curves/meltCurve_K7EKE6_LONP1.pdf")</f>
        <v>Melting_Curves/meltCurve_K7EKE6_LONP1.pdf</v>
      </c>
    </row>
    <row r="1121" spans="1:28" x14ac:dyDescent="0.25">
      <c r="A1121" t="s">
        <v>1125</v>
      </c>
      <c r="B1121">
        <v>0.99334974765950101</v>
      </c>
      <c r="C1121">
        <v>1.1420375866182599</v>
      </c>
      <c r="D1121">
        <v>1.0174607632844299</v>
      </c>
      <c r="E1121">
        <v>0.71310332264820497</v>
      </c>
      <c r="F1121">
        <v>0.51462847681243296</v>
      </c>
      <c r="G1121">
        <v>0.36588072051035903</v>
      </c>
      <c r="H1121">
        <v>0.31015885579772001</v>
      </c>
      <c r="I1121">
        <v>0.29370615178144399</v>
      </c>
      <c r="J1121">
        <v>0.28244874298292599</v>
      </c>
      <c r="K1121">
        <v>0.26961916875821101</v>
      </c>
      <c r="L1121">
        <v>1318.0033218574499</v>
      </c>
      <c r="M1121">
        <v>25.7469696624748</v>
      </c>
      <c r="N1121">
        <v>52.987689017646701</v>
      </c>
      <c r="O1121">
        <v>50.884804388975397</v>
      </c>
      <c r="P1121">
        <v>-8.9662532326251695E-2</v>
      </c>
      <c r="Q1121">
        <v>0.29119335136959601</v>
      </c>
      <c r="R1121">
        <v>0.97453721917658298</v>
      </c>
      <c r="S1121" t="s">
        <v>6982</v>
      </c>
      <c r="T1121" t="s">
        <v>11720</v>
      </c>
      <c r="U1121" t="s">
        <v>11720</v>
      </c>
      <c r="V1121" t="s">
        <v>11720</v>
      </c>
      <c r="W1121" t="s">
        <v>12812</v>
      </c>
      <c r="X1121">
        <v>12</v>
      </c>
      <c r="Y1121" t="s">
        <v>18604</v>
      </c>
      <c r="Z1121" t="s">
        <v>24328</v>
      </c>
      <c r="AA1121">
        <v>0.56164897239611455</v>
      </c>
      <c r="AB1121" t="str">
        <f>HYPERLINK("Melting_Curves/meltCurve_K7EKI8_PPL.pdf", "Melting_Curves/meltCurve_K7EKI8_PPL.pdf")</f>
        <v>Melting_Curves/meltCurve_K7EKI8_PPL.pdf</v>
      </c>
    </row>
    <row r="1122" spans="1:28" x14ac:dyDescent="0.25">
      <c r="A1122" t="s">
        <v>1126</v>
      </c>
      <c r="B1122">
        <v>0.99334974765950101</v>
      </c>
      <c r="C1122">
        <v>0.956863432577579</v>
      </c>
      <c r="D1122">
        <v>1.1026252659723701</v>
      </c>
      <c r="E1122">
        <v>1.4544701558453601</v>
      </c>
      <c r="F1122">
        <v>2.0570327112661499</v>
      </c>
      <c r="G1122">
        <v>1.97216915379677</v>
      </c>
      <c r="H1122">
        <v>1.7056301498553099</v>
      </c>
      <c r="I1122">
        <v>1.33399139705828</v>
      </c>
      <c r="J1122">
        <v>0.34622566542648903</v>
      </c>
      <c r="K1122">
        <v>0.26663032023764899</v>
      </c>
      <c r="L1122">
        <v>15000</v>
      </c>
      <c r="M1122">
        <v>225.96819764755199</v>
      </c>
      <c r="N1122">
        <v>66.604856999302399</v>
      </c>
      <c r="O1122">
        <v>66.375832590361199</v>
      </c>
      <c r="P1122">
        <v>-0.62468377474563397</v>
      </c>
      <c r="Q1122">
        <v>0.266022386256687</v>
      </c>
      <c r="R1122">
        <v>0.143908907400877</v>
      </c>
      <c r="S1122" t="s">
        <v>6983</v>
      </c>
      <c r="T1122" t="s">
        <v>11720</v>
      </c>
      <c r="U1122" t="s">
        <v>11720</v>
      </c>
      <c r="V1122" t="s">
        <v>11720</v>
      </c>
      <c r="W1122" t="s">
        <v>12813</v>
      </c>
      <c r="X1122">
        <v>20</v>
      </c>
      <c r="Y1122" t="s">
        <v>18605</v>
      </c>
      <c r="Z1122" t="s">
        <v>24329</v>
      </c>
      <c r="AA1122">
        <v>0.91156298122721358</v>
      </c>
      <c r="AB1122" t="str">
        <f>HYPERLINK("Melting_Curves/meltCurve_K7EKP8_ACOT7.pdf", "Melting_Curves/meltCurve_K7EKP8_ACOT7.pdf")</f>
        <v>Melting_Curves/meltCurve_K7EKP8_ACOT7.pdf</v>
      </c>
    </row>
    <row r="1123" spans="1:28" x14ac:dyDescent="0.25">
      <c r="A1123" t="s">
        <v>1127</v>
      </c>
      <c r="B1123">
        <v>0.99334974765950101</v>
      </c>
      <c r="C1123">
        <v>0.86653542209922296</v>
      </c>
      <c r="D1123">
        <v>0.76434508563370496</v>
      </c>
      <c r="E1123">
        <v>0.75961690727162801</v>
      </c>
      <c r="F1123">
        <v>0.71681981569935505</v>
      </c>
      <c r="G1123">
        <v>0.70227994454061204</v>
      </c>
      <c r="H1123">
        <v>0.69970979720508797</v>
      </c>
      <c r="I1123">
        <v>0.75026551144359699</v>
      </c>
      <c r="J1123">
        <v>0.75858364364428998</v>
      </c>
      <c r="K1123">
        <v>0.64729470575417802</v>
      </c>
      <c r="L1123">
        <v>1208.8784660228</v>
      </c>
      <c r="M1123">
        <v>27.924596848545999</v>
      </c>
      <c r="O1123">
        <v>43.0706281029791</v>
      </c>
      <c r="P1123">
        <v>-4.57711957626055E-2</v>
      </c>
      <c r="Q1123">
        <v>0.71761426256388205</v>
      </c>
      <c r="R1123">
        <v>0.88528103448681095</v>
      </c>
      <c r="S1123" t="s">
        <v>6984</v>
      </c>
      <c r="T1123" t="s">
        <v>11720</v>
      </c>
      <c r="U1123" t="s">
        <v>11720</v>
      </c>
      <c r="V1123" t="s">
        <v>11720</v>
      </c>
      <c r="W1123" t="s">
        <v>12814</v>
      </c>
      <c r="X1123">
        <v>3</v>
      </c>
      <c r="Y1123" t="s">
        <v>18606</v>
      </c>
      <c r="Z1123" t="s">
        <v>24330</v>
      </c>
      <c r="AA1123">
        <v>0.75145978596712004</v>
      </c>
      <c r="AB1123" t="str">
        <f>HYPERLINK("Melting_Curves/meltCurve_K7EKW3_TMUB2.pdf", "Melting_Curves/meltCurve_K7EKW3_TMUB2.pdf")</f>
        <v>Melting_Curves/meltCurve_K7EKW3_TMUB2.pdf</v>
      </c>
    </row>
    <row r="1124" spans="1:28" x14ac:dyDescent="0.25">
      <c r="A1124" t="s">
        <v>1128</v>
      </c>
      <c r="B1124">
        <v>0.99334974765950101</v>
      </c>
      <c r="C1124">
        <v>0.99517285974773295</v>
      </c>
      <c r="D1124">
        <v>0.90061699537967099</v>
      </c>
      <c r="E1124">
        <v>0.75199680320864004</v>
      </c>
      <c r="F1124">
        <v>0.571879775258615</v>
      </c>
      <c r="G1124">
        <v>0.310563535767163</v>
      </c>
      <c r="H1124">
        <v>0.260723936308422</v>
      </c>
      <c r="I1124">
        <v>0.26824580398282699</v>
      </c>
      <c r="J1124">
        <v>0.24610844852917399</v>
      </c>
      <c r="K1124">
        <v>0.194446210302719</v>
      </c>
      <c r="L1124">
        <v>932.09131409944996</v>
      </c>
      <c r="M1124">
        <v>17.890782965140101</v>
      </c>
      <c r="N1124">
        <v>53.749945509052701</v>
      </c>
      <c r="O1124">
        <v>51.461141187069202</v>
      </c>
      <c r="P1124">
        <v>-6.8544755278369895E-2</v>
      </c>
      <c r="Q1124">
        <v>0.21138996510661601</v>
      </c>
      <c r="R1124">
        <v>0.99458048372788099</v>
      </c>
      <c r="S1124" t="s">
        <v>6985</v>
      </c>
      <c r="T1124" t="s">
        <v>11720</v>
      </c>
      <c r="U1124" t="s">
        <v>11720</v>
      </c>
      <c r="V1124" t="s">
        <v>11720</v>
      </c>
      <c r="W1124" t="s">
        <v>12815</v>
      </c>
      <c r="X1124">
        <v>5</v>
      </c>
      <c r="Y1124" t="s">
        <v>18607</v>
      </c>
      <c r="Z1124" t="s">
        <v>24331</v>
      </c>
      <c r="AA1124">
        <v>0.54267628419640335</v>
      </c>
      <c r="AB1124" t="str">
        <f>HYPERLINK("Melting_Curves/meltCurve_K7EL21_CAPS.pdf", "Melting_Curves/meltCurve_K7EL21_CAPS.pdf")</f>
        <v>Melting_Curves/meltCurve_K7EL21_CAPS.pdf</v>
      </c>
    </row>
    <row r="1125" spans="1:28" x14ac:dyDescent="0.25">
      <c r="A1125" t="s">
        <v>1129</v>
      </c>
      <c r="B1125">
        <v>0.99334974765950101</v>
      </c>
      <c r="C1125">
        <v>1.0217363331597</v>
      </c>
      <c r="D1125">
        <v>1.0437972913001801</v>
      </c>
      <c r="E1125">
        <v>0.97495014967677296</v>
      </c>
      <c r="F1125">
        <v>0.81043074347077804</v>
      </c>
      <c r="G1125">
        <v>0.48594362225404097</v>
      </c>
      <c r="H1125">
        <v>0.25655009686895502</v>
      </c>
      <c r="I1125">
        <v>0.163409413753143</v>
      </c>
      <c r="J1125">
        <v>0.136686021432041</v>
      </c>
      <c r="K1125">
        <v>9.4578996031828899E-2</v>
      </c>
      <c r="L1125">
        <v>1249.39767462686</v>
      </c>
      <c r="M1125">
        <v>22.174105848304901</v>
      </c>
      <c r="N1125">
        <v>56.929810016491899</v>
      </c>
      <c r="O1125">
        <v>55.892636365422902</v>
      </c>
      <c r="P1125">
        <v>-8.9080306144484395E-2</v>
      </c>
      <c r="Q1125">
        <v>0.10186671893148</v>
      </c>
      <c r="R1125">
        <v>0.99695343499572997</v>
      </c>
      <c r="S1125" t="s">
        <v>6986</v>
      </c>
      <c r="T1125" t="s">
        <v>11720</v>
      </c>
      <c r="U1125" t="s">
        <v>11720</v>
      </c>
      <c r="V1125" t="s">
        <v>11720</v>
      </c>
      <c r="W1125" t="s">
        <v>12816</v>
      </c>
      <c r="X1125">
        <v>19</v>
      </c>
      <c r="Y1125" t="s">
        <v>18608</v>
      </c>
      <c r="Z1125" t="s">
        <v>24332</v>
      </c>
      <c r="AA1125">
        <v>0.60107265227146955</v>
      </c>
      <c r="AB1125" t="str">
        <f>HYPERLINK("Melting_Curves/meltCurve_K7EL68_CDC37.pdf", "Melting_Curves/meltCurve_K7EL68_CDC37.pdf")</f>
        <v>Melting_Curves/meltCurve_K7EL68_CDC37.pdf</v>
      </c>
    </row>
    <row r="1126" spans="1:28" x14ac:dyDescent="0.25">
      <c r="A1126" t="s">
        <v>1130</v>
      </c>
      <c r="B1126">
        <v>0.99334974765950101</v>
      </c>
      <c r="C1126">
        <v>1.0007967546246099</v>
      </c>
      <c r="D1126">
        <v>1.13663801778971</v>
      </c>
      <c r="E1126">
        <v>1.0961125972658401</v>
      </c>
      <c r="F1126">
        <v>0.94311781676991802</v>
      </c>
      <c r="G1126">
        <v>0.73425581217628799</v>
      </c>
      <c r="H1126">
        <v>0.622423309533916</v>
      </c>
      <c r="I1126">
        <v>0.70828041278785203</v>
      </c>
      <c r="J1126">
        <v>0.66218561112263397</v>
      </c>
      <c r="K1126">
        <v>0.67473018385184402</v>
      </c>
      <c r="L1126">
        <v>2653.1450256749499</v>
      </c>
      <c r="M1126">
        <v>48.1234578298182</v>
      </c>
      <c r="O1126">
        <v>55.037111125706303</v>
      </c>
      <c r="P1126">
        <v>-7.2622830076111894E-2</v>
      </c>
      <c r="Q1126">
        <v>0.66777565234887404</v>
      </c>
      <c r="R1126">
        <v>0.90510563405533495</v>
      </c>
      <c r="S1126" t="s">
        <v>6987</v>
      </c>
      <c r="T1126" t="s">
        <v>11720</v>
      </c>
      <c r="U1126" t="s">
        <v>11720</v>
      </c>
      <c r="V1126" t="s">
        <v>11720</v>
      </c>
      <c r="W1126" t="s">
        <v>12817</v>
      </c>
      <c r="X1126">
        <v>27</v>
      </c>
      <c r="Y1126" t="s">
        <v>18609</v>
      </c>
      <c r="Z1126" t="s">
        <v>24333</v>
      </c>
      <c r="AA1126">
        <v>0.83622197901602935</v>
      </c>
      <c r="AB1126" t="str">
        <f>HYPERLINK("Melting_Curves/meltCurve_K7ELL7_PRKCSH.pdf", "Melting_Curves/meltCurve_K7ELL7_PRKCSH.pdf")</f>
        <v>Melting_Curves/meltCurve_K7ELL7_PRKCSH.pdf</v>
      </c>
    </row>
    <row r="1127" spans="1:28" x14ac:dyDescent="0.25">
      <c r="A1127" t="s">
        <v>1131</v>
      </c>
      <c r="B1127">
        <v>0.99334974765950101</v>
      </c>
      <c r="C1127">
        <v>0.84680926595836203</v>
      </c>
      <c r="D1127">
        <v>0.78011556861806497</v>
      </c>
      <c r="E1127">
        <v>0.56318011008666002</v>
      </c>
      <c r="F1127">
        <v>0.42635304439685701</v>
      </c>
      <c r="G1127">
        <v>0.313603450068065</v>
      </c>
      <c r="H1127">
        <v>0.29728150012190102</v>
      </c>
      <c r="I1127">
        <v>0.358089430499831</v>
      </c>
      <c r="J1127">
        <v>0.32690121519010501</v>
      </c>
      <c r="K1127">
        <v>0.30567131932480301</v>
      </c>
      <c r="L1127">
        <v>733.36742923186398</v>
      </c>
      <c r="M1127">
        <v>15.3020928915035</v>
      </c>
      <c r="N1127">
        <v>50.992040063272</v>
      </c>
      <c r="O1127">
        <v>47.129808235937901</v>
      </c>
      <c r="P1127">
        <v>-5.6762605158921099E-2</v>
      </c>
      <c r="Q1127">
        <v>0.300759345488045</v>
      </c>
      <c r="R1127">
        <v>0.98487960671800401</v>
      </c>
      <c r="S1127" t="s">
        <v>6988</v>
      </c>
      <c r="T1127" t="s">
        <v>11720</v>
      </c>
      <c r="U1127" t="s">
        <v>11720</v>
      </c>
      <c r="V1127" t="s">
        <v>11720</v>
      </c>
      <c r="W1127" t="s">
        <v>12818</v>
      </c>
      <c r="X1127">
        <v>4</v>
      </c>
      <c r="Y1127" t="s">
        <v>18610</v>
      </c>
      <c r="Z1127" t="s">
        <v>24334</v>
      </c>
      <c r="AA1127">
        <v>0.50285143865902449</v>
      </c>
      <c r="AB1127" t="str">
        <f>HYPERLINK("Melting_Curves/meltCurve_K7ELY2_STX10.pdf", "Melting_Curves/meltCurve_K7ELY2_STX10.pdf")</f>
        <v>Melting_Curves/meltCurve_K7ELY2_STX10.pdf</v>
      </c>
    </row>
    <row r="1128" spans="1:28" x14ac:dyDescent="0.25">
      <c r="A1128" t="s">
        <v>1132</v>
      </c>
      <c r="B1128">
        <v>0.99334974765950101</v>
      </c>
      <c r="C1128">
        <v>0.96199161023828295</v>
      </c>
      <c r="D1128">
        <v>0.926928900052016</v>
      </c>
      <c r="E1128">
        <v>0.89925124762363295</v>
      </c>
      <c r="F1128">
        <v>1.0154845840303</v>
      </c>
      <c r="G1128">
        <v>2.1597034911724902</v>
      </c>
      <c r="H1128">
        <v>2.0894544889076601</v>
      </c>
      <c r="I1128">
        <v>1.7618563002034899</v>
      </c>
      <c r="J1128">
        <v>0.52483343796301096</v>
      </c>
      <c r="K1128">
        <v>0.19038298097638801</v>
      </c>
      <c r="L1128">
        <v>15000</v>
      </c>
      <c r="M1128">
        <v>224.23090144589099</v>
      </c>
      <c r="N1128">
        <v>67.038539192589198</v>
      </c>
      <c r="O1128">
        <v>66.889995340716297</v>
      </c>
      <c r="P1128">
        <v>-0.67857441510364003</v>
      </c>
      <c r="Q1128">
        <v>0.19030164352444601</v>
      </c>
      <c r="R1128">
        <v>0.17180211441983501</v>
      </c>
      <c r="S1128" t="s">
        <v>6989</v>
      </c>
      <c r="T1128" t="s">
        <v>11720</v>
      </c>
      <c r="U1128" t="s">
        <v>11720</v>
      </c>
      <c r="V1128" t="s">
        <v>11720</v>
      </c>
      <c r="W1128" t="s">
        <v>12819</v>
      </c>
      <c r="X1128">
        <v>1</v>
      </c>
      <c r="Y1128" t="s">
        <v>18611</v>
      </c>
      <c r="Z1128" t="s">
        <v>24335</v>
      </c>
      <c r="AA1128">
        <v>0.91632285142775793</v>
      </c>
      <c r="AB1128" t="str">
        <f>HYPERLINK("Melting_Curves/meltCurve_K7EM02_KATNAL2.pdf", "Melting_Curves/meltCurve_K7EM02_KATNAL2.pdf")</f>
        <v>Melting_Curves/meltCurve_K7EM02_KATNAL2.pdf</v>
      </c>
    </row>
    <row r="1129" spans="1:28" x14ac:dyDescent="0.25">
      <c r="A1129" t="s">
        <v>1133</v>
      </c>
      <c r="B1129">
        <v>0.99334974765950101</v>
      </c>
      <c r="C1129">
        <v>0.90069642303710595</v>
      </c>
      <c r="D1129">
        <v>0.73533336393100301</v>
      </c>
      <c r="E1129">
        <v>0.79060149861103401</v>
      </c>
      <c r="F1129">
        <v>0.63343566154183495</v>
      </c>
      <c r="G1129">
        <v>0.58391278848500305</v>
      </c>
      <c r="H1129">
        <v>0.50797459012147195</v>
      </c>
      <c r="I1129">
        <v>0.57598832084268403</v>
      </c>
      <c r="J1129">
        <v>0.51267355203075504</v>
      </c>
      <c r="K1129">
        <v>0.37261074349857698</v>
      </c>
      <c r="L1129">
        <v>361.96521953446398</v>
      </c>
      <c r="M1129">
        <v>6.8878952530053104</v>
      </c>
      <c r="N1129">
        <v>63.772927984323502</v>
      </c>
      <c r="O1129">
        <v>48.656869179712999</v>
      </c>
      <c r="P1129">
        <v>-2.3006054047712301E-2</v>
      </c>
      <c r="Q1129">
        <v>0.351206632579039</v>
      </c>
      <c r="R1129">
        <v>0.90832646708416298</v>
      </c>
      <c r="S1129" t="s">
        <v>6990</v>
      </c>
      <c r="T1129" t="s">
        <v>11720</v>
      </c>
      <c r="U1129" t="s">
        <v>11720</v>
      </c>
      <c r="V1129" t="s">
        <v>11720</v>
      </c>
      <c r="W1129" t="s">
        <v>12820</v>
      </c>
      <c r="X1129">
        <v>3</v>
      </c>
      <c r="Y1129" t="s">
        <v>18612</v>
      </c>
      <c r="Z1129" t="s">
        <v>24336</v>
      </c>
      <c r="AA1129">
        <v>0.65402743708573008</v>
      </c>
      <c r="AB1129" t="str">
        <f>HYPERLINK("Melting_Curves/meltCurve_K7EM09_TMEM205.pdf", "Melting_Curves/meltCurve_K7EM09_TMEM205.pdf")</f>
        <v>Melting_Curves/meltCurve_K7EM09_TMEM205.pdf</v>
      </c>
    </row>
    <row r="1130" spans="1:28" x14ac:dyDescent="0.25">
      <c r="A1130" t="s">
        <v>1134</v>
      </c>
      <c r="B1130">
        <v>0.99334974765950101</v>
      </c>
      <c r="C1130">
        <v>0.96405992566682797</v>
      </c>
      <c r="D1130">
        <v>1.1363909834411501</v>
      </c>
      <c r="E1130">
        <v>1.00238888587568</v>
      </c>
      <c r="F1130">
        <v>1.00354163657786</v>
      </c>
      <c r="G1130">
        <v>0.60572507252376795</v>
      </c>
      <c r="H1130">
        <v>0.40814618761949201</v>
      </c>
      <c r="I1130">
        <v>0.48338463032185303</v>
      </c>
      <c r="J1130">
        <v>0.33768977680777601</v>
      </c>
      <c r="K1130">
        <v>0.25686829662056698</v>
      </c>
      <c r="L1130">
        <v>2742.6383868339399</v>
      </c>
      <c r="M1130">
        <v>48.551976182784301</v>
      </c>
      <c r="N1130">
        <v>58.057113236327702</v>
      </c>
      <c r="O1130">
        <v>56.3931244665498</v>
      </c>
      <c r="P1130">
        <v>-0.13661022922434801</v>
      </c>
      <c r="Q1130">
        <v>0.365309436455933</v>
      </c>
      <c r="R1130">
        <v>0.95224157459287995</v>
      </c>
      <c r="S1130" t="s">
        <v>6991</v>
      </c>
      <c r="T1130" t="s">
        <v>11720</v>
      </c>
      <c r="U1130" t="s">
        <v>11720</v>
      </c>
      <c r="V1130" t="s">
        <v>11720</v>
      </c>
      <c r="W1130" t="s">
        <v>12821</v>
      </c>
      <c r="X1130">
        <v>15</v>
      </c>
      <c r="Y1130" t="s">
        <v>18613</v>
      </c>
      <c r="Z1130" t="s">
        <v>24337</v>
      </c>
      <c r="AA1130">
        <v>0.71582474319389344</v>
      </c>
      <c r="AB1130" t="str">
        <f>HYPERLINK("Melting_Curves/meltCurve_K7EM38_ACTG1.pdf", "Melting_Curves/meltCurve_K7EM38_ACTG1.pdf")</f>
        <v>Melting_Curves/meltCurve_K7EM38_ACTG1.pdf</v>
      </c>
    </row>
    <row r="1131" spans="1:28" x14ac:dyDescent="0.25">
      <c r="A1131" t="s">
        <v>1135</v>
      </c>
      <c r="B1131">
        <v>0.99334974765950101</v>
      </c>
      <c r="C1131">
        <v>0.91697382834835095</v>
      </c>
      <c r="D1131">
        <v>0.82107777833878404</v>
      </c>
      <c r="E1131">
        <v>0.75165726534028499</v>
      </c>
      <c r="F1131">
        <v>0.68066725118570603</v>
      </c>
      <c r="G1131">
        <v>0.46334845194293001</v>
      </c>
      <c r="H1131">
        <v>0.35008616646976298</v>
      </c>
      <c r="I1131">
        <v>0.36569740384384603</v>
      </c>
      <c r="J1131">
        <v>0.30919012192758299</v>
      </c>
      <c r="K1131">
        <v>0.29887615339665502</v>
      </c>
      <c r="L1131">
        <v>515.32671384313903</v>
      </c>
      <c r="M1131">
        <v>9.6215842378037397</v>
      </c>
      <c r="N1131">
        <v>56.757585754828902</v>
      </c>
      <c r="O1131">
        <v>51.399186779976901</v>
      </c>
      <c r="P1131">
        <v>-3.7026551425434998E-2</v>
      </c>
      <c r="Q1131">
        <v>0.20925173382143</v>
      </c>
      <c r="R1131">
        <v>0.98487203078118901</v>
      </c>
      <c r="S1131" t="s">
        <v>6992</v>
      </c>
      <c r="T1131" t="s">
        <v>11720</v>
      </c>
      <c r="U1131" t="s">
        <v>11720</v>
      </c>
      <c r="V1131" t="s">
        <v>11720</v>
      </c>
      <c r="W1131" t="s">
        <v>12822</v>
      </c>
      <c r="X1131">
        <v>1</v>
      </c>
      <c r="Y1131" t="s">
        <v>18614</v>
      </c>
      <c r="Z1131" t="s">
        <v>24338</v>
      </c>
      <c r="AA1131">
        <v>0.59271817678211647</v>
      </c>
      <c r="AB1131" t="str">
        <f>HYPERLINK("Melting_Curves/meltCurve_K7EM88_UBALD1.pdf", "Melting_Curves/meltCurve_K7EM88_UBALD1.pdf")</f>
        <v>Melting_Curves/meltCurve_K7EM88_UBALD1.pdf</v>
      </c>
    </row>
    <row r="1132" spans="1:28" x14ac:dyDescent="0.25">
      <c r="A1132" t="s">
        <v>1136</v>
      </c>
      <c r="B1132">
        <v>0.99334974765950101</v>
      </c>
      <c r="C1132">
        <v>1.0077824194935801</v>
      </c>
      <c r="D1132">
        <v>1.0858589631072599</v>
      </c>
      <c r="E1132">
        <v>0.94453680080803104</v>
      </c>
      <c r="F1132">
        <v>1.17152532281726</v>
      </c>
      <c r="G1132">
        <v>0.93013779629974402</v>
      </c>
      <c r="H1132">
        <v>0.80801924527028701</v>
      </c>
      <c r="I1132">
        <v>0.47775372999066701</v>
      </c>
      <c r="J1132">
        <v>0.30495276490099799</v>
      </c>
      <c r="K1132">
        <v>0.32071118390730202</v>
      </c>
      <c r="L1132">
        <v>2597.6602802550201</v>
      </c>
      <c r="M1132">
        <v>41.646691612704899</v>
      </c>
      <c r="N1132">
        <v>63.718610401526803</v>
      </c>
      <c r="O1132">
        <v>62.230474849256098</v>
      </c>
      <c r="P1132">
        <v>-0.118387268605051</v>
      </c>
      <c r="Q1132">
        <v>0.29240187002422702</v>
      </c>
      <c r="R1132">
        <v>0.95155124162705096</v>
      </c>
      <c r="S1132" t="s">
        <v>6993</v>
      </c>
      <c r="T1132" t="s">
        <v>11720</v>
      </c>
      <c r="U1132" t="s">
        <v>11720</v>
      </c>
      <c r="V1132" t="s">
        <v>11720</v>
      </c>
      <c r="W1132" t="s">
        <v>12823</v>
      </c>
      <c r="X1132">
        <v>3</v>
      </c>
      <c r="Y1132" t="s">
        <v>18615</v>
      </c>
      <c r="Z1132" t="s">
        <v>24339</v>
      </c>
      <c r="AA1132">
        <v>0.82243421373381231</v>
      </c>
      <c r="AB1132" t="str">
        <f>HYPERLINK("Melting_Curves/meltCurve_K7EMM8_GLYR1.pdf", "Melting_Curves/meltCurve_K7EMM8_GLYR1.pdf")</f>
        <v>Melting_Curves/meltCurve_K7EMM8_GLYR1.pdf</v>
      </c>
    </row>
    <row r="1133" spans="1:28" x14ac:dyDescent="0.25">
      <c r="A1133" t="s">
        <v>1137</v>
      </c>
      <c r="B1133">
        <v>0.99334974765950101</v>
      </c>
      <c r="C1133">
        <v>0.98351836174346297</v>
      </c>
      <c r="D1133">
        <v>0.79990282896554998</v>
      </c>
      <c r="E1133">
        <v>0.64303661516065602</v>
      </c>
      <c r="F1133">
        <v>0.51587170696172102</v>
      </c>
      <c r="G1133">
        <v>0.35680350217728102</v>
      </c>
      <c r="H1133">
        <v>0.23859590562621699</v>
      </c>
      <c r="I1133">
        <v>0.22372826535549201</v>
      </c>
      <c r="J1133">
        <v>0.203497058346021</v>
      </c>
      <c r="K1133">
        <v>0.143114975957708</v>
      </c>
      <c r="L1133">
        <v>613.84441405769803</v>
      </c>
      <c r="M1133">
        <v>11.8636440587061</v>
      </c>
      <c r="N1133">
        <v>53.086947623925397</v>
      </c>
      <c r="O1133">
        <v>50.337218657894098</v>
      </c>
      <c r="P1133">
        <v>-5.1284144284327003E-2</v>
      </c>
      <c r="Q1133">
        <v>0.12982884987948301</v>
      </c>
      <c r="R1133">
        <v>0.99344434614648203</v>
      </c>
      <c r="S1133" t="s">
        <v>6994</v>
      </c>
      <c r="T1133" t="s">
        <v>11720</v>
      </c>
      <c r="U1133" t="s">
        <v>11720</v>
      </c>
      <c r="V1133" t="s">
        <v>11720</v>
      </c>
      <c r="W1133" t="s">
        <v>12824</v>
      </c>
      <c r="X1133">
        <v>1</v>
      </c>
      <c r="Y1133" t="s">
        <v>18616</v>
      </c>
      <c r="Z1133" t="s">
        <v>24340</v>
      </c>
      <c r="AA1133">
        <v>0.49790302597175717</v>
      </c>
      <c r="AB1133" t="str">
        <f>HYPERLINK("Melting_Curves/meltCurve_K7EN05_ELOF1.pdf", "Melting_Curves/meltCurve_K7EN05_ELOF1.pdf")</f>
        <v>Melting_Curves/meltCurve_K7EN05_ELOF1.pdf</v>
      </c>
    </row>
    <row r="1134" spans="1:28" x14ac:dyDescent="0.25">
      <c r="A1134" t="s">
        <v>1138</v>
      </c>
      <c r="B1134">
        <v>0.99334974765950101</v>
      </c>
      <c r="C1134">
        <v>1.1343802202740101</v>
      </c>
      <c r="D1134">
        <v>0.842834163276168</v>
      </c>
      <c r="E1134">
        <v>0.92339363016793996</v>
      </c>
      <c r="F1134">
        <v>0.96973300576666999</v>
      </c>
      <c r="G1134">
        <v>0.66526697056795203</v>
      </c>
      <c r="H1134">
        <v>0.63566656593339599</v>
      </c>
      <c r="I1134">
        <v>0.68256764338327802</v>
      </c>
      <c r="J1134">
        <v>0.85416913081769297</v>
      </c>
      <c r="K1134">
        <v>0.71814968575298299</v>
      </c>
      <c r="L1134">
        <v>13363.690344589901</v>
      </c>
      <c r="M1134">
        <v>250</v>
      </c>
      <c r="O1134">
        <v>53.451340724700302</v>
      </c>
      <c r="P1134">
        <v>-0.33773241751980898</v>
      </c>
      <c r="Q1134">
        <v>0.71116399249801598</v>
      </c>
      <c r="R1134">
        <v>0.68382048480276802</v>
      </c>
      <c r="S1134" t="s">
        <v>6995</v>
      </c>
      <c r="T1134" t="s">
        <v>11720</v>
      </c>
      <c r="U1134" t="s">
        <v>11720</v>
      </c>
      <c r="V1134" t="s">
        <v>11720</v>
      </c>
      <c r="W1134" t="s">
        <v>12825</v>
      </c>
      <c r="X1134">
        <v>1</v>
      </c>
      <c r="Y1134" t="s">
        <v>18617</v>
      </c>
      <c r="Z1134" t="s">
        <v>24341</v>
      </c>
      <c r="AA1134">
        <v>0.84073174080801749</v>
      </c>
      <c r="AB1134" t="str">
        <f>HYPERLINK("Melting_Curves/meltCurve_K7EN08_NFIX.pdf", "Melting_Curves/meltCurve_K7EN08_NFIX.pdf")</f>
        <v>Melting_Curves/meltCurve_K7EN08_NFIX.pdf</v>
      </c>
    </row>
    <row r="1135" spans="1:28" x14ac:dyDescent="0.25">
      <c r="A1135" t="s">
        <v>1139</v>
      </c>
      <c r="B1135">
        <v>0.99334974765950101</v>
      </c>
      <c r="C1135">
        <v>0.93396822305654403</v>
      </c>
      <c r="D1135">
        <v>1.1582703767881599</v>
      </c>
      <c r="E1135">
        <v>0.98306737509511</v>
      </c>
      <c r="F1135">
        <v>0.36575086528243</v>
      </c>
      <c r="G1135">
        <v>0.17545574827455199</v>
      </c>
      <c r="H1135">
        <v>0.100690503613403</v>
      </c>
      <c r="I1135">
        <v>0.119738574619716</v>
      </c>
      <c r="J1135">
        <v>5.8613513115256997E-2</v>
      </c>
      <c r="K1135">
        <v>5.6729353154056798E-2</v>
      </c>
      <c r="L1135">
        <v>3949.9864573063801</v>
      </c>
      <c r="M1135">
        <v>75.395221714184004</v>
      </c>
      <c r="N1135">
        <v>52.548748058675002</v>
      </c>
      <c r="O1135">
        <v>52.353592020123102</v>
      </c>
      <c r="P1135">
        <v>-0.323445891430162</v>
      </c>
      <c r="Q1135">
        <v>0.101611532669456</v>
      </c>
      <c r="R1135">
        <v>0.97972483153009504</v>
      </c>
      <c r="S1135" t="s">
        <v>6996</v>
      </c>
      <c r="T1135" t="s">
        <v>11720</v>
      </c>
      <c r="U1135" t="s">
        <v>11720</v>
      </c>
      <c r="V1135" t="s">
        <v>11720</v>
      </c>
      <c r="W1135" t="s">
        <v>12826</v>
      </c>
      <c r="X1135">
        <v>4</v>
      </c>
      <c r="Y1135" t="s">
        <v>18618</v>
      </c>
      <c r="Z1135" t="s">
        <v>24342</v>
      </c>
      <c r="AA1135">
        <v>0.47356841835621888</v>
      </c>
      <c r="AB1135" t="str">
        <f>HYPERLINK("Melting_Curves/meltCurve_K7ENL9_C18orf8.pdf", "Melting_Curves/meltCurve_K7ENL9_C18orf8.pdf")</f>
        <v>Melting_Curves/meltCurve_K7ENL9_C18orf8.pdf</v>
      </c>
    </row>
    <row r="1136" spans="1:28" x14ac:dyDescent="0.25">
      <c r="A1136" t="s">
        <v>1140</v>
      </c>
      <c r="B1136">
        <v>0.99334974765950101</v>
      </c>
      <c r="C1136">
        <v>0.96515644656758703</v>
      </c>
      <c r="D1136">
        <v>0.75779766149933503</v>
      </c>
      <c r="E1136">
        <v>0.34393572848617099</v>
      </c>
      <c r="F1136">
        <v>0.51596105162230999</v>
      </c>
      <c r="G1136">
        <v>0.193204770906338</v>
      </c>
      <c r="H1136">
        <v>0.24465575023295799</v>
      </c>
      <c r="I1136">
        <v>0.27031291659143503</v>
      </c>
      <c r="J1136">
        <v>0.23869984057039201</v>
      </c>
      <c r="K1136">
        <v>0.14880270278357799</v>
      </c>
      <c r="L1136">
        <v>891.42751738040704</v>
      </c>
      <c r="M1136">
        <v>18.630501787670799</v>
      </c>
      <c r="N1136">
        <v>49.418431574922103</v>
      </c>
      <c r="O1136">
        <v>47.306700784084001</v>
      </c>
      <c r="P1136">
        <v>-7.6461311214860994E-2</v>
      </c>
      <c r="Q1136">
        <v>0.22342906021922199</v>
      </c>
      <c r="R1136">
        <v>0.93367573038920004</v>
      </c>
      <c r="S1136" t="s">
        <v>6997</v>
      </c>
      <c r="T1136" t="s">
        <v>11720</v>
      </c>
      <c r="U1136" t="s">
        <v>11720</v>
      </c>
      <c r="V1136" t="s">
        <v>11720</v>
      </c>
      <c r="W1136" t="s">
        <v>12827</v>
      </c>
      <c r="X1136">
        <v>1</v>
      </c>
      <c r="Y1136" t="s">
        <v>18619</v>
      </c>
      <c r="Z1136" t="s">
        <v>24343</v>
      </c>
      <c r="AA1136">
        <v>0.43944834847034497</v>
      </c>
      <c r="AB1136" t="str">
        <f>HYPERLINK("Melting_Curves/meltCurve_K7ENR1_ELK1.pdf", "Melting_Curves/meltCurve_K7ENR1_ELK1.pdf")</f>
        <v>Melting_Curves/meltCurve_K7ENR1_ELK1.pdf</v>
      </c>
    </row>
    <row r="1137" spans="1:28" x14ac:dyDescent="0.25">
      <c r="A1137" t="s">
        <v>1141</v>
      </c>
      <c r="B1137">
        <v>0.99334974765950101</v>
      </c>
      <c r="C1137">
        <v>1.0309568146440999</v>
      </c>
      <c r="D1137">
        <v>1.01735418059465</v>
      </c>
      <c r="E1137">
        <v>0.876388021890393</v>
      </c>
      <c r="F1137">
        <v>0.77034132380542997</v>
      </c>
      <c r="G1137">
        <v>0.40825830969222998</v>
      </c>
      <c r="H1137">
        <v>0.18622010641415901</v>
      </c>
      <c r="I1137">
        <v>0.108179566949717</v>
      </c>
      <c r="J1137">
        <v>8.7906034273391803E-2</v>
      </c>
      <c r="K1137">
        <v>7.0659968383084804E-2</v>
      </c>
      <c r="L1137">
        <v>1145.8358817686001</v>
      </c>
      <c r="M1137">
        <v>20.599106257862498</v>
      </c>
      <c r="N1137">
        <v>55.941599918893701</v>
      </c>
      <c r="O1137">
        <v>55.109237270964002</v>
      </c>
      <c r="P1137">
        <v>-8.8315637280398804E-2</v>
      </c>
      <c r="Q1137">
        <v>5.4936387478947503E-2</v>
      </c>
      <c r="R1137">
        <v>0.99745090251379898</v>
      </c>
      <c r="S1137" t="s">
        <v>6998</v>
      </c>
      <c r="T1137" t="s">
        <v>11720</v>
      </c>
      <c r="U1137" t="s">
        <v>11720</v>
      </c>
      <c r="V1137" t="s">
        <v>11720</v>
      </c>
      <c r="W1137" t="s">
        <v>12828</v>
      </c>
      <c r="X1137">
        <v>8</v>
      </c>
      <c r="Y1137" t="s">
        <v>18620</v>
      </c>
      <c r="Z1137" t="s">
        <v>24344</v>
      </c>
      <c r="AA1137">
        <v>0.55900822869492528</v>
      </c>
      <c r="AB1137" t="str">
        <f>HYPERLINK("Melting_Curves/meltCurve_K7ENR6_PSMG2.pdf", "Melting_Curves/meltCurve_K7ENR6_PSMG2.pdf")</f>
        <v>Melting_Curves/meltCurve_K7ENR6_PSMG2.pdf</v>
      </c>
    </row>
    <row r="1138" spans="1:28" x14ac:dyDescent="0.25">
      <c r="A1138" t="s">
        <v>1142</v>
      </c>
      <c r="B1138">
        <v>0.99334974765950101</v>
      </c>
      <c r="C1138">
        <v>0.72514421229089598</v>
      </c>
      <c r="D1138">
        <v>0.380581373168076</v>
      </c>
      <c r="E1138">
        <v>0.221750968314192</v>
      </c>
      <c r="F1138">
        <v>0.118804240016565</v>
      </c>
      <c r="G1138">
        <v>7.4800265052239898E-2</v>
      </c>
      <c r="H1138">
        <v>6.4893894388908593E-2</v>
      </c>
      <c r="I1138">
        <v>5.4741550970698702E-2</v>
      </c>
      <c r="J1138">
        <v>5.5649565138254503E-2</v>
      </c>
      <c r="K1138">
        <v>5.7525220376193197E-2</v>
      </c>
      <c r="L1138">
        <v>932.57960815522301</v>
      </c>
      <c r="M1138">
        <v>20.8006597687117</v>
      </c>
      <c r="N1138">
        <v>45.147518170113798</v>
      </c>
      <c r="O1138">
        <v>44.425922590436699</v>
      </c>
      <c r="P1138">
        <v>-0.10918660096437301</v>
      </c>
      <c r="Q1138">
        <v>6.7225722217603298E-2</v>
      </c>
      <c r="R1138">
        <v>0.99062170557122697</v>
      </c>
      <c r="S1138" t="s">
        <v>6999</v>
      </c>
      <c r="T1138" t="s">
        <v>11720</v>
      </c>
      <c r="U1138" t="s">
        <v>11720</v>
      </c>
      <c r="V1138" t="s">
        <v>11720</v>
      </c>
      <c r="W1138" t="s">
        <v>12829</v>
      </c>
      <c r="X1138">
        <v>3</v>
      </c>
      <c r="Y1138" t="s">
        <v>18621</v>
      </c>
      <c r="Z1138" t="s">
        <v>24345</v>
      </c>
      <c r="AA1138">
        <v>0.2322166849741982</v>
      </c>
      <c r="AB1138" t="str">
        <f>HYPERLINK("Melting_Curves/meltCurve_K7EP32_UBXN6.pdf", "Melting_Curves/meltCurve_K7EP32_UBXN6.pdf")</f>
        <v>Melting_Curves/meltCurve_K7EP32_UBXN6.pdf</v>
      </c>
    </row>
    <row r="1139" spans="1:28" x14ac:dyDescent="0.25">
      <c r="A1139" t="s">
        <v>1143</v>
      </c>
      <c r="B1139">
        <v>0.99334974765950101</v>
      </c>
      <c r="C1139">
        <v>1.32542764403104</v>
      </c>
      <c r="D1139">
        <v>1.16062357069202</v>
      </c>
      <c r="E1139">
        <v>1.9136807838576699</v>
      </c>
      <c r="F1139">
        <v>1.64402755923301</v>
      </c>
      <c r="G1139">
        <v>1.16926520989452</v>
      </c>
      <c r="H1139">
        <v>0.92136929967518599</v>
      </c>
      <c r="I1139">
        <v>1.7543605386454499</v>
      </c>
      <c r="J1139">
        <v>1.34775055541944</v>
      </c>
      <c r="K1139">
        <v>0.57385189794149405</v>
      </c>
      <c r="L1139">
        <v>15000</v>
      </c>
      <c r="M1139">
        <v>213.987835952094</v>
      </c>
      <c r="Q1139">
        <v>0</v>
      </c>
      <c r="R1139">
        <v>-0.40255585159924201</v>
      </c>
      <c r="S1139" t="s">
        <v>7000</v>
      </c>
      <c r="T1139" t="s">
        <v>11720</v>
      </c>
      <c r="U1139" t="s">
        <v>11720</v>
      </c>
      <c r="V1139" t="s">
        <v>11720</v>
      </c>
      <c r="W1139" t="s">
        <v>12830</v>
      </c>
      <c r="X1139">
        <v>1</v>
      </c>
      <c r="Y1139" t="s">
        <v>18622</v>
      </c>
      <c r="Z1139" t="s">
        <v>24346</v>
      </c>
      <c r="AA1139">
        <v>0.9940176394098843</v>
      </c>
      <c r="AB1139" t="str">
        <f>HYPERLINK("Melting_Curves/meltCurve_K7EPJ5_MGRN1.pdf", "Melting_Curves/meltCurve_K7EPJ5_MGRN1.pdf")</f>
        <v>Melting_Curves/meltCurve_K7EPJ5_MGRN1.pdf</v>
      </c>
    </row>
    <row r="1140" spans="1:28" x14ac:dyDescent="0.25">
      <c r="A1140" t="s">
        <v>1144</v>
      </c>
      <c r="B1140">
        <v>0.99334974765950101</v>
      </c>
      <c r="C1140">
        <v>0.82828398655691604</v>
      </c>
      <c r="D1140">
        <v>0.76094540766801999</v>
      </c>
      <c r="E1140">
        <v>0.82890417047125498</v>
      </c>
      <c r="F1140">
        <v>0.45507514285353201</v>
      </c>
      <c r="G1140">
        <v>0.36870714838796598</v>
      </c>
      <c r="H1140">
        <v>0.179010261093032</v>
      </c>
      <c r="I1140">
        <v>9.0083192660092307E-2</v>
      </c>
      <c r="J1140">
        <v>6.6928506909483695E-2</v>
      </c>
      <c r="K1140">
        <v>0</v>
      </c>
      <c r="L1140">
        <v>614.71555318515902</v>
      </c>
      <c r="M1140">
        <v>11.5395140418421</v>
      </c>
      <c r="N1140">
        <v>53.270487336219901</v>
      </c>
      <c r="O1140">
        <v>51.746059172272801</v>
      </c>
      <c r="P1140">
        <v>-5.5766326865455199E-2</v>
      </c>
      <c r="Q1140">
        <v>0</v>
      </c>
      <c r="R1140">
        <v>0.95427578964923998</v>
      </c>
      <c r="S1140" t="s">
        <v>7001</v>
      </c>
      <c r="T1140" t="s">
        <v>11720</v>
      </c>
      <c r="U1140" t="s">
        <v>11720</v>
      </c>
      <c r="V1140" t="s">
        <v>11720</v>
      </c>
      <c r="W1140" t="s">
        <v>12831</v>
      </c>
      <c r="X1140">
        <v>1</v>
      </c>
      <c r="Y1140" t="s">
        <v>18623</v>
      </c>
      <c r="Z1140" t="s">
        <v>24347</v>
      </c>
      <c r="AA1140">
        <v>0.471370043248938</v>
      </c>
      <c r="AB1140" t="str">
        <f>HYPERLINK("Melting_Curves/meltCurve_K7EQG1_QPCTL.pdf", "Melting_Curves/meltCurve_K7EQG1_QPCTL.pdf")</f>
        <v>Melting_Curves/meltCurve_K7EQG1_QPCTL.pdf</v>
      </c>
    </row>
    <row r="1141" spans="1:28" x14ac:dyDescent="0.25">
      <c r="A1141" t="s">
        <v>1145</v>
      </c>
      <c r="B1141">
        <v>0.99334974765950101</v>
      </c>
      <c r="C1141">
        <v>1.1177574436029201</v>
      </c>
      <c r="D1141">
        <v>0.94955710428960505</v>
      </c>
      <c r="E1141">
        <v>0.98111362052570295</v>
      </c>
      <c r="F1141">
        <v>1.14775092155678</v>
      </c>
      <c r="G1141">
        <v>0.61376019297128703</v>
      </c>
      <c r="H1141">
        <v>0.56907180800403101</v>
      </c>
      <c r="I1141">
        <v>0.58833674889891896</v>
      </c>
      <c r="J1141">
        <v>0.86503323880749405</v>
      </c>
      <c r="K1141">
        <v>0.76496885531424297</v>
      </c>
      <c r="L1141">
        <v>4482.1471547032197</v>
      </c>
      <c r="M1141">
        <v>81.208582302254101</v>
      </c>
      <c r="O1141">
        <v>55.1595805231889</v>
      </c>
      <c r="P1141">
        <v>-0.11857344849411</v>
      </c>
      <c r="Q1141">
        <v>0.67784385980914996</v>
      </c>
      <c r="R1141">
        <v>0.73193253642193001</v>
      </c>
      <c r="S1141" t="s">
        <v>7002</v>
      </c>
      <c r="T1141" t="s">
        <v>11720</v>
      </c>
      <c r="U1141" t="s">
        <v>11720</v>
      </c>
      <c r="V1141" t="s">
        <v>11720</v>
      </c>
      <c r="W1141" t="s">
        <v>12832</v>
      </c>
      <c r="X1141">
        <v>1</v>
      </c>
      <c r="Y1141" t="s">
        <v>18624</v>
      </c>
      <c r="Z1141" t="s">
        <v>24348</v>
      </c>
      <c r="AA1141">
        <v>0.84129100502211041</v>
      </c>
      <c r="AB1141" t="str">
        <f>HYPERLINK("Melting_Curves/meltCurve_K7EQG4_FXYD1.pdf", "Melting_Curves/meltCurve_K7EQG4_FXYD1.pdf")</f>
        <v>Melting_Curves/meltCurve_K7EQG4_FXYD1.pdf</v>
      </c>
    </row>
    <row r="1142" spans="1:28" x14ac:dyDescent="0.25">
      <c r="A1142" t="s">
        <v>1146</v>
      </c>
      <c r="B1142">
        <v>0.99334974765950101</v>
      </c>
      <c r="C1142">
        <v>0.97391614486476596</v>
      </c>
      <c r="D1142">
        <v>0.93400448933604197</v>
      </c>
      <c r="E1142">
        <v>0.80378726495212904</v>
      </c>
      <c r="F1142">
        <v>1.03736989513481</v>
      </c>
      <c r="G1142">
        <v>0.57110196180120898</v>
      </c>
      <c r="H1142">
        <v>0.46952176655371902</v>
      </c>
      <c r="I1142">
        <v>0.53752011810478195</v>
      </c>
      <c r="J1142">
        <v>0.89561219301522699</v>
      </c>
      <c r="K1142">
        <v>0.928012271488451</v>
      </c>
      <c r="L1142">
        <v>13703.4983267076</v>
      </c>
      <c r="M1142">
        <v>250</v>
      </c>
      <c r="O1142">
        <v>54.810463203492098</v>
      </c>
      <c r="P1142">
        <v>-0.364492052979003</v>
      </c>
      <c r="Q1142">
        <v>0.68035221695058601</v>
      </c>
      <c r="R1142">
        <v>0.42045365512951499</v>
      </c>
      <c r="S1142" t="s">
        <v>7003</v>
      </c>
      <c r="T1142" t="s">
        <v>11720</v>
      </c>
      <c r="U1142" t="s">
        <v>11720</v>
      </c>
      <c r="V1142" t="s">
        <v>11720</v>
      </c>
      <c r="W1142" t="s">
        <v>12833</v>
      </c>
      <c r="X1142">
        <v>9</v>
      </c>
      <c r="Y1142" t="s">
        <v>18625</v>
      </c>
      <c r="Z1142" t="s">
        <v>24349</v>
      </c>
      <c r="AA1142">
        <v>0.83822497028834819</v>
      </c>
      <c r="AB1142" t="str">
        <f>HYPERLINK("Melting_Curves/meltCurve_K7EQW8_TPM4.pdf", "Melting_Curves/meltCurve_K7EQW8_TPM4.pdf")</f>
        <v>Melting_Curves/meltCurve_K7EQW8_TPM4.pdf</v>
      </c>
    </row>
    <row r="1143" spans="1:28" x14ac:dyDescent="0.25">
      <c r="A1143" t="s">
        <v>1147</v>
      </c>
      <c r="B1143">
        <v>0.99334974765950101</v>
      </c>
      <c r="C1143">
        <v>1.10685813544634</v>
      </c>
      <c r="D1143">
        <v>0.84626212618334795</v>
      </c>
      <c r="E1143">
        <v>0.755360224940125</v>
      </c>
      <c r="F1143">
        <v>0.46381134992913198</v>
      </c>
      <c r="G1143">
        <v>0.328711759532551</v>
      </c>
      <c r="H1143">
        <v>0.23991028778235199</v>
      </c>
      <c r="I1143">
        <v>0.25201998160726102</v>
      </c>
      <c r="J1143">
        <v>0.26956035237500398</v>
      </c>
      <c r="K1143">
        <v>0.22175821947439001</v>
      </c>
      <c r="L1143">
        <v>1066.07160850745</v>
      </c>
      <c r="M1143">
        <v>20.812241102293299</v>
      </c>
      <c r="N1143">
        <v>52.8357389659243</v>
      </c>
      <c r="O1143">
        <v>50.757414489232801</v>
      </c>
      <c r="P1143">
        <v>-7.8413769896580901E-2</v>
      </c>
      <c r="Q1143">
        <v>0.23507133647417799</v>
      </c>
      <c r="R1143">
        <v>0.97525726989510997</v>
      </c>
      <c r="S1143" t="s">
        <v>7004</v>
      </c>
      <c r="T1143" t="s">
        <v>11720</v>
      </c>
      <c r="U1143" t="s">
        <v>11720</v>
      </c>
      <c r="V1143" t="s">
        <v>11720</v>
      </c>
      <c r="W1143" t="s">
        <v>12834</v>
      </c>
      <c r="X1143">
        <v>4</v>
      </c>
      <c r="Y1143" t="s">
        <v>18626</v>
      </c>
      <c r="Z1143" t="s">
        <v>24350</v>
      </c>
      <c r="AA1143">
        <v>0.53109133251351925</v>
      </c>
      <c r="AB1143" t="str">
        <f>HYPERLINK("Melting_Curves/meltCurve_K7ER00_FARSA.pdf", "Melting_Curves/meltCurve_K7ER00_FARSA.pdf")</f>
        <v>Melting_Curves/meltCurve_K7ER00_FARSA.pdf</v>
      </c>
    </row>
    <row r="1144" spans="1:28" x14ac:dyDescent="0.25">
      <c r="A1144" t="s">
        <v>1148</v>
      </c>
      <c r="B1144">
        <v>0.99334974765950101</v>
      </c>
      <c r="C1144">
        <v>1.0300671503997301</v>
      </c>
      <c r="D1144">
        <v>0.97565991990866696</v>
      </c>
      <c r="E1144">
        <v>0.73231359366888005</v>
      </c>
      <c r="F1144">
        <v>0.57015292423540298</v>
      </c>
      <c r="G1144">
        <v>0.37035192160309499</v>
      </c>
      <c r="H1144">
        <v>0.28269057954701698</v>
      </c>
      <c r="I1144">
        <v>0.28314684896507702</v>
      </c>
      <c r="J1144">
        <v>0.277449999087861</v>
      </c>
      <c r="K1144">
        <v>0.30721223724548402</v>
      </c>
      <c r="L1144">
        <v>1101.0967375600601</v>
      </c>
      <c r="M1144">
        <v>21.300377793266399</v>
      </c>
      <c r="N1144">
        <v>53.750204928683701</v>
      </c>
      <c r="O1144">
        <v>51.244604997100197</v>
      </c>
      <c r="P1144">
        <v>-7.4959431750044603E-2</v>
      </c>
      <c r="Q1144">
        <v>0.27866651110970803</v>
      </c>
      <c r="R1144">
        <v>0.99468743806479498</v>
      </c>
      <c r="S1144" t="s">
        <v>7005</v>
      </c>
      <c r="T1144" t="s">
        <v>11720</v>
      </c>
      <c r="U1144" t="s">
        <v>11720</v>
      </c>
      <c r="V1144" t="s">
        <v>11720</v>
      </c>
      <c r="W1144" t="s">
        <v>12835</v>
      </c>
      <c r="X1144">
        <v>3</v>
      </c>
      <c r="Y1144" t="s">
        <v>18627</v>
      </c>
      <c r="Z1144" t="s">
        <v>24351</v>
      </c>
      <c r="AA1144">
        <v>0.56873790480243813</v>
      </c>
      <c r="AB1144" t="str">
        <f>HYPERLINK("Melting_Curves/meltCurve_K7ER08_RBM42.pdf", "Melting_Curves/meltCurve_K7ER08_RBM42.pdf")</f>
        <v>Melting_Curves/meltCurve_K7ER08_RBM42.pdf</v>
      </c>
    </row>
    <row r="1145" spans="1:28" x14ac:dyDescent="0.25">
      <c r="A1145" t="s">
        <v>1149</v>
      </c>
      <c r="B1145">
        <v>0.99334974765950101</v>
      </c>
      <c r="C1145">
        <v>0.96905659045202097</v>
      </c>
      <c r="D1145">
        <v>0.97046549495190704</v>
      </c>
      <c r="E1145">
        <v>1.7392949211987401</v>
      </c>
      <c r="F1145">
        <v>0.89435414506756605</v>
      </c>
      <c r="G1145">
        <v>0.27964135895201903</v>
      </c>
      <c r="H1145">
        <v>0.20722986302355301</v>
      </c>
      <c r="I1145">
        <v>0.16562820215719501</v>
      </c>
      <c r="J1145">
        <v>0.16421127637579999</v>
      </c>
      <c r="K1145">
        <v>0.118817046167824</v>
      </c>
      <c r="L1145">
        <v>3296.0947826329698</v>
      </c>
      <c r="M1145">
        <v>59.7711343124395</v>
      </c>
      <c r="N1145">
        <v>55.517392768312</v>
      </c>
      <c r="O1145">
        <v>55.083632749722398</v>
      </c>
      <c r="P1145">
        <v>-0.22649957069590701</v>
      </c>
      <c r="Q1145">
        <v>0.16505422409043499</v>
      </c>
      <c r="R1145">
        <v>0.79045599692631396</v>
      </c>
      <c r="S1145" t="s">
        <v>7006</v>
      </c>
      <c r="T1145" t="s">
        <v>11720</v>
      </c>
      <c r="U1145" t="s">
        <v>11720</v>
      </c>
      <c r="V1145" t="s">
        <v>11720</v>
      </c>
      <c r="W1145" t="s">
        <v>12836</v>
      </c>
      <c r="X1145">
        <v>7</v>
      </c>
      <c r="Y1145" t="s">
        <v>18628</v>
      </c>
      <c r="Z1145" t="s">
        <v>24352</v>
      </c>
      <c r="AA1145">
        <v>0.587988639648234</v>
      </c>
      <c r="AB1145" t="str">
        <f>HYPERLINK("Melting_Curves/meltCurve_K7ERF1_EIF3K.pdf", "Melting_Curves/meltCurve_K7ERF1_EIF3K.pdf")</f>
        <v>Melting_Curves/meltCurve_K7ERF1_EIF3K.pdf</v>
      </c>
    </row>
    <row r="1146" spans="1:28" x14ac:dyDescent="0.25">
      <c r="A1146" t="s">
        <v>1150</v>
      </c>
      <c r="B1146">
        <v>0.99334974765950101</v>
      </c>
      <c r="C1146">
        <v>0.97912267025490596</v>
      </c>
      <c r="D1146">
        <v>0.93342664675067799</v>
      </c>
      <c r="E1146">
        <v>0.98175033726790395</v>
      </c>
      <c r="F1146">
        <v>0.93833833095062402</v>
      </c>
      <c r="G1146">
        <v>1.2317923385344001</v>
      </c>
      <c r="H1146">
        <v>1.0508612690988699</v>
      </c>
      <c r="I1146">
        <v>1.43271268774674</v>
      </c>
      <c r="J1146">
        <v>1.2289582683060101</v>
      </c>
      <c r="K1146">
        <v>1.0616322340094499</v>
      </c>
      <c r="L1146">
        <v>13752.7581996548</v>
      </c>
      <c r="M1146">
        <v>250</v>
      </c>
      <c r="O1146">
        <v>55.007512502617097</v>
      </c>
      <c r="P1146">
        <v>0.228600562996046</v>
      </c>
      <c r="Q1146">
        <v>1.2011959728325501</v>
      </c>
      <c r="R1146">
        <v>0.55579106590167804</v>
      </c>
      <c r="S1146" t="s">
        <v>7007</v>
      </c>
      <c r="T1146" t="s">
        <v>11720</v>
      </c>
      <c r="U1146" t="s">
        <v>11720</v>
      </c>
      <c r="V1146" t="s">
        <v>11720</v>
      </c>
      <c r="W1146" t="s">
        <v>12837</v>
      </c>
      <c r="X1146">
        <v>6</v>
      </c>
      <c r="Y1146" t="s">
        <v>18629</v>
      </c>
      <c r="Z1146" t="s">
        <v>24353</v>
      </c>
      <c r="AA1146">
        <v>1.100504570429875</v>
      </c>
      <c r="AB1146" t="str">
        <f>HYPERLINK("Melting_Curves/meltCurve_K7ES02_BLMH.pdf", "Melting_Curves/meltCurve_K7ES02_BLMH.pdf")</f>
        <v>Melting_Curves/meltCurve_K7ES02_BLMH.pdf</v>
      </c>
    </row>
    <row r="1147" spans="1:28" x14ac:dyDescent="0.25">
      <c r="A1147" t="s">
        <v>1151</v>
      </c>
      <c r="B1147">
        <v>0.99334974765950101</v>
      </c>
      <c r="C1147">
        <v>1.0202215383354001</v>
      </c>
      <c r="D1147">
        <v>0.83466288359750895</v>
      </c>
      <c r="E1147">
        <v>0.78920410727587398</v>
      </c>
      <c r="F1147">
        <v>0.81729491803556997</v>
      </c>
      <c r="G1147">
        <v>0.57999480009601101</v>
      </c>
      <c r="H1147">
        <v>0.51306635229554698</v>
      </c>
      <c r="I1147">
        <v>0.60559427596437598</v>
      </c>
      <c r="J1147">
        <v>0.65856212111188395</v>
      </c>
      <c r="K1147">
        <v>0.50096201969813003</v>
      </c>
      <c r="L1147">
        <v>637.25802744761597</v>
      </c>
      <c r="M1147">
        <v>12.456757133579799</v>
      </c>
      <c r="O1147">
        <v>49.892869370329599</v>
      </c>
      <c r="P1147">
        <v>-2.8844577034795899E-2</v>
      </c>
      <c r="Q1147">
        <v>0.53797328965145996</v>
      </c>
      <c r="R1147">
        <v>0.86889002356460598</v>
      </c>
      <c r="S1147" t="s">
        <v>7008</v>
      </c>
      <c r="T1147" t="s">
        <v>11720</v>
      </c>
      <c r="U1147" t="s">
        <v>11720</v>
      </c>
      <c r="V1147" t="s">
        <v>11720</v>
      </c>
      <c r="W1147" t="s">
        <v>12838</v>
      </c>
      <c r="X1147">
        <v>2</v>
      </c>
      <c r="Y1147" t="s">
        <v>18630</v>
      </c>
      <c r="Z1147" t="s">
        <v>24354</v>
      </c>
      <c r="AA1147">
        <v>0.72395900741915675</v>
      </c>
      <c r="AB1147" t="str">
        <f>HYPERLINK("Melting_Curves/meltCurve_K7ES54_FSTL3.pdf", "Melting_Curves/meltCurve_K7ES54_FSTL3.pdf")</f>
        <v>Melting_Curves/meltCurve_K7ES54_FSTL3.pdf</v>
      </c>
    </row>
    <row r="1148" spans="1:28" x14ac:dyDescent="0.25">
      <c r="A1148" t="s">
        <v>1152</v>
      </c>
      <c r="B1148">
        <v>0.99334974765950101</v>
      </c>
      <c r="C1148">
        <v>0.95356854617359998</v>
      </c>
      <c r="D1148">
        <v>0.91231867748384099</v>
      </c>
      <c r="E1148">
        <v>0.98519013438182801</v>
      </c>
      <c r="F1148">
        <v>1.25765543603122</v>
      </c>
      <c r="G1148">
        <v>0.76909085986583303</v>
      </c>
      <c r="H1148">
        <v>0.57771242843482296</v>
      </c>
      <c r="I1148">
        <v>0.31588395194852698</v>
      </c>
      <c r="J1148">
        <v>0.16489013641403699</v>
      </c>
      <c r="K1148">
        <v>8.1909512981736501E-2</v>
      </c>
      <c r="L1148">
        <v>1467.7551351121299</v>
      </c>
      <c r="M1148">
        <v>23.902921773112102</v>
      </c>
      <c r="N1148">
        <v>61.649494587838603</v>
      </c>
      <c r="O1148">
        <v>60.979895965084999</v>
      </c>
      <c r="P1148">
        <v>-9.3562089133994997E-2</v>
      </c>
      <c r="Q1148">
        <v>4.5252279527517598E-2</v>
      </c>
      <c r="R1148">
        <v>0.93091033930830802</v>
      </c>
      <c r="S1148" t="s">
        <v>7009</v>
      </c>
      <c r="T1148" t="s">
        <v>11720</v>
      </c>
      <c r="U1148" t="s">
        <v>11720</v>
      </c>
      <c r="V1148" t="s">
        <v>11720</v>
      </c>
      <c r="W1148" t="s">
        <v>12839</v>
      </c>
      <c r="X1148">
        <v>1</v>
      </c>
      <c r="Y1148" t="s">
        <v>18631</v>
      </c>
      <c r="Z1148" t="s">
        <v>24355</v>
      </c>
      <c r="AA1148">
        <v>0.73187326805082609</v>
      </c>
      <c r="AB1148" t="str">
        <f>HYPERLINK("Melting_Curves/meltCurve_K7ESE6_G6PC3.pdf", "Melting_Curves/meltCurve_K7ESE6_G6PC3.pdf")</f>
        <v>Melting_Curves/meltCurve_K7ESE6_G6PC3.pdf</v>
      </c>
    </row>
    <row r="1149" spans="1:28" x14ac:dyDescent="0.25">
      <c r="A1149" t="s">
        <v>1153</v>
      </c>
      <c r="B1149">
        <v>0.99334974765950101</v>
      </c>
      <c r="C1149">
        <v>1.1420851431638499</v>
      </c>
      <c r="D1149">
        <v>1.1159440913530101</v>
      </c>
      <c r="E1149">
        <v>0.96911365687651596</v>
      </c>
      <c r="F1149">
        <v>1.1009295836736801</v>
      </c>
      <c r="G1149">
        <v>1.1134896079841099</v>
      </c>
      <c r="H1149">
        <v>0.65650941913273198</v>
      </c>
      <c r="I1149">
        <v>0.71278128630725401</v>
      </c>
      <c r="J1149">
        <v>0.669246822921998</v>
      </c>
      <c r="K1149">
        <v>0</v>
      </c>
      <c r="L1149">
        <v>1580.6337810376001</v>
      </c>
      <c r="M1149">
        <v>23.833735642167301</v>
      </c>
      <c r="N1149">
        <v>66.319178894501505</v>
      </c>
      <c r="O1149">
        <v>65.857589010137602</v>
      </c>
      <c r="P1149">
        <v>-9.0475993100329499E-2</v>
      </c>
      <c r="Q1149">
        <v>0</v>
      </c>
      <c r="R1149">
        <v>0.80683589298609004</v>
      </c>
      <c r="S1149" t="s">
        <v>7010</v>
      </c>
      <c r="T1149" t="s">
        <v>11720</v>
      </c>
      <c r="U1149" t="s">
        <v>11720</v>
      </c>
      <c r="V1149" t="s">
        <v>11720</v>
      </c>
      <c r="W1149" t="s">
        <v>12840</v>
      </c>
      <c r="X1149">
        <v>26</v>
      </c>
      <c r="Y1149" t="s">
        <v>18632</v>
      </c>
      <c r="Z1149" t="s">
        <v>24356</v>
      </c>
      <c r="AA1149">
        <v>0.86161872534124417</v>
      </c>
      <c r="AB1149" t="str">
        <f>HYPERLINK("Melting_Curves/meltCurve_K7ESM5_TUBB6.pdf", "Melting_Curves/meltCurve_K7ESM5_TUBB6.pdf")</f>
        <v>Melting_Curves/meltCurve_K7ESM5_TUBB6.pdf</v>
      </c>
    </row>
    <row r="1150" spans="1:28" x14ac:dyDescent="0.25">
      <c r="A1150" t="s">
        <v>1154</v>
      </c>
      <c r="B1150">
        <v>0.99334974765950101</v>
      </c>
      <c r="C1150">
        <v>0.94876198646906695</v>
      </c>
      <c r="D1150">
        <v>0.86328062263884897</v>
      </c>
      <c r="E1150">
        <v>0.69233167369601301</v>
      </c>
      <c r="F1150">
        <v>0.62045565441879402</v>
      </c>
      <c r="G1150">
        <v>0.39686724137659102</v>
      </c>
      <c r="H1150">
        <v>0.34108752626185701</v>
      </c>
      <c r="I1150">
        <v>0.30056248848289902</v>
      </c>
      <c r="J1150">
        <v>0.32509416669220198</v>
      </c>
      <c r="K1150">
        <v>0.24896724258255501</v>
      </c>
      <c r="L1150">
        <v>640.41723895180803</v>
      </c>
      <c r="M1150">
        <v>12.321217133739401</v>
      </c>
      <c r="N1150">
        <v>54.877208582896998</v>
      </c>
      <c r="O1150">
        <v>50.664536768013697</v>
      </c>
      <c r="P1150">
        <v>-4.6259518423914799E-2</v>
      </c>
      <c r="Q1150">
        <v>0.239293597874361</v>
      </c>
      <c r="R1150">
        <v>0.99194133139409402</v>
      </c>
      <c r="S1150" t="s">
        <v>7011</v>
      </c>
      <c r="T1150" t="s">
        <v>11720</v>
      </c>
      <c r="U1150" t="s">
        <v>11720</v>
      </c>
      <c r="V1150" t="s">
        <v>11720</v>
      </c>
      <c r="W1150" t="s">
        <v>12841</v>
      </c>
      <c r="X1150">
        <v>2</v>
      </c>
      <c r="Y1150" t="s">
        <v>18633</v>
      </c>
      <c r="Z1150" t="s">
        <v>24357</v>
      </c>
      <c r="AA1150">
        <v>0.56551564728205872</v>
      </c>
      <c r="AB1150" t="str">
        <f>HYPERLINK("Melting_Curves/meltCurve_K7ESP4_DCAKD.pdf", "Melting_Curves/meltCurve_K7ESP4_DCAKD.pdf")</f>
        <v>Melting_Curves/meltCurve_K7ESP4_DCAKD.pdf</v>
      </c>
    </row>
    <row r="1151" spans="1:28" x14ac:dyDescent="0.25">
      <c r="A1151" t="s">
        <v>1155</v>
      </c>
      <c r="B1151">
        <v>0.99334974765950101</v>
      </c>
      <c r="C1151">
        <v>1.0693976851686999</v>
      </c>
      <c r="D1151">
        <v>1.0976685029728399</v>
      </c>
      <c r="E1151">
        <v>0.62250800700262099</v>
      </c>
      <c r="F1151">
        <v>0.164770985566669</v>
      </c>
      <c r="G1151">
        <v>3.6525928310028197E-2</v>
      </c>
      <c r="H1151">
        <v>5.6363585402221902E-2</v>
      </c>
      <c r="I1151">
        <v>4.3081326165540799E-2</v>
      </c>
      <c r="J1151">
        <v>6.9092022912042694E-2</v>
      </c>
      <c r="K1151">
        <v>4.0076845128386697E-2</v>
      </c>
      <c r="L1151">
        <v>2377.97666410998</v>
      </c>
      <c r="M1151">
        <v>47.092211057907001</v>
      </c>
      <c r="N1151">
        <v>50.612258148459802</v>
      </c>
      <c r="O1151">
        <v>50.405384169313898</v>
      </c>
      <c r="P1151">
        <v>-0.22161149714862999</v>
      </c>
      <c r="Q1151">
        <v>5.11893601778882E-2</v>
      </c>
      <c r="R1151">
        <v>0.99110047406231605</v>
      </c>
      <c r="S1151" t="s">
        <v>7012</v>
      </c>
      <c r="T1151" t="s">
        <v>11720</v>
      </c>
      <c r="U1151" t="s">
        <v>11720</v>
      </c>
      <c r="V1151" t="s">
        <v>11720</v>
      </c>
      <c r="W1151" t="s">
        <v>12842</v>
      </c>
      <c r="X1151">
        <v>1</v>
      </c>
      <c r="Y1151" t="s">
        <v>18634</v>
      </c>
      <c r="Z1151" t="s">
        <v>24358</v>
      </c>
      <c r="AA1151">
        <v>0.38553629955907281</v>
      </c>
      <c r="AB1151" t="str">
        <f>HYPERLINK("Melting_Curves/meltCurve_M0QWZ7_SARS2.pdf", "Melting_Curves/meltCurve_M0QWZ7_SARS2.pdf")</f>
        <v>Melting_Curves/meltCurve_M0QWZ7_SARS2.pdf</v>
      </c>
    </row>
    <row r="1152" spans="1:28" x14ac:dyDescent="0.25">
      <c r="A1152" t="s">
        <v>1156</v>
      </c>
      <c r="B1152">
        <v>0.99334974765950101</v>
      </c>
      <c r="C1152">
        <v>0.995855821276317</v>
      </c>
      <c r="D1152">
        <v>0.82754079082521803</v>
      </c>
      <c r="E1152">
        <v>0.35416758869881898</v>
      </c>
      <c r="F1152">
        <v>0.307155986753466</v>
      </c>
      <c r="G1152">
        <v>0.232954982919273</v>
      </c>
      <c r="H1152">
        <v>0.22267833888902999</v>
      </c>
      <c r="I1152">
        <v>0.25431021330801401</v>
      </c>
      <c r="J1152">
        <v>0.22493117875157201</v>
      </c>
      <c r="K1152">
        <v>0.28479421818749401</v>
      </c>
      <c r="L1152">
        <v>1679.3977148398801</v>
      </c>
      <c r="M1152">
        <v>35.3031722787101</v>
      </c>
      <c r="N1152">
        <v>48.519584068090303</v>
      </c>
      <c r="O1152">
        <v>47.418869229399803</v>
      </c>
      <c r="P1152">
        <v>-0.139722367222261</v>
      </c>
      <c r="Q1152">
        <v>0.24930784000780101</v>
      </c>
      <c r="R1152">
        <v>0.99522066863938297</v>
      </c>
      <c r="S1152" t="s">
        <v>7013</v>
      </c>
      <c r="T1152" t="s">
        <v>11720</v>
      </c>
      <c r="U1152" t="s">
        <v>11720</v>
      </c>
      <c r="V1152" t="s">
        <v>11720</v>
      </c>
      <c r="W1152" t="s">
        <v>12843</v>
      </c>
      <c r="X1152">
        <v>2</v>
      </c>
      <c r="Y1152" t="s">
        <v>18635</v>
      </c>
      <c r="Z1152" t="s">
        <v>24359</v>
      </c>
      <c r="AA1152">
        <v>0.44195628131431131</v>
      </c>
      <c r="AB1152" t="str">
        <f>HYPERLINK("Melting_Curves/meltCurve_M0QX35_PAF1.pdf", "Melting_Curves/meltCurve_M0QX35_PAF1.pdf")</f>
        <v>Melting_Curves/meltCurve_M0QX35_PAF1.pdf</v>
      </c>
    </row>
    <row r="1153" spans="1:28" x14ac:dyDescent="0.25">
      <c r="A1153" t="s">
        <v>1157</v>
      </c>
      <c r="B1153">
        <v>0.99334974765950101</v>
      </c>
      <c r="C1153">
        <v>1.0444916245828599</v>
      </c>
      <c r="D1153">
        <v>0.97466300793148697</v>
      </c>
      <c r="E1153">
        <v>1.0529194471723999</v>
      </c>
      <c r="F1153">
        <v>1.5283841230750499</v>
      </c>
      <c r="G1153">
        <v>0.58860739685993502</v>
      </c>
      <c r="H1153">
        <v>0.51746046786906297</v>
      </c>
      <c r="I1153">
        <v>0.36253310179354298</v>
      </c>
      <c r="J1153">
        <v>0.57000880803591403</v>
      </c>
      <c r="K1153">
        <v>0.41173611364927498</v>
      </c>
      <c r="L1153">
        <v>14181.2603382327</v>
      </c>
      <c r="M1153">
        <v>250</v>
      </c>
      <c r="N1153">
        <v>57.337809144883103</v>
      </c>
      <c r="O1153">
        <v>56.721411357383701</v>
      </c>
      <c r="P1153">
        <v>-0.58902513656822597</v>
      </c>
      <c r="Q1153">
        <v>0.46543460777932399</v>
      </c>
      <c r="R1153">
        <v>0.74888021313509601</v>
      </c>
      <c r="S1153" t="s">
        <v>7014</v>
      </c>
      <c r="T1153" t="s">
        <v>11720</v>
      </c>
      <c r="U1153" t="s">
        <v>11720</v>
      </c>
      <c r="V1153" t="s">
        <v>11720</v>
      </c>
      <c r="W1153" t="s">
        <v>12844</v>
      </c>
      <c r="X1153">
        <v>6</v>
      </c>
      <c r="Y1153" t="s">
        <v>18636</v>
      </c>
      <c r="Z1153" t="s">
        <v>24360</v>
      </c>
      <c r="AA1153">
        <v>0.76350876762512376</v>
      </c>
      <c r="AB1153" t="str">
        <f>HYPERLINK("Melting_Curves/meltCurve_M0QXC8_IRF3.pdf", "Melting_Curves/meltCurve_M0QXC8_IRF3.pdf")</f>
        <v>Melting_Curves/meltCurve_M0QXC8_IRF3.pdf</v>
      </c>
    </row>
    <row r="1154" spans="1:28" x14ac:dyDescent="0.25">
      <c r="A1154" t="s">
        <v>1158</v>
      </c>
      <c r="B1154">
        <v>0.99334974765950101</v>
      </c>
      <c r="C1154">
        <v>1.1863268817735</v>
      </c>
      <c r="D1154">
        <v>0.85855892638662001</v>
      </c>
      <c r="E1154">
        <v>0.906871931135104</v>
      </c>
      <c r="F1154">
        <v>0.72807919955807898</v>
      </c>
      <c r="G1154">
        <v>0.47147034778584901</v>
      </c>
      <c r="H1154">
        <v>0.137992280718779</v>
      </c>
      <c r="I1154">
        <v>0.13663875338918599</v>
      </c>
      <c r="J1154">
        <v>0.12445839881788701</v>
      </c>
      <c r="K1154">
        <v>0</v>
      </c>
      <c r="L1154">
        <v>972.30167787187395</v>
      </c>
      <c r="M1154">
        <v>17.335910664641599</v>
      </c>
      <c r="N1154">
        <v>56.150555590281201</v>
      </c>
      <c r="O1154">
        <v>55.355655156914402</v>
      </c>
      <c r="P1154">
        <v>-7.7525110652241894E-2</v>
      </c>
      <c r="Q1154">
        <v>9.8685991076637707E-3</v>
      </c>
      <c r="R1154">
        <v>0.96281558574390003</v>
      </c>
      <c r="S1154" t="s">
        <v>7015</v>
      </c>
      <c r="T1154" t="s">
        <v>11720</v>
      </c>
      <c r="U1154" t="s">
        <v>11720</v>
      </c>
      <c r="V1154" t="s">
        <v>11720</v>
      </c>
      <c r="W1154" t="s">
        <v>12845</v>
      </c>
      <c r="X1154">
        <v>1</v>
      </c>
      <c r="Y1154" t="s">
        <v>18637</v>
      </c>
      <c r="Z1154" t="s">
        <v>24361</v>
      </c>
      <c r="AA1154">
        <v>0.55592124775035578</v>
      </c>
      <c r="AB1154" t="str">
        <f>HYPERLINK("Melting_Curves/meltCurve_M0QXX4_KPTN.pdf", "Melting_Curves/meltCurve_M0QXX4_KPTN.pdf")</f>
        <v>Melting_Curves/meltCurve_M0QXX4_KPTN.pdf</v>
      </c>
    </row>
    <row r="1155" spans="1:28" x14ac:dyDescent="0.25">
      <c r="A1155" t="s">
        <v>1159</v>
      </c>
      <c r="B1155">
        <v>0.99334974765950101</v>
      </c>
      <c r="C1155">
        <v>0.91267096450464302</v>
      </c>
      <c r="D1155">
        <v>0.74463717174410904</v>
      </c>
      <c r="E1155">
        <v>0.67174216901030603</v>
      </c>
      <c r="F1155">
        <v>0.78810370261079699</v>
      </c>
      <c r="G1155">
        <v>0.703619652946052</v>
      </c>
      <c r="H1155">
        <v>0.73458741878759504</v>
      </c>
      <c r="I1155">
        <v>0.86850885444900205</v>
      </c>
      <c r="J1155">
        <v>0.99301019214693598</v>
      </c>
      <c r="K1155">
        <v>0.92537644207158098</v>
      </c>
      <c r="L1155">
        <v>10734.4986906752</v>
      </c>
      <c r="M1155">
        <v>250</v>
      </c>
      <c r="O1155">
        <v>42.935247021056703</v>
      </c>
      <c r="P1155">
        <v>-0.28575269402888298</v>
      </c>
      <c r="Q1155">
        <v>0.80369820017295601</v>
      </c>
      <c r="R1155">
        <v>0.29976181037897498</v>
      </c>
      <c r="S1155" t="s">
        <v>7016</v>
      </c>
      <c r="T1155" t="s">
        <v>11720</v>
      </c>
      <c r="U1155" t="s">
        <v>11720</v>
      </c>
      <c r="V1155" t="s">
        <v>11720</v>
      </c>
      <c r="W1155" t="s">
        <v>12846</v>
      </c>
      <c r="X1155">
        <v>5</v>
      </c>
      <c r="Y1155" t="s">
        <v>18638</v>
      </c>
      <c r="Z1155" t="s">
        <v>24362</v>
      </c>
      <c r="AA1155">
        <v>0.82293744793264356</v>
      </c>
      <c r="AB1155" t="str">
        <f>HYPERLINK("Melting_Curves/meltCurve_M0QXZ5_ZNF428.pdf", "Melting_Curves/meltCurve_M0QXZ5_ZNF428.pdf")</f>
        <v>Melting_Curves/meltCurve_M0QXZ5_ZNF428.pdf</v>
      </c>
    </row>
    <row r="1156" spans="1:28" x14ac:dyDescent="0.25">
      <c r="A1156" t="s">
        <v>1160</v>
      </c>
      <c r="B1156">
        <v>0.99334974765950101</v>
      </c>
      <c r="C1156">
        <v>0.90438277013264601</v>
      </c>
      <c r="D1156">
        <v>0.82761332465381798</v>
      </c>
      <c r="E1156">
        <v>0.73768081052636603</v>
      </c>
      <c r="F1156">
        <v>0.83891545431527803</v>
      </c>
      <c r="G1156">
        <v>0.51860048203497899</v>
      </c>
      <c r="H1156">
        <v>0.54014574508697599</v>
      </c>
      <c r="I1156">
        <v>0.58793465017709801</v>
      </c>
      <c r="J1156">
        <v>0.72934144773830301</v>
      </c>
      <c r="K1156">
        <v>0.59758469338673803</v>
      </c>
      <c r="L1156">
        <v>581.64690415197094</v>
      </c>
      <c r="M1156">
        <v>12.0828388900824</v>
      </c>
      <c r="O1156">
        <v>46.876578458498301</v>
      </c>
      <c r="P1156">
        <v>-2.6307314776340501E-2</v>
      </c>
      <c r="Q1156">
        <v>0.59184830248713804</v>
      </c>
      <c r="R1156">
        <v>0.74168997117723101</v>
      </c>
      <c r="S1156" t="s">
        <v>7017</v>
      </c>
      <c r="T1156" t="s">
        <v>11720</v>
      </c>
      <c r="U1156" t="s">
        <v>11720</v>
      </c>
      <c r="V1156" t="s">
        <v>11720</v>
      </c>
      <c r="W1156" t="s">
        <v>12753</v>
      </c>
      <c r="X1156">
        <v>5</v>
      </c>
      <c r="Y1156" t="s">
        <v>18545</v>
      </c>
      <c r="Z1156" t="s">
        <v>24363</v>
      </c>
      <c r="AA1156">
        <v>0.71820716976963017</v>
      </c>
      <c r="AB1156" t="str">
        <f>HYPERLINK("Melting_Curves/meltCurve_M0QY17_BABAM1.pdf", "Melting_Curves/meltCurve_M0QY17_BABAM1.pdf")</f>
        <v>Melting_Curves/meltCurve_M0QY17_BABAM1.pdf</v>
      </c>
    </row>
    <row r="1157" spans="1:28" x14ac:dyDescent="0.25">
      <c r="A1157" t="s">
        <v>1161</v>
      </c>
      <c r="B1157">
        <v>0.99334974765950101</v>
      </c>
      <c r="C1157">
        <v>0.99954793428211597</v>
      </c>
      <c r="D1157">
        <v>0.95233395610431504</v>
      </c>
      <c r="E1157">
        <v>0.807084180359109</v>
      </c>
      <c r="F1157">
        <v>0.72229797613546098</v>
      </c>
      <c r="G1157">
        <v>0.42079524116010197</v>
      </c>
      <c r="H1157">
        <v>0.248447389107807</v>
      </c>
      <c r="I1157">
        <v>0.198954251193424</v>
      </c>
      <c r="J1157">
        <v>0.17084693766779699</v>
      </c>
      <c r="K1157">
        <v>0.122660731739493</v>
      </c>
      <c r="L1157">
        <v>843.14996542851395</v>
      </c>
      <c r="M1157">
        <v>15.309859690512599</v>
      </c>
      <c r="N1157">
        <v>55.868850030304003</v>
      </c>
      <c r="O1157">
        <v>54.158408136117998</v>
      </c>
      <c r="P1157">
        <v>-6.3748676009927202E-2</v>
      </c>
      <c r="Q1157">
        <v>9.8044119866589702E-2</v>
      </c>
      <c r="R1157">
        <v>0.99665347419716099</v>
      </c>
      <c r="S1157" t="s">
        <v>7018</v>
      </c>
      <c r="T1157" t="s">
        <v>11720</v>
      </c>
      <c r="U1157" t="s">
        <v>11720</v>
      </c>
      <c r="V1157" t="s">
        <v>11720</v>
      </c>
      <c r="W1157" t="s">
        <v>12847</v>
      </c>
      <c r="X1157">
        <v>6</v>
      </c>
      <c r="Y1157" t="s">
        <v>18639</v>
      </c>
      <c r="Z1157" t="s">
        <v>24364</v>
      </c>
      <c r="AA1157">
        <v>0.56812591607042784</v>
      </c>
      <c r="AB1157" t="str">
        <f>HYPERLINK("Melting_Curves/meltCurve_M0QY77_KXD1.pdf", "Melting_Curves/meltCurve_M0QY77_KXD1.pdf")</f>
        <v>Melting_Curves/meltCurve_M0QY77_KXD1.pdf</v>
      </c>
    </row>
    <row r="1158" spans="1:28" x14ac:dyDescent="0.25">
      <c r="A1158" t="s">
        <v>1162</v>
      </c>
      <c r="B1158">
        <v>0.99334974765950101</v>
      </c>
      <c r="C1158">
        <v>1.0656862207861399</v>
      </c>
      <c r="D1158">
        <v>0.89749076375843895</v>
      </c>
      <c r="E1158">
        <v>0.91255364124681904</v>
      </c>
      <c r="F1158">
        <v>1.07078396338085</v>
      </c>
      <c r="G1158">
        <v>0.85098605067868704</v>
      </c>
      <c r="H1158">
        <v>0.83868923606253398</v>
      </c>
      <c r="I1158">
        <v>1.0300034052726801</v>
      </c>
      <c r="J1158">
        <v>1.3837500030384999</v>
      </c>
      <c r="K1158">
        <v>1.63654640317236</v>
      </c>
      <c r="L1158">
        <v>7094.3343906934697</v>
      </c>
      <c r="M1158">
        <v>107.13397648722599</v>
      </c>
      <c r="O1158">
        <v>66.196215418943495</v>
      </c>
      <c r="P1158">
        <v>0.202303835375854</v>
      </c>
      <c r="Q1158">
        <v>1.5</v>
      </c>
      <c r="R1158">
        <v>0.83670388853904498</v>
      </c>
      <c r="S1158" t="s">
        <v>7019</v>
      </c>
      <c r="T1158" t="s">
        <v>11720</v>
      </c>
      <c r="U1158" t="s">
        <v>11720</v>
      </c>
      <c r="V1158" t="s">
        <v>11720</v>
      </c>
      <c r="W1158" t="s">
        <v>12848</v>
      </c>
      <c r="X1158">
        <v>11</v>
      </c>
      <c r="Y1158" t="s">
        <v>18640</v>
      </c>
      <c r="Z1158" t="s">
        <v>24365</v>
      </c>
      <c r="AA1158">
        <v>1.062731332569592</v>
      </c>
      <c r="AB1158" t="str">
        <f>HYPERLINK("Melting_Curves/meltCurve_M0QY97_ZC3H4.pdf", "Melting_Curves/meltCurve_M0QY97_ZC3H4.pdf")</f>
        <v>Melting_Curves/meltCurve_M0QY97_ZC3H4.pdf</v>
      </c>
    </row>
    <row r="1159" spans="1:28" x14ac:dyDescent="0.25">
      <c r="A1159" t="s">
        <v>1163</v>
      </c>
      <c r="B1159">
        <v>0.99334974765950101</v>
      </c>
      <c r="C1159">
        <v>0.98126023770888104</v>
      </c>
      <c r="D1159">
        <v>1.10885161984726</v>
      </c>
      <c r="E1159">
        <v>1.1078566109430801</v>
      </c>
      <c r="F1159">
        <v>1.4712826597045201</v>
      </c>
      <c r="G1159">
        <v>2.4545182878514402</v>
      </c>
      <c r="H1159">
        <v>0.94082727177257397</v>
      </c>
      <c r="I1159">
        <v>0.24780555003858801</v>
      </c>
      <c r="J1159">
        <v>0.128861589398579</v>
      </c>
      <c r="K1159">
        <v>8.4797506994076205E-2</v>
      </c>
      <c r="L1159">
        <v>5728.8719919382402</v>
      </c>
      <c r="M1159">
        <v>91.181835384010498</v>
      </c>
      <c r="N1159">
        <v>62.992573132887301</v>
      </c>
      <c r="O1159">
        <v>62.798891095857499</v>
      </c>
      <c r="P1159">
        <v>-0.32474577202720301</v>
      </c>
      <c r="Q1159">
        <v>0.105362503842459</v>
      </c>
      <c r="R1159">
        <v>0.47545400898591</v>
      </c>
      <c r="S1159" t="s">
        <v>7020</v>
      </c>
      <c r="T1159" t="s">
        <v>11720</v>
      </c>
      <c r="U1159" t="s">
        <v>11720</v>
      </c>
      <c r="V1159" t="s">
        <v>11720</v>
      </c>
      <c r="W1159" t="s">
        <v>12849</v>
      </c>
      <c r="X1159">
        <v>8</v>
      </c>
      <c r="Y1159" t="s">
        <v>18641</v>
      </c>
      <c r="Z1159" t="s">
        <v>24366</v>
      </c>
      <c r="AA1159">
        <v>0.7868949172851134</v>
      </c>
      <c r="AB1159" t="str">
        <f>HYPERLINK("Melting_Curves/meltCurve_M0QYM7_TUBB4A.pdf", "Melting_Curves/meltCurve_M0QYM7_TUBB4A.pdf")</f>
        <v>Melting_Curves/meltCurve_M0QYM7_TUBB4A.pdf</v>
      </c>
    </row>
    <row r="1160" spans="1:28" x14ac:dyDescent="0.25">
      <c r="A1160" t="s">
        <v>1164</v>
      </c>
      <c r="B1160">
        <v>0.99334974765950101</v>
      </c>
      <c r="C1160">
        <v>1.1637006095139599</v>
      </c>
      <c r="D1160">
        <v>1.0741009499530501</v>
      </c>
      <c r="E1160">
        <v>0.99540911832336698</v>
      </c>
      <c r="F1160">
        <v>0.73344728622866195</v>
      </c>
      <c r="G1160">
        <v>0.52273458285622598</v>
      </c>
      <c r="H1160">
        <v>0.382758524702148</v>
      </c>
      <c r="I1160">
        <v>0.40056858013751401</v>
      </c>
      <c r="J1160">
        <v>0.26799329442665498</v>
      </c>
      <c r="K1160">
        <v>0.23026213888351699</v>
      </c>
      <c r="L1160">
        <v>1170.3123162678301</v>
      </c>
      <c r="M1160">
        <v>21.194839311901202</v>
      </c>
      <c r="N1160">
        <v>57.440042047785198</v>
      </c>
      <c r="O1160">
        <v>54.732360981649101</v>
      </c>
      <c r="P1160">
        <v>-6.9719655710238401E-2</v>
      </c>
      <c r="Q1160">
        <v>0.27985818618701203</v>
      </c>
      <c r="R1160">
        <v>0.95357300089331198</v>
      </c>
      <c r="S1160" t="s">
        <v>7021</v>
      </c>
      <c r="T1160" t="s">
        <v>11720</v>
      </c>
      <c r="U1160" t="s">
        <v>11720</v>
      </c>
      <c r="V1160" t="s">
        <v>11720</v>
      </c>
      <c r="W1160" t="s">
        <v>12850</v>
      </c>
      <c r="X1160">
        <v>5</v>
      </c>
      <c r="Y1160" t="s">
        <v>18642</v>
      </c>
      <c r="Z1160" t="s">
        <v>24367</v>
      </c>
      <c r="AA1160">
        <v>0.65386721968980965</v>
      </c>
      <c r="AB1160" t="str">
        <f>HYPERLINK("Melting_Curves/meltCurve_M0QYS1_RPL13A.pdf", "Melting_Curves/meltCurve_M0QYS1_RPL13A.pdf")</f>
        <v>Melting_Curves/meltCurve_M0QYS1_RPL13A.pdf</v>
      </c>
    </row>
    <row r="1161" spans="1:28" x14ac:dyDescent="0.25">
      <c r="A1161" t="s">
        <v>1165</v>
      </c>
      <c r="B1161">
        <v>0.99334974765950101</v>
      </c>
      <c r="C1161">
        <v>0.97302486595100601</v>
      </c>
      <c r="D1161">
        <v>0.87438318679627502</v>
      </c>
      <c r="E1161">
        <v>0.61815287777566197</v>
      </c>
      <c r="F1161">
        <v>0.426023880638355</v>
      </c>
      <c r="G1161">
        <v>0.202190369809609</v>
      </c>
      <c r="H1161">
        <v>0.145344140342728</v>
      </c>
      <c r="I1161">
        <v>0.12507628654254799</v>
      </c>
      <c r="J1161">
        <v>0.118238244518156</v>
      </c>
      <c r="K1161">
        <v>7.6819819073234305E-2</v>
      </c>
      <c r="L1161">
        <v>859.519585367628</v>
      </c>
      <c r="M1161">
        <v>16.8218021143378</v>
      </c>
      <c r="N1161">
        <v>51.674971001391199</v>
      </c>
      <c r="O1161">
        <v>50.3898727456641</v>
      </c>
      <c r="P1161">
        <v>-7.6290234201583595E-2</v>
      </c>
      <c r="Q1161">
        <v>8.5946346010131694E-2</v>
      </c>
      <c r="R1161">
        <v>0.99880488409222201</v>
      </c>
      <c r="S1161" t="s">
        <v>7022</v>
      </c>
      <c r="T1161" t="s">
        <v>11720</v>
      </c>
      <c r="U1161" t="s">
        <v>11720</v>
      </c>
      <c r="V1161" t="s">
        <v>11720</v>
      </c>
      <c r="W1161" t="s">
        <v>12851</v>
      </c>
      <c r="X1161">
        <v>7</v>
      </c>
      <c r="Y1161" t="s">
        <v>18643</v>
      </c>
      <c r="Z1161" t="s">
        <v>24368</v>
      </c>
      <c r="AA1161">
        <v>0.44135213391933892</v>
      </c>
      <c r="AB1161" t="str">
        <f>HYPERLINK("Melting_Curves/meltCurve_M0QZ22_SAMD4B.pdf", "Melting_Curves/meltCurve_M0QZ22_SAMD4B.pdf")</f>
        <v>Melting_Curves/meltCurve_M0QZ22_SAMD4B.pdf</v>
      </c>
    </row>
    <row r="1162" spans="1:28" x14ac:dyDescent="0.25">
      <c r="A1162" t="s">
        <v>1166</v>
      </c>
      <c r="B1162">
        <v>0.99334974765950101</v>
      </c>
      <c r="C1162">
        <v>0.92827409433417796</v>
      </c>
      <c r="D1162">
        <v>0.79100558889606898</v>
      </c>
      <c r="E1162">
        <v>0.63244098795107795</v>
      </c>
      <c r="F1162">
        <v>0.16327037138282699</v>
      </c>
      <c r="G1162">
        <v>6.5143445514547996E-2</v>
      </c>
      <c r="H1162">
        <v>4.8400035259931203E-2</v>
      </c>
      <c r="I1162">
        <v>4.4769009113611903E-2</v>
      </c>
      <c r="J1162">
        <v>5.8047078326319702E-2</v>
      </c>
      <c r="K1162">
        <v>4.1277575020790103E-2</v>
      </c>
      <c r="L1162">
        <v>1094.9324826859699</v>
      </c>
      <c r="M1162">
        <v>21.8654089728381</v>
      </c>
      <c r="N1162">
        <v>50.205123527510203</v>
      </c>
      <c r="O1162">
        <v>49.662799886326901</v>
      </c>
      <c r="P1162">
        <v>-0.107062555595194</v>
      </c>
      <c r="Q1162">
        <v>2.7339543487541001E-2</v>
      </c>
      <c r="R1162">
        <v>0.97903083595614404</v>
      </c>
      <c r="S1162" t="s">
        <v>7023</v>
      </c>
      <c r="T1162" t="s">
        <v>11720</v>
      </c>
      <c r="U1162" t="s">
        <v>11720</v>
      </c>
      <c r="V1162" t="s">
        <v>11720</v>
      </c>
      <c r="W1162" t="s">
        <v>12852</v>
      </c>
      <c r="X1162">
        <v>2</v>
      </c>
      <c r="Y1162" t="s">
        <v>18644</v>
      </c>
      <c r="Z1162" t="s">
        <v>24369</v>
      </c>
      <c r="AA1162">
        <v>0.36538843891025102</v>
      </c>
      <c r="AB1162" t="str">
        <f>HYPERLINK("Melting_Curves/meltCurve_M0QZL8_JOSD2.pdf", "Melting_Curves/meltCurve_M0QZL8_JOSD2.pdf")</f>
        <v>Melting_Curves/meltCurve_M0QZL8_JOSD2.pdf</v>
      </c>
    </row>
    <row r="1163" spans="1:28" x14ac:dyDescent="0.25">
      <c r="A1163" t="s">
        <v>1167</v>
      </c>
      <c r="B1163">
        <v>0.99334974765950101</v>
      </c>
      <c r="C1163">
        <v>1.0592210161490501</v>
      </c>
      <c r="D1163">
        <v>1.16351459651913</v>
      </c>
      <c r="E1163">
        <v>0.97575671961812604</v>
      </c>
      <c r="F1163">
        <v>1.3347931945673599</v>
      </c>
      <c r="G1163">
        <v>2.6099750113855</v>
      </c>
      <c r="H1163">
        <v>1.04674824380141</v>
      </c>
      <c r="I1163">
        <v>0.38260286965931101</v>
      </c>
      <c r="J1163">
        <v>0.32025054889092802</v>
      </c>
      <c r="K1163">
        <v>0.22465166046471299</v>
      </c>
      <c r="L1163">
        <v>15000</v>
      </c>
      <c r="M1163">
        <v>236.09832845939999</v>
      </c>
      <c r="N1163">
        <v>63.745394129753699</v>
      </c>
      <c r="O1163">
        <v>63.528293060526103</v>
      </c>
      <c r="P1163">
        <v>-0.67597999300926803</v>
      </c>
      <c r="Q1163">
        <v>0.27244118743562401</v>
      </c>
      <c r="R1163">
        <v>0.34413488206828702</v>
      </c>
      <c r="S1163" t="s">
        <v>7024</v>
      </c>
      <c r="T1163" t="s">
        <v>11720</v>
      </c>
      <c r="U1163" t="s">
        <v>11720</v>
      </c>
      <c r="V1163" t="s">
        <v>11720</v>
      </c>
      <c r="W1163" t="s">
        <v>12849</v>
      </c>
      <c r="X1163">
        <v>7</v>
      </c>
      <c r="Y1163" t="s">
        <v>18641</v>
      </c>
      <c r="Z1163" t="s">
        <v>24370</v>
      </c>
      <c r="AA1163">
        <v>0.84324992527537901</v>
      </c>
      <c r="AB1163" t="str">
        <f>HYPERLINK("Melting_Curves/meltCurve_M0R042_TUBB4A.pdf", "Melting_Curves/meltCurve_M0R042_TUBB4A.pdf")</f>
        <v>Melting_Curves/meltCurve_M0R042_TUBB4A.pdf</v>
      </c>
    </row>
    <row r="1164" spans="1:28" x14ac:dyDescent="0.25">
      <c r="A1164" t="s">
        <v>1168</v>
      </c>
      <c r="B1164">
        <v>0.99334974765950101</v>
      </c>
      <c r="C1164">
        <v>1.0311059957275699</v>
      </c>
      <c r="D1164">
        <v>0.72037078817035205</v>
      </c>
      <c r="E1164">
        <v>0.43303885449601398</v>
      </c>
      <c r="F1164">
        <v>0.28876075498959097</v>
      </c>
      <c r="G1164">
        <v>0.206282691743431</v>
      </c>
      <c r="H1164">
        <v>0.13030090222612201</v>
      </c>
      <c r="I1164">
        <v>0.120999061563343</v>
      </c>
      <c r="J1164">
        <v>0.11945048196961799</v>
      </c>
      <c r="K1164">
        <v>9.8984158352163898E-2</v>
      </c>
      <c r="L1164">
        <v>918.71091623205302</v>
      </c>
      <c r="M1164">
        <v>18.925046438219798</v>
      </c>
      <c r="N1164">
        <v>49.253246663113003</v>
      </c>
      <c r="O1164">
        <v>48.012430158826199</v>
      </c>
      <c r="P1164">
        <v>-8.68029350370733E-2</v>
      </c>
      <c r="Q1164">
        <v>0.119167039530578</v>
      </c>
      <c r="R1164">
        <v>0.98784019576049098</v>
      </c>
      <c r="S1164" t="s">
        <v>7025</v>
      </c>
      <c r="T1164" t="s">
        <v>11720</v>
      </c>
      <c r="U1164" t="s">
        <v>11720</v>
      </c>
      <c r="V1164" t="s">
        <v>11720</v>
      </c>
      <c r="W1164" t="s">
        <v>12853</v>
      </c>
      <c r="X1164">
        <v>9</v>
      </c>
      <c r="Y1164" t="s">
        <v>18645</v>
      </c>
      <c r="Z1164" t="s">
        <v>24371</v>
      </c>
      <c r="AA1164">
        <v>0.38395029825471999</v>
      </c>
      <c r="AB1164" t="str">
        <f>HYPERLINK("Melting_Curves/meltCurve_M0R0F0_RPS5.pdf", "Melting_Curves/meltCurve_M0R0F0_RPS5.pdf")</f>
        <v>Melting_Curves/meltCurve_M0R0F0_RPS5.pdf</v>
      </c>
    </row>
    <row r="1165" spans="1:28" x14ac:dyDescent="0.25">
      <c r="A1165" t="s">
        <v>1169</v>
      </c>
      <c r="B1165">
        <v>0.99334974765950101</v>
      </c>
      <c r="C1165">
        <v>0.92380667447017695</v>
      </c>
      <c r="D1165">
        <v>0.88449933873866105</v>
      </c>
      <c r="E1165">
        <v>0.71083240975724205</v>
      </c>
      <c r="F1165">
        <v>0.368456657317426</v>
      </c>
      <c r="G1165">
        <v>0.25393877273004301</v>
      </c>
      <c r="H1165">
        <v>0.18211713073240801</v>
      </c>
      <c r="I1165">
        <v>0.15113605515145201</v>
      </c>
      <c r="J1165">
        <v>0.117770005791917</v>
      </c>
      <c r="K1165">
        <v>0.107442630692053</v>
      </c>
      <c r="L1165">
        <v>922.16433877929001</v>
      </c>
      <c r="M1165">
        <v>18.002130192416701</v>
      </c>
      <c r="N1165">
        <v>51.982525186939597</v>
      </c>
      <c r="O1165">
        <v>50.605742210355899</v>
      </c>
      <c r="P1165">
        <v>-7.8679793476955501E-2</v>
      </c>
      <c r="Q1165">
        <v>0.115337499877864</v>
      </c>
      <c r="R1165">
        <v>0.99115971894931298</v>
      </c>
      <c r="S1165" t="s">
        <v>7026</v>
      </c>
      <c r="T1165" t="s">
        <v>11720</v>
      </c>
      <c r="U1165" t="s">
        <v>11720</v>
      </c>
      <c r="V1165" t="s">
        <v>11720</v>
      </c>
      <c r="W1165" t="s">
        <v>12854</v>
      </c>
      <c r="X1165">
        <v>5</v>
      </c>
      <c r="Y1165" t="s">
        <v>18646</v>
      </c>
      <c r="Z1165" t="s">
        <v>24372</v>
      </c>
      <c r="AA1165">
        <v>0.46122075182599609</v>
      </c>
      <c r="AB1165" t="str">
        <f>HYPERLINK("Melting_Curves/meltCurve_M0R0N4_AP2S1.pdf", "Melting_Curves/meltCurve_M0R0N4_AP2S1.pdf")</f>
        <v>Melting_Curves/meltCurve_M0R0N4_AP2S1.pdf</v>
      </c>
    </row>
    <row r="1166" spans="1:28" x14ac:dyDescent="0.25">
      <c r="A1166" t="s">
        <v>1170</v>
      </c>
      <c r="B1166">
        <v>0.99334974765950101</v>
      </c>
      <c r="C1166">
        <v>1.06397724695826</v>
      </c>
      <c r="D1166">
        <v>1.0710420349594201</v>
      </c>
      <c r="E1166">
        <v>1.2207475873815099</v>
      </c>
      <c r="F1166">
        <v>0.51433974642268199</v>
      </c>
      <c r="G1166">
        <v>0.36417828986044698</v>
      </c>
      <c r="H1166">
        <v>0.25012025119086501</v>
      </c>
      <c r="I1166">
        <v>0.23285871751331999</v>
      </c>
      <c r="J1166">
        <v>0.19933355807988201</v>
      </c>
      <c r="K1166">
        <v>0.14636945869731699</v>
      </c>
      <c r="L1166">
        <v>13220.004805798701</v>
      </c>
      <c r="M1166">
        <v>250</v>
      </c>
      <c r="N1166">
        <v>53.017536067050401</v>
      </c>
      <c r="O1166">
        <v>52.876642971496103</v>
      </c>
      <c r="P1166">
        <v>-0.90000525985743995</v>
      </c>
      <c r="Q1166">
        <v>0.23857200302357401</v>
      </c>
      <c r="R1166">
        <v>0.949561274624245</v>
      </c>
      <c r="S1166" t="s">
        <v>7027</v>
      </c>
      <c r="T1166" t="s">
        <v>11720</v>
      </c>
      <c r="U1166" t="s">
        <v>11720</v>
      </c>
      <c r="V1166" t="s">
        <v>11720</v>
      </c>
      <c r="W1166" t="s">
        <v>12563</v>
      </c>
      <c r="X1166">
        <v>7</v>
      </c>
      <c r="Z1166" t="s">
        <v>24373</v>
      </c>
      <c r="AA1166">
        <v>0.56554957422884888</v>
      </c>
      <c r="AB1166" t="str">
        <f>HYPERLINK("Melting_Curves/meltCurve_M0R150_.pdf", "Melting_Curves/meltCurve_M0R150_.pdf")</f>
        <v>Melting_Curves/meltCurve_M0R150_.pdf</v>
      </c>
    </row>
    <row r="1167" spans="1:28" x14ac:dyDescent="0.25">
      <c r="A1167" t="s">
        <v>1171</v>
      </c>
      <c r="B1167">
        <v>0.99334974765950101</v>
      </c>
      <c r="C1167">
        <v>1.0688824719236301</v>
      </c>
      <c r="D1167">
        <v>0.85987279889764401</v>
      </c>
      <c r="E1167">
        <v>0.95534161126633699</v>
      </c>
      <c r="F1167">
        <v>0.98799135620794698</v>
      </c>
      <c r="G1167">
        <v>0.71650666785720496</v>
      </c>
      <c r="H1167">
        <v>0.64193988379505695</v>
      </c>
      <c r="I1167">
        <v>0.81685799369637602</v>
      </c>
      <c r="J1167">
        <v>0.90288065982883703</v>
      </c>
      <c r="K1167">
        <v>0.72075452157188802</v>
      </c>
      <c r="L1167">
        <v>13406.062843997701</v>
      </c>
      <c r="M1167">
        <v>250</v>
      </c>
      <c r="O1167">
        <v>53.620820119400101</v>
      </c>
      <c r="P1167">
        <v>-0.27998926926136902</v>
      </c>
      <c r="Q1167">
        <v>0.75978793392491695</v>
      </c>
      <c r="R1167">
        <v>0.62050583325615205</v>
      </c>
      <c r="S1167" t="s">
        <v>7028</v>
      </c>
      <c r="T1167" t="s">
        <v>11720</v>
      </c>
      <c r="U1167" t="s">
        <v>11720</v>
      </c>
      <c r="V1167" t="s">
        <v>11720</v>
      </c>
      <c r="W1167" t="s">
        <v>12855</v>
      </c>
      <c r="X1167">
        <v>2</v>
      </c>
      <c r="Y1167" t="s">
        <v>18647</v>
      </c>
      <c r="Z1167" t="s">
        <v>24374</v>
      </c>
      <c r="AA1167">
        <v>0.86890085927521277</v>
      </c>
      <c r="AB1167" t="str">
        <f>HYPERLINK("Melting_Curves/meltCurve_M0R154_ESM1.pdf", "Melting_Curves/meltCurve_M0R154_ESM1.pdf")</f>
        <v>Melting_Curves/meltCurve_M0R154_ESM1.pdf</v>
      </c>
    </row>
    <row r="1168" spans="1:28" x14ac:dyDescent="0.25">
      <c r="A1168" t="s">
        <v>1172</v>
      </c>
      <c r="B1168">
        <v>0.99334974765950101</v>
      </c>
      <c r="C1168">
        <v>0.98773765610969999</v>
      </c>
      <c r="D1168">
        <v>0.94781346013828205</v>
      </c>
      <c r="E1168">
        <v>0.98028748939471599</v>
      </c>
      <c r="F1168">
        <v>1.91273786234585</v>
      </c>
      <c r="G1168">
        <v>1.60725688664767</v>
      </c>
      <c r="H1168">
        <v>1.12850719833048</v>
      </c>
      <c r="I1168">
        <v>0.99870587127876798</v>
      </c>
      <c r="J1168">
        <v>1.24140703426065</v>
      </c>
      <c r="K1168">
        <v>0.88745150316059696</v>
      </c>
      <c r="L1168">
        <v>12778.226929743099</v>
      </c>
      <c r="M1168">
        <v>250</v>
      </c>
      <c r="O1168">
        <v>51.109630565080998</v>
      </c>
      <c r="P1168">
        <v>0.36195536891965602</v>
      </c>
      <c r="Q1168">
        <v>1.2959905190002701</v>
      </c>
      <c r="R1168">
        <v>0.239568738917004</v>
      </c>
      <c r="S1168" t="s">
        <v>7029</v>
      </c>
      <c r="T1168" t="s">
        <v>11720</v>
      </c>
      <c r="U1168" t="s">
        <v>11720</v>
      </c>
      <c r="V1168" t="s">
        <v>11720</v>
      </c>
      <c r="W1168" t="s">
        <v>12856</v>
      </c>
      <c r="X1168">
        <v>3</v>
      </c>
      <c r="Y1168" t="s">
        <v>18648</v>
      </c>
      <c r="Z1168" t="s">
        <v>24375</v>
      </c>
      <c r="AA1168">
        <v>1.1863201238415439</v>
      </c>
      <c r="AB1168" t="str">
        <f>HYPERLINK("Melting_Curves/meltCurve_M0R2A0_EMC10.pdf", "Melting_Curves/meltCurve_M0R2A0_EMC10.pdf")</f>
        <v>Melting_Curves/meltCurve_M0R2A0_EMC10.pdf</v>
      </c>
    </row>
    <row r="1169" spans="1:28" x14ac:dyDescent="0.25">
      <c r="A1169" t="s">
        <v>1173</v>
      </c>
      <c r="B1169">
        <v>0.99334974765950101</v>
      </c>
      <c r="C1169">
        <v>1.05413653971918</v>
      </c>
      <c r="D1169">
        <v>0.89061775676339505</v>
      </c>
      <c r="E1169">
        <v>0.90897746876735896</v>
      </c>
      <c r="F1169">
        <v>0.96501721630958304</v>
      </c>
      <c r="G1169">
        <v>1.1791572584385299</v>
      </c>
      <c r="H1169">
        <v>1.0889792911411</v>
      </c>
      <c r="I1169">
        <v>0.78276680816661903</v>
      </c>
      <c r="J1169">
        <v>1.14943880078206</v>
      </c>
      <c r="K1169">
        <v>1.7208422798793299</v>
      </c>
      <c r="L1169">
        <v>15000</v>
      </c>
      <c r="M1169">
        <v>223.02943437486601</v>
      </c>
      <c r="O1169">
        <v>67.250296990282393</v>
      </c>
      <c r="P1169">
        <v>0.41455107068214198</v>
      </c>
      <c r="Q1169">
        <v>1.5</v>
      </c>
      <c r="R1169">
        <v>0.73248618430836099</v>
      </c>
      <c r="S1169" t="s">
        <v>7030</v>
      </c>
      <c r="T1169" t="s">
        <v>11720</v>
      </c>
      <c r="U1169" t="s">
        <v>11720</v>
      </c>
      <c r="V1169" t="s">
        <v>11720</v>
      </c>
      <c r="W1169" t="s">
        <v>12857</v>
      </c>
      <c r="X1169">
        <v>2</v>
      </c>
      <c r="Y1169" t="s">
        <v>18649</v>
      </c>
      <c r="Z1169" t="s">
        <v>24376</v>
      </c>
      <c r="AA1169">
        <v>1.045665107079812</v>
      </c>
      <c r="AB1169" t="str">
        <f>HYPERLINK("Melting_Curves/meltCurve_M0R2V8_AKT1S1.pdf", "Melting_Curves/meltCurve_M0R2V8_AKT1S1.pdf")</f>
        <v>Melting_Curves/meltCurve_M0R2V8_AKT1S1.pdf</v>
      </c>
    </row>
    <row r="1170" spans="1:28" x14ac:dyDescent="0.25">
      <c r="A1170" t="s">
        <v>1174</v>
      </c>
      <c r="B1170">
        <v>0.99334974765950101</v>
      </c>
      <c r="C1170">
        <v>0.91770231536016</v>
      </c>
      <c r="D1170">
        <v>0.73994928738745902</v>
      </c>
      <c r="E1170">
        <v>0.44583064817701701</v>
      </c>
      <c r="F1170">
        <v>0.32148230024122398</v>
      </c>
      <c r="G1170">
        <v>0.26805377024418597</v>
      </c>
      <c r="H1170">
        <v>0.25430846937205498</v>
      </c>
      <c r="I1170">
        <v>0.23844773653917301</v>
      </c>
      <c r="J1170">
        <v>0.25616525195926798</v>
      </c>
      <c r="K1170">
        <v>0.21305782482722899</v>
      </c>
      <c r="L1170">
        <v>942.75487704066995</v>
      </c>
      <c r="M1170">
        <v>19.8313447061551</v>
      </c>
      <c r="N1170">
        <v>49.125319925147998</v>
      </c>
      <c r="O1170">
        <v>47.0631816244303</v>
      </c>
      <c r="P1170">
        <v>-8.0433768294450106E-2</v>
      </c>
      <c r="Q1170">
        <v>0.23649357110357</v>
      </c>
      <c r="R1170">
        <v>0.99861289934964403</v>
      </c>
      <c r="S1170" t="s">
        <v>7031</v>
      </c>
      <c r="T1170" t="s">
        <v>11720</v>
      </c>
      <c r="U1170" t="s">
        <v>11720</v>
      </c>
      <c r="V1170" t="s">
        <v>11720</v>
      </c>
      <c r="W1170" t="s">
        <v>12858</v>
      </c>
      <c r="X1170">
        <v>9</v>
      </c>
      <c r="Y1170" t="s">
        <v>18650</v>
      </c>
      <c r="Z1170" t="s">
        <v>24377</v>
      </c>
      <c r="AA1170">
        <v>0.43952947852736801</v>
      </c>
      <c r="AB1170" t="str">
        <f>HYPERLINK("Melting_Curves/meltCurve_M0R300_MYO9B.pdf", "Melting_Curves/meltCurve_M0R300_MYO9B.pdf")</f>
        <v>Melting_Curves/meltCurve_M0R300_MYO9B.pdf</v>
      </c>
    </row>
    <row r="1171" spans="1:28" x14ac:dyDescent="0.25">
      <c r="A1171" t="s">
        <v>1175</v>
      </c>
      <c r="B1171">
        <v>0.99334974765950101</v>
      </c>
      <c r="C1171">
        <v>1.0147693512000899</v>
      </c>
      <c r="D1171">
        <v>0.98431967763926498</v>
      </c>
      <c r="E1171">
        <v>0.96777884782000301</v>
      </c>
      <c r="F1171">
        <v>0.65687634849082899</v>
      </c>
      <c r="G1171">
        <v>0.53019115413993201</v>
      </c>
      <c r="H1171">
        <v>0.26887974709631801</v>
      </c>
      <c r="I1171">
        <v>0.152493142345341</v>
      </c>
      <c r="J1171">
        <v>7.4290137593888306E-2</v>
      </c>
      <c r="K1171">
        <v>6.3724646740387594E-2</v>
      </c>
      <c r="L1171">
        <v>861.32095818739901</v>
      </c>
      <c r="M1171">
        <v>15.1471107965997</v>
      </c>
      <c r="N1171">
        <v>56.8637128272536</v>
      </c>
      <c r="O1171">
        <v>55.900218293748203</v>
      </c>
      <c r="P1171">
        <v>-6.7748320661669498E-2</v>
      </c>
      <c r="Q1171">
        <v>0</v>
      </c>
      <c r="R1171">
        <v>0.98806895486451496</v>
      </c>
      <c r="S1171" t="s">
        <v>7032</v>
      </c>
      <c r="T1171" t="s">
        <v>11720</v>
      </c>
      <c r="U1171" t="s">
        <v>11720</v>
      </c>
      <c r="V1171" t="s">
        <v>11720</v>
      </c>
      <c r="W1171" t="s">
        <v>12859</v>
      </c>
      <c r="X1171">
        <v>2</v>
      </c>
      <c r="Y1171" t="s">
        <v>18651</v>
      </c>
      <c r="Z1171" t="s">
        <v>24378</v>
      </c>
      <c r="AA1171">
        <v>0.57813310783725358</v>
      </c>
      <c r="AB1171" t="str">
        <f>HYPERLINK("Melting_Curves/meltCurve_M0R333_DMPK.pdf", "Melting_Curves/meltCurve_M0R333_DMPK.pdf")</f>
        <v>Melting_Curves/meltCurve_M0R333_DMPK.pdf</v>
      </c>
    </row>
    <row r="1172" spans="1:28" x14ac:dyDescent="0.25">
      <c r="A1172" t="s">
        <v>1176</v>
      </c>
      <c r="B1172">
        <v>0.99334974765950101</v>
      </c>
      <c r="C1172">
        <v>0.95302860819310597</v>
      </c>
      <c r="D1172">
        <v>0.85772374368937299</v>
      </c>
      <c r="E1172">
        <v>0.41354964684545598</v>
      </c>
      <c r="F1172">
        <v>0.20329936421473399</v>
      </c>
      <c r="G1172">
        <v>0.157980547258498</v>
      </c>
      <c r="H1172">
        <v>0.134951497377861</v>
      </c>
      <c r="I1172">
        <v>0.13410041688836799</v>
      </c>
      <c r="J1172">
        <v>0.11617733994498899</v>
      </c>
      <c r="K1172">
        <v>9.5098914976407004E-2</v>
      </c>
      <c r="L1172">
        <v>1298.6935820390299</v>
      </c>
      <c r="M1172">
        <v>26.6630573375495</v>
      </c>
      <c r="N1172">
        <v>49.219868807582202</v>
      </c>
      <c r="O1172">
        <v>48.436101762137298</v>
      </c>
      <c r="P1172">
        <v>-0.120946611475759</v>
      </c>
      <c r="Q1172">
        <v>0.121163055577547</v>
      </c>
      <c r="R1172">
        <v>0.99839146202279305</v>
      </c>
      <c r="S1172" t="s">
        <v>7033</v>
      </c>
      <c r="T1172" t="s">
        <v>11720</v>
      </c>
      <c r="U1172" t="s">
        <v>11720</v>
      </c>
      <c r="V1172" t="s">
        <v>11720</v>
      </c>
      <c r="W1172" t="s">
        <v>12860</v>
      </c>
      <c r="X1172">
        <v>5</v>
      </c>
      <c r="Y1172" t="s">
        <v>18652</v>
      </c>
      <c r="Z1172" t="s">
        <v>24379</v>
      </c>
      <c r="AA1172">
        <v>0.38305092946429892</v>
      </c>
      <c r="AB1172" t="str">
        <f>HYPERLINK("Melting_Curves/meltCurve_M0R366_FSD1.pdf", "Melting_Curves/meltCurve_M0R366_FSD1.pdf")</f>
        <v>Melting_Curves/meltCurve_M0R366_FSD1.pdf</v>
      </c>
    </row>
    <row r="1173" spans="1:28" x14ac:dyDescent="0.25">
      <c r="A1173" t="s">
        <v>1177</v>
      </c>
      <c r="B1173">
        <v>0.99334974765950101</v>
      </c>
      <c r="C1173">
        <v>0.95403558543939404</v>
      </c>
      <c r="D1173">
        <v>0.86645099270334902</v>
      </c>
      <c r="E1173">
        <v>0.81518119952583401</v>
      </c>
      <c r="F1173">
        <v>0.72742742573755004</v>
      </c>
      <c r="G1173">
        <v>0.62809926832514895</v>
      </c>
      <c r="H1173">
        <v>0.51406093482045101</v>
      </c>
      <c r="I1173">
        <v>0.65639345634652901</v>
      </c>
      <c r="J1173">
        <v>0.46735032136472099</v>
      </c>
      <c r="K1173">
        <v>0.34346805004348102</v>
      </c>
      <c r="L1173">
        <v>322.94782666611701</v>
      </c>
      <c r="M1173">
        <v>4.9969350629760099</v>
      </c>
      <c r="N1173">
        <v>64.629182225236505</v>
      </c>
      <c r="O1173">
        <v>56.398597260805801</v>
      </c>
      <c r="P1173">
        <v>-2.2286105286441399E-2</v>
      </c>
      <c r="Q1173">
        <v>0</v>
      </c>
      <c r="R1173">
        <v>0.92207724043821204</v>
      </c>
      <c r="S1173" t="s">
        <v>7034</v>
      </c>
      <c r="T1173" t="s">
        <v>11720</v>
      </c>
      <c r="U1173" t="s">
        <v>11720</v>
      </c>
      <c r="V1173" t="s">
        <v>11720</v>
      </c>
      <c r="W1173" t="s">
        <v>12861</v>
      </c>
      <c r="X1173">
        <v>6</v>
      </c>
      <c r="Y1173" t="s">
        <v>18653</v>
      </c>
      <c r="Z1173" t="s">
        <v>24380</v>
      </c>
      <c r="AA1173">
        <v>0.69796412717936929</v>
      </c>
      <c r="AB1173" t="str">
        <f>HYPERLINK("Melting_Curves/meltCurve_M0R3D4_RABAC1.pdf", "Melting_Curves/meltCurve_M0R3D4_RABAC1.pdf")</f>
        <v>Melting_Curves/meltCurve_M0R3D4_RABAC1.pdf</v>
      </c>
    </row>
    <row r="1174" spans="1:28" x14ac:dyDescent="0.25">
      <c r="A1174" t="s">
        <v>1178</v>
      </c>
      <c r="B1174">
        <v>0.99334974765950101</v>
      </c>
      <c r="C1174">
        <v>0.95343104758474095</v>
      </c>
      <c r="D1174">
        <v>0.95227147177926297</v>
      </c>
      <c r="E1174">
        <v>0.83976477589226595</v>
      </c>
      <c r="F1174">
        <v>0.38250875740432499</v>
      </c>
      <c r="G1174">
        <v>0.25998840975288701</v>
      </c>
      <c r="H1174">
        <v>0.155555459209338</v>
      </c>
      <c r="I1174">
        <v>0.13497371554322199</v>
      </c>
      <c r="J1174">
        <v>0.10420586844165999</v>
      </c>
      <c r="K1174">
        <v>9.4690366314756996E-2</v>
      </c>
      <c r="L1174">
        <v>1672.1567830187901</v>
      </c>
      <c r="M1174">
        <v>32.218892196980903</v>
      </c>
      <c r="N1174">
        <v>52.405182142875702</v>
      </c>
      <c r="O1174">
        <v>51.7011611285767</v>
      </c>
      <c r="P1174">
        <v>-0.13499310406795101</v>
      </c>
      <c r="Q1174">
        <v>0.13351864880023201</v>
      </c>
      <c r="R1174">
        <v>0.98885220328035495</v>
      </c>
      <c r="S1174" t="s">
        <v>7035</v>
      </c>
      <c r="T1174" t="s">
        <v>11720</v>
      </c>
      <c r="U1174" t="s">
        <v>11720</v>
      </c>
      <c r="V1174" t="s">
        <v>11720</v>
      </c>
      <c r="W1174" t="s">
        <v>12862</v>
      </c>
      <c r="X1174">
        <v>18</v>
      </c>
      <c r="Y1174" t="s">
        <v>18654</v>
      </c>
      <c r="Z1174" t="s">
        <v>24381</v>
      </c>
      <c r="AA1174">
        <v>0.48201503503735749</v>
      </c>
      <c r="AB1174" t="str">
        <f>HYPERLINK("Melting_Curves/meltCurve_O00116_AGPS.pdf", "Melting_Curves/meltCurve_O00116_AGPS.pdf")</f>
        <v>Melting_Curves/meltCurve_O00116_AGPS.pdf</v>
      </c>
    </row>
    <row r="1175" spans="1:28" x14ac:dyDescent="0.25">
      <c r="A1175" t="s">
        <v>1179</v>
      </c>
      <c r="B1175">
        <v>0.99334974765950101</v>
      </c>
      <c r="C1175">
        <v>0.86842940355988196</v>
      </c>
      <c r="D1175">
        <v>0.61899428657877198</v>
      </c>
      <c r="E1175">
        <v>0.38948727001156902</v>
      </c>
      <c r="F1175">
        <v>0.204214418726226</v>
      </c>
      <c r="G1175">
        <v>0.11553656529537901</v>
      </c>
      <c r="H1175">
        <v>0.109662800714338</v>
      </c>
      <c r="I1175">
        <v>7.01195457002632E-2</v>
      </c>
      <c r="J1175">
        <v>8.4532832543666794E-2</v>
      </c>
      <c r="K1175">
        <v>5.6723335737116999E-2</v>
      </c>
      <c r="L1175">
        <v>760.96078647573199</v>
      </c>
      <c r="M1175">
        <v>16.009453037681698</v>
      </c>
      <c r="N1175">
        <v>47.946955878952998</v>
      </c>
      <c r="O1175">
        <v>46.808908179183398</v>
      </c>
      <c r="P1175">
        <v>-7.9978759875898794E-2</v>
      </c>
      <c r="Q1175">
        <v>6.4696553227121201E-2</v>
      </c>
      <c r="R1175">
        <v>0.99578716598633998</v>
      </c>
      <c r="S1175" t="s">
        <v>7036</v>
      </c>
      <c r="T1175" t="s">
        <v>11720</v>
      </c>
      <c r="U1175" t="s">
        <v>11720</v>
      </c>
      <c r="V1175" t="s">
        <v>11720</v>
      </c>
      <c r="W1175" t="s">
        <v>12863</v>
      </c>
      <c r="X1175">
        <v>3</v>
      </c>
      <c r="Y1175" t="s">
        <v>18655</v>
      </c>
      <c r="Z1175" t="s">
        <v>24382</v>
      </c>
      <c r="AA1175">
        <v>0.32108950615654391</v>
      </c>
      <c r="AB1175" t="str">
        <f>HYPERLINK("Melting_Curves/meltCurve_O00124_3_UBXN8.pdf", "Melting_Curves/meltCurve_O00124_3_UBXN8.pdf")</f>
        <v>Melting_Curves/meltCurve_O00124_3_UBXN8.pdf</v>
      </c>
    </row>
    <row r="1176" spans="1:28" x14ac:dyDescent="0.25">
      <c r="A1176" t="s">
        <v>1180</v>
      </c>
      <c r="B1176">
        <v>0.99334974765950101</v>
      </c>
      <c r="C1176">
        <v>1.0199682544095801</v>
      </c>
      <c r="D1176">
        <v>0.69481847616729198</v>
      </c>
      <c r="E1176">
        <v>0.70218075642247002</v>
      </c>
      <c r="F1176">
        <v>0.53154040896079702</v>
      </c>
      <c r="G1176">
        <v>0.24365751943942801</v>
      </c>
      <c r="H1176">
        <v>0.25962701793871601</v>
      </c>
      <c r="I1176">
        <v>0.29941314003150099</v>
      </c>
      <c r="J1176">
        <v>0.32651367341102799</v>
      </c>
      <c r="K1176">
        <v>0.31060332925452999</v>
      </c>
      <c r="L1176">
        <v>747.35492660020498</v>
      </c>
      <c r="M1176">
        <v>15.017418857681999</v>
      </c>
      <c r="N1176">
        <v>52.404448207502497</v>
      </c>
      <c r="O1176">
        <v>48.908430818394997</v>
      </c>
      <c r="P1176">
        <v>-5.6406448124517297E-2</v>
      </c>
      <c r="Q1176">
        <v>0.26526030424324498</v>
      </c>
      <c r="R1176">
        <v>0.93138667352052895</v>
      </c>
      <c r="S1176" t="s">
        <v>7037</v>
      </c>
      <c r="T1176" t="s">
        <v>11720</v>
      </c>
      <c r="U1176" t="s">
        <v>11720</v>
      </c>
      <c r="V1176" t="s">
        <v>11720</v>
      </c>
      <c r="W1176" t="s">
        <v>12864</v>
      </c>
      <c r="X1176">
        <v>1</v>
      </c>
      <c r="Y1176" t="s">
        <v>18656</v>
      </c>
      <c r="Z1176" t="s">
        <v>24383</v>
      </c>
      <c r="AA1176">
        <v>0.52205775841966151</v>
      </c>
      <c r="AB1176" t="str">
        <f>HYPERLINK("Melting_Curves/meltCurve_O00139_2_KIF2A.pdf", "Melting_Curves/meltCurve_O00139_2_KIF2A.pdf")</f>
        <v>Melting_Curves/meltCurve_O00139_2_KIF2A.pdf</v>
      </c>
    </row>
    <row r="1177" spans="1:28" x14ac:dyDescent="0.25">
      <c r="A1177" t="s">
        <v>1181</v>
      </c>
      <c r="B1177">
        <v>0.99334974765950101</v>
      </c>
      <c r="C1177">
        <v>0.90383744772862096</v>
      </c>
      <c r="D1177">
        <v>0.66487424889833602</v>
      </c>
      <c r="E1177">
        <v>0.41974317468891997</v>
      </c>
      <c r="F1177">
        <v>0.42900179858790499</v>
      </c>
      <c r="G1177">
        <v>0.26437341845635198</v>
      </c>
      <c r="H1177">
        <v>0.233396109594181</v>
      </c>
      <c r="I1177">
        <v>0.17065912591217899</v>
      </c>
      <c r="J1177">
        <v>0.178169158165772</v>
      </c>
      <c r="K1177">
        <v>0.14157847753715899</v>
      </c>
      <c r="L1177">
        <v>637.44285472592196</v>
      </c>
      <c r="M1177">
        <v>13.237383861479</v>
      </c>
      <c r="N1177">
        <v>49.592362272643904</v>
      </c>
      <c r="O1177">
        <v>47.095570166228804</v>
      </c>
      <c r="P1177">
        <v>-5.9081576063749301E-2</v>
      </c>
      <c r="Q1177">
        <v>0.15934371686468099</v>
      </c>
      <c r="R1177">
        <v>0.98049387670218402</v>
      </c>
      <c r="S1177" t="s">
        <v>7038</v>
      </c>
      <c r="T1177" t="s">
        <v>11720</v>
      </c>
      <c r="U1177" t="s">
        <v>11720</v>
      </c>
      <c r="V1177" t="s">
        <v>11720</v>
      </c>
      <c r="W1177" t="s">
        <v>12865</v>
      </c>
      <c r="X1177">
        <v>18</v>
      </c>
      <c r="Y1177" t="s">
        <v>18657</v>
      </c>
      <c r="Z1177" t="s">
        <v>24384</v>
      </c>
      <c r="AA1177">
        <v>0.41513319856474618</v>
      </c>
      <c r="AB1177" t="str">
        <f>HYPERLINK("Melting_Curves/meltCurve_O00148_DDX39A.pdf", "Melting_Curves/meltCurve_O00148_DDX39A.pdf")</f>
        <v>Melting_Curves/meltCurve_O00148_DDX39A.pdf</v>
      </c>
    </row>
    <row r="1178" spans="1:28" x14ac:dyDescent="0.25">
      <c r="A1178" t="s">
        <v>1182</v>
      </c>
      <c r="B1178">
        <v>0.99334974765950101</v>
      </c>
      <c r="C1178">
        <v>0.97242775582021801</v>
      </c>
      <c r="D1178">
        <v>0.91541549324271299</v>
      </c>
      <c r="E1178">
        <v>0.77103680500887695</v>
      </c>
      <c r="F1178">
        <v>0.70921888594524496</v>
      </c>
      <c r="G1178">
        <v>0.62950483730768403</v>
      </c>
      <c r="H1178">
        <v>0.53159095135232803</v>
      </c>
      <c r="I1178">
        <v>0.71906475820315796</v>
      </c>
      <c r="J1178">
        <v>0.78414515900091297</v>
      </c>
      <c r="K1178">
        <v>0.73715492412302197</v>
      </c>
      <c r="L1178">
        <v>1256.34979547176</v>
      </c>
      <c r="M1178">
        <v>26.2470572753205</v>
      </c>
      <c r="O1178">
        <v>47.591044187673504</v>
      </c>
      <c r="P1178">
        <v>-4.3915814578855301E-2</v>
      </c>
      <c r="Q1178">
        <v>0.68149170964420602</v>
      </c>
      <c r="R1178">
        <v>0.78884976580321597</v>
      </c>
      <c r="S1178" t="s">
        <v>7039</v>
      </c>
      <c r="T1178" t="s">
        <v>11720</v>
      </c>
      <c r="U1178" t="s">
        <v>11720</v>
      </c>
      <c r="V1178" t="s">
        <v>11720</v>
      </c>
      <c r="W1178" t="s">
        <v>12866</v>
      </c>
      <c r="X1178">
        <v>29</v>
      </c>
      <c r="Y1178" t="s">
        <v>18658</v>
      </c>
      <c r="Z1178" t="s">
        <v>24385</v>
      </c>
      <c r="AA1178">
        <v>0.76754691882735204</v>
      </c>
      <c r="AB1178" t="str">
        <f>HYPERLINK("Melting_Curves/meltCurve_O00151_PDLIM1.pdf", "Melting_Curves/meltCurve_O00151_PDLIM1.pdf")</f>
        <v>Melting_Curves/meltCurve_O00151_PDLIM1.pdf</v>
      </c>
    </row>
    <row r="1179" spans="1:28" x14ac:dyDescent="0.25">
      <c r="A1179" t="s">
        <v>1183</v>
      </c>
      <c r="B1179">
        <v>0.99334974765950101</v>
      </c>
      <c r="C1179">
        <v>1.0571891740667401</v>
      </c>
      <c r="D1179">
        <v>1.1183094244687699</v>
      </c>
      <c r="E1179">
        <v>1.0351703156851799</v>
      </c>
      <c r="F1179">
        <v>1.1274674048136499</v>
      </c>
      <c r="G1179">
        <v>1.1416360461930299</v>
      </c>
      <c r="H1179">
        <v>0.98068929056928</v>
      </c>
      <c r="I1179">
        <v>0.686183217469165</v>
      </c>
      <c r="J1179">
        <v>0.24639929089165599</v>
      </c>
      <c r="K1179">
        <v>0.18834755177088999</v>
      </c>
      <c r="L1179">
        <v>4272.3662806269103</v>
      </c>
      <c r="M1179">
        <v>66.285720985918601</v>
      </c>
      <c r="N1179">
        <v>64.905553929087802</v>
      </c>
      <c r="O1179">
        <v>64.395202191005296</v>
      </c>
      <c r="P1179">
        <v>-0.20978523017419601</v>
      </c>
      <c r="Q1179">
        <v>0.184792176539961</v>
      </c>
      <c r="R1179">
        <v>0.95336738005853605</v>
      </c>
      <c r="S1179" t="s">
        <v>7040</v>
      </c>
      <c r="T1179" t="s">
        <v>11720</v>
      </c>
      <c r="U1179" t="s">
        <v>11720</v>
      </c>
      <c r="V1179" t="s">
        <v>11720</v>
      </c>
      <c r="W1179" t="s">
        <v>12867</v>
      </c>
      <c r="X1179">
        <v>26</v>
      </c>
      <c r="Y1179" t="s">
        <v>18605</v>
      </c>
      <c r="Z1179" t="s">
        <v>24386</v>
      </c>
      <c r="AA1179">
        <v>0.85043680458775894</v>
      </c>
      <c r="AB1179" t="str">
        <f>HYPERLINK("Melting_Curves/meltCurve_O00154_4_ACOT7.pdf", "Melting_Curves/meltCurve_O00154_4_ACOT7.pdf")</f>
        <v>Melting_Curves/meltCurve_O00154_4_ACOT7.pdf</v>
      </c>
    </row>
    <row r="1180" spans="1:28" x14ac:dyDescent="0.25">
      <c r="A1180" t="s">
        <v>1184</v>
      </c>
      <c r="B1180">
        <v>0.99334974765950101</v>
      </c>
      <c r="C1180">
        <v>0.91127246169041698</v>
      </c>
      <c r="D1180">
        <v>0.78685630779228599</v>
      </c>
      <c r="E1180">
        <v>0.691209949961477</v>
      </c>
      <c r="F1180">
        <v>0.77188132138335996</v>
      </c>
      <c r="G1180">
        <v>0.60869528822621899</v>
      </c>
      <c r="H1180">
        <v>0.54829733507365896</v>
      </c>
      <c r="I1180">
        <v>0.83028528214226904</v>
      </c>
      <c r="J1180">
        <v>0.71008752360400296</v>
      </c>
      <c r="K1180">
        <v>0.60494024329646801</v>
      </c>
      <c r="L1180">
        <v>975.42430325448402</v>
      </c>
      <c r="M1180">
        <v>21.739071403936599</v>
      </c>
      <c r="O1180">
        <v>44.49513906392</v>
      </c>
      <c r="P1180">
        <v>-3.9910039546141599E-2</v>
      </c>
      <c r="Q1180">
        <v>0.67325909685741203</v>
      </c>
      <c r="R1180">
        <v>0.671835973729347</v>
      </c>
      <c r="S1180" t="s">
        <v>7041</v>
      </c>
      <c r="T1180" t="s">
        <v>11720</v>
      </c>
      <c r="U1180" t="s">
        <v>11720</v>
      </c>
      <c r="V1180" t="s">
        <v>11720</v>
      </c>
      <c r="W1180" t="s">
        <v>12868</v>
      </c>
      <c r="X1180">
        <v>21</v>
      </c>
      <c r="Y1180" t="s">
        <v>18659</v>
      </c>
      <c r="Z1180" t="s">
        <v>24387</v>
      </c>
      <c r="AA1180">
        <v>0.73091112491932853</v>
      </c>
      <c r="AB1180" t="str">
        <f>HYPERLINK("Melting_Curves/meltCurve_O00161_SNAP23.pdf", "Melting_Curves/meltCurve_O00161_SNAP23.pdf")</f>
        <v>Melting_Curves/meltCurve_O00161_SNAP23.pdf</v>
      </c>
    </row>
    <row r="1181" spans="1:28" x14ac:dyDescent="0.25">
      <c r="A1181" t="s">
        <v>1185</v>
      </c>
      <c r="B1181">
        <v>0.99334974765950101</v>
      </c>
      <c r="C1181">
        <v>0.96507443625323996</v>
      </c>
      <c r="D1181">
        <v>0.94969063990260805</v>
      </c>
      <c r="E1181">
        <v>0.60895503684669405</v>
      </c>
      <c r="F1181">
        <v>0.238701083652434</v>
      </c>
      <c r="G1181">
        <v>0.17298233212932701</v>
      </c>
      <c r="H1181">
        <v>0.14728614175864399</v>
      </c>
      <c r="I1181">
        <v>9.57224529860633E-2</v>
      </c>
      <c r="J1181">
        <v>8.5215280018349895E-2</v>
      </c>
      <c r="K1181">
        <v>6.5850096194960503E-2</v>
      </c>
      <c r="L1181">
        <v>1529.60842149372</v>
      </c>
      <c r="M1181">
        <v>30.383623699602101</v>
      </c>
      <c r="N1181">
        <v>50.730694955241702</v>
      </c>
      <c r="O1181">
        <v>50.126633738876599</v>
      </c>
      <c r="P1181">
        <v>-0.13584135425743499</v>
      </c>
      <c r="Q1181">
        <v>0.103566422006818</v>
      </c>
      <c r="R1181">
        <v>0.99510466977390899</v>
      </c>
      <c r="S1181" t="s">
        <v>7042</v>
      </c>
      <c r="T1181" t="s">
        <v>11720</v>
      </c>
      <c r="U1181" t="s">
        <v>11720</v>
      </c>
      <c r="V1181" t="s">
        <v>11720</v>
      </c>
      <c r="W1181" t="s">
        <v>12869</v>
      </c>
      <c r="X1181">
        <v>15</v>
      </c>
      <c r="Y1181" t="s">
        <v>18660</v>
      </c>
      <c r="Z1181" t="s">
        <v>24388</v>
      </c>
      <c r="AA1181">
        <v>0.41806705853006382</v>
      </c>
      <c r="AB1181" t="str">
        <f>HYPERLINK("Melting_Curves/meltCurve_O00170_AIP.pdf", "Melting_Curves/meltCurve_O00170_AIP.pdf")</f>
        <v>Melting_Curves/meltCurve_O00170_AIP.pdf</v>
      </c>
    </row>
    <row r="1182" spans="1:28" x14ac:dyDescent="0.25">
      <c r="A1182" t="s">
        <v>1186</v>
      </c>
      <c r="B1182">
        <v>0.99334974765950101</v>
      </c>
      <c r="C1182">
        <v>1.0154125870217401</v>
      </c>
      <c r="D1182">
        <v>0.89245385612917505</v>
      </c>
      <c r="E1182">
        <v>0.67925768423437605</v>
      </c>
      <c r="F1182">
        <v>0.31823136306535399</v>
      </c>
      <c r="G1182">
        <v>0.19834150540189599</v>
      </c>
      <c r="H1182">
        <v>0.13338507937989</v>
      </c>
      <c r="I1182">
        <v>0.12185813614126</v>
      </c>
      <c r="J1182">
        <v>9.4076450950797294E-2</v>
      </c>
      <c r="K1182">
        <v>5.8183318023950797E-2</v>
      </c>
      <c r="L1182">
        <v>1151.1195771446901</v>
      </c>
      <c r="M1182">
        <v>22.590495808122501</v>
      </c>
      <c r="N1182">
        <v>51.432430850469402</v>
      </c>
      <c r="O1182">
        <v>50.561663479608903</v>
      </c>
      <c r="P1182">
        <v>-0.101153060083948</v>
      </c>
      <c r="Q1182">
        <v>9.4421882008047103E-2</v>
      </c>
      <c r="R1182">
        <v>0.994347992320327</v>
      </c>
      <c r="S1182" t="s">
        <v>7043</v>
      </c>
      <c r="T1182" t="s">
        <v>11720</v>
      </c>
      <c r="U1182" t="s">
        <v>11720</v>
      </c>
      <c r="V1182" t="s">
        <v>11720</v>
      </c>
      <c r="W1182" t="s">
        <v>12870</v>
      </c>
      <c r="X1182">
        <v>5</v>
      </c>
      <c r="Y1182" t="s">
        <v>18661</v>
      </c>
      <c r="Z1182" t="s">
        <v>24389</v>
      </c>
      <c r="AA1182">
        <v>0.4351035619833637</v>
      </c>
      <c r="AB1182" t="str">
        <f>HYPERLINK("Melting_Curves/meltCurve_O00178_GTPBP1.pdf", "Melting_Curves/meltCurve_O00178_GTPBP1.pdf")</f>
        <v>Melting_Curves/meltCurve_O00178_GTPBP1.pdf</v>
      </c>
    </row>
    <row r="1183" spans="1:28" x14ac:dyDescent="0.25">
      <c r="A1183" t="s">
        <v>1187</v>
      </c>
      <c r="B1183">
        <v>0.99334974765950101</v>
      </c>
      <c r="C1183">
        <v>0.90630830851753896</v>
      </c>
      <c r="D1183">
        <v>0.78384986078435703</v>
      </c>
      <c r="E1183">
        <v>0.34821770204700397</v>
      </c>
      <c r="F1183">
        <v>0.16101701522321701</v>
      </c>
      <c r="G1183">
        <v>0.108811380048809</v>
      </c>
      <c r="H1183">
        <v>8.7708001525373405E-2</v>
      </c>
      <c r="I1183">
        <v>8.3693595060431697E-2</v>
      </c>
      <c r="J1183">
        <v>8.3293418438745201E-2</v>
      </c>
      <c r="K1183">
        <v>6.7451747638167803E-2</v>
      </c>
      <c r="L1183">
        <v>1113.7745724648601</v>
      </c>
      <c r="M1183">
        <v>23.140896099804099</v>
      </c>
      <c r="N1183">
        <v>48.478515613557803</v>
      </c>
      <c r="O1183">
        <v>47.7750384417809</v>
      </c>
      <c r="P1183">
        <v>-0.11181914212385</v>
      </c>
      <c r="Q1183">
        <v>7.6601679752024407E-2</v>
      </c>
      <c r="R1183">
        <v>0.99803448957748897</v>
      </c>
      <c r="S1183" t="s">
        <v>7044</v>
      </c>
      <c r="T1183" t="s">
        <v>11720</v>
      </c>
      <c r="U1183" t="s">
        <v>11720</v>
      </c>
      <c r="V1183" t="s">
        <v>11720</v>
      </c>
      <c r="W1183" t="s">
        <v>12871</v>
      </c>
      <c r="X1183">
        <v>19</v>
      </c>
      <c r="Y1183" t="s">
        <v>18662</v>
      </c>
      <c r="Z1183" t="s">
        <v>24390</v>
      </c>
      <c r="AA1183">
        <v>0.33645786087547069</v>
      </c>
      <c r="AB1183" t="str">
        <f>HYPERLINK("Melting_Curves/meltCurve_O00186_STXBP3.pdf", "Melting_Curves/meltCurve_O00186_STXBP3.pdf")</f>
        <v>Melting_Curves/meltCurve_O00186_STXBP3.pdf</v>
      </c>
    </row>
    <row r="1184" spans="1:28" x14ac:dyDescent="0.25">
      <c r="A1184" t="s">
        <v>1188</v>
      </c>
      <c r="B1184">
        <v>0.99334974765950101</v>
      </c>
      <c r="C1184">
        <v>1.0188877137479799</v>
      </c>
      <c r="D1184">
        <v>1.07666886172585</v>
      </c>
      <c r="E1184">
        <v>1.0205490037846301</v>
      </c>
      <c r="F1184">
        <v>0.34696678071463199</v>
      </c>
      <c r="G1184">
        <v>0.20131219314844601</v>
      </c>
      <c r="H1184">
        <v>0.12112748465361101</v>
      </c>
      <c r="I1184">
        <v>0.11807294241128199</v>
      </c>
      <c r="J1184">
        <v>0.10040848511252499</v>
      </c>
      <c r="K1184">
        <v>8.7441321780190095E-2</v>
      </c>
      <c r="L1184">
        <v>13192.646910060799</v>
      </c>
      <c r="M1184">
        <v>250</v>
      </c>
      <c r="N1184">
        <v>52.831761972231398</v>
      </c>
      <c r="O1184">
        <v>52.767210665995499</v>
      </c>
      <c r="P1184">
        <v>-1.0355952107717701</v>
      </c>
      <c r="Q1184">
        <v>0.12567247049066299</v>
      </c>
      <c r="R1184">
        <v>0.99209627178369897</v>
      </c>
      <c r="S1184" t="s">
        <v>7045</v>
      </c>
      <c r="T1184" t="s">
        <v>11720</v>
      </c>
      <c r="U1184" t="s">
        <v>11720</v>
      </c>
      <c r="V1184" t="s">
        <v>11720</v>
      </c>
      <c r="W1184" t="s">
        <v>12872</v>
      </c>
      <c r="X1184">
        <v>13</v>
      </c>
      <c r="Y1184" t="s">
        <v>18663</v>
      </c>
      <c r="Z1184" t="s">
        <v>24391</v>
      </c>
      <c r="AA1184">
        <v>0.49794265472301352</v>
      </c>
      <c r="AB1184" t="str">
        <f>HYPERLINK("Melting_Curves/meltCurve_O00203_AP3B1.pdf", "Melting_Curves/meltCurve_O00203_AP3B1.pdf")</f>
        <v>Melting_Curves/meltCurve_O00203_AP3B1.pdf</v>
      </c>
    </row>
    <row r="1185" spans="1:28" x14ac:dyDescent="0.25">
      <c r="A1185" t="s">
        <v>1189</v>
      </c>
      <c r="B1185">
        <v>0.99334974765950101</v>
      </c>
      <c r="C1185">
        <v>0.90664366327977997</v>
      </c>
      <c r="D1185">
        <v>0.60230180505568698</v>
      </c>
      <c r="E1185">
        <v>0.41768514810544599</v>
      </c>
      <c r="F1185">
        <v>0.27101628577161002</v>
      </c>
      <c r="G1185">
        <v>0.18305458668052299</v>
      </c>
      <c r="H1185">
        <v>0.198824127808643</v>
      </c>
      <c r="I1185">
        <v>0.21174533722928099</v>
      </c>
      <c r="J1185">
        <v>0.294927795332808</v>
      </c>
      <c r="K1185">
        <v>0.24648922850785501</v>
      </c>
      <c r="L1185">
        <v>981.51397674208101</v>
      </c>
      <c r="M1185">
        <v>21.180810875542299</v>
      </c>
      <c r="N1185">
        <v>47.707021494627703</v>
      </c>
      <c r="O1185">
        <v>45.932639236308603</v>
      </c>
      <c r="P1185">
        <v>-8.90558416894697E-2</v>
      </c>
      <c r="Q1185">
        <v>0.227515165052915</v>
      </c>
      <c r="R1185">
        <v>0.98094795811412405</v>
      </c>
      <c r="S1185" t="s">
        <v>7046</v>
      </c>
      <c r="T1185" t="s">
        <v>11720</v>
      </c>
      <c r="U1185" t="s">
        <v>11720</v>
      </c>
      <c r="V1185" t="s">
        <v>11720</v>
      </c>
      <c r="W1185" t="s">
        <v>12873</v>
      </c>
      <c r="X1185">
        <v>3</v>
      </c>
      <c r="Y1185" t="s">
        <v>18664</v>
      </c>
      <c r="Z1185" t="s">
        <v>24392</v>
      </c>
      <c r="AA1185">
        <v>0.40101571748456832</v>
      </c>
      <c r="AB1185" t="str">
        <f>HYPERLINK("Melting_Curves/meltCurve_O00213_2_APBB1.pdf", "Melting_Curves/meltCurve_O00213_2_APBB1.pdf")</f>
        <v>Melting_Curves/meltCurve_O00213_2_APBB1.pdf</v>
      </c>
    </row>
    <row r="1186" spans="1:28" x14ac:dyDescent="0.25">
      <c r="A1186" t="s">
        <v>1190</v>
      </c>
      <c r="B1186">
        <v>0.99334974765950101</v>
      </c>
      <c r="C1186">
        <v>0.90670554020434002</v>
      </c>
      <c r="D1186">
        <v>0.80102270240169704</v>
      </c>
      <c r="E1186">
        <v>0.67321561521317996</v>
      </c>
      <c r="F1186">
        <v>0.54283797257656397</v>
      </c>
      <c r="G1186">
        <v>0.482004225665011</v>
      </c>
      <c r="H1186">
        <v>0.41199693335794701</v>
      </c>
      <c r="I1186">
        <v>0.40719166199958501</v>
      </c>
      <c r="J1186">
        <v>0.43317415328683401</v>
      </c>
      <c r="K1186">
        <v>0.36156912790485302</v>
      </c>
      <c r="L1186">
        <v>613.47908713302104</v>
      </c>
      <c r="M1186">
        <v>12.468742543008201</v>
      </c>
      <c r="N1186">
        <v>55.341760860085898</v>
      </c>
      <c r="O1186">
        <v>47.987219086227803</v>
      </c>
      <c r="P1186">
        <v>-4.0630669363210803E-2</v>
      </c>
      <c r="Q1186">
        <v>0.37464497405386799</v>
      </c>
      <c r="R1186">
        <v>0.991706802132585</v>
      </c>
      <c r="S1186" t="s">
        <v>7047</v>
      </c>
      <c r="T1186" t="s">
        <v>11720</v>
      </c>
      <c r="U1186" t="s">
        <v>11720</v>
      </c>
      <c r="V1186" t="s">
        <v>11720</v>
      </c>
      <c r="W1186" t="s">
        <v>12874</v>
      </c>
      <c r="X1186">
        <v>1</v>
      </c>
      <c r="Y1186" t="s">
        <v>18665</v>
      </c>
      <c r="Z1186" t="s">
        <v>24393</v>
      </c>
      <c r="AA1186">
        <v>0.58773648453635685</v>
      </c>
      <c r="AB1186" t="str">
        <f>HYPERLINK("Melting_Curves/meltCurve_O00220_TNFRSF10A.pdf", "Melting_Curves/meltCurve_O00220_TNFRSF10A.pdf")</f>
        <v>Melting_Curves/meltCurve_O00220_TNFRSF10A.pdf</v>
      </c>
    </row>
    <row r="1187" spans="1:28" x14ac:dyDescent="0.25">
      <c r="A1187" t="s">
        <v>1191</v>
      </c>
      <c r="B1187">
        <v>0.99334974765950101</v>
      </c>
      <c r="C1187">
        <v>1.08034762220546</v>
      </c>
      <c r="D1187">
        <v>0.99346847393164694</v>
      </c>
      <c r="E1187">
        <v>0.85771324321540898</v>
      </c>
      <c r="F1187">
        <v>0.40685134472451501</v>
      </c>
      <c r="G1187">
        <v>0.283399417440302</v>
      </c>
      <c r="H1187">
        <v>0.20198256464485401</v>
      </c>
      <c r="I1187">
        <v>0.20359182193418299</v>
      </c>
      <c r="J1187">
        <v>0.163334645565542</v>
      </c>
      <c r="K1187">
        <v>0.15443011070993901</v>
      </c>
      <c r="L1187">
        <v>2078.8691788603001</v>
      </c>
      <c r="M1187">
        <v>40.140493194881998</v>
      </c>
      <c r="N1187">
        <v>52.433239746848898</v>
      </c>
      <c r="O1187">
        <v>51.661786023201898</v>
      </c>
      <c r="P1187">
        <v>-0.15647198027211201</v>
      </c>
      <c r="Q1187">
        <v>0.19446874415558099</v>
      </c>
      <c r="R1187">
        <v>0.98972638263665502</v>
      </c>
      <c r="S1187" t="s">
        <v>7048</v>
      </c>
      <c r="T1187" t="s">
        <v>11720</v>
      </c>
      <c r="U1187" t="s">
        <v>11720</v>
      </c>
      <c r="V1187" t="s">
        <v>11720</v>
      </c>
      <c r="W1187" t="s">
        <v>12875</v>
      </c>
      <c r="X1187">
        <v>7</v>
      </c>
      <c r="Y1187" t="s">
        <v>18666</v>
      </c>
      <c r="Z1187" t="s">
        <v>24394</v>
      </c>
      <c r="AA1187">
        <v>0.51390021600827884</v>
      </c>
      <c r="AB1187" t="str">
        <f>HYPERLINK("Melting_Curves/meltCurve_O00221_NFKBIE.pdf", "Melting_Curves/meltCurve_O00221_NFKBIE.pdf")</f>
        <v>Melting_Curves/meltCurve_O00221_NFKBIE.pdf</v>
      </c>
    </row>
    <row r="1188" spans="1:28" x14ac:dyDescent="0.25">
      <c r="A1188" t="s">
        <v>1192</v>
      </c>
      <c r="B1188">
        <v>0.99334974765950101</v>
      </c>
      <c r="C1188">
        <v>1.01464496259315</v>
      </c>
      <c r="D1188">
        <v>1.17873595396777</v>
      </c>
      <c r="E1188">
        <v>1.4634135257668399</v>
      </c>
      <c r="F1188">
        <v>0.78852201073535</v>
      </c>
      <c r="G1188">
        <v>0.72038050895508998</v>
      </c>
      <c r="H1188">
        <v>0.230656935222908</v>
      </c>
      <c r="I1188">
        <v>0.19627724884516901</v>
      </c>
      <c r="J1188">
        <v>0.143215623299736</v>
      </c>
      <c r="K1188">
        <v>0.10274373886982301</v>
      </c>
      <c r="L1188">
        <v>1879.23921784358</v>
      </c>
      <c r="M1188">
        <v>32.395533250464098</v>
      </c>
      <c r="N1188">
        <v>58.507173520334703</v>
      </c>
      <c r="O1188">
        <v>57.789505159003497</v>
      </c>
      <c r="P1188">
        <v>-0.123259252522066</v>
      </c>
      <c r="Q1188">
        <v>0.120489022810033</v>
      </c>
      <c r="R1188">
        <v>0.86657758795128603</v>
      </c>
      <c r="S1188" t="s">
        <v>7049</v>
      </c>
      <c r="T1188" t="s">
        <v>11720</v>
      </c>
      <c r="U1188" t="s">
        <v>11720</v>
      </c>
      <c r="V1188" t="s">
        <v>11720</v>
      </c>
      <c r="W1188" t="s">
        <v>12876</v>
      </c>
      <c r="X1188">
        <v>8</v>
      </c>
      <c r="Y1188" t="s">
        <v>18667</v>
      </c>
      <c r="Z1188" t="s">
        <v>24395</v>
      </c>
      <c r="AA1188">
        <v>0.6535472927330428</v>
      </c>
      <c r="AB1188" t="str">
        <f>HYPERLINK("Melting_Curves/meltCurve_O00231_PSMD11.pdf", "Melting_Curves/meltCurve_O00231_PSMD11.pdf")</f>
        <v>Melting_Curves/meltCurve_O00231_PSMD11.pdf</v>
      </c>
    </row>
    <row r="1189" spans="1:28" x14ac:dyDescent="0.25">
      <c r="A1189" t="s">
        <v>1193</v>
      </c>
      <c r="B1189">
        <v>0.99334974765950101</v>
      </c>
      <c r="C1189">
        <v>0.98865933583728505</v>
      </c>
      <c r="D1189">
        <v>0.96053986989910101</v>
      </c>
      <c r="E1189">
        <v>0.82844788332888097</v>
      </c>
      <c r="F1189">
        <v>0.53858991955920799</v>
      </c>
      <c r="G1189">
        <v>0.37243272645188502</v>
      </c>
      <c r="H1189">
        <v>0.152657183655278</v>
      </c>
      <c r="I1189">
        <v>0.14000497162856201</v>
      </c>
      <c r="J1189">
        <v>0.124191847799103</v>
      </c>
      <c r="K1189">
        <v>9.4021858232900601E-2</v>
      </c>
      <c r="L1189">
        <v>945.281636672167</v>
      </c>
      <c r="M1189">
        <v>17.6392807511148</v>
      </c>
      <c r="N1189">
        <v>54.179621133274097</v>
      </c>
      <c r="O1189">
        <v>52.915053509837499</v>
      </c>
      <c r="P1189">
        <v>-7.60591534980673E-2</v>
      </c>
      <c r="Q1189">
        <v>8.7387083132746901E-2</v>
      </c>
      <c r="R1189">
        <v>0.994925453700503</v>
      </c>
      <c r="S1189" t="s">
        <v>7050</v>
      </c>
      <c r="T1189" t="s">
        <v>11720</v>
      </c>
      <c r="U1189" t="s">
        <v>11720</v>
      </c>
      <c r="V1189" t="s">
        <v>11720</v>
      </c>
      <c r="W1189" t="s">
        <v>12877</v>
      </c>
      <c r="X1189">
        <v>11</v>
      </c>
      <c r="Y1189" t="s">
        <v>18668</v>
      </c>
      <c r="Z1189" t="s">
        <v>24396</v>
      </c>
      <c r="AA1189">
        <v>0.51600610689892024</v>
      </c>
      <c r="AB1189" t="str">
        <f>HYPERLINK("Melting_Curves/meltCurve_O00232_PSMD12.pdf", "Melting_Curves/meltCurve_O00232_PSMD12.pdf")</f>
        <v>Melting_Curves/meltCurve_O00232_PSMD12.pdf</v>
      </c>
    </row>
    <row r="1190" spans="1:28" x14ac:dyDescent="0.25">
      <c r="A1190" t="s">
        <v>1194</v>
      </c>
      <c r="B1190">
        <v>0.99334974765950101</v>
      </c>
      <c r="C1190">
        <v>0.84991656605143995</v>
      </c>
      <c r="D1190">
        <v>0.85580652356796005</v>
      </c>
      <c r="E1190">
        <v>0.780633954356732</v>
      </c>
      <c r="F1190">
        <v>0.81016652111365195</v>
      </c>
      <c r="G1190">
        <v>0.47149490095823099</v>
      </c>
      <c r="H1190">
        <v>0.54881139819084201</v>
      </c>
      <c r="I1190">
        <v>0.52688884539497705</v>
      </c>
      <c r="J1190">
        <v>0.69139007931879803</v>
      </c>
      <c r="K1190">
        <v>0.497873976030482</v>
      </c>
      <c r="L1190">
        <v>504.287461515372</v>
      </c>
      <c r="M1190">
        <v>10.074016571814701</v>
      </c>
      <c r="O1190">
        <v>48.205751582680598</v>
      </c>
      <c r="P1190">
        <v>-2.5521995757846399E-2</v>
      </c>
      <c r="Q1190">
        <v>0.51172386140164905</v>
      </c>
      <c r="R1190">
        <v>0.76884227913883596</v>
      </c>
      <c r="S1190" t="s">
        <v>7051</v>
      </c>
      <c r="T1190" t="s">
        <v>11720</v>
      </c>
      <c r="U1190" t="s">
        <v>11720</v>
      </c>
      <c r="V1190" t="s">
        <v>11720</v>
      </c>
      <c r="W1190" t="s">
        <v>12878</v>
      </c>
      <c r="X1190">
        <v>10</v>
      </c>
      <c r="Y1190" t="s">
        <v>18669</v>
      </c>
      <c r="Z1190" t="s">
        <v>24397</v>
      </c>
      <c r="AA1190">
        <v>0.69717999395968955</v>
      </c>
      <c r="AB1190" t="str">
        <f>HYPERLINK("Melting_Curves/meltCurve_O00244_ATOX1.pdf", "Melting_Curves/meltCurve_O00244_ATOX1.pdf")</f>
        <v>Melting_Curves/meltCurve_O00244_ATOX1.pdf</v>
      </c>
    </row>
    <row r="1191" spans="1:28" x14ac:dyDescent="0.25">
      <c r="A1191" t="s">
        <v>1195</v>
      </c>
      <c r="B1191">
        <v>0.99334974765950101</v>
      </c>
      <c r="C1191">
        <v>0.898243374961612</v>
      </c>
      <c r="D1191">
        <v>0.87443560747872195</v>
      </c>
      <c r="E1191">
        <v>0.81061005564217503</v>
      </c>
      <c r="F1191">
        <v>0.60066780785382101</v>
      </c>
      <c r="G1191">
        <v>0.51261397345075699</v>
      </c>
      <c r="H1191">
        <v>0.48268196458290502</v>
      </c>
      <c r="I1191">
        <v>0.57823027614872702</v>
      </c>
      <c r="J1191">
        <v>0.61836755890498996</v>
      </c>
      <c r="K1191">
        <v>0.55544055098110001</v>
      </c>
      <c r="L1191">
        <v>858.51374237034304</v>
      </c>
      <c r="M1191">
        <v>17.503571984562999</v>
      </c>
      <c r="O1191">
        <v>48.421158373799202</v>
      </c>
      <c r="P1191">
        <v>-4.1642792529101601E-2</v>
      </c>
      <c r="Q1191">
        <v>0.53922989429394796</v>
      </c>
      <c r="R1191">
        <v>0.90658464603452305</v>
      </c>
      <c r="S1191" t="s">
        <v>7052</v>
      </c>
      <c r="T1191" t="s">
        <v>11720</v>
      </c>
      <c r="U1191" t="s">
        <v>11720</v>
      </c>
      <c r="V1191" t="s">
        <v>11720</v>
      </c>
      <c r="W1191" t="s">
        <v>12879</v>
      </c>
      <c r="X1191">
        <v>17</v>
      </c>
      <c r="Y1191" t="s">
        <v>18670</v>
      </c>
      <c r="Z1191" t="s">
        <v>24398</v>
      </c>
      <c r="AA1191">
        <v>0.68662527434983034</v>
      </c>
      <c r="AB1191" t="str">
        <f>HYPERLINK("Melting_Curves/meltCurve_O00264_PGRMC1.pdf", "Melting_Curves/meltCurve_O00264_PGRMC1.pdf")</f>
        <v>Melting_Curves/meltCurve_O00264_PGRMC1.pdf</v>
      </c>
    </row>
    <row r="1192" spans="1:28" x14ac:dyDescent="0.25">
      <c r="A1192" t="s">
        <v>1196</v>
      </c>
      <c r="B1192">
        <v>0.99334974765950101</v>
      </c>
      <c r="C1192">
        <v>0.97772579691830697</v>
      </c>
      <c r="D1192">
        <v>0.95533865228008696</v>
      </c>
      <c r="E1192">
        <v>0.66092364509482904</v>
      </c>
      <c r="F1192">
        <v>0.269324054950419</v>
      </c>
      <c r="G1192">
        <v>0.180512348701861</v>
      </c>
      <c r="H1192">
        <v>0.142095789376531</v>
      </c>
      <c r="I1192">
        <v>0.14576969197581399</v>
      </c>
      <c r="J1192">
        <v>0.147456453554629</v>
      </c>
      <c r="K1192">
        <v>0.117911857733121</v>
      </c>
      <c r="L1192">
        <v>1772.4400005601201</v>
      </c>
      <c r="M1192">
        <v>35.062925875893598</v>
      </c>
      <c r="N1192">
        <v>51.033194343116101</v>
      </c>
      <c r="O1192">
        <v>50.386681260392201</v>
      </c>
      <c r="P1192">
        <v>-0.149407700435636</v>
      </c>
      <c r="Q1192">
        <v>0.14118621930295999</v>
      </c>
      <c r="R1192">
        <v>0.99837412206792897</v>
      </c>
      <c r="S1192" t="s">
        <v>7053</v>
      </c>
      <c r="T1192" t="s">
        <v>11720</v>
      </c>
      <c r="U1192" t="s">
        <v>11720</v>
      </c>
      <c r="V1192" t="s">
        <v>11720</v>
      </c>
      <c r="W1192" t="s">
        <v>12880</v>
      </c>
      <c r="X1192">
        <v>22</v>
      </c>
      <c r="Y1192" t="s">
        <v>18671</v>
      </c>
      <c r="Z1192" t="s">
        <v>24399</v>
      </c>
      <c r="AA1192">
        <v>0.44712425208601908</v>
      </c>
      <c r="AB1192" t="str">
        <f>HYPERLINK("Melting_Curves/meltCurve_O00267_2_SUPT5H.pdf", "Melting_Curves/meltCurve_O00267_2_SUPT5H.pdf")</f>
        <v>Melting_Curves/meltCurve_O00267_2_SUPT5H.pdf</v>
      </c>
    </row>
    <row r="1193" spans="1:28" x14ac:dyDescent="0.25">
      <c r="A1193" t="s">
        <v>1197</v>
      </c>
      <c r="B1193">
        <v>0.99334974765950101</v>
      </c>
      <c r="C1193">
        <v>0.95771795652528302</v>
      </c>
      <c r="D1193">
        <v>0.75098546203544203</v>
      </c>
      <c r="E1193">
        <v>0.77564819692920794</v>
      </c>
      <c r="F1193">
        <v>0.77335900055414197</v>
      </c>
      <c r="G1193">
        <v>0.56355536175229104</v>
      </c>
      <c r="H1193">
        <v>0.48248350415491198</v>
      </c>
      <c r="I1193">
        <v>0.48340478069481602</v>
      </c>
      <c r="J1193">
        <v>0.53210247362520302</v>
      </c>
      <c r="K1193">
        <v>0.50555661751418901</v>
      </c>
      <c r="L1193">
        <v>479.483234971397</v>
      </c>
      <c r="M1193">
        <v>9.3394140638667906</v>
      </c>
      <c r="N1193">
        <v>66.119267681331905</v>
      </c>
      <c r="O1193">
        <v>49.150851786549097</v>
      </c>
      <c r="P1193">
        <v>-2.6713566463893699E-2</v>
      </c>
      <c r="Q1193">
        <v>0.438009140929144</v>
      </c>
      <c r="R1193">
        <v>0.90989295923510405</v>
      </c>
      <c r="S1193" t="s">
        <v>7054</v>
      </c>
      <c r="T1193" t="s">
        <v>11720</v>
      </c>
      <c r="U1193" t="s">
        <v>11720</v>
      </c>
      <c r="V1193" t="s">
        <v>11720</v>
      </c>
      <c r="W1193" t="s">
        <v>12881</v>
      </c>
      <c r="X1193">
        <v>21</v>
      </c>
      <c r="Y1193" t="s">
        <v>18672</v>
      </c>
      <c r="Z1193" t="s">
        <v>24400</v>
      </c>
      <c r="AA1193">
        <v>0.67497882704355205</v>
      </c>
      <c r="AB1193" t="str">
        <f>HYPERLINK("Melting_Curves/meltCurve_O00273_DFFA.pdf", "Melting_Curves/meltCurve_O00273_DFFA.pdf")</f>
        <v>Melting_Curves/meltCurve_O00273_DFFA.pdf</v>
      </c>
    </row>
    <row r="1194" spans="1:28" x14ac:dyDescent="0.25">
      <c r="A1194" t="s">
        <v>1198</v>
      </c>
      <c r="B1194">
        <v>0.99334974765950101</v>
      </c>
      <c r="C1194">
        <v>0.97994456563615995</v>
      </c>
      <c r="D1194">
        <v>0.90753083459225103</v>
      </c>
      <c r="E1194">
        <v>0.75721648602277603</v>
      </c>
      <c r="F1194">
        <v>0.92647600231809701</v>
      </c>
      <c r="G1194">
        <v>0.50838818846170397</v>
      </c>
      <c r="H1194">
        <v>0.47212796725627598</v>
      </c>
      <c r="I1194">
        <v>0.51142457552453902</v>
      </c>
      <c r="J1194">
        <v>0.63672005728495995</v>
      </c>
      <c r="K1194">
        <v>0.54167008027536101</v>
      </c>
      <c r="L1194">
        <v>843.22933135129495</v>
      </c>
      <c r="M1194">
        <v>16.098919934579101</v>
      </c>
      <c r="O1194">
        <v>51.589822932371199</v>
      </c>
      <c r="P1194">
        <v>-3.78149702693827E-2</v>
      </c>
      <c r="Q1194">
        <v>0.51531698073979104</v>
      </c>
      <c r="R1194">
        <v>0.80623678636316098</v>
      </c>
      <c r="S1194" t="s">
        <v>7055</v>
      </c>
      <c r="T1194" t="s">
        <v>11720</v>
      </c>
      <c r="U1194" t="s">
        <v>11720</v>
      </c>
      <c r="V1194" t="s">
        <v>11720</v>
      </c>
      <c r="W1194" t="s">
        <v>12882</v>
      </c>
      <c r="X1194">
        <v>16</v>
      </c>
      <c r="Y1194" t="s">
        <v>18672</v>
      </c>
      <c r="Z1194" t="s">
        <v>24401</v>
      </c>
      <c r="AA1194">
        <v>0.72489980710207269</v>
      </c>
      <c r="AB1194" t="str">
        <f>HYPERLINK("Melting_Curves/meltCurve_O00273_2_DFFA.pdf", "Melting_Curves/meltCurve_O00273_2_DFFA.pdf")</f>
        <v>Melting_Curves/meltCurve_O00273_2_DFFA.pdf</v>
      </c>
    </row>
    <row r="1195" spans="1:28" x14ac:dyDescent="0.25">
      <c r="A1195" t="s">
        <v>1199</v>
      </c>
      <c r="B1195">
        <v>0.99334974765950101</v>
      </c>
      <c r="C1195">
        <v>1.0238793519109499</v>
      </c>
      <c r="D1195">
        <v>1.13508520351841</v>
      </c>
      <c r="E1195">
        <v>1.1104479874850099</v>
      </c>
      <c r="F1195">
        <v>0.42062818407519698</v>
      </c>
      <c r="G1195">
        <v>0.32708118530713298</v>
      </c>
      <c r="H1195">
        <v>0.232095085063003</v>
      </c>
      <c r="I1195">
        <v>0.18931368460728801</v>
      </c>
      <c r="J1195">
        <v>0.168126915082638</v>
      </c>
      <c r="K1195">
        <v>0.13673561524799399</v>
      </c>
      <c r="L1195">
        <v>13196.203166309801</v>
      </c>
      <c r="M1195">
        <v>250</v>
      </c>
      <c r="N1195">
        <v>52.900552214676999</v>
      </c>
      <c r="O1195">
        <v>52.781452683136301</v>
      </c>
      <c r="P1195">
        <v>-0.93466761595509096</v>
      </c>
      <c r="Q1195">
        <v>0.21067043439883501</v>
      </c>
      <c r="R1195">
        <v>0.96868343499462195</v>
      </c>
      <c r="S1195" t="s">
        <v>7056</v>
      </c>
      <c r="T1195" t="s">
        <v>11720</v>
      </c>
      <c r="U1195" t="s">
        <v>11720</v>
      </c>
      <c r="V1195" t="s">
        <v>11720</v>
      </c>
      <c r="W1195" t="s">
        <v>12883</v>
      </c>
      <c r="X1195">
        <v>17</v>
      </c>
      <c r="Y1195" t="s">
        <v>18673</v>
      </c>
      <c r="Z1195" t="s">
        <v>24402</v>
      </c>
      <c r="AA1195">
        <v>0.54712457605816434</v>
      </c>
      <c r="AB1195" t="str">
        <f>HYPERLINK("Melting_Curves/meltCurve_O00291_HIP1.pdf", "Melting_Curves/meltCurve_O00291_HIP1.pdf")</f>
        <v>Melting_Curves/meltCurve_O00291_HIP1.pdf</v>
      </c>
    </row>
    <row r="1196" spans="1:28" x14ac:dyDescent="0.25">
      <c r="A1196" t="s">
        <v>1200</v>
      </c>
      <c r="B1196">
        <v>0.99334974765950101</v>
      </c>
      <c r="C1196">
        <v>0.86187174738831995</v>
      </c>
      <c r="D1196">
        <v>0.78411250773143704</v>
      </c>
      <c r="E1196">
        <v>0.65315516781340299</v>
      </c>
      <c r="F1196">
        <v>0.24725769213017801</v>
      </c>
      <c r="G1196">
        <v>7.8903502353365906E-2</v>
      </c>
      <c r="H1196">
        <v>5.3471933888733801E-2</v>
      </c>
      <c r="I1196">
        <v>4.1434237222285598E-2</v>
      </c>
      <c r="J1196">
        <v>4.18905188198615E-2</v>
      </c>
      <c r="K1196">
        <v>3.4925187470043403E-2</v>
      </c>
      <c r="L1196">
        <v>845.45826618101</v>
      </c>
      <c r="M1196">
        <v>16.775702323204001</v>
      </c>
      <c r="N1196">
        <v>50.432045576181899</v>
      </c>
      <c r="O1196">
        <v>49.697995295537901</v>
      </c>
      <c r="P1196">
        <v>-8.3915435353136295E-2</v>
      </c>
      <c r="Q1196">
        <v>5.6675833364642804E-3</v>
      </c>
      <c r="R1196">
        <v>0.97779586858304202</v>
      </c>
      <c r="S1196" t="s">
        <v>7057</v>
      </c>
      <c r="T1196" t="s">
        <v>11720</v>
      </c>
      <c r="U1196" t="s">
        <v>11720</v>
      </c>
      <c r="V1196" t="s">
        <v>11720</v>
      </c>
      <c r="W1196" t="s">
        <v>12884</v>
      </c>
      <c r="X1196">
        <v>24</v>
      </c>
      <c r="Y1196" t="s">
        <v>18674</v>
      </c>
      <c r="Z1196" t="s">
        <v>24403</v>
      </c>
      <c r="AA1196">
        <v>0.36950102662148482</v>
      </c>
      <c r="AB1196" t="str">
        <f>HYPERLINK("Melting_Curves/meltCurve_O00299_CLIC1.pdf", "Melting_Curves/meltCurve_O00299_CLIC1.pdf")</f>
        <v>Melting_Curves/meltCurve_O00299_CLIC1.pdf</v>
      </c>
    </row>
    <row r="1197" spans="1:28" x14ac:dyDescent="0.25">
      <c r="A1197" t="s">
        <v>1201</v>
      </c>
      <c r="B1197">
        <v>0.99334974765950101</v>
      </c>
      <c r="C1197">
        <v>1.06748363189813</v>
      </c>
      <c r="D1197">
        <v>1.0572105979773501</v>
      </c>
      <c r="E1197">
        <v>0.96535252650629499</v>
      </c>
      <c r="F1197">
        <v>0.96731639788087698</v>
      </c>
      <c r="G1197">
        <v>0.66624028591943096</v>
      </c>
      <c r="H1197">
        <v>0.55180296352281399</v>
      </c>
      <c r="I1197">
        <v>0.57616490555036604</v>
      </c>
      <c r="J1197">
        <v>0.50801542439236602</v>
      </c>
      <c r="K1197">
        <v>0.56999548893420704</v>
      </c>
      <c r="L1197">
        <v>2635.5021982458002</v>
      </c>
      <c r="M1197">
        <v>47.281728683714803</v>
      </c>
      <c r="O1197">
        <v>55.6409566560298</v>
      </c>
      <c r="P1197">
        <v>-9.5748440182251607E-2</v>
      </c>
      <c r="Q1197">
        <v>0.54929489290744404</v>
      </c>
      <c r="R1197">
        <v>0.97630361525438902</v>
      </c>
      <c r="S1197" t="s">
        <v>7058</v>
      </c>
      <c r="T1197" t="s">
        <v>11720</v>
      </c>
      <c r="U1197" t="s">
        <v>11720</v>
      </c>
      <c r="V1197" t="s">
        <v>11720</v>
      </c>
      <c r="W1197" t="s">
        <v>12885</v>
      </c>
      <c r="X1197">
        <v>6</v>
      </c>
      <c r="Y1197" t="s">
        <v>18675</v>
      </c>
      <c r="Z1197" t="s">
        <v>24404</v>
      </c>
      <c r="AA1197">
        <v>0.78700889672031971</v>
      </c>
      <c r="AB1197" t="str">
        <f>HYPERLINK("Melting_Curves/meltCurve_O00300_TNFRSF11B.pdf", "Melting_Curves/meltCurve_O00300_TNFRSF11B.pdf")</f>
        <v>Melting_Curves/meltCurve_O00300_TNFRSF11B.pdf</v>
      </c>
    </row>
    <row r="1198" spans="1:28" x14ac:dyDescent="0.25">
      <c r="A1198" t="s">
        <v>1202</v>
      </c>
      <c r="B1198">
        <v>0.99334974765950101</v>
      </c>
      <c r="C1198">
        <v>1.0936756825038401</v>
      </c>
      <c r="D1198">
        <v>1.2812541947988001</v>
      </c>
      <c r="E1198">
        <v>1.37745011140856</v>
      </c>
      <c r="F1198">
        <v>1.4461947846349299</v>
      </c>
      <c r="G1198">
        <v>2.8939553064738601</v>
      </c>
      <c r="H1198">
        <v>1.37505198327516</v>
      </c>
      <c r="I1198">
        <v>0.19908032999102401</v>
      </c>
      <c r="J1198">
        <v>0.125949505943318</v>
      </c>
      <c r="K1198">
        <v>9.8081731766635205E-2</v>
      </c>
      <c r="L1198">
        <v>15000</v>
      </c>
      <c r="M1198">
        <v>236.58748674969999</v>
      </c>
      <c r="N1198">
        <v>63.469412336382902</v>
      </c>
      <c r="O1198">
        <v>63.396962845898699</v>
      </c>
      <c r="P1198">
        <v>-0.82860008195417001</v>
      </c>
      <c r="Q1198">
        <v>0.11185955694451299</v>
      </c>
      <c r="R1198">
        <v>0.33983925646677898</v>
      </c>
      <c r="S1198" t="s">
        <v>7059</v>
      </c>
      <c r="T1198" t="s">
        <v>11720</v>
      </c>
      <c r="U1198" t="s">
        <v>11720</v>
      </c>
      <c r="V1198" t="s">
        <v>11720</v>
      </c>
      <c r="W1198" t="s">
        <v>12886</v>
      </c>
      <c r="X1198">
        <v>3</v>
      </c>
      <c r="Y1198" t="s">
        <v>18676</v>
      </c>
      <c r="Z1198" t="s">
        <v>24405</v>
      </c>
      <c r="AA1198">
        <v>0.80476366409407463</v>
      </c>
      <c r="AB1198" t="str">
        <f>HYPERLINK("Melting_Curves/meltCurve_O00308_2_WWP2.pdf", "Melting_Curves/meltCurve_O00308_2_WWP2.pdf")</f>
        <v>Melting_Curves/meltCurve_O00308_2_WWP2.pdf</v>
      </c>
    </row>
    <row r="1199" spans="1:28" x14ac:dyDescent="0.25">
      <c r="A1199" t="s">
        <v>1203</v>
      </c>
      <c r="B1199">
        <v>0.99334974765950101</v>
      </c>
      <c r="C1199">
        <v>0.908343834487357</v>
      </c>
      <c r="D1199">
        <v>0.90852595961321803</v>
      </c>
      <c r="E1199">
        <v>0.82587965417334297</v>
      </c>
      <c r="F1199">
        <v>0.90552338259158704</v>
      </c>
      <c r="G1199">
        <v>0.77081965560559396</v>
      </c>
      <c r="H1199">
        <v>0.53500922522486705</v>
      </c>
      <c r="I1199">
        <v>0.38573871866578502</v>
      </c>
      <c r="J1199">
        <v>0.221452929651452</v>
      </c>
      <c r="K1199">
        <v>0.12935977872320201</v>
      </c>
      <c r="L1199">
        <v>804.49767540216999</v>
      </c>
      <c r="M1199">
        <v>13.109824659467799</v>
      </c>
      <c r="N1199">
        <v>61.366013435350297</v>
      </c>
      <c r="O1199">
        <v>59.990834605206999</v>
      </c>
      <c r="P1199">
        <v>-5.4641956628345097E-2</v>
      </c>
      <c r="Q1199">
        <v>0</v>
      </c>
      <c r="R1199">
        <v>0.96182264604043699</v>
      </c>
      <c r="S1199" t="s">
        <v>7060</v>
      </c>
      <c r="T1199" t="s">
        <v>11720</v>
      </c>
      <c r="U1199" t="s">
        <v>11720</v>
      </c>
      <c r="V1199" t="s">
        <v>11720</v>
      </c>
      <c r="W1199" t="s">
        <v>12887</v>
      </c>
      <c r="X1199">
        <v>14</v>
      </c>
      <c r="Y1199" t="s">
        <v>18677</v>
      </c>
      <c r="Z1199" t="s">
        <v>24406</v>
      </c>
      <c r="AA1199">
        <v>0.70893112125260904</v>
      </c>
      <c r="AB1199" t="str">
        <f>HYPERLINK("Melting_Curves/meltCurve_O00330_PDHX.pdf", "Melting_Curves/meltCurve_O00330_PDHX.pdf")</f>
        <v>Melting_Curves/meltCurve_O00330_PDHX.pdf</v>
      </c>
    </row>
    <row r="1200" spans="1:28" x14ac:dyDescent="0.25">
      <c r="A1200" t="s">
        <v>1204</v>
      </c>
      <c r="B1200">
        <v>0.99334974765950101</v>
      </c>
      <c r="C1200">
        <v>1.0473926974519701</v>
      </c>
      <c r="D1200">
        <v>1.0342022221693301</v>
      </c>
      <c r="E1200">
        <v>0.90171141790390796</v>
      </c>
      <c r="F1200">
        <v>0.95070792398591397</v>
      </c>
      <c r="G1200">
        <v>0.78612340925490598</v>
      </c>
      <c r="H1200">
        <v>0.67248399714856599</v>
      </c>
      <c r="I1200">
        <v>0.72949618648555004</v>
      </c>
      <c r="J1200">
        <v>0.54475546690278898</v>
      </c>
      <c r="K1200">
        <v>0.443690161909578</v>
      </c>
      <c r="L1200">
        <v>531.75783775696402</v>
      </c>
      <c r="M1200">
        <v>7.7367100437700298</v>
      </c>
      <c r="N1200">
        <v>68.731778073133796</v>
      </c>
      <c r="O1200">
        <v>64.592474934553493</v>
      </c>
      <c r="P1200">
        <v>-2.9982669732993499E-2</v>
      </c>
      <c r="Q1200">
        <v>0</v>
      </c>
      <c r="R1200">
        <v>0.94020591931572095</v>
      </c>
      <c r="S1200" t="s">
        <v>7061</v>
      </c>
      <c r="T1200" t="s">
        <v>11720</v>
      </c>
      <c r="U1200" t="s">
        <v>11720</v>
      </c>
      <c r="V1200" t="s">
        <v>11720</v>
      </c>
      <c r="W1200" t="s">
        <v>12888</v>
      </c>
      <c r="X1200">
        <v>8</v>
      </c>
      <c r="Y1200" t="s">
        <v>18678</v>
      </c>
      <c r="Z1200" t="s">
        <v>24407</v>
      </c>
      <c r="AA1200">
        <v>0.81837482457253463</v>
      </c>
      <c r="AB1200" t="str">
        <f>HYPERLINK("Melting_Curves/meltCurve_O00391_QSOX1.pdf", "Melting_Curves/meltCurve_O00391_QSOX1.pdf")</f>
        <v>Melting_Curves/meltCurve_O00391_QSOX1.pdf</v>
      </c>
    </row>
    <row r="1201" spans="1:28" x14ac:dyDescent="0.25">
      <c r="A1201" t="s">
        <v>1205</v>
      </c>
      <c r="B1201">
        <v>0.99334974765950101</v>
      </c>
      <c r="C1201">
        <v>1.0347541635187101</v>
      </c>
      <c r="D1201">
        <v>0.91723938140282002</v>
      </c>
      <c r="E1201">
        <v>0.90618150050321</v>
      </c>
      <c r="F1201">
        <v>1.0874633953627399</v>
      </c>
      <c r="G1201">
        <v>0.70857941416940495</v>
      </c>
      <c r="H1201">
        <v>0.65304467192173399</v>
      </c>
      <c r="I1201">
        <v>0.87588150499435402</v>
      </c>
      <c r="J1201">
        <v>0.33678333756945</v>
      </c>
      <c r="K1201">
        <v>0.247524470067821</v>
      </c>
      <c r="L1201">
        <v>851.880301344602</v>
      </c>
      <c r="M1201">
        <v>12.954479695051001</v>
      </c>
      <c r="N1201">
        <v>65.759514974378803</v>
      </c>
      <c r="O1201">
        <v>64.251668061626702</v>
      </c>
      <c r="P1201">
        <v>-5.0414254539849303E-2</v>
      </c>
      <c r="Q1201">
        <v>0</v>
      </c>
      <c r="R1201">
        <v>0.78135061267047801</v>
      </c>
      <c r="S1201" t="s">
        <v>7062</v>
      </c>
      <c r="T1201" t="s">
        <v>11720</v>
      </c>
      <c r="U1201" t="s">
        <v>11720</v>
      </c>
      <c r="V1201" t="s">
        <v>11720</v>
      </c>
      <c r="W1201" t="s">
        <v>12889</v>
      </c>
      <c r="X1201">
        <v>5</v>
      </c>
      <c r="Y1201" t="s">
        <v>18679</v>
      </c>
      <c r="Z1201" t="s">
        <v>24408</v>
      </c>
      <c r="AA1201">
        <v>0.8155703279470784</v>
      </c>
      <c r="AB1201" t="str">
        <f>HYPERLINK("Melting_Curves/meltCurve_O00399_DCTN6.pdf", "Melting_Curves/meltCurve_O00399_DCTN6.pdf")</f>
        <v>Melting_Curves/meltCurve_O00399_DCTN6.pdf</v>
      </c>
    </row>
    <row r="1202" spans="1:28" x14ac:dyDescent="0.25">
      <c r="A1202" t="s">
        <v>1206</v>
      </c>
      <c r="B1202">
        <v>0.99334974765950101</v>
      </c>
      <c r="C1202">
        <v>0.94914432358261802</v>
      </c>
      <c r="D1202">
        <v>0.85800952956651699</v>
      </c>
      <c r="E1202">
        <v>0.99342284110174905</v>
      </c>
      <c r="F1202">
        <v>0.82498012232959494</v>
      </c>
      <c r="G1202">
        <v>0.81336753898755398</v>
      </c>
      <c r="H1202">
        <v>0.60234731962743104</v>
      </c>
      <c r="I1202">
        <v>0.262808732468785</v>
      </c>
      <c r="J1202">
        <v>0.182911868876315</v>
      </c>
      <c r="K1202">
        <v>0.120607178905978</v>
      </c>
      <c r="L1202">
        <v>1037.27610652762</v>
      </c>
      <c r="M1202">
        <v>16.899030207330199</v>
      </c>
      <c r="N1202">
        <v>61.380807087150203</v>
      </c>
      <c r="O1202">
        <v>60.540598129178498</v>
      </c>
      <c r="P1202">
        <v>-6.9788278146052193E-2</v>
      </c>
      <c r="Q1202">
        <v>0</v>
      </c>
      <c r="R1202">
        <v>0.95728715995055502</v>
      </c>
      <c r="S1202" t="s">
        <v>7063</v>
      </c>
      <c r="T1202" t="s">
        <v>11720</v>
      </c>
      <c r="U1202" t="s">
        <v>11720</v>
      </c>
      <c r="V1202" t="s">
        <v>11720</v>
      </c>
      <c r="W1202" t="s">
        <v>12890</v>
      </c>
      <c r="X1202">
        <v>7</v>
      </c>
      <c r="Y1202" t="s">
        <v>18680</v>
      </c>
      <c r="Z1202" t="s">
        <v>24409</v>
      </c>
      <c r="AA1202">
        <v>0.7157116279069573</v>
      </c>
      <c r="AB1202" t="str">
        <f>HYPERLINK("Melting_Curves/meltCurve_O00400_SLC33A1.pdf", "Melting_Curves/meltCurve_O00400_SLC33A1.pdf")</f>
        <v>Melting_Curves/meltCurve_O00400_SLC33A1.pdf</v>
      </c>
    </row>
    <row r="1203" spans="1:28" x14ac:dyDescent="0.25">
      <c r="A1203" t="s">
        <v>1207</v>
      </c>
      <c r="B1203">
        <v>0.99334974765950101</v>
      </c>
      <c r="C1203">
        <v>0.97193538821084002</v>
      </c>
      <c r="D1203">
        <v>0.95638242805877405</v>
      </c>
      <c r="E1203">
        <v>0.80466945034455795</v>
      </c>
      <c r="F1203">
        <v>0.31617906245986699</v>
      </c>
      <c r="G1203">
        <v>0.17501902586729201</v>
      </c>
      <c r="H1203">
        <v>0.13490982115897701</v>
      </c>
      <c r="I1203">
        <v>0.124608357088383</v>
      </c>
      <c r="J1203">
        <v>9.8754964017742794E-2</v>
      </c>
      <c r="K1203">
        <v>9.0916296662917895E-2</v>
      </c>
      <c r="L1203">
        <v>2089.8653540994801</v>
      </c>
      <c r="M1203">
        <v>40.602618423017603</v>
      </c>
      <c r="N1203">
        <v>51.819830363044701</v>
      </c>
      <c r="O1203">
        <v>51.346791776859398</v>
      </c>
      <c r="P1203">
        <v>-0.17406045858187899</v>
      </c>
      <c r="Q1203">
        <v>0.119521582382129</v>
      </c>
      <c r="R1203">
        <v>0.99643122400800799</v>
      </c>
      <c r="S1203" t="s">
        <v>7064</v>
      </c>
      <c r="T1203" t="s">
        <v>11720</v>
      </c>
      <c r="U1203" t="s">
        <v>11720</v>
      </c>
      <c r="V1203" t="s">
        <v>11720</v>
      </c>
      <c r="W1203" t="s">
        <v>12891</v>
      </c>
      <c r="X1203">
        <v>23</v>
      </c>
      <c r="Y1203" t="s">
        <v>18681</v>
      </c>
      <c r="Z1203" t="s">
        <v>24410</v>
      </c>
      <c r="AA1203">
        <v>0.45923192858741252</v>
      </c>
      <c r="AB1203" t="str">
        <f>HYPERLINK("Melting_Curves/meltCurve_O00401_WASL.pdf", "Melting_Curves/meltCurve_O00401_WASL.pdf")</f>
        <v>Melting_Curves/meltCurve_O00401_WASL.pdf</v>
      </c>
    </row>
    <row r="1204" spans="1:28" x14ac:dyDescent="0.25">
      <c r="A1204" t="s">
        <v>1208</v>
      </c>
      <c r="B1204">
        <v>0.99334974765950101</v>
      </c>
      <c r="C1204">
        <v>0.99081817930167304</v>
      </c>
      <c r="D1204">
        <v>1.0311634661545499</v>
      </c>
      <c r="E1204">
        <v>1.0146039172730901</v>
      </c>
      <c r="F1204">
        <v>1.0260037857561799</v>
      </c>
      <c r="G1204">
        <v>0.38226567800271399</v>
      </c>
      <c r="H1204">
        <v>0.11260576536578</v>
      </c>
      <c r="I1204">
        <v>9.9313209107027803E-2</v>
      </c>
      <c r="J1204">
        <v>9.4593523250106198E-2</v>
      </c>
      <c r="K1204">
        <v>4.0631735411621198E-2</v>
      </c>
      <c r="L1204">
        <v>9343.8834509139706</v>
      </c>
      <c r="M1204">
        <v>164.66521785381099</v>
      </c>
      <c r="N1204">
        <v>56.8105031283567</v>
      </c>
      <c r="O1204">
        <v>56.736361725003398</v>
      </c>
      <c r="P1204">
        <v>-0.66260427988831305</v>
      </c>
      <c r="Q1204">
        <v>8.6783321474330405E-2</v>
      </c>
      <c r="R1204">
        <v>0.99742878586898798</v>
      </c>
      <c r="S1204" t="s">
        <v>7065</v>
      </c>
      <c r="T1204" t="s">
        <v>11720</v>
      </c>
      <c r="U1204" t="s">
        <v>11720</v>
      </c>
      <c r="V1204" t="s">
        <v>11720</v>
      </c>
      <c r="W1204" t="s">
        <v>12892</v>
      </c>
      <c r="X1204">
        <v>49</v>
      </c>
      <c r="Y1204" t="s">
        <v>18682</v>
      </c>
      <c r="Z1204" t="s">
        <v>24411</v>
      </c>
      <c r="AA1204">
        <v>0.59671192312086274</v>
      </c>
      <c r="AB1204" t="str">
        <f>HYPERLINK("Melting_Curves/meltCurve_O00410_IPO5.pdf", "Melting_Curves/meltCurve_O00410_IPO5.pdf")</f>
        <v>Melting_Curves/meltCurve_O00410_IPO5.pdf</v>
      </c>
    </row>
    <row r="1205" spans="1:28" x14ac:dyDescent="0.25">
      <c r="A1205" t="s">
        <v>1209</v>
      </c>
      <c r="B1205">
        <v>0.99334974765950101</v>
      </c>
      <c r="C1205">
        <v>0.88095363030704799</v>
      </c>
      <c r="D1205">
        <v>0.59071694315853496</v>
      </c>
      <c r="E1205">
        <v>0.29083415307451499</v>
      </c>
      <c r="F1205">
        <v>0.29401544759271597</v>
      </c>
      <c r="G1205">
        <v>0.23669836168031</v>
      </c>
      <c r="H1205">
        <v>0.171416116430857</v>
      </c>
      <c r="I1205">
        <v>0.12939742825859199</v>
      </c>
      <c r="J1205">
        <v>0.109798012915532</v>
      </c>
      <c r="K1205">
        <v>0.14269890105813399</v>
      </c>
      <c r="L1205">
        <v>890.73386815879599</v>
      </c>
      <c r="M1205">
        <v>19.190091898173499</v>
      </c>
      <c r="N1205">
        <v>47.335255265461498</v>
      </c>
      <c r="O1205">
        <v>45.921122416190698</v>
      </c>
      <c r="P1205">
        <v>-8.8230445248621794E-2</v>
      </c>
      <c r="Q1205">
        <v>0.15550483084282901</v>
      </c>
      <c r="R1205">
        <v>0.98435324342715202</v>
      </c>
      <c r="S1205" t="s">
        <v>7066</v>
      </c>
      <c r="T1205" t="s">
        <v>11720</v>
      </c>
      <c r="U1205" t="s">
        <v>11720</v>
      </c>
      <c r="V1205" t="s">
        <v>11720</v>
      </c>
      <c r="W1205" t="s">
        <v>12893</v>
      </c>
      <c r="X1205">
        <v>6</v>
      </c>
      <c r="Y1205" t="s">
        <v>18683</v>
      </c>
      <c r="Z1205" t="s">
        <v>24412</v>
      </c>
      <c r="AA1205">
        <v>0.35007996384582729</v>
      </c>
      <c r="AB1205" t="str">
        <f>HYPERLINK("Melting_Curves/meltCurve_O00418_EEF2K.pdf", "Melting_Curves/meltCurve_O00418_EEF2K.pdf")</f>
        <v>Melting_Curves/meltCurve_O00418_EEF2K.pdf</v>
      </c>
    </row>
    <row r="1206" spans="1:28" x14ac:dyDescent="0.25">
      <c r="A1206" t="s">
        <v>1210</v>
      </c>
      <c r="B1206">
        <v>0.99334974765950101</v>
      </c>
      <c r="C1206">
        <v>0.81181842398726201</v>
      </c>
      <c r="D1206">
        <v>0.49151726408331903</v>
      </c>
      <c r="E1206">
        <v>0.49239381563426399</v>
      </c>
      <c r="F1206">
        <v>0.605739297270662</v>
      </c>
      <c r="G1206">
        <v>0.28823288196756502</v>
      </c>
      <c r="H1206">
        <v>0.246569782785488</v>
      </c>
      <c r="I1206">
        <v>0.30381404042896998</v>
      </c>
      <c r="J1206">
        <v>0.39902608941742601</v>
      </c>
      <c r="K1206">
        <v>0.58748596088071103</v>
      </c>
      <c r="L1206">
        <v>1479.81179595701</v>
      </c>
      <c r="M1206">
        <v>33.771716056391703</v>
      </c>
      <c r="N1206">
        <v>46.221709798813301</v>
      </c>
      <c r="O1206">
        <v>43.665317850800101</v>
      </c>
      <c r="P1206">
        <v>-0.11337447062747399</v>
      </c>
      <c r="Q1206">
        <v>0.41365019100689199</v>
      </c>
      <c r="R1206">
        <v>0.75017820677375202</v>
      </c>
      <c r="S1206" t="s">
        <v>7067</v>
      </c>
      <c r="T1206" t="s">
        <v>11720</v>
      </c>
      <c r="U1206" t="s">
        <v>11720</v>
      </c>
      <c r="V1206" t="s">
        <v>11720</v>
      </c>
      <c r="W1206" t="s">
        <v>12894</v>
      </c>
      <c r="X1206">
        <v>1</v>
      </c>
      <c r="Y1206" t="s">
        <v>18684</v>
      </c>
      <c r="Z1206" t="s">
        <v>24413</v>
      </c>
      <c r="AA1206">
        <v>0.49155878020509652</v>
      </c>
      <c r="AB1206" t="str">
        <f>HYPERLINK("Melting_Curves/meltCurve_O00422_SAP18.pdf", "Melting_Curves/meltCurve_O00422_SAP18.pdf")</f>
        <v>Melting_Curves/meltCurve_O00422_SAP18.pdf</v>
      </c>
    </row>
    <row r="1207" spans="1:28" x14ac:dyDescent="0.25">
      <c r="A1207" t="s">
        <v>1211</v>
      </c>
      <c r="B1207">
        <v>0.99334974765950101</v>
      </c>
      <c r="C1207">
        <v>0.95188225892543099</v>
      </c>
      <c r="D1207">
        <v>0.89370843610543804</v>
      </c>
      <c r="E1207">
        <v>0.61082526770286605</v>
      </c>
      <c r="F1207">
        <v>0.25868619905200102</v>
      </c>
      <c r="G1207">
        <v>0.203634666519276</v>
      </c>
      <c r="H1207">
        <v>0.127537678678808</v>
      </c>
      <c r="I1207">
        <v>0.113146168234162</v>
      </c>
      <c r="J1207">
        <v>8.2598359608183E-2</v>
      </c>
      <c r="K1207">
        <v>5.4582681785355303E-2</v>
      </c>
      <c r="L1207">
        <v>1110.0570035365299</v>
      </c>
      <c r="M1207">
        <v>22.055955493718201</v>
      </c>
      <c r="N1207">
        <v>50.788661458423498</v>
      </c>
      <c r="O1207">
        <v>49.920875588504302</v>
      </c>
      <c r="P1207">
        <v>-0.100465663273134</v>
      </c>
      <c r="Q1207">
        <v>9.0454629852183499E-2</v>
      </c>
      <c r="R1207">
        <v>0.99293548700877898</v>
      </c>
      <c r="S1207" t="s">
        <v>7068</v>
      </c>
      <c r="T1207" t="s">
        <v>11720</v>
      </c>
      <c r="U1207" t="s">
        <v>11720</v>
      </c>
      <c r="V1207" t="s">
        <v>11720</v>
      </c>
      <c r="W1207" t="s">
        <v>12895</v>
      </c>
      <c r="X1207">
        <v>1</v>
      </c>
      <c r="Y1207" t="s">
        <v>18685</v>
      </c>
      <c r="Z1207" t="s">
        <v>24414</v>
      </c>
      <c r="AA1207">
        <v>0.41407080566077747</v>
      </c>
      <c r="AB1207" t="str">
        <f>HYPERLINK("Melting_Curves/meltCurve_O00425_IGF2BP3.pdf", "Melting_Curves/meltCurve_O00425_IGF2BP3.pdf")</f>
        <v>Melting_Curves/meltCurve_O00425_IGF2BP3.pdf</v>
      </c>
    </row>
    <row r="1208" spans="1:28" x14ac:dyDescent="0.25">
      <c r="A1208" t="s">
        <v>1212</v>
      </c>
      <c r="B1208">
        <v>0.99334974765950101</v>
      </c>
      <c r="C1208">
        <v>0.94301112329783598</v>
      </c>
      <c r="D1208">
        <v>1.0249155139974899</v>
      </c>
      <c r="E1208">
        <v>0.79081683695016203</v>
      </c>
      <c r="F1208">
        <v>6.0423967592073302E-2</v>
      </c>
      <c r="G1208">
        <v>5.1758844782999497E-2</v>
      </c>
      <c r="H1208">
        <v>4.6639804524997303E-2</v>
      </c>
      <c r="I1208">
        <v>3.0392777918849E-2</v>
      </c>
      <c r="J1208">
        <v>2.11271848695119E-2</v>
      </c>
      <c r="K1208">
        <v>2.8300886766251698E-2</v>
      </c>
      <c r="L1208">
        <v>4349.3892478899597</v>
      </c>
      <c r="M1208">
        <v>85.703781619752206</v>
      </c>
      <c r="N1208">
        <v>50.792946481339499</v>
      </c>
      <c r="O1208">
        <v>50.721482181989401</v>
      </c>
      <c r="P1208">
        <v>-0.40736553307054701</v>
      </c>
      <c r="Q1208">
        <v>3.5646683953154699E-2</v>
      </c>
      <c r="R1208">
        <v>0.99767002018134199</v>
      </c>
      <c r="S1208" t="s">
        <v>7069</v>
      </c>
      <c r="T1208" t="s">
        <v>11720</v>
      </c>
      <c r="U1208" t="s">
        <v>11720</v>
      </c>
      <c r="V1208" t="s">
        <v>11720</v>
      </c>
      <c r="W1208" t="s">
        <v>12896</v>
      </c>
      <c r="X1208">
        <v>29</v>
      </c>
      <c r="Y1208" t="s">
        <v>18686</v>
      </c>
      <c r="Z1208" t="s">
        <v>24415</v>
      </c>
      <c r="AA1208">
        <v>0.38190954177256808</v>
      </c>
      <c r="AB1208" t="str">
        <f>HYPERLINK("Melting_Curves/meltCurve_O00429_DNM1L.pdf", "Melting_Curves/meltCurve_O00429_DNM1L.pdf")</f>
        <v>Melting_Curves/meltCurve_O00429_DNM1L.pdf</v>
      </c>
    </row>
    <row r="1209" spans="1:28" x14ac:dyDescent="0.25">
      <c r="A1209" t="s">
        <v>1213</v>
      </c>
      <c r="B1209">
        <v>0.99334974765950101</v>
      </c>
      <c r="C1209">
        <v>1.02169969891113</v>
      </c>
      <c r="D1209">
        <v>0.96082037323396896</v>
      </c>
      <c r="E1209">
        <v>0.83166710714045</v>
      </c>
      <c r="F1209">
        <v>0.107296756620148</v>
      </c>
      <c r="G1209">
        <v>7.3432225802307793E-2</v>
      </c>
      <c r="H1209">
        <v>3.8016254928672999E-2</v>
      </c>
      <c r="I1209">
        <v>2.5396501767333799E-2</v>
      </c>
      <c r="J1209">
        <v>4.6075866740839001E-2</v>
      </c>
      <c r="K1209">
        <v>6.03386512440044E-2</v>
      </c>
      <c r="L1209">
        <v>3746.0724137039201</v>
      </c>
      <c r="M1209">
        <v>73.386162067456794</v>
      </c>
      <c r="N1209">
        <v>51.116992556021302</v>
      </c>
      <c r="O1209">
        <v>51.008172477217002</v>
      </c>
      <c r="P1209">
        <v>-0.34226002579841203</v>
      </c>
      <c r="Q1209">
        <v>4.8428070068124898E-2</v>
      </c>
      <c r="R1209">
        <v>0.99823997009211896</v>
      </c>
      <c r="S1209" t="s">
        <v>7070</v>
      </c>
      <c r="T1209" t="s">
        <v>11720</v>
      </c>
      <c r="U1209" t="s">
        <v>11720</v>
      </c>
      <c r="V1209" t="s">
        <v>11720</v>
      </c>
      <c r="W1209" t="s">
        <v>12897</v>
      </c>
      <c r="X1209">
        <v>29</v>
      </c>
      <c r="Y1209" t="s">
        <v>18686</v>
      </c>
      <c r="Z1209" t="s">
        <v>24416</v>
      </c>
      <c r="AA1209">
        <v>0.39978952033192189</v>
      </c>
      <c r="AB1209" t="str">
        <f>HYPERLINK("Melting_Curves/meltCurve_O00429_4_DNM1L.pdf", "Melting_Curves/meltCurve_O00429_4_DNM1L.pdf")</f>
        <v>Melting_Curves/meltCurve_O00429_4_DNM1L.pdf</v>
      </c>
    </row>
    <row r="1210" spans="1:28" x14ac:dyDescent="0.25">
      <c r="A1210" t="s">
        <v>1214</v>
      </c>
      <c r="B1210">
        <v>0.99334974765950101</v>
      </c>
      <c r="C1210">
        <v>1.00074206975558</v>
      </c>
      <c r="D1210">
        <v>0.92677210319634795</v>
      </c>
      <c r="E1210">
        <v>0.76940432187042596</v>
      </c>
      <c r="F1210">
        <v>0.62749497004631904</v>
      </c>
      <c r="G1210">
        <v>0.40129659556629799</v>
      </c>
      <c r="H1210">
        <v>0.191552862884241</v>
      </c>
      <c r="I1210">
        <v>6.9423785129865398E-2</v>
      </c>
      <c r="J1210">
        <v>6.2473080524744297E-2</v>
      </c>
      <c r="K1210">
        <v>5.4909699917404999E-2</v>
      </c>
      <c r="L1210">
        <v>777.26967685830903</v>
      </c>
      <c r="M1210">
        <v>14.178044637517401</v>
      </c>
      <c r="N1210">
        <v>54.822068796675403</v>
      </c>
      <c r="O1210">
        <v>53.766021555040602</v>
      </c>
      <c r="P1210">
        <v>-6.5933047189644295E-2</v>
      </c>
      <c r="Q1210">
        <v>0</v>
      </c>
      <c r="R1210">
        <v>0.99667643803149197</v>
      </c>
      <c r="S1210" t="s">
        <v>7071</v>
      </c>
      <c r="T1210" t="s">
        <v>11720</v>
      </c>
      <c r="U1210" t="s">
        <v>11720</v>
      </c>
      <c r="V1210" t="s">
        <v>11720</v>
      </c>
      <c r="W1210" t="s">
        <v>12898</v>
      </c>
      <c r="X1210">
        <v>14</v>
      </c>
      <c r="Y1210" t="s">
        <v>18687</v>
      </c>
      <c r="Z1210" t="s">
        <v>24417</v>
      </c>
      <c r="AA1210">
        <v>0.51478329781503496</v>
      </c>
      <c r="AB1210" t="str">
        <f>HYPERLINK("Melting_Curves/meltCurve_O00442_RTCA.pdf", "Melting_Curves/meltCurve_O00442_RTCA.pdf")</f>
        <v>Melting_Curves/meltCurve_O00442_RTCA.pdf</v>
      </c>
    </row>
    <row r="1211" spans="1:28" x14ac:dyDescent="0.25">
      <c r="A1211" t="s">
        <v>1215</v>
      </c>
      <c r="B1211">
        <v>0.99334974765950101</v>
      </c>
      <c r="C1211">
        <v>0.86697552457661298</v>
      </c>
      <c r="D1211">
        <v>0.88018432776286404</v>
      </c>
      <c r="E1211">
        <v>0.70888167152927894</v>
      </c>
      <c r="F1211">
        <v>0.42228072628013902</v>
      </c>
      <c r="G1211">
        <v>0.192914953350626</v>
      </c>
      <c r="H1211">
        <v>0.12503814855853301</v>
      </c>
      <c r="I1211">
        <v>8.8376935252971495E-2</v>
      </c>
      <c r="J1211">
        <v>8.0908064704011601E-2</v>
      </c>
      <c r="K1211">
        <v>5.2713531157714197E-2</v>
      </c>
      <c r="L1211">
        <v>824.91649174512997</v>
      </c>
      <c r="M1211">
        <v>15.9101520929706</v>
      </c>
      <c r="N1211">
        <v>52.120920974198697</v>
      </c>
      <c r="O1211">
        <v>51.050084464437099</v>
      </c>
      <c r="P1211">
        <v>-7.4811184270845807E-2</v>
      </c>
      <c r="Q1211">
        <v>3.9906077847340599E-2</v>
      </c>
      <c r="R1211">
        <v>0.98928317465346105</v>
      </c>
      <c r="S1211" t="s">
        <v>7072</v>
      </c>
      <c r="T1211" t="s">
        <v>11720</v>
      </c>
      <c r="U1211" t="s">
        <v>11720</v>
      </c>
      <c r="V1211" t="s">
        <v>11720</v>
      </c>
      <c r="W1211" t="s">
        <v>12899</v>
      </c>
      <c r="X1211">
        <v>7</v>
      </c>
      <c r="Y1211" t="s">
        <v>18688</v>
      </c>
      <c r="Z1211" t="s">
        <v>24418</v>
      </c>
      <c r="AA1211">
        <v>0.43875530059104367</v>
      </c>
      <c r="AB1211" t="str">
        <f>HYPERLINK("Melting_Curves/meltCurve_O00459_PIK3R2.pdf", "Melting_Curves/meltCurve_O00459_PIK3R2.pdf")</f>
        <v>Melting_Curves/meltCurve_O00459_PIK3R2.pdf</v>
      </c>
    </row>
    <row r="1212" spans="1:28" x14ac:dyDescent="0.25">
      <c r="A1212" t="s">
        <v>1216</v>
      </c>
      <c r="B1212">
        <v>0.99334974765950101</v>
      </c>
      <c r="C1212">
        <v>0.94735941275212499</v>
      </c>
      <c r="D1212">
        <v>0.88047300567362696</v>
      </c>
      <c r="E1212">
        <v>0.95347142340874302</v>
      </c>
      <c r="F1212">
        <v>0.68133426354597304</v>
      </c>
      <c r="G1212">
        <v>0.53248003131891697</v>
      </c>
      <c r="H1212">
        <v>0.54642421411294595</v>
      </c>
      <c r="I1212">
        <v>0.69103368888758299</v>
      </c>
      <c r="J1212">
        <v>0.80277006902444203</v>
      </c>
      <c r="K1212">
        <v>0.70207234983400602</v>
      </c>
      <c r="L1212">
        <v>3900.5475058556499</v>
      </c>
      <c r="M1212">
        <v>76.150477598361306</v>
      </c>
      <c r="O1212">
        <v>51.186285074372698</v>
      </c>
      <c r="P1212">
        <v>-0.1282512105102</v>
      </c>
      <c r="Q1212">
        <v>0.65517211809480602</v>
      </c>
      <c r="R1212">
        <v>0.726500715764267</v>
      </c>
      <c r="S1212" t="s">
        <v>7073</v>
      </c>
      <c r="T1212" t="s">
        <v>11720</v>
      </c>
      <c r="U1212" t="s">
        <v>11720</v>
      </c>
      <c r="V1212" t="s">
        <v>11720</v>
      </c>
      <c r="W1212" t="s">
        <v>12900</v>
      </c>
      <c r="X1212">
        <v>17</v>
      </c>
      <c r="Y1212" t="s">
        <v>18689</v>
      </c>
      <c r="Z1212" t="s">
        <v>24419</v>
      </c>
      <c r="AA1212">
        <v>0.78449068163771873</v>
      </c>
      <c r="AB1212" t="str">
        <f>HYPERLINK("Melting_Curves/meltCurve_O00461_GOLIM4.pdf", "Melting_Curves/meltCurve_O00461_GOLIM4.pdf")</f>
        <v>Melting_Curves/meltCurve_O00461_GOLIM4.pdf</v>
      </c>
    </row>
    <row r="1213" spans="1:28" x14ac:dyDescent="0.25">
      <c r="A1213" t="s">
        <v>1217</v>
      </c>
      <c r="B1213">
        <v>0.99334974765950101</v>
      </c>
      <c r="C1213">
        <v>0.97945722716136396</v>
      </c>
      <c r="D1213">
        <v>1.04052568522143</v>
      </c>
      <c r="E1213">
        <v>0.92334447220452898</v>
      </c>
      <c r="F1213">
        <v>0.83734818095744301</v>
      </c>
      <c r="G1213">
        <v>0.68870675478554</v>
      </c>
      <c r="H1213">
        <v>0.49244915086167801</v>
      </c>
      <c r="I1213">
        <v>0.23378161840880499</v>
      </c>
      <c r="J1213">
        <v>0.128294492817804</v>
      </c>
      <c r="K1213">
        <v>9.1868692361651696E-2</v>
      </c>
      <c r="L1213">
        <v>923.98136781671997</v>
      </c>
      <c r="M1213">
        <v>15.4400600444067</v>
      </c>
      <c r="N1213">
        <v>59.843120316685201</v>
      </c>
      <c r="O1213">
        <v>58.866225402976099</v>
      </c>
      <c r="P1213">
        <v>-6.5578573927634901E-2</v>
      </c>
      <c r="Q1213">
        <v>0</v>
      </c>
      <c r="R1213">
        <v>0.99037613098084198</v>
      </c>
      <c r="S1213" t="s">
        <v>7074</v>
      </c>
      <c r="T1213" t="s">
        <v>11720</v>
      </c>
      <c r="U1213" t="s">
        <v>11720</v>
      </c>
      <c r="V1213" t="s">
        <v>11720</v>
      </c>
      <c r="W1213" t="s">
        <v>12901</v>
      </c>
      <c r="X1213">
        <v>16</v>
      </c>
      <c r="Y1213" t="s">
        <v>18690</v>
      </c>
      <c r="Z1213" t="s">
        <v>24420</v>
      </c>
      <c r="AA1213">
        <v>0.66923212542355148</v>
      </c>
      <c r="AB1213" t="str">
        <f>HYPERLINK("Melting_Curves/meltCurve_O00462_MANBA.pdf", "Melting_Curves/meltCurve_O00462_MANBA.pdf")</f>
        <v>Melting_Curves/meltCurve_O00462_MANBA.pdf</v>
      </c>
    </row>
    <row r="1214" spans="1:28" x14ac:dyDescent="0.25">
      <c r="A1214" t="s">
        <v>1218</v>
      </c>
      <c r="B1214">
        <v>0.99334974765950101</v>
      </c>
      <c r="C1214">
        <v>0.94864916300602697</v>
      </c>
      <c r="D1214">
        <v>1.0545687944434501</v>
      </c>
      <c r="E1214">
        <v>0.77455770305006699</v>
      </c>
      <c r="F1214">
        <v>0.31800047761531602</v>
      </c>
      <c r="G1214">
        <v>0.22802492040608699</v>
      </c>
      <c r="H1214">
        <v>0.158762649212394</v>
      </c>
      <c r="I1214">
        <v>0.156039603303602</v>
      </c>
      <c r="J1214">
        <v>0.12298855144967</v>
      </c>
      <c r="K1214">
        <v>0.102078979263086</v>
      </c>
      <c r="L1214">
        <v>2080.5599936058502</v>
      </c>
      <c r="M1214">
        <v>40.585361359121002</v>
      </c>
      <c r="N1214">
        <v>51.714146447470398</v>
      </c>
      <c r="O1214">
        <v>51.139815377270502</v>
      </c>
      <c r="P1214">
        <v>-0.168868308993636</v>
      </c>
      <c r="Q1214">
        <v>0.148867763790591</v>
      </c>
      <c r="R1214">
        <v>0.99054624564804405</v>
      </c>
      <c r="S1214" t="s">
        <v>7075</v>
      </c>
      <c r="T1214" t="s">
        <v>11720</v>
      </c>
      <c r="U1214" t="s">
        <v>11720</v>
      </c>
      <c r="V1214" t="s">
        <v>11720</v>
      </c>
      <c r="W1214" t="s">
        <v>12902</v>
      </c>
      <c r="X1214">
        <v>30</v>
      </c>
      <c r="Y1214" t="s">
        <v>18691</v>
      </c>
      <c r="Z1214" t="s">
        <v>24421</v>
      </c>
      <c r="AA1214">
        <v>0.47136254154006257</v>
      </c>
      <c r="AB1214" t="str">
        <f>HYPERLINK("Melting_Curves/meltCurve_O00469_2_PLOD2.pdf", "Melting_Curves/meltCurve_O00469_2_PLOD2.pdf")</f>
        <v>Melting_Curves/meltCurve_O00469_2_PLOD2.pdf</v>
      </c>
    </row>
    <row r="1215" spans="1:28" x14ac:dyDescent="0.25">
      <c r="A1215" t="s">
        <v>1219</v>
      </c>
      <c r="B1215">
        <v>0.99334974765950101</v>
      </c>
      <c r="C1215">
        <v>0.96795642534855497</v>
      </c>
      <c r="D1215">
        <v>1.07129445132892</v>
      </c>
      <c r="E1215">
        <v>0.76284290031348101</v>
      </c>
      <c r="F1215">
        <v>0.310469113874139</v>
      </c>
      <c r="G1215">
        <v>0.18440262904979601</v>
      </c>
      <c r="H1215">
        <v>0.137136694582735</v>
      </c>
      <c r="I1215">
        <v>0.116970674224815</v>
      </c>
      <c r="J1215">
        <v>0.122643190801886</v>
      </c>
      <c r="K1215">
        <v>8.9563287668922603E-2</v>
      </c>
      <c r="L1215">
        <v>2048.9624729612501</v>
      </c>
      <c r="M1215">
        <v>39.958884153341899</v>
      </c>
      <c r="N1215">
        <v>51.6518261806998</v>
      </c>
      <c r="O1215">
        <v>51.148846515556102</v>
      </c>
      <c r="P1215">
        <v>-0.170712138483752</v>
      </c>
      <c r="Q1215">
        <v>0.12593045906460301</v>
      </c>
      <c r="R1215">
        <v>0.99310739353911304</v>
      </c>
      <c r="S1215" t="s">
        <v>7076</v>
      </c>
      <c r="T1215" t="s">
        <v>11720</v>
      </c>
      <c r="U1215" t="s">
        <v>11720</v>
      </c>
      <c r="V1215" t="s">
        <v>11720</v>
      </c>
      <c r="W1215" t="s">
        <v>12903</v>
      </c>
      <c r="X1215">
        <v>13</v>
      </c>
      <c r="Y1215" t="s">
        <v>18692</v>
      </c>
      <c r="Z1215" t="s">
        <v>24422</v>
      </c>
      <c r="AA1215">
        <v>0.45759041961754848</v>
      </c>
      <c r="AB1215" t="str">
        <f>HYPERLINK("Melting_Curves/meltCurve_O00471_EXOC5.pdf", "Melting_Curves/meltCurve_O00471_EXOC5.pdf")</f>
        <v>Melting_Curves/meltCurve_O00471_EXOC5.pdf</v>
      </c>
    </row>
    <row r="1216" spans="1:28" x14ac:dyDescent="0.25">
      <c r="A1216" t="s">
        <v>1220</v>
      </c>
      <c r="B1216">
        <v>0.99334974765950101</v>
      </c>
      <c r="C1216">
        <v>1.25008083683064</v>
      </c>
      <c r="D1216">
        <v>0.89581480527142598</v>
      </c>
      <c r="E1216">
        <v>1.23556879430722</v>
      </c>
      <c r="F1216">
        <v>1.47035143671544</v>
      </c>
      <c r="G1216">
        <v>1.06498197196886</v>
      </c>
      <c r="H1216">
        <v>1.11252293138307</v>
      </c>
      <c r="I1216">
        <v>0.76853343296108001</v>
      </c>
      <c r="J1216">
        <v>1.1369832657575401</v>
      </c>
      <c r="K1216">
        <v>1.22382161481343</v>
      </c>
      <c r="L1216">
        <v>15000</v>
      </c>
      <c r="M1216">
        <v>224.33531296328599</v>
      </c>
      <c r="O1216">
        <v>66.858880763700498</v>
      </c>
      <c r="P1216">
        <v>0.18777173306409101</v>
      </c>
      <c r="Q1216">
        <v>1.2238471994140701</v>
      </c>
      <c r="R1216">
        <v>-0.17898422574461501</v>
      </c>
      <c r="S1216" t="s">
        <v>7077</v>
      </c>
      <c r="T1216" t="s">
        <v>11720</v>
      </c>
      <c r="U1216" t="s">
        <v>11720</v>
      </c>
      <c r="V1216" t="s">
        <v>11720</v>
      </c>
      <c r="W1216" t="s">
        <v>12904</v>
      </c>
      <c r="X1216">
        <v>2</v>
      </c>
      <c r="Y1216" t="s">
        <v>18693</v>
      </c>
      <c r="Z1216" t="s">
        <v>24423</v>
      </c>
      <c r="AA1216">
        <v>1.023365525711238</v>
      </c>
      <c r="AB1216" t="str">
        <f>HYPERLINK("Melting_Curves/meltCurve_O00479_HMGN4.pdf", "Melting_Curves/meltCurve_O00479_HMGN4.pdf")</f>
        <v>Melting_Curves/meltCurve_O00479_HMGN4.pdf</v>
      </c>
    </row>
    <row r="1217" spans="1:28" x14ac:dyDescent="0.25">
      <c r="A1217" t="s">
        <v>1221</v>
      </c>
      <c r="B1217">
        <v>0.99334974765950101</v>
      </c>
      <c r="C1217">
        <v>0.97718862568261999</v>
      </c>
      <c r="D1217">
        <v>0.91687128928981398</v>
      </c>
      <c r="E1217">
        <v>0.79699060007945399</v>
      </c>
      <c r="F1217">
        <v>0.67143394167895898</v>
      </c>
      <c r="G1217">
        <v>0.52857887274404503</v>
      </c>
      <c r="H1217">
        <v>0.45152405719558297</v>
      </c>
      <c r="I1217">
        <v>0.435288768227791</v>
      </c>
      <c r="J1217">
        <v>0.42708037426134898</v>
      </c>
      <c r="K1217">
        <v>0.33232613315024501</v>
      </c>
      <c r="L1217">
        <v>669.663585141314</v>
      </c>
      <c r="M1217">
        <v>12.624853473729299</v>
      </c>
      <c r="N1217">
        <v>58.5503176300181</v>
      </c>
      <c r="O1217">
        <v>51.765220875856102</v>
      </c>
      <c r="P1217">
        <v>-3.9791845170084703E-2</v>
      </c>
      <c r="Q1217">
        <v>0.34750104024454698</v>
      </c>
      <c r="R1217">
        <v>0.99314261114115499</v>
      </c>
      <c r="S1217" t="s">
        <v>7078</v>
      </c>
      <c r="T1217" t="s">
        <v>11720</v>
      </c>
      <c r="U1217" t="s">
        <v>11720</v>
      </c>
      <c r="V1217" t="s">
        <v>11720</v>
      </c>
      <c r="W1217" t="s">
        <v>12905</v>
      </c>
      <c r="X1217">
        <v>9</v>
      </c>
      <c r="Y1217" t="s">
        <v>18694</v>
      </c>
      <c r="Z1217" t="s">
        <v>24424</v>
      </c>
      <c r="AA1217">
        <v>0.64866473568208127</v>
      </c>
      <c r="AB1217" t="str">
        <f>HYPERLINK("Melting_Curves/meltCurve_O00483_NDUFA4.pdf", "Melting_Curves/meltCurve_O00483_NDUFA4.pdf")</f>
        <v>Melting_Curves/meltCurve_O00483_NDUFA4.pdf</v>
      </c>
    </row>
    <row r="1218" spans="1:28" x14ac:dyDescent="0.25">
      <c r="A1218" t="s">
        <v>1222</v>
      </c>
      <c r="B1218">
        <v>0.99334974765950101</v>
      </c>
      <c r="C1218">
        <v>1.0623281980874399</v>
      </c>
      <c r="D1218">
        <v>1.2243993664367301</v>
      </c>
      <c r="E1218">
        <v>1.5571021719977001</v>
      </c>
      <c r="F1218">
        <v>0.78019261792799499</v>
      </c>
      <c r="G1218">
        <v>0.72910031553953203</v>
      </c>
      <c r="H1218">
        <v>0.233073384261623</v>
      </c>
      <c r="I1218">
        <v>0.185005118664618</v>
      </c>
      <c r="J1218">
        <v>0.27199087237814601</v>
      </c>
      <c r="K1218">
        <v>0.27964675069610501</v>
      </c>
      <c r="L1218">
        <v>2967.6388706780499</v>
      </c>
      <c r="M1218">
        <v>51.564552984775403</v>
      </c>
      <c r="N1218">
        <v>58.261341614728998</v>
      </c>
      <c r="O1218">
        <v>57.4655538051612</v>
      </c>
      <c r="P1218">
        <v>-0.172028712819111</v>
      </c>
      <c r="Q1218">
        <v>0.23313848830386699</v>
      </c>
      <c r="R1218">
        <v>0.79795422262081805</v>
      </c>
      <c r="S1218" t="s">
        <v>7079</v>
      </c>
      <c r="T1218" t="s">
        <v>11720</v>
      </c>
      <c r="U1218" t="s">
        <v>11720</v>
      </c>
      <c r="V1218" t="s">
        <v>11720</v>
      </c>
      <c r="W1218" t="s">
        <v>12906</v>
      </c>
      <c r="X1218">
        <v>5</v>
      </c>
      <c r="Y1218" t="s">
        <v>18695</v>
      </c>
      <c r="Z1218" t="s">
        <v>24425</v>
      </c>
      <c r="AA1218">
        <v>0.68362667914730602</v>
      </c>
      <c r="AB1218" t="str">
        <f>HYPERLINK("Melting_Curves/meltCurve_O00487_PSMD14.pdf", "Melting_Curves/meltCurve_O00487_PSMD14.pdf")</f>
        <v>Melting_Curves/meltCurve_O00487_PSMD14.pdf</v>
      </c>
    </row>
    <row r="1219" spans="1:28" x14ac:dyDescent="0.25">
      <c r="A1219" t="s">
        <v>1223</v>
      </c>
      <c r="B1219">
        <v>0.99334974765950101</v>
      </c>
      <c r="C1219">
        <v>1.08342659192292</v>
      </c>
      <c r="D1219">
        <v>0.97423882120957395</v>
      </c>
      <c r="E1219">
        <v>0.90671069474068899</v>
      </c>
      <c r="F1219">
        <v>0.904125219531007</v>
      </c>
      <c r="G1219">
        <v>0.54019970896941105</v>
      </c>
      <c r="H1219">
        <v>0.54498902733969001</v>
      </c>
      <c r="I1219">
        <v>0.54263527476142104</v>
      </c>
      <c r="J1219">
        <v>0.63964450725428201</v>
      </c>
      <c r="K1219">
        <v>0.56134146260057105</v>
      </c>
      <c r="L1219">
        <v>7219.6352453760101</v>
      </c>
      <c r="M1219">
        <v>134.959477917931</v>
      </c>
      <c r="O1219">
        <v>53.483097991600403</v>
      </c>
      <c r="P1219">
        <v>-0.27395105990976198</v>
      </c>
      <c r="Q1219">
        <v>0.56574373216923501</v>
      </c>
      <c r="R1219">
        <v>0.94692582560548499</v>
      </c>
      <c r="S1219" t="s">
        <v>7080</v>
      </c>
      <c r="T1219" t="s">
        <v>11720</v>
      </c>
      <c r="U1219" t="s">
        <v>11720</v>
      </c>
      <c r="V1219" t="s">
        <v>11720</v>
      </c>
      <c r="W1219" t="s">
        <v>12907</v>
      </c>
      <c r="X1219">
        <v>3</v>
      </c>
      <c r="Y1219" t="s">
        <v>18696</v>
      </c>
      <c r="Z1219" t="s">
        <v>24426</v>
      </c>
      <c r="AA1219">
        <v>0.76122428532819486</v>
      </c>
      <c r="AB1219" t="str">
        <f>HYPERLINK("Melting_Curves/meltCurve_O00488_ZNF593.pdf", "Melting_Curves/meltCurve_O00488_ZNF593.pdf")</f>
        <v>Melting_Curves/meltCurve_O00488_ZNF593.pdf</v>
      </c>
    </row>
    <row r="1220" spans="1:28" x14ac:dyDescent="0.25">
      <c r="A1220" t="s">
        <v>1224</v>
      </c>
      <c r="B1220">
        <v>0.99334974765950101</v>
      </c>
      <c r="C1220">
        <v>0.99055256912381595</v>
      </c>
      <c r="D1220">
        <v>0.921312533129654</v>
      </c>
      <c r="E1220">
        <v>0.780165032541697</v>
      </c>
      <c r="F1220">
        <v>0.55230297529414496</v>
      </c>
      <c r="G1220">
        <v>0.29026856729949702</v>
      </c>
      <c r="H1220">
        <v>0.23518612471265199</v>
      </c>
      <c r="I1220">
        <v>0.25367271247018203</v>
      </c>
      <c r="J1220">
        <v>0.27376300976724299</v>
      </c>
      <c r="K1220">
        <v>0.28995342884296099</v>
      </c>
      <c r="L1220">
        <v>1257.43391453812</v>
      </c>
      <c r="M1220">
        <v>24.2672559988534</v>
      </c>
      <c r="N1220">
        <v>53.351099086600101</v>
      </c>
      <c r="O1220">
        <v>51.468037141714603</v>
      </c>
      <c r="P1220">
        <v>-8.8258538490034094E-2</v>
      </c>
      <c r="Q1220">
        <v>0.25126655643941997</v>
      </c>
      <c r="R1220">
        <v>0.99280803613764801</v>
      </c>
      <c r="S1220" t="s">
        <v>7081</v>
      </c>
      <c r="T1220" t="s">
        <v>11720</v>
      </c>
      <c r="U1220" t="s">
        <v>11720</v>
      </c>
      <c r="V1220" t="s">
        <v>11720</v>
      </c>
      <c r="W1220" t="s">
        <v>12908</v>
      </c>
      <c r="X1220">
        <v>18</v>
      </c>
      <c r="Y1220" t="s">
        <v>18697</v>
      </c>
      <c r="Z1220" t="s">
        <v>24427</v>
      </c>
      <c r="AA1220">
        <v>0.55339469852761192</v>
      </c>
      <c r="AB1220" t="str">
        <f>HYPERLINK("Melting_Curves/meltCurve_O00499_6_BIN1.pdf", "Melting_Curves/meltCurve_O00499_6_BIN1.pdf")</f>
        <v>Melting_Curves/meltCurve_O00499_6_BIN1.pdf</v>
      </c>
    </row>
    <row r="1221" spans="1:28" x14ac:dyDescent="0.25">
      <c r="A1221" t="s">
        <v>1225</v>
      </c>
      <c r="B1221">
        <v>0.99334974765950101</v>
      </c>
      <c r="C1221">
        <v>1.01060883887012</v>
      </c>
      <c r="D1221">
        <v>0.953485525706809</v>
      </c>
      <c r="E1221">
        <v>0.81738342340666603</v>
      </c>
      <c r="F1221">
        <v>0.337821620399744</v>
      </c>
      <c r="G1221">
        <v>0.16590270744904601</v>
      </c>
      <c r="H1221">
        <v>0.12586092937771701</v>
      </c>
      <c r="I1221">
        <v>9.1936796619977099E-2</v>
      </c>
      <c r="J1221">
        <v>9.7611676444346096E-2</v>
      </c>
      <c r="K1221">
        <v>6.56020124370294E-2</v>
      </c>
      <c r="L1221">
        <v>1967.87571235716</v>
      </c>
      <c r="M1221">
        <v>38.078311564841599</v>
      </c>
      <c r="N1221">
        <v>51.9906545457333</v>
      </c>
      <c r="O1221">
        <v>51.537771029654898</v>
      </c>
      <c r="P1221">
        <v>-0.165900714796859</v>
      </c>
      <c r="Q1221">
        <v>0.10183690914555001</v>
      </c>
      <c r="R1221">
        <v>0.99657758316321399</v>
      </c>
      <c r="S1221" t="s">
        <v>7082</v>
      </c>
      <c r="T1221" t="s">
        <v>11720</v>
      </c>
      <c r="U1221" t="s">
        <v>11720</v>
      </c>
      <c r="V1221" t="s">
        <v>11720</v>
      </c>
      <c r="W1221" t="s">
        <v>12909</v>
      </c>
      <c r="X1221">
        <v>15</v>
      </c>
      <c r="Y1221" t="s">
        <v>18698</v>
      </c>
      <c r="Z1221" t="s">
        <v>24428</v>
      </c>
      <c r="AA1221">
        <v>0.45505408751621201</v>
      </c>
      <c r="AB1221" t="str">
        <f>HYPERLINK("Melting_Curves/meltCurve_O00505_KPNA3.pdf", "Melting_Curves/meltCurve_O00505_KPNA3.pdf")</f>
        <v>Melting_Curves/meltCurve_O00505_KPNA3.pdf</v>
      </c>
    </row>
    <row r="1222" spans="1:28" x14ac:dyDescent="0.25">
      <c r="A1222" t="s">
        <v>1226</v>
      </c>
      <c r="B1222">
        <v>0.99334974765950101</v>
      </c>
      <c r="C1222">
        <v>0.87139779478149704</v>
      </c>
      <c r="D1222">
        <v>0.82920349952552097</v>
      </c>
      <c r="E1222">
        <v>0.53474189847315301</v>
      </c>
      <c r="F1222">
        <v>0.11292167581580199</v>
      </c>
      <c r="G1222">
        <v>5.4993162102906099E-2</v>
      </c>
      <c r="H1222">
        <v>3.5717770071713999E-2</v>
      </c>
      <c r="I1222">
        <v>2.4599509351517598E-2</v>
      </c>
      <c r="J1222">
        <v>2.51225440453457E-2</v>
      </c>
      <c r="K1222">
        <v>1.4582058238032301E-2</v>
      </c>
      <c r="L1222">
        <v>1106.1569826467501</v>
      </c>
      <c r="M1222">
        <v>22.310478684507199</v>
      </c>
      <c r="N1222">
        <v>49.619499989000602</v>
      </c>
      <c r="O1222">
        <v>49.1869667826548</v>
      </c>
      <c r="P1222">
        <v>-0.112404410617779</v>
      </c>
      <c r="Q1222">
        <v>8.7676719496862995E-3</v>
      </c>
      <c r="R1222">
        <v>0.98419376043530604</v>
      </c>
      <c r="S1222" t="s">
        <v>7083</v>
      </c>
      <c r="T1222" t="s">
        <v>11720</v>
      </c>
      <c r="U1222" t="s">
        <v>11720</v>
      </c>
      <c r="V1222" t="s">
        <v>11720</v>
      </c>
      <c r="W1222" t="s">
        <v>12910</v>
      </c>
      <c r="X1222">
        <v>9</v>
      </c>
      <c r="Y1222" t="s">
        <v>18699</v>
      </c>
      <c r="Z1222" t="s">
        <v>24429</v>
      </c>
      <c r="AA1222">
        <v>0.33641572785264401</v>
      </c>
      <c r="AB1222" t="str">
        <f>HYPERLINK("Melting_Curves/meltCurve_O00506_STK25.pdf", "Melting_Curves/meltCurve_O00506_STK25.pdf")</f>
        <v>Melting_Curves/meltCurve_O00506_STK25.pdf</v>
      </c>
    </row>
    <row r="1223" spans="1:28" x14ac:dyDescent="0.25">
      <c r="A1223" t="s">
        <v>1227</v>
      </c>
      <c r="B1223">
        <v>0.99334974765950101</v>
      </c>
      <c r="C1223">
        <v>0.96715643067860502</v>
      </c>
      <c r="D1223">
        <v>0.979187056765776</v>
      </c>
      <c r="E1223">
        <v>0.80023507440493102</v>
      </c>
      <c r="F1223">
        <v>0.23046745153843601</v>
      </c>
      <c r="G1223">
        <v>0.12268845544260901</v>
      </c>
      <c r="H1223">
        <v>7.7277426855512102E-2</v>
      </c>
      <c r="I1223">
        <v>6.8951305467969307E-2</v>
      </c>
      <c r="J1223">
        <v>5.1507269173401898E-2</v>
      </c>
      <c r="K1223">
        <v>2.66221185088189E-2</v>
      </c>
      <c r="L1223">
        <v>2449.5240128841101</v>
      </c>
      <c r="M1223">
        <v>47.714618261117501</v>
      </c>
      <c r="N1223">
        <v>51.491324283676299</v>
      </c>
      <c r="O1223">
        <v>51.247042388834998</v>
      </c>
      <c r="P1223">
        <v>-0.21725730107414701</v>
      </c>
      <c r="Q1223">
        <v>6.6635560672947194E-2</v>
      </c>
      <c r="R1223">
        <v>0.99671523418705099</v>
      </c>
      <c r="S1223" t="s">
        <v>7084</v>
      </c>
      <c r="T1223" t="s">
        <v>11720</v>
      </c>
      <c r="U1223" t="s">
        <v>11720</v>
      </c>
      <c r="V1223" t="s">
        <v>11720</v>
      </c>
      <c r="W1223" t="s">
        <v>12911</v>
      </c>
      <c r="X1223">
        <v>16</v>
      </c>
      <c r="Y1223" t="s">
        <v>18700</v>
      </c>
      <c r="Z1223" t="s">
        <v>24430</v>
      </c>
      <c r="AA1223">
        <v>0.42167513895748271</v>
      </c>
      <c r="AB1223" t="str">
        <f>HYPERLINK("Melting_Curves/meltCurve_O00534_VWA5A.pdf", "Melting_Curves/meltCurve_O00534_VWA5A.pdf")</f>
        <v>Melting_Curves/meltCurve_O00534_VWA5A.pdf</v>
      </c>
    </row>
    <row r="1224" spans="1:28" x14ac:dyDescent="0.25">
      <c r="A1224" t="s">
        <v>1228</v>
      </c>
      <c r="B1224">
        <v>0.99334974765950101</v>
      </c>
      <c r="C1224">
        <v>1.01047204334588</v>
      </c>
      <c r="D1224">
        <v>0.84483423995862295</v>
      </c>
      <c r="E1224">
        <v>0.71913796160896104</v>
      </c>
      <c r="F1224">
        <v>0.26836437382836198</v>
      </c>
      <c r="G1224">
        <v>0.194785974352573</v>
      </c>
      <c r="H1224">
        <v>0.145330563334503</v>
      </c>
      <c r="I1224">
        <v>0.25727809832161902</v>
      </c>
      <c r="J1224">
        <v>9.8520698338638593E-2</v>
      </c>
      <c r="K1224">
        <v>5.0448236740777697E-2</v>
      </c>
      <c r="L1224">
        <v>1434.3703485568401</v>
      </c>
      <c r="M1224">
        <v>28.274132358172601</v>
      </c>
      <c r="N1224">
        <v>51.294296878618603</v>
      </c>
      <c r="O1224">
        <v>50.479106890023402</v>
      </c>
      <c r="P1224">
        <v>-0.121337168059998</v>
      </c>
      <c r="Q1224">
        <v>0.133492064208238</v>
      </c>
      <c r="R1224">
        <v>0.96719106838773905</v>
      </c>
      <c r="S1224" t="s">
        <v>7085</v>
      </c>
      <c r="T1224" t="s">
        <v>11720</v>
      </c>
      <c r="U1224" t="s">
        <v>11720</v>
      </c>
      <c r="V1224" t="s">
        <v>11720</v>
      </c>
      <c r="W1224" t="s">
        <v>12912</v>
      </c>
      <c r="X1224">
        <v>10</v>
      </c>
      <c r="Y1224" t="s">
        <v>18701</v>
      </c>
      <c r="Z1224" t="s">
        <v>24431</v>
      </c>
      <c r="AA1224">
        <v>0.44954555134596202</v>
      </c>
      <c r="AB1224" t="str">
        <f>HYPERLINK("Melting_Curves/meltCurve_O00560_SDCBP.pdf", "Melting_Curves/meltCurve_O00560_SDCBP.pdf")</f>
        <v>Melting_Curves/meltCurve_O00560_SDCBP.pdf</v>
      </c>
    </row>
    <row r="1225" spans="1:28" x14ac:dyDescent="0.25">
      <c r="A1225" t="s">
        <v>1229</v>
      </c>
      <c r="B1225">
        <v>0.99334974765950101</v>
      </c>
      <c r="C1225">
        <v>0.87311788381734301</v>
      </c>
      <c r="D1225">
        <v>0.49921568036015401</v>
      </c>
      <c r="E1225">
        <v>0.23115960868055299</v>
      </c>
      <c r="F1225">
        <v>0.19898160480913599</v>
      </c>
      <c r="G1225">
        <v>0.139049729541246</v>
      </c>
      <c r="H1225">
        <v>0.105478706306673</v>
      </c>
      <c r="I1225">
        <v>9.2799557869212498E-2</v>
      </c>
      <c r="J1225">
        <v>9.8918780759576705E-2</v>
      </c>
      <c r="K1225">
        <v>6.9813634543946096E-2</v>
      </c>
      <c r="L1225">
        <v>1056.7247479054899</v>
      </c>
      <c r="M1225">
        <v>23.070168395779099</v>
      </c>
      <c r="N1225">
        <v>46.293453924695299</v>
      </c>
      <c r="O1225">
        <v>45.464809572066599</v>
      </c>
      <c r="P1225">
        <v>-0.113150509735577</v>
      </c>
      <c r="Q1225">
        <v>0.108065098375517</v>
      </c>
      <c r="R1225">
        <v>0.99265141841522597</v>
      </c>
      <c r="S1225" t="s">
        <v>7086</v>
      </c>
      <c r="T1225" t="s">
        <v>11720</v>
      </c>
      <c r="U1225" t="s">
        <v>11720</v>
      </c>
      <c r="V1225" t="s">
        <v>11720</v>
      </c>
      <c r="W1225" t="s">
        <v>12913</v>
      </c>
      <c r="X1225">
        <v>16</v>
      </c>
      <c r="Y1225" t="s">
        <v>18702</v>
      </c>
      <c r="Z1225" t="s">
        <v>24432</v>
      </c>
      <c r="AA1225">
        <v>0.29069274977188209</v>
      </c>
      <c r="AB1225" t="str">
        <f>HYPERLINK("Melting_Curves/meltCurve_O00571_DDX3X.pdf", "Melting_Curves/meltCurve_O00571_DDX3X.pdf")</f>
        <v>Melting_Curves/meltCurve_O00571_DDX3X.pdf</v>
      </c>
    </row>
    <row r="1226" spans="1:28" x14ac:dyDescent="0.25">
      <c r="A1226" t="s">
        <v>1230</v>
      </c>
      <c r="B1226">
        <v>0.99334974765950101</v>
      </c>
      <c r="C1226">
        <v>0.98905175538530099</v>
      </c>
      <c r="D1226">
        <v>0.91146040624710001</v>
      </c>
      <c r="E1226">
        <v>0.77993391781618304</v>
      </c>
      <c r="F1226">
        <v>0.66071138345773595</v>
      </c>
      <c r="G1226">
        <v>0.56443821127362803</v>
      </c>
      <c r="H1226">
        <v>0.50760457454633801</v>
      </c>
      <c r="I1226">
        <v>0.55212383039425605</v>
      </c>
      <c r="J1226">
        <v>0.53312362751519904</v>
      </c>
      <c r="K1226">
        <v>0.49270314836092699</v>
      </c>
      <c r="L1226">
        <v>877.08526266978402</v>
      </c>
      <c r="M1226">
        <v>17.3830147817723</v>
      </c>
      <c r="O1226">
        <v>49.802904442570799</v>
      </c>
      <c r="P1226">
        <v>-4.2768077719748103E-2</v>
      </c>
      <c r="Q1226">
        <v>0.50990002615689201</v>
      </c>
      <c r="R1226">
        <v>0.993009767199307</v>
      </c>
      <c r="S1226" t="s">
        <v>7087</v>
      </c>
      <c r="T1226" t="s">
        <v>11720</v>
      </c>
      <c r="U1226" t="s">
        <v>11720</v>
      </c>
      <c r="V1226" t="s">
        <v>11720</v>
      </c>
      <c r="W1226" t="s">
        <v>12914</v>
      </c>
      <c r="X1226">
        <v>13</v>
      </c>
      <c r="Y1226" t="s">
        <v>18703</v>
      </c>
      <c r="Z1226" t="s">
        <v>24433</v>
      </c>
      <c r="AA1226">
        <v>0.68958634159031029</v>
      </c>
      <c r="AB1226" t="str">
        <f>HYPERLINK("Melting_Curves/meltCurve_O00622_CYR61.pdf", "Melting_Curves/meltCurve_O00622_CYR61.pdf")</f>
        <v>Melting_Curves/meltCurve_O00622_CYR61.pdf</v>
      </c>
    </row>
    <row r="1227" spans="1:28" x14ac:dyDescent="0.25">
      <c r="A1227" t="s">
        <v>1231</v>
      </c>
      <c r="B1227">
        <v>0.99334974765950101</v>
      </c>
      <c r="C1227">
        <v>0.83492501911688499</v>
      </c>
      <c r="D1227">
        <v>0.63881526660853805</v>
      </c>
      <c r="E1227">
        <v>0.36303108153125602</v>
      </c>
      <c r="F1227">
        <v>0.23097475783331001</v>
      </c>
      <c r="G1227">
        <v>0.150636805566529</v>
      </c>
      <c r="H1227">
        <v>0.107868219739437</v>
      </c>
      <c r="I1227">
        <v>8.9402129319315696E-2</v>
      </c>
      <c r="J1227">
        <v>7.3171349201739205E-2</v>
      </c>
      <c r="K1227">
        <v>5.8082933339344098E-2</v>
      </c>
      <c r="L1227">
        <v>721.06317714859404</v>
      </c>
      <c r="M1227">
        <v>15.1824630082564</v>
      </c>
      <c r="N1227">
        <v>47.9562335960346</v>
      </c>
      <c r="O1227">
        <v>46.692094563232999</v>
      </c>
      <c r="P1227">
        <v>-7.5755113160312096E-2</v>
      </c>
      <c r="Q1227">
        <v>6.8182006960784095E-2</v>
      </c>
      <c r="R1227">
        <v>0.99738928189370002</v>
      </c>
      <c r="S1227" t="s">
        <v>7088</v>
      </c>
      <c r="T1227" t="s">
        <v>11720</v>
      </c>
      <c r="U1227" t="s">
        <v>11720</v>
      </c>
      <c r="V1227" t="s">
        <v>11720</v>
      </c>
      <c r="W1227" t="s">
        <v>12915</v>
      </c>
      <c r="X1227">
        <v>6</v>
      </c>
      <c r="Y1227" t="s">
        <v>18704</v>
      </c>
      <c r="Z1227" t="s">
        <v>24434</v>
      </c>
      <c r="AA1227">
        <v>0.32492965913458322</v>
      </c>
      <c r="AB1227" t="str">
        <f>HYPERLINK("Melting_Curves/meltCurve_O00625_PIR.pdf", "Melting_Curves/meltCurve_O00625_PIR.pdf")</f>
        <v>Melting_Curves/meltCurve_O00625_PIR.pdf</v>
      </c>
    </row>
    <row r="1228" spans="1:28" x14ac:dyDescent="0.25">
      <c r="A1228" t="s">
        <v>1232</v>
      </c>
      <c r="B1228">
        <v>0.99334974765950101</v>
      </c>
      <c r="C1228">
        <v>1.0333472765837299</v>
      </c>
      <c r="D1228">
        <v>0.94077851500981002</v>
      </c>
      <c r="E1228">
        <v>0.88983623599178796</v>
      </c>
      <c r="F1228">
        <v>0.91087963880302203</v>
      </c>
      <c r="G1228">
        <v>0.32420185794905998</v>
      </c>
      <c r="H1228">
        <v>0.17177786372050199</v>
      </c>
      <c r="I1228">
        <v>0.12994456412602701</v>
      </c>
      <c r="J1228">
        <v>0.123493945326279</v>
      </c>
      <c r="K1228">
        <v>8.8632795049550003E-2</v>
      </c>
      <c r="L1228">
        <v>2291.99874724543</v>
      </c>
      <c r="M1228">
        <v>41.3310773024063</v>
      </c>
      <c r="N1228">
        <v>55.8263967783328</v>
      </c>
      <c r="O1228">
        <v>55.325282337331103</v>
      </c>
      <c r="P1228">
        <v>-0.164294279116735</v>
      </c>
      <c r="Q1228">
        <v>0.120312529049447</v>
      </c>
      <c r="R1228">
        <v>0.98899380490370203</v>
      </c>
      <c r="S1228" t="s">
        <v>7089</v>
      </c>
      <c r="T1228" t="s">
        <v>11720</v>
      </c>
      <c r="U1228" t="s">
        <v>11720</v>
      </c>
      <c r="V1228" t="s">
        <v>11720</v>
      </c>
      <c r="W1228" t="s">
        <v>12916</v>
      </c>
      <c r="X1228">
        <v>21</v>
      </c>
      <c r="Y1228" t="s">
        <v>18705</v>
      </c>
      <c r="Z1228" t="s">
        <v>24435</v>
      </c>
      <c r="AA1228">
        <v>0.57663170989524526</v>
      </c>
      <c r="AB1228" t="str">
        <f>HYPERLINK("Melting_Curves/meltCurve_O00629_KPNA4.pdf", "Melting_Curves/meltCurve_O00629_KPNA4.pdf")</f>
        <v>Melting_Curves/meltCurve_O00629_KPNA4.pdf</v>
      </c>
    </row>
    <row r="1229" spans="1:28" x14ac:dyDescent="0.25">
      <c r="A1229" t="s">
        <v>1233</v>
      </c>
      <c r="B1229">
        <v>0.99334974765950101</v>
      </c>
      <c r="C1229">
        <v>0.73612090338076897</v>
      </c>
      <c r="D1229">
        <v>0.31615508881218501</v>
      </c>
      <c r="E1229">
        <v>0.108695201960577</v>
      </c>
      <c r="F1229">
        <v>7.9770292793494499E-2</v>
      </c>
      <c r="G1229">
        <v>9.6296735380434595E-2</v>
      </c>
      <c r="H1229">
        <v>8.1958744845878895E-2</v>
      </c>
      <c r="I1229">
        <v>0.106684554071274</v>
      </c>
      <c r="J1229">
        <v>6.1465860158932899E-2</v>
      </c>
      <c r="K1229">
        <v>4.3993810327963699E-2</v>
      </c>
      <c r="L1229">
        <v>1313.9455039089</v>
      </c>
      <c r="M1229">
        <v>29.6514838983381</v>
      </c>
      <c r="N1229">
        <v>44.565905782511003</v>
      </c>
      <c r="O1229">
        <v>44.112880653512804</v>
      </c>
      <c r="P1229">
        <v>-0.15503097399947299</v>
      </c>
      <c r="Q1229">
        <v>7.7440119439673993E-2</v>
      </c>
      <c r="R1229">
        <v>0.99634562637791102</v>
      </c>
      <c r="S1229" t="s">
        <v>7090</v>
      </c>
      <c r="T1229" t="s">
        <v>11720</v>
      </c>
      <c r="U1229" t="s">
        <v>11720</v>
      </c>
      <c r="V1229" t="s">
        <v>11720</v>
      </c>
      <c r="W1229" t="s">
        <v>12917</v>
      </c>
      <c r="X1229">
        <v>1</v>
      </c>
      <c r="Y1229" t="s">
        <v>18706</v>
      </c>
      <c r="Z1229" t="s">
        <v>24436</v>
      </c>
      <c r="AA1229">
        <v>0.2166681701184246</v>
      </c>
      <c r="AB1229" t="str">
        <f>HYPERLINK("Melting_Curves/meltCurve_O00635_TRIM38.pdf", "Melting_Curves/meltCurve_O00635_TRIM38.pdf")</f>
        <v>Melting_Curves/meltCurve_O00635_TRIM38.pdf</v>
      </c>
    </row>
    <row r="1230" spans="1:28" x14ac:dyDescent="0.25">
      <c r="A1230" t="s">
        <v>1234</v>
      </c>
      <c r="B1230">
        <v>0.99334974765950101</v>
      </c>
      <c r="C1230">
        <v>1.0225493261998799</v>
      </c>
      <c r="D1230">
        <v>1.0760236453721601</v>
      </c>
      <c r="E1230">
        <v>1.1008077100759299</v>
      </c>
      <c r="F1230">
        <v>1.11813871593641</v>
      </c>
      <c r="G1230">
        <v>1.00153427111044</v>
      </c>
      <c r="H1230">
        <v>0.96216447073098599</v>
      </c>
      <c r="I1230">
        <v>0.89501308597757701</v>
      </c>
      <c r="J1230">
        <v>0.60204810357104599</v>
      </c>
      <c r="K1230">
        <v>0.43360668199098301</v>
      </c>
      <c r="L1230">
        <v>2967.7739091001799</v>
      </c>
      <c r="M1230">
        <v>44.877980824798897</v>
      </c>
      <c r="N1230">
        <v>68.367023498264302</v>
      </c>
      <c r="O1230">
        <v>65.998950106068193</v>
      </c>
      <c r="P1230">
        <v>-0.104569162220113</v>
      </c>
      <c r="Q1230">
        <v>0.38487029192136202</v>
      </c>
      <c r="R1230">
        <v>0.93221312672224799</v>
      </c>
      <c r="S1230" t="s">
        <v>7091</v>
      </c>
      <c r="T1230" t="s">
        <v>11720</v>
      </c>
      <c r="U1230" t="s">
        <v>11720</v>
      </c>
      <c r="V1230" t="s">
        <v>11720</v>
      </c>
      <c r="W1230" t="s">
        <v>12918</v>
      </c>
      <c r="X1230">
        <v>15</v>
      </c>
      <c r="Y1230" t="s">
        <v>18707</v>
      </c>
      <c r="Z1230" t="s">
        <v>24437</v>
      </c>
      <c r="AA1230">
        <v>0.92001476783404657</v>
      </c>
      <c r="AB1230" t="str">
        <f>HYPERLINK("Melting_Curves/meltCurve_O00743_PPP6C.pdf", "Melting_Curves/meltCurve_O00743_PPP6C.pdf")</f>
        <v>Melting_Curves/meltCurve_O00743_PPP6C.pdf</v>
      </c>
    </row>
    <row r="1231" spans="1:28" x14ac:dyDescent="0.25">
      <c r="A1231" t="s">
        <v>1235</v>
      </c>
      <c r="B1231">
        <v>0.99334974765950101</v>
      </c>
      <c r="C1231">
        <v>0.97146909534330805</v>
      </c>
      <c r="D1231">
        <v>0.94304222268150395</v>
      </c>
      <c r="E1231">
        <v>0.77266780457449102</v>
      </c>
      <c r="F1231">
        <v>0.621439873631216</v>
      </c>
      <c r="G1231">
        <v>0.44883302419712401</v>
      </c>
      <c r="H1231">
        <v>0.39824998441320603</v>
      </c>
      <c r="I1231">
        <v>0.36614146906400502</v>
      </c>
      <c r="J1231">
        <v>0.17848930410149499</v>
      </c>
      <c r="K1231">
        <v>0.123889335567477</v>
      </c>
      <c r="L1231">
        <v>508.05828201705498</v>
      </c>
      <c r="M1231">
        <v>8.9170347491171693</v>
      </c>
      <c r="N1231">
        <v>57.011104286605899</v>
      </c>
      <c r="O1231">
        <v>54.329178175334199</v>
      </c>
      <c r="P1231">
        <v>-4.09513841538423E-2</v>
      </c>
      <c r="Q1231">
        <v>2.7254647754019002E-3</v>
      </c>
      <c r="R1231">
        <v>0.97934090097925697</v>
      </c>
      <c r="S1231" t="s">
        <v>7092</v>
      </c>
      <c r="T1231" t="s">
        <v>11720</v>
      </c>
      <c r="U1231" t="s">
        <v>11720</v>
      </c>
      <c r="V1231" t="s">
        <v>11720</v>
      </c>
      <c r="W1231" t="s">
        <v>12919</v>
      </c>
      <c r="X1231">
        <v>16</v>
      </c>
      <c r="Y1231" t="s">
        <v>18708</v>
      </c>
      <c r="Z1231" t="s">
        <v>24438</v>
      </c>
      <c r="AA1231">
        <v>0.58137053878437839</v>
      </c>
      <c r="AB1231" t="str">
        <f>HYPERLINK("Melting_Curves/meltCurve_O00748_CES2.pdf", "Melting_Curves/meltCurve_O00748_CES2.pdf")</f>
        <v>Melting_Curves/meltCurve_O00748_CES2.pdf</v>
      </c>
    </row>
    <row r="1232" spans="1:28" x14ac:dyDescent="0.25">
      <c r="A1232" t="s">
        <v>1236</v>
      </c>
      <c r="B1232">
        <v>0.99334974765950101</v>
      </c>
      <c r="C1232">
        <v>0.99510734026029601</v>
      </c>
      <c r="D1232">
        <v>1.0577801332530099</v>
      </c>
      <c r="E1232">
        <v>0.976712528509742</v>
      </c>
      <c r="F1232">
        <v>0.89104787865965296</v>
      </c>
      <c r="G1232">
        <v>0.90703799458756995</v>
      </c>
      <c r="H1232">
        <v>0.81552709434960302</v>
      </c>
      <c r="I1232">
        <v>1.2909436487365</v>
      </c>
      <c r="J1232">
        <v>1.1074950264321499</v>
      </c>
      <c r="K1232">
        <v>1.2139223442818801</v>
      </c>
      <c r="L1232">
        <v>5564.2150378053902</v>
      </c>
      <c r="M1232">
        <v>88.686242278374706</v>
      </c>
      <c r="O1232">
        <v>62.708572920091598</v>
      </c>
      <c r="P1232">
        <v>7.1971861278913196E-2</v>
      </c>
      <c r="Q1232">
        <v>1.2035604253133301</v>
      </c>
      <c r="R1232">
        <v>0.55061457440651895</v>
      </c>
      <c r="S1232" t="s">
        <v>7093</v>
      </c>
      <c r="T1232" t="s">
        <v>11720</v>
      </c>
      <c r="U1232" t="s">
        <v>11720</v>
      </c>
      <c r="V1232" t="s">
        <v>11720</v>
      </c>
      <c r="W1232" t="s">
        <v>12920</v>
      </c>
      <c r="X1232">
        <v>27</v>
      </c>
      <c r="Y1232" t="s">
        <v>18709</v>
      </c>
      <c r="Z1232" t="s">
        <v>24439</v>
      </c>
      <c r="AA1232">
        <v>1.0490807865257059</v>
      </c>
      <c r="AB1232" t="str">
        <f>HYPERLINK("Melting_Curves/meltCurve_O00754_2_MAN2B1.pdf", "Melting_Curves/meltCurve_O00754_2_MAN2B1.pdf")</f>
        <v>Melting_Curves/meltCurve_O00754_2_MAN2B1.pdf</v>
      </c>
    </row>
    <row r="1233" spans="1:28" x14ac:dyDescent="0.25">
      <c r="A1233" t="s">
        <v>1237</v>
      </c>
      <c r="B1233">
        <v>0.99334974765950101</v>
      </c>
      <c r="C1233">
        <v>0.98280496925402805</v>
      </c>
      <c r="D1233">
        <v>0.98232156533481196</v>
      </c>
      <c r="E1233">
        <v>0.81755773114290498</v>
      </c>
      <c r="F1233">
        <v>0.67812810798731804</v>
      </c>
      <c r="G1233">
        <v>0.34500695190236103</v>
      </c>
      <c r="H1233">
        <v>0.21133546020055</v>
      </c>
      <c r="I1233">
        <v>0.14433904430757899</v>
      </c>
      <c r="J1233">
        <v>0.13385361644465499</v>
      </c>
      <c r="K1233">
        <v>0.11840841584907499</v>
      </c>
      <c r="L1233">
        <v>1008.82305291233</v>
      </c>
      <c r="M1233">
        <v>18.594594040499</v>
      </c>
      <c r="N1233">
        <v>54.933564927428698</v>
      </c>
      <c r="O1233">
        <v>53.637746909367998</v>
      </c>
      <c r="P1233">
        <v>-7.7761216278431605E-2</v>
      </c>
      <c r="Q1233">
        <v>0.102802369977226</v>
      </c>
      <c r="R1233">
        <v>0.99810617128361501</v>
      </c>
      <c r="S1233" t="s">
        <v>7094</v>
      </c>
      <c r="T1233" t="s">
        <v>11720</v>
      </c>
      <c r="U1233" t="s">
        <v>11720</v>
      </c>
      <c r="V1233" t="s">
        <v>11720</v>
      </c>
      <c r="W1233" t="s">
        <v>12921</v>
      </c>
      <c r="X1233">
        <v>17</v>
      </c>
      <c r="Y1233" t="s">
        <v>18710</v>
      </c>
      <c r="Z1233" t="s">
        <v>24440</v>
      </c>
      <c r="AA1233">
        <v>0.54266135563776641</v>
      </c>
      <c r="AB1233" t="str">
        <f>HYPERLINK("Melting_Curves/meltCurve_O00764_PDXK.pdf", "Melting_Curves/meltCurve_O00764_PDXK.pdf")</f>
        <v>Melting_Curves/meltCurve_O00764_PDXK.pdf</v>
      </c>
    </row>
    <row r="1234" spans="1:28" x14ac:dyDescent="0.25">
      <c r="A1234" t="s">
        <v>1238</v>
      </c>
      <c r="B1234">
        <v>0.99334974765950101</v>
      </c>
      <c r="C1234">
        <v>1.1012174640121899</v>
      </c>
      <c r="D1234">
        <v>0.96271504627842996</v>
      </c>
      <c r="E1234">
        <v>0.92401197612904296</v>
      </c>
      <c r="F1234">
        <v>0.63331699118556295</v>
      </c>
      <c r="G1234">
        <v>0.54363656392577797</v>
      </c>
      <c r="H1234">
        <v>0.446374385726585</v>
      </c>
      <c r="I1234">
        <v>0.56066384275656</v>
      </c>
      <c r="J1234">
        <v>0.45394002407967898</v>
      </c>
      <c r="K1234">
        <v>0.43503686881653703</v>
      </c>
      <c r="L1234">
        <v>2075.9360399074899</v>
      </c>
      <c r="M1234">
        <v>39.9409239747744</v>
      </c>
      <c r="N1234">
        <v>56.779470919088602</v>
      </c>
      <c r="O1234">
        <v>51.845375506837499</v>
      </c>
      <c r="P1234">
        <v>-9.9578594360480499E-2</v>
      </c>
      <c r="Q1234">
        <v>0.482968438999127</v>
      </c>
      <c r="R1234">
        <v>0.95978782956036202</v>
      </c>
      <c r="S1234" t="s">
        <v>7095</v>
      </c>
      <c r="T1234" t="s">
        <v>11720</v>
      </c>
      <c r="U1234" t="s">
        <v>11720</v>
      </c>
      <c r="V1234" t="s">
        <v>11720</v>
      </c>
      <c r="W1234" t="s">
        <v>12922</v>
      </c>
      <c r="X1234">
        <v>1</v>
      </c>
      <c r="Y1234" t="s">
        <v>18711</v>
      </c>
      <c r="Z1234" t="s">
        <v>24441</v>
      </c>
      <c r="AA1234">
        <v>0.69121521387950535</v>
      </c>
      <c r="AB1234" t="str">
        <f>HYPERLINK("Melting_Curves/meltCurve_O14495_PPAP2B.pdf", "Melting_Curves/meltCurve_O14495_PPAP2B.pdf")</f>
        <v>Melting_Curves/meltCurve_O14495_PPAP2B.pdf</v>
      </c>
    </row>
    <row r="1235" spans="1:28" x14ac:dyDescent="0.25">
      <c r="A1235" t="s">
        <v>1239</v>
      </c>
      <c r="B1235">
        <v>0.99334974765950101</v>
      </c>
      <c r="C1235">
        <v>0.93634369494682002</v>
      </c>
      <c r="D1235">
        <v>0.86628325213563195</v>
      </c>
      <c r="E1235">
        <v>0.69779977034956997</v>
      </c>
      <c r="F1235">
        <v>0.64578690959441698</v>
      </c>
      <c r="G1235">
        <v>0.52929512358827402</v>
      </c>
      <c r="H1235">
        <v>0.51252617188156901</v>
      </c>
      <c r="I1235">
        <v>0.55959609286288503</v>
      </c>
      <c r="J1235">
        <v>0.55034705238033399</v>
      </c>
      <c r="K1235">
        <v>0.50081257591470996</v>
      </c>
      <c r="L1235">
        <v>775.96678627274105</v>
      </c>
      <c r="M1235">
        <v>15.966092317633301</v>
      </c>
      <c r="O1235">
        <v>47.857668289037001</v>
      </c>
      <c r="P1235">
        <v>-4.0172946350912599E-2</v>
      </c>
      <c r="Q1235">
        <v>0.51837148153553603</v>
      </c>
      <c r="R1235">
        <v>0.98526751022259196</v>
      </c>
      <c r="S1235" t="s">
        <v>7096</v>
      </c>
      <c r="T1235" t="s">
        <v>11720</v>
      </c>
      <c r="U1235" t="s">
        <v>11720</v>
      </c>
      <c r="V1235" t="s">
        <v>11720</v>
      </c>
      <c r="W1235" t="s">
        <v>12923</v>
      </c>
      <c r="X1235">
        <v>6</v>
      </c>
      <c r="Y1235" t="s">
        <v>18712</v>
      </c>
      <c r="Z1235" t="s">
        <v>24442</v>
      </c>
      <c r="AA1235">
        <v>0.66714577399385133</v>
      </c>
      <c r="AB1235" t="str">
        <f>HYPERLINK("Melting_Curves/meltCurve_O14497_ARID1A.pdf", "Melting_Curves/meltCurve_O14497_ARID1A.pdf")</f>
        <v>Melting_Curves/meltCurve_O14497_ARID1A.pdf</v>
      </c>
    </row>
    <row r="1236" spans="1:28" x14ac:dyDescent="0.25">
      <c r="A1236" t="s">
        <v>1240</v>
      </c>
      <c r="B1236">
        <v>0.99334974765950101</v>
      </c>
      <c r="C1236">
        <v>1.0047351012758401</v>
      </c>
      <c r="D1236">
        <v>1.0049864786907401</v>
      </c>
      <c r="E1236">
        <v>0.80775540853105698</v>
      </c>
      <c r="F1236">
        <v>0.67781730024813502</v>
      </c>
      <c r="G1236">
        <v>0.42362619343768299</v>
      </c>
      <c r="H1236">
        <v>0.38699565660542501</v>
      </c>
      <c r="I1236">
        <v>0.38074267562811498</v>
      </c>
      <c r="J1236">
        <v>0.41878506373923302</v>
      </c>
      <c r="K1236">
        <v>0.201418148222858</v>
      </c>
      <c r="L1236">
        <v>1009.36964285273</v>
      </c>
      <c r="M1236">
        <v>19.0539482273538</v>
      </c>
      <c r="N1236">
        <v>55.926690207184897</v>
      </c>
      <c r="O1236">
        <v>52.401149311025598</v>
      </c>
      <c r="P1236">
        <v>-6.20777230626222E-2</v>
      </c>
      <c r="Q1236">
        <v>0.317135627579468</v>
      </c>
      <c r="R1236">
        <v>0.96551779803823601</v>
      </c>
      <c r="S1236" t="s">
        <v>7097</v>
      </c>
      <c r="T1236" t="s">
        <v>11720</v>
      </c>
      <c r="U1236" t="s">
        <v>11720</v>
      </c>
      <c r="V1236" t="s">
        <v>11720</v>
      </c>
      <c r="W1236" t="s">
        <v>12924</v>
      </c>
      <c r="X1236">
        <v>1</v>
      </c>
      <c r="Y1236" t="s">
        <v>18713</v>
      </c>
      <c r="Z1236" t="s">
        <v>24443</v>
      </c>
      <c r="AA1236">
        <v>0.62265235582765532</v>
      </c>
      <c r="AB1236" t="str">
        <f>HYPERLINK("Melting_Curves/meltCurve_O14498_ISLR.pdf", "Melting_Curves/meltCurve_O14498_ISLR.pdf")</f>
        <v>Melting_Curves/meltCurve_O14498_ISLR.pdf</v>
      </c>
    </row>
    <row r="1237" spans="1:28" x14ac:dyDescent="0.25">
      <c r="A1237" t="s">
        <v>1241</v>
      </c>
      <c r="B1237">
        <v>0.99334974765950101</v>
      </c>
      <c r="C1237">
        <v>1.39735805184128</v>
      </c>
      <c r="D1237">
        <v>1.6795782728439399</v>
      </c>
      <c r="E1237">
        <v>2.4156371328806698</v>
      </c>
      <c r="F1237">
        <v>2.0322568675430701</v>
      </c>
      <c r="G1237">
        <v>1.4648586353456401</v>
      </c>
      <c r="H1237">
        <v>1.20118162111546</v>
      </c>
      <c r="I1237">
        <v>1.5722376230689099</v>
      </c>
      <c r="J1237">
        <v>1.5203028879945699</v>
      </c>
      <c r="K1237">
        <v>1.3572665932763499</v>
      </c>
      <c r="L1237">
        <v>10666.9309371742</v>
      </c>
      <c r="M1237">
        <v>250</v>
      </c>
      <c r="O1237">
        <v>42.664993201693797</v>
      </c>
      <c r="P1237">
        <v>0.73245060227259495</v>
      </c>
      <c r="Q1237">
        <v>1.5</v>
      </c>
      <c r="R1237">
        <v>0.15157714007207601</v>
      </c>
      <c r="S1237" t="s">
        <v>7098</v>
      </c>
      <c r="T1237" t="s">
        <v>11720</v>
      </c>
      <c r="U1237" t="s">
        <v>11720</v>
      </c>
      <c r="V1237" t="s">
        <v>11720</v>
      </c>
      <c r="W1237" t="s">
        <v>12925</v>
      </c>
      <c r="X1237">
        <v>1</v>
      </c>
      <c r="Y1237" t="s">
        <v>18714</v>
      </c>
      <c r="Z1237" t="s">
        <v>24444</v>
      </c>
      <c r="AA1237">
        <v>1.4555004967837339</v>
      </c>
      <c r="AB1237" t="str">
        <f>HYPERLINK("Melting_Curves/meltCurve_O14519_2_CDK2AP1.pdf", "Melting_Curves/meltCurve_O14519_2_CDK2AP1.pdf")</f>
        <v>Melting_Curves/meltCurve_O14519_2_CDK2AP1.pdf</v>
      </c>
    </row>
    <row r="1238" spans="1:28" x14ac:dyDescent="0.25">
      <c r="A1238" t="s">
        <v>1242</v>
      </c>
      <c r="B1238">
        <v>0.99334974765950101</v>
      </c>
      <c r="C1238">
        <v>0.96481937498976</v>
      </c>
      <c r="D1238">
        <v>0.83775679973658501</v>
      </c>
      <c r="E1238">
        <v>0.76540824419322895</v>
      </c>
      <c r="F1238">
        <v>0.54139637909706695</v>
      </c>
      <c r="G1238">
        <v>0.31555254711603797</v>
      </c>
      <c r="H1238">
        <v>0.20683562171754299</v>
      </c>
      <c r="I1238">
        <v>0.12921403881238799</v>
      </c>
      <c r="J1238">
        <v>0.126771391586949</v>
      </c>
      <c r="K1238">
        <v>7.8699042477028205E-2</v>
      </c>
      <c r="L1238">
        <v>687.66700727274701</v>
      </c>
      <c r="M1238">
        <v>12.8730668485347</v>
      </c>
      <c r="N1238">
        <v>53.768305708827498</v>
      </c>
      <c r="O1238">
        <v>52.179218999589601</v>
      </c>
      <c r="P1238">
        <v>-5.9214335363636197E-2</v>
      </c>
      <c r="Q1238">
        <v>4.0107283154832002E-2</v>
      </c>
      <c r="R1238">
        <v>0.99477148636991797</v>
      </c>
      <c r="S1238" t="s">
        <v>7099</v>
      </c>
      <c r="T1238" t="s">
        <v>11720</v>
      </c>
      <c r="U1238" t="s">
        <v>11720</v>
      </c>
      <c r="V1238" t="s">
        <v>11720</v>
      </c>
      <c r="W1238" t="s">
        <v>12926</v>
      </c>
      <c r="X1238">
        <v>2</v>
      </c>
      <c r="Y1238" t="s">
        <v>18715</v>
      </c>
      <c r="Z1238" t="s">
        <v>24445</v>
      </c>
      <c r="AA1238">
        <v>0.49394416044556438</v>
      </c>
      <c r="AB1238" t="str">
        <f>HYPERLINK("Melting_Curves/meltCurve_O14523_C2CD2L.pdf", "Melting_Curves/meltCurve_O14523_C2CD2L.pdf")</f>
        <v>Melting_Curves/meltCurve_O14523_C2CD2L.pdf</v>
      </c>
    </row>
    <row r="1239" spans="1:28" x14ac:dyDescent="0.25">
      <c r="A1239" t="s">
        <v>1243</v>
      </c>
      <c r="B1239">
        <v>0.99334974765950101</v>
      </c>
      <c r="C1239">
        <v>1.0083970555314199</v>
      </c>
      <c r="D1239">
        <v>0.88268270036677898</v>
      </c>
      <c r="E1239">
        <v>0.83244772678322998</v>
      </c>
      <c r="F1239">
        <v>0.58193080055122104</v>
      </c>
      <c r="G1239">
        <v>0.26435128303372102</v>
      </c>
      <c r="H1239">
        <v>0.14755023531581399</v>
      </c>
      <c r="I1239">
        <v>0.151986451300028</v>
      </c>
      <c r="J1239">
        <v>9.7966912527827105E-2</v>
      </c>
      <c r="K1239">
        <v>8.8692018432122793E-2</v>
      </c>
      <c r="L1239">
        <v>1055.2835460753199</v>
      </c>
      <c r="M1239">
        <v>19.785705149544999</v>
      </c>
      <c r="N1239">
        <v>53.856444106453999</v>
      </c>
      <c r="O1239">
        <v>52.799784741840597</v>
      </c>
      <c r="P1239">
        <v>-8.5528856032069403E-2</v>
      </c>
      <c r="Q1239">
        <v>8.7067801715607795E-2</v>
      </c>
      <c r="R1239">
        <v>0.99347840149034194</v>
      </c>
      <c r="S1239" t="s">
        <v>7100</v>
      </c>
      <c r="T1239" t="s">
        <v>11720</v>
      </c>
      <c r="U1239" t="s">
        <v>11720</v>
      </c>
      <c r="V1239" t="s">
        <v>11720</v>
      </c>
      <c r="W1239" t="s">
        <v>12927</v>
      </c>
      <c r="X1239">
        <v>2</v>
      </c>
      <c r="Y1239" t="s">
        <v>18716</v>
      </c>
      <c r="Z1239" t="s">
        <v>24446</v>
      </c>
      <c r="AA1239">
        <v>0.50562939053155453</v>
      </c>
      <c r="AB1239" t="str">
        <f>HYPERLINK("Melting_Curves/meltCurve_O14524_2_TMEM194A.pdf", "Melting_Curves/meltCurve_O14524_2_TMEM194A.pdf")</f>
        <v>Melting_Curves/meltCurve_O14524_2_TMEM194A.pdf</v>
      </c>
    </row>
    <row r="1240" spans="1:28" x14ac:dyDescent="0.25">
      <c r="A1240" t="s">
        <v>1244</v>
      </c>
      <c r="B1240">
        <v>0.99334974765950101</v>
      </c>
      <c r="C1240">
        <v>1.0144739418523401</v>
      </c>
      <c r="D1240">
        <v>0.82129751488390401</v>
      </c>
      <c r="E1240">
        <v>0.84639806363521897</v>
      </c>
      <c r="F1240">
        <v>0.69084787001156001</v>
      </c>
      <c r="G1240">
        <v>0.70333170279314905</v>
      </c>
      <c r="H1240">
        <v>0.591410149775079</v>
      </c>
      <c r="I1240">
        <v>0.67664565249562403</v>
      </c>
      <c r="J1240">
        <v>0.71704059807758003</v>
      </c>
      <c r="K1240">
        <v>0.84411249723875903</v>
      </c>
      <c r="L1240">
        <v>981.46444496049003</v>
      </c>
      <c r="M1240">
        <v>20.931829194796101</v>
      </c>
      <c r="O1240">
        <v>46.466946215381299</v>
      </c>
      <c r="P1240">
        <v>-3.3121839279632102E-2</v>
      </c>
      <c r="Q1240">
        <v>0.70589691411243805</v>
      </c>
      <c r="R1240">
        <v>0.72553672757641197</v>
      </c>
      <c r="S1240" t="s">
        <v>7101</v>
      </c>
      <c r="T1240" t="s">
        <v>11720</v>
      </c>
      <c r="U1240" t="s">
        <v>11720</v>
      </c>
      <c r="V1240" t="s">
        <v>11720</v>
      </c>
      <c r="W1240" t="s">
        <v>12928</v>
      </c>
      <c r="X1240">
        <v>7</v>
      </c>
      <c r="Y1240" t="s">
        <v>18717</v>
      </c>
      <c r="Z1240" t="s">
        <v>24447</v>
      </c>
      <c r="AA1240">
        <v>0.77733783485461294</v>
      </c>
      <c r="AB1240" t="str">
        <f>HYPERLINK("Melting_Curves/meltCurve_O14545_TRAFD1.pdf", "Melting_Curves/meltCurve_O14545_TRAFD1.pdf")</f>
        <v>Melting_Curves/meltCurve_O14545_TRAFD1.pdf</v>
      </c>
    </row>
    <row r="1241" spans="1:28" x14ac:dyDescent="0.25">
      <c r="A1241" t="s">
        <v>1245</v>
      </c>
      <c r="B1241">
        <v>0.99334974765950101</v>
      </c>
      <c r="C1241">
        <v>0.90742948785909205</v>
      </c>
      <c r="D1241">
        <v>0.86862313506023303</v>
      </c>
      <c r="E1241">
        <v>0.89986872596440903</v>
      </c>
      <c r="F1241">
        <v>1.2603634486690001</v>
      </c>
      <c r="G1241">
        <v>1.62560721425474</v>
      </c>
      <c r="H1241">
        <v>1.35822873573728</v>
      </c>
      <c r="I1241">
        <v>1.13790538567786</v>
      </c>
      <c r="J1241">
        <v>1.0993776396313</v>
      </c>
      <c r="K1241">
        <v>0.73115935775365104</v>
      </c>
      <c r="L1241">
        <v>15000</v>
      </c>
      <c r="M1241">
        <v>213.28513725161699</v>
      </c>
      <c r="Q1241">
        <v>0</v>
      </c>
      <c r="R1241">
        <v>-8.5138775518551792E-3</v>
      </c>
      <c r="S1241" t="s">
        <v>7102</v>
      </c>
      <c r="T1241" t="s">
        <v>11720</v>
      </c>
      <c r="U1241" t="s">
        <v>11720</v>
      </c>
      <c r="V1241" t="s">
        <v>11720</v>
      </c>
      <c r="W1241" t="s">
        <v>12929</v>
      </c>
      <c r="X1241">
        <v>3</v>
      </c>
      <c r="Y1241" t="s">
        <v>18718</v>
      </c>
      <c r="Z1241" t="s">
        <v>24448</v>
      </c>
      <c r="AA1241">
        <v>0.99662452404757962</v>
      </c>
      <c r="AB1241" t="str">
        <f>HYPERLINK("Melting_Curves/meltCurve_O14548_COX7A2L.pdf", "Melting_Curves/meltCurve_O14548_COX7A2L.pdf")</f>
        <v>Melting_Curves/meltCurve_O14548_COX7A2L.pdf</v>
      </c>
    </row>
    <row r="1242" spans="1:28" x14ac:dyDescent="0.25">
      <c r="A1242" t="s">
        <v>1246</v>
      </c>
      <c r="B1242">
        <v>0.99334974765950101</v>
      </c>
      <c r="C1242">
        <v>0.94260594430718903</v>
      </c>
      <c r="D1242">
        <v>0.77733258019497797</v>
      </c>
      <c r="E1242">
        <v>0.53762589538227201</v>
      </c>
      <c r="F1242">
        <v>0.46911880300388697</v>
      </c>
      <c r="G1242">
        <v>0.30001897814893203</v>
      </c>
      <c r="H1242">
        <v>0.26594986769826601</v>
      </c>
      <c r="I1242">
        <v>0.25848343507097399</v>
      </c>
      <c r="J1242">
        <v>0.35341844932681798</v>
      </c>
      <c r="K1242">
        <v>0.41583744207582302</v>
      </c>
      <c r="L1242">
        <v>898.62442655878795</v>
      </c>
      <c r="M1242">
        <v>18.6958331898545</v>
      </c>
      <c r="N1242">
        <v>50.7720062096476</v>
      </c>
      <c r="O1242">
        <v>47.525706302046402</v>
      </c>
      <c r="P1242">
        <v>-6.7326718853282605E-2</v>
      </c>
      <c r="Q1242">
        <v>0.31543806680630698</v>
      </c>
      <c r="R1242">
        <v>0.96473754480528895</v>
      </c>
      <c r="S1242" t="s">
        <v>7103</v>
      </c>
      <c r="T1242" t="s">
        <v>11720</v>
      </c>
      <c r="U1242" t="s">
        <v>11720</v>
      </c>
      <c r="V1242" t="s">
        <v>11720</v>
      </c>
      <c r="W1242" t="s">
        <v>12930</v>
      </c>
      <c r="X1242">
        <v>8</v>
      </c>
      <c r="Y1242" t="s">
        <v>18719</v>
      </c>
      <c r="Z1242" t="s">
        <v>24449</v>
      </c>
      <c r="AA1242">
        <v>0.51068080572217456</v>
      </c>
      <c r="AB1242" t="str">
        <f>HYPERLINK("Melting_Curves/meltCurve_O14558_HSPB6.pdf", "Melting_Curves/meltCurve_O14558_HSPB6.pdf")</f>
        <v>Melting_Curves/meltCurve_O14558_HSPB6.pdf</v>
      </c>
    </row>
    <row r="1243" spans="1:28" x14ac:dyDescent="0.25">
      <c r="A1243" t="s">
        <v>1247</v>
      </c>
      <c r="B1243">
        <v>0.99334974765950101</v>
      </c>
      <c r="C1243">
        <v>0.972785304828931</v>
      </c>
      <c r="D1243">
        <v>0.841936923311701</v>
      </c>
      <c r="E1243">
        <v>0.89012671305162705</v>
      </c>
      <c r="F1243">
        <v>0.78303454420877805</v>
      </c>
      <c r="G1243">
        <v>0.74579826337075805</v>
      </c>
      <c r="H1243">
        <v>0.63057798309045199</v>
      </c>
      <c r="I1243">
        <v>0.935327268386134</v>
      </c>
      <c r="J1243">
        <v>0.465389462720251</v>
      </c>
      <c r="K1243">
        <v>0.46906590062859899</v>
      </c>
      <c r="L1243">
        <v>306.21199725420598</v>
      </c>
      <c r="M1243">
        <v>4.2230529073414003</v>
      </c>
      <c r="O1243">
        <v>60.525458111313398</v>
      </c>
      <c r="P1243">
        <v>-1.76313886641239E-2</v>
      </c>
      <c r="Q1243">
        <v>0</v>
      </c>
      <c r="R1243">
        <v>0.64439481245822905</v>
      </c>
      <c r="S1243" t="s">
        <v>7104</v>
      </c>
      <c r="T1243" t="s">
        <v>11720</v>
      </c>
      <c r="U1243" t="s">
        <v>11720</v>
      </c>
      <c r="V1243" t="s">
        <v>11720</v>
      </c>
      <c r="W1243" t="s">
        <v>12931</v>
      </c>
      <c r="X1243">
        <v>2</v>
      </c>
      <c r="Y1243" t="s">
        <v>18720</v>
      </c>
      <c r="Z1243" t="s">
        <v>24450</v>
      </c>
      <c r="AA1243">
        <v>0.77945872977846686</v>
      </c>
      <c r="AB1243" t="str">
        <f>HYPERLINK("Melting_Curves/meltCurve_O14561_NDUFAB1.pdf", "Melting_Curves/meltCurve_O14561_NDUFAB1.pdf")</f>
        <v>Melting_Curves/meltCurve_O14561_NDUFAB1.pdf</v>
      </c>
    </row>
    <row r="1244" spans="1:28" x14ac:dyDescent="0.25">
      <c r="A1244" t="s">
        <v>1248</v>
      </c>
      <c r="B1244">
        <v>0.99334974765950101</v>
      </c>
      <c r="C1244">
        <v>1.00378464637309</v>
      </c>
      <c r="D1244">
        <v>0.94151240463952701</v>
      </c>
      <c r="E1244">
        <v>0.65327199140149095</v>
      </c>
      <c r="F1244">
        <v>0.88234042219324005</v>
      </c>
      <c r="G1244">
        <v>0.62137809518001297</v>
      </c>
      <c r="H1244">
        <v>0.53426583236960401</v>
      </c>
      <c r="I1244">
        <v>0.315350811006812</v>
      </c>
      <c r="J1244">
        <v>0.397583835128001</v>
      </c>
      <c r="K1244">
        <v>0.32429996228212399</v>
      </c>
      <c r="L1244">
        <v>476.78172418095897</v>
      </c>
      <c r="M1244">
        <v>8.0939119040736394</v>
      </c>
      <c r="N1244">
        <v>60.949559317184203</v>
      </c>
      <c r="O1244">
        <v>55.637371887961898</v>
      </c>
      <c r="P1244">
        <v>-3.2082199820241401E-2</v>
      </c>
      <c r="Q1244">
        <v>0.11882457697042401</v>
      </c>
      <c r="R1244">
        <v>0.90004105390604705</v>
      </c>
      <c r="S1244" t="s">
        <v>7105</v>
      </c>
      <c r="T1244" t="s">
        <v>11720</v>
      </c>
      <c r="U1244" t="s">
        <v>11720</v>
      </c>
      <c r="V1244" t="s">
        <v>11720</v>
      </c>
      <c r="W1244" t="s">
        <v>12932</v>
      </c>
      <c r="X1244">
        <v>1</v>
      </c>
      <c r="Y1244" t="s">
        <v>18721</v>
      </c>
      <c r="Z1244" t="s">
        <v>24451</v>
      </c>
      <c r="AA1244">
        <v>0.67060344740427402</v>
      </c>
      <c r="AB1244" t="str">
        <f>HYPERLINK("Melting_Curves/meltCurve_O14569_CYB561D2.pdf", "Melting_Curves/meltCurve_O14569_CYB561D2.pdf")</f>
        <v>Melting_Curves/meltCurve_O14569_CYB561D2.pdf</v>
      </c>
    </row>
    <row r="1245" spans="1:28" x14ac:dyDescent="0.25">
      <c r="A1245" t="s">
        <v>1249</v>
      </c>
      <c r="B1245">
        <v>0.99334974765950101</v>
      </c>
      <c r="C1245">
        <v>1.0155805809609799</v>
      </c>
      <c r="D1245">
        <v>0.92054493055751696</v>
      </c>
      <c r="E1245">
        <v>0.72818548855732401</v>
      </c>
      <c r="F1245">
        <v>0.52893906676506997</v>
      </c>
      <c r="G1245">
        <v>0.212131332469393</v>
      </c>
      <c r="H1245">
        <v>0.171894459452089</v>
      </c>
      <c r="I1245">
        <v>0.16188977924436701</v>
      </c>
      <c r="J1245">
        <v>0.138639089685026</v>
      </c>
      <c r="K1245">
        <v>0.124905269196882</v>
      </c>
      <c r="L1245">
        <v>1054.09610593196</v>
      </c>
      <c r="M1245">
        <v>20.211622289782198</v>
      </c>
      <c r="N1245">
        <v>52.898049768615799</v>
      </c>
      <c r="O1245">
        <v>51.650482398085799</v>
      </c>
      <c r="P1245">
        <v>-8.5712788661541098E-2</v>
      </c>
      <c r="Q1245">
        <v>0.123876616056072</v>
      </c>
      <c r="R1245">
        <v>0.995990820559157</v>
      </c>
      <c r="S1245" t="s">
        <v>7106</v>
      </c>
      <c r="T1245" t="s">
        <v>11720</v>
      </c>
      <c r="U1245" t="s">
        <v>11720</v>
      </c>
      <c r="V1245" t="s">
        <v>11720</v>
      </c>
      <c r="W1245" t="s">
        <v>12933</v>
      </c>
      <c r="X1245">
        <v>13</v>
      </c>
      <c r="Y1245" t="s">
        <v>18722</v>
      </c>
      <c r="Z1245" t="s">
        <v>24452</v>
      </c>
      <c r="AA1245">
        <v>0.49068419236965588</v>
      </c>
      <c r="AB1245" t="str">
        <f>HYPERLINK("Melting_Curves/meltCurve_O14579_COPE.pdf", "Melting_Curves/meltCurve_O14579_COPE.pdf")</f>
        <v>Melting_Curves/meltCurve_O14579_COPE.pdf</v>
      </c>
    </row>
    <row r="1246" spans="1:28" x14ac:dyDescent="0.25">
      <c r="A1246" t="s">
        <v>1250</v>
      </c>
      <c r="B1246">
        <v>0.99334974765950101</v>
      </c>
      <c r="C1246">
        <v>0.93350198345982005</v>
      </c>
      <c r="D1246">
        <v>0.81776943441112704</v>
      </c>
      <c r="E1246">
        <v>0.64609117228771296</v>
      </c>
      <c r="F1246">
        <v>0.62033735026722303</v>
      </c>
      <c r="G1246">
        <v>0.45883115194507401</v>
      </c>
      <c r="H1246">
        <v>0.35716494720869701</v>
      </c>
      <c r="I1246">
        <v>0.26141919439348998</v>
      </c>
      <c r="J1246">
        <v>0.27276704369473997</v>
      </c>
      <c r="K1246">
        <v>0.29251833603968402</v>
      </c>
      <c r="L1246">
        <v>520.15253343300003</v>
      </c>
      <c r="M1246">
        <v>9.9463581639960594</v>
      </c>
      <c r="N1246">
        <v>55.115293835893702</v>
      </c>
      <c r="O1246">
        <v>50.313594619551601</v>
      </c>
      <c r="P1246">
        <v>-3.9586848940580698E-2</v>
      </c>
      <c r="Q1246">
        <v>0.19939811091220599</v>
      </c>
      <c r="R1246">
        <v>0.98655526273119798</v>
      </c>
      <c r="S1246" t="s">
        <v>7107</v>
      </c>
      <c r="T1246" t="s">
        <v>11720</v>
      </c>
      <c r="U1246" t="s">
        <v>11720</v>
      </c>
      <c r="V1246" t="s">
        <v>11720</v>
      </c>
      <c r="W1246" t="s">
        <v>12934</v>
      </c>
      <c r="X1246">
        <v>4</v>
      </c>
      <c r="Y1246" t="s">
        <v>18723</v>
      </c>
      <c r="Z1246" t="s">
        <v>24453</v>
      </c>
      <c r="AA1246">
        <v>0.55721764093022219</v>
      </c>
      <c r="AB1246" t="str">
        <f>HYPERLINK("Melting_Curves/meltCurve_O14613_CDC42EP2.pdf", "Melting_Curves/meltCurve_O14613_CDC42EP2.pdf")</f>
        <v>Melting_Curves/meltCurve_O14613_CDC42EP2.pdf</v>
      </c>
    </row>
    <row r="1247" spans="1:28" x14ac:dyDescent="0.25">
      <c r="A1247" t="s">
        <v>1251</v>
      </c>
      <c r="B1247">
        <v>0.99334974765950101</v>
      </c>
      <c r="C1247">
        <v>0.98716387551920104</v>
      </c>
      <c r="D1247">
        <v>1.1753729673492399</v>
      </c>
      <c r="E1247">
        <v>1.1123735418382701</v>
      </c>
      <c r="F1247">
        <v>0.28278811946522198</v>
      </c>
      <c r="G1247">
        <v>0.15021612608082699</v>
      </c>
      <c r="H1247">
        <v>9.2726059530683705E-2</v>
      </c>
      <c r="I1247">
        <v>7.0541321423897393E-2</v>
      </c>
      <c r="J1247">
        <v>5.7027610058053402E-2</v>
      </c>
      <c r="K1247">
        <v>3.3761192717716E-2</v>
      </c>
      <c r="L1247">
        <v>13182.826400894201</v>
      </c>
      <c r="M1247">
        <v>250</v>
      </c>
      <c r="N1247">
        <v>52.768537459900898</v>
      </c>
      <c r="O1247">
        <v>52.727943555039303</v>
      </c>
      <c r="P1247">
        <v>-1.0894909259118</v>
      </c>
      <c r="Q1247">
        <v>8.0854359807078793E-2</v>
      </c>
      <c r="R1247">
        <v>0.97708934065293596</v>
      </c>
      <c r="S1247" t="s">
        <v>7108</v>
      </c>
      <c r="T1247" t="s">
        <v>11720</v>
      </c>
      <c r="U1247" t="s">
        <v>11720</v>
      </c>
      <c r="V1247" t="s">
        <v>11720</v>
      </c>
      <c r="W1247" t="s">
        <v>12935</v>
      </c>
      <c r="X1247">
        <v>7</v>
      </c>
      <c r="Y1247" t="s">
        <v>18724</v>
      </c>
      <c r="Z1247" t="s">
        <v>24454</v>
      </c>
      <c r="AA1247">
        <v>0.47100355460309562</v>
      </c>
      <c r="AB1247" t="str">
        <f>HYPERLINK("Melting_Curves/meltCurve_O14617_4_AP3D1.pdf", "Melting_Curves/meltCurve_O14617_4_AP3D1.pdf")</f>
        <v>Melting_Curves/meltCurve_O14617_4_AP3D1.pdf</v>
      </c>
    </row>
    <row r="1248" spans="1:28" x14ac:dyDescent="0.25">
      <c r="A1248" t="s">
        <v>1252</v>
      </c>
      <c r="B1248">
        <v>0.99334974765950101</v>
      </c>
      <c r="C1248">
        <v>0.74645101861408303</v>
      </c>
      <c r="D1248">
        <v>0.368145785028613</v>
      </c>
      <c r="E1248">
        <v>8.5401701827931206E-2</v>
      </c>
      <c r="F1248">
        <v>6.64925345833699E-2</v>
      </c>
      <c r="G1248">
        <v>4.6963184559542001E-2</v>
      </c>
      <c r="H1248">
        <v>3.5835885189122001E-2</v>
      </c>
      <c r="I1248">
        <v>3.63783853371673E-2</v>
      </c>
      <c r="J1248">
        <v>2.5722025425218301E-2</v>
      </c>
      <c r="K1248">
        <v>2.2227536783282102E-2</v>
      </c>
      <c r="L1248">
        <v>1151.7334305672</v>
      </c>
      <c r="M1248">
        <v>25.717146604253699</v>
      </c>
      <c r="N1248">
        <v>44.9074595047407</v>
      </c>
      <c r="O1248">
        <v>44.516496121984602</v>
      </c>
      <c r="P1248">
        <v>-0.13952235550737699</v>
      </c>
      <c r="Q1248">
        <v>3.3956438282993703E-2</v>
      </c>
      <c r="R1248">
        <v>0.99790783648332204</v>
      </c>
      <c r="S1248" t="s">
        <v>7109</v>
      </c>
      <c r="T1248" t="s">
        <v>11720</v>
      </c>
      <c r="U1248" t="s">
        <v>11720</v>
      </c>
      <c r="V1248" t="s">
        <v>11720</v>
      </c>
      <c r="W1248" t="s">
        <v>12936</v>
      </c>
      <c r="X1248">
        <v>4</v>
      </c>
      <c r="Y1248" t="s">
        <v>18725</v>
      </c>
      <c r="Z1248" t="s">
        <v>24455</v>
      </c>
      <c r="AA1248">
        <v>0.19723442383536641</v>
      </c>
      <c r="AB1248" t="str">
        <f>HYPERLINK("Melting_Curves/meltCurve_O14640_2_DVL1.pdf", "Melting_Curves/meltCurve_O14640_2_DVL1.pdf")</f>
        <v>Melting_Curves/meltCurve_O14640_2_DVL1.pdf</v>
      </c>
    </row>
    <row r="1249" spans="1:28" x14ac:dyDescent="0.25">
      <c r="A1249" t="s">
        <v>1253</v>
      </c>
      <c r="B1249">
        <v>0.99334974765950101</v>
      </c>
      <c r="C1249">
        <v>0.97358196952571296</v>
      </c>
      <c r="D1249">
        <v>0.93974393204815598</v>
      </c>
      <c r="E1249">
        <v>0.79558014259319898</v>
      </c>
      <c r="F1249">
        <v>0.58669342404607105</v>
      </c>
      <c r="G1249">
        <v>0.35403634744263801</v>
      </c>
      <c r="H1249">
        <v>0.23267372263967701</v>
      </c>
      <c r="I1249">
        <v>0.17368627406234899</v>
      </c>
      <c r="J1249">
        <v>0.18166718941102</v>
      </c>
      <c r="K1249">
        <v>0.145335098607971</v>
      </c>
      <c r="L1249">
        <v>898.49064808385299</v>
      </c>
      <c r="M1249">
        <v>16.8519726592098</v>
      </c>
      <c r="N1249">
        <v>54.352818849170603</v>
      </c>
      <c r="O1249">
        <v>52.582843048050002</v>
      </c>
      <c r="P1249">
        <v>-6.9118159154996306E-2</v>
      </c>
      <c r="Q1249">
        <v>0.13738363129192299</v>
      </c>
      <c r="R1249">
        <v>0.99932028263553796</v>
      </c>
      <c r="S1249" t="s">
        <v>7110</v>
      </c>
      <c r="T1249" t="s">
        <v>11720</v>
      </c>
      <c r="U1249" t="s">
        <v>11720</v>
      </c>
      <c r="V1249" t="s">
        <v>11720</v>
      </c>
      <c r="W1249" t="s">
        <v>12937</v>
      </c>
      <c r="X1249">
        <v>11</v>
      </c>
      <c r="Y1249" t="s">
        <v>18726</v>
      </c>
      <c r="Z1249" t="s">
        <v>24456</v>
      </c>
      <c r="AA1249">
        <v>0.53580970009885887</v>
      </c>
      <c r="AB1249" t="str">
        <f>HYPERLINK("Melting_Curves/meltCurve_O14656_TOR1A.pdf", "Melting_Curves/meltCurve_O14656_TOR1A.pdf")</f>
        <v>Melting_Curves/meltCurve_O14656_TOR1A.pdf</v>
      </c>
    </row>
    <row r="1250" spans="1:28" x14ac:dyDescent="0.25">
      <c r="A1250" t="s">
        <v>1254</v>
      </c>
      <c r="B1250">
        <v>0.99334974765950101</v>
      </c>
      <c r="C1250">
        <v>1.00682198159438</v>
      </c>
      <c r="D1250">
        <v>0.94201553491938095</v>
      </c>
      <c r="E1250">
        <v>0.71682179778546995</v>
      </c>
      <c r="F1250">
        <v>0.36125106533635698</v>
      </c>
      <c r="G1250">
        <v>0.26514137006307398</v>
      </c>
      <c r="H1250">
        <v>0.192381687192789</v>
      </c>
      <c r="I1250">
        <v>0.16728766692375599</v>
      </c>
      <c r="J1250">
        <v>0.127684695818884</v>
      </c>
      <c r="K1250">
        <v>0.110696455906823</v>
      </c>
      <c r="L1250">
        <v>1244.4850278076501</v>
      </c>
      <c r="M1250">
        <v>24.3181546577005</v>
      </c>
      <c r="N1250">
        <v>51.928942775682401</v>
      </c>
      <c r="O1250">
        <v>50.832849795714601</v>
      </c>
      <c r="P1250">
        <v>-0.101814350883184</v>
      </c>
      <c r="Q1250">
        <v>0.14871238994619401</v>
      </c>
      <c r="R1250">
        <v>0.99356948321030703</v>
      </c>
      <c r="S1250" t="s">
        <v>7111</v>
      </c>
      <c r="T1250" t="s">
        <v>11720</v>
      </c>
      <c r="U1250" t="s">
        <v>11720</v>
      </c>
      <c r="V1250" t="s">
        <v>11720</v>
      </c>
      <c r="W1250" t="s">
        <v>12938</v>
      </c>
      <c r="X1250">
        <v>9</v>
      </c>
      <c r="Y1250" t="s">
        <v>18727</v>
      </c>
      <c r="Z1250" t="s">
        <v>24457</v>
      </c>
      <c r="AA1250">
        <v>0.4739543780594252</v>
      </c>
      <c r="AB1250" t="str">
        <f>HYPERLINK("Melting_Curves/meltCurve_O14657_TOR1B.pdf", "Melting_Curves/meltCurve_O14657_TOR1B.pdf")</f>
        <v>Melting_Curves/meltCurve_O14657_TOR1B.pdf</v>
      </c>
    </row>
    <row r="1251" spans="1:28" x14ac:dyDescent="0.25">
      <c r="A1251" t="s">
        <v>1255</v>
      </c>
      <c r="B1251">
        <v>0.99334974765950101</v>
      </c>
      <c r="C1251">
        <v>0.89022181254658095</v>
      </c>
      <c r="D1251">
        <v>0.94836670317513905</v>
      </c>
      <c r="E1251">
        <v>0.59892430001980201</v>
      </c>
      <c r="F1251">
        <v>0.202367221352421</v>
      </c>
      <c r="G1251">
        <v>0.14506403690780301</v>
      </c>
      <c r="H1251">
        <v>8.8821171313708397E-2</v>
      </c>
      <c r="I1251">
        <v>6.0798425993423499E-2</v>
      </c>
      <c r="J1251">
        <v>5.4790266029371003E-2</v>
      </c>
      <c r="K1251">
        <v>4.9176610246106499E-2</v>
      </c>
      <c r="L1251">
        <v>1533.6970523085099</v>
      </c>
      <c r="M1251">
        <v>30.4656806550631</v>
      </c>
      <c r="N1251">
        <v>50.5881471075853</v>
      </c>
      <c r="O1251">
        <v>50.126406204501798</v>
      </c>
      <c r="P1251">
        <v>-0.14147017555438199</v>
      </c>
      <c r="Q1251">
        <v>6.8939848298634601E-2</v>
      </c>
      <c r="R1251">
        <v>0.98934703073670405</v>
      </c>
      <c r="S1251" t="s">
        <v>7112</v>
      </c>
      <c r="T1251" t="s">
        <v>11720</v>
      </c>
      <c r="U1251" t="s">
        <v>11720</v>
      </c>
      <c r="V1251" t="s">
        <v>11720</v>
      </c>
      <c r="W1251" t="s">
        <v>12939</v>
      </c>
      <c r="X1251">
        <v>5</v>
      </c>
      <c r="Y1251" t="s">
        <v>18728</v>
      </c>
      <c r="Z1251" t="s">
        <v>24458</v>
      </c>
      <c r="AA1251">
        <v>0.39551479154198721</v>
      </c>
      <c r="AB1251" t="str">
        <f>HYPERLINK("Melting_Curves/meltCurve_O14662_2_STX16.pdf", "Melting_Curves/meltCurve_O14662_2_STX16.pdf")</f>
        <v>Melting_Curves/meltCurve_O14662_2_STX16.pdf</v>
      </c>
    </row>
    <row r="1252" spans="1:28" x14ac:dyDescent="0.25">
      <c r="A1252" t="s">
        <v>1256</v>
      </c>
      <c r="B1252">
        <v>0.99334974765950101</v>
      </c>
      <c r="C1252">
        <v>0.91544578348498096</v>
      </c>
      <c r="D1252">
        <v>0.93147737824476695</v>
      </c>
      <c r="E1252">
        <v>0.89047151614821496</v>
      </c>
      <c r="F1252">
        <v>0.71609526099232101</v>
      </c>
      <c r="G1252">
        <v>0.54740895269360101</v>
      </c>
      <c r="H1252">
        <v>0.371923695879261</v>
      </c>
      <c r="I1252">
        <v>0.28469436588735503</v>
      </c>
      <c r="J1252">
        <v>0.22628809090479199</v>
      </c>
      <c r="K1252">
        <v>0.17499199016101499</v>
      </c>
      <c r="L1252">
        <v>642.41274553673099</v>
      </c>
      <c r="M1252">
        <v>11.219431407220901</v>
      </c>
      <c r="N1252">
        <v>58.012183734970399</v>
      </c>
      <c r="O1252">
        <v>55.5302430950074</v>
      </c>
      <c r="P1252">
        <v>-4.7101523125205498E-2</v>
      </c>
      <c r="Q1252">
        <v>6.7781036948549894E-2</v>
      </c>
      <c r="R1252">
        <v>0.99321925943558897</v>
      </c>
      <c r="S1252" t="s">
        <v>7113</v>
      </c>
      <c r="T1252" t="s">
        <v>11720</v>
      </c>
      <c r="U1252" t="s">
        <v>11720</v>
      </c>
      <c r="V1252" t="s">
        <v>11720</v>
      </c>
      <c r="W1252" t="s">
        <v>12940</v>
      </c>
      <c r="X1252">
        <v>20</v>
      </c>
      <c r="Y1252" t="s">
        <v>18729</v>
      </c>
      <c r="Z1252" t="s">
        <v>24459</v>
      </c>
      <c r="AA1252">
        <v>0.61853328697035481</v>
      </c>
      <c r="AB1252" t="str">
        <f>HYPERLINK("Melting_Curves/meltCurve_O14672_ADAM10.pdf", "Melting_Curves/meltCurve_O14672_ADAM10.pdf")</f>
        <v>Melting_Curves/meltCurve_O14672_ADAM10.pdf</v>
      </c>
    </row>
    <row r="1253" spans="1:28" x14ac:dyDescent="0.25">
      <c r="A1253" t="s">
        <v>1257</v>
      </c>
      <c r="B1253">
        <v>0.99334974765950101</v>
      </c>
      <c r="C1253">
        <v>1.0091381674973401</v>
      </c>
      <c r="D1253">
        <v>0.83442300652855705</v>
      </c>
      <c r="E1253">
        <v>0.79275755811358795</v>
      </c>
      <c r="F1253">
        <v>1.11274471918831</v>
      </c>
      <c r="G1253">
        <v>0.55581261682523397</v>
      </c>
      <c r="H1253">
        <v>0.55366291252165201</v>
      </c>
      <c r="I1253">
        <v>0.246591374516546</v>
      </c>
      <c r="J1253">
        <v>0.24462238496469299</v>
      </c>
      <c r="K1253">
        <v>0.107177573943518</v>
      </c>
      <c r="L1253">
        <v>836.68169335721598</v>
      </c>
      <c r="M1253">
        <v>13.860161261684199</v>
      </c>
      <c r="N1253">
        <v>60.365942312793898</v>
      </c>
      <c r="O1253">
        <v>59.150947031481003</v>
      </c>
      <c r="P1253">
        <v>-5.8587686834547903E-2</v>
      </c>
      <c r="Q1253">
        <v>0</v>
      </c>
      <c r="R1253">
        <v>0.88014220226274797</v>
      </c>
      <c r="S1253" t="s">
        <v>7114</v>
      </c>
      <c r="T1253" t="s">
        <v>11720</v>
      </c>
      <c r="U1253" t="s">
        <v>11720</v>
      </c>
      <c r="V1253" t="s">
        <v>11720</v>
      </c>
      <c r="W1253" t="s">
        <v>12941</v>
      </c>
      <c r="X1253">
        <v>2</v>
      </c>
      <c r="Y1253" t="s">
        <v>18730</v>
      </c>
      <c r="Z1253" t="s">
        <v>24460</v>
      </c>
      <c r="AA1253">
        <v>0.68277474181958742</v>
      </c>
      <c r="AB1253" t="str">
        <f>HYPERLINK("Melting_Curves/meltCurve_O14732_2_IMPA2.pdf", "Melting_Curves/meltCurve_O14732_2_IMPA2.pdf")</f>
        <v>Melting_Curves/meltCurve_O14732_2_IMPA2.pdf</v>
      </c>
    </row>
    <row r="1254" spans="1:28" x14ac:dyDescent="0.25">
      <c r="A1254" t="s">
        <v>1258</v>
      </c>
      <c r="B1254">
        <v>0.99334974765950101</v>
      </c>
      <c r="C1254">
        <v>0.97371005215335105</v>
      </c>
      <c r="D1254">
        <v>0.89219485853278302</v>
      </c>
      <c r="E1254">
        <v>0.94821619655318901</v>
      </c>
      <c r="F1254">
        <v>0.88300716843829796</v>
      </c>
      <c r="G1254">
        <v>1.17870009995762</v>
      </c>
      <c r="H1254">
        <v>0.67706816119681101</v>
      </c>
      <c r="I1254">
        <v>0.439724239966028</v>
      </c>
      <c r="J1254">
        <v>0.35288448518390497</v>
      </c>
      <c r="K1254">
        <v>0.288753646016634</v>
      </c>
      <c r="L1254">
        <v>3597.29958061036</v>
      </c>
      <c r="M1254">
        <v>58.781179781415702</v>
      </c>
      <c r="N1254">
        <v>62.402973088802</v>
      </c>
      <c r="O1254">
        <v>61.127441497290903</v>
      </c>
      <c r="P1254">
        <v>-0.15884187172015801</v>
      </c>
      <c r="Q1254">
        <v>0.339271996666346</v>
      </c>
      <c r="R1254">
        <v>0.91682179142664599</v>
      </c>
      <c r="S1254" t="s">
        <v>7115</v>
      </c>
      <c r="T1254" t="s">
        <v>11720</v>
      </c>
      <c r="U1254" t="s">
        <v>11720</v>
      </c>
      <c r="V1254" t="s">
        <v>11720</v>
      </c>
      <c r="W1254" t="s">
        <v>12942</v>
      </c>
      <c r="X1254">
        <v>6</v>
      </c>
      <c r="Y1254" t="s">
        <v>18731</v>
      </c>
      <c r="Z1254" t="s">
        <v>24461</v>
      </c>
      <c r="AA1254">
        <v>0.80741501288797102</v>
      </c>
      <c r="AB1254" t="str">
        <f>HYPERLINK("Melting_Curves/meltCurve_O14734_ACOT8.pdf", "Melting_Curves/meltCurve_O14734_ACOT8.pdf")</f>
        <v>Melting_Curves/meltCurve_O14734_ACOT8.pdf</v>
      </c>
    </row>
    <row r="1255" spans="1:28" x14ac:dyDescent="0.25">
      <c r="A1255" t="s">
        <v>1259</v>
      </c>
      <c r="B1255">
        <v>0.99334974765950101</v>
      </c>
      <c r="C1255">
        <v>1.00397673902957</v>
      </c>
      <c r="D1255">
        <v>0.91445971877374899</v>
      </c>
      <c r="E1255">
        <v>0.79510421546630194</v>
      </c>
      <c r="F1255">
        <v>0.76164709683201404</v>
      </c>
      <c r="G1255">
        <v>0.71747034826479394</v>
      </c>
      <c r="H1255">
        <v>0.79889071461871397</v>
      </c>
      <c r="I1255">
        <v>0.86781663063232795</v>
      </c>
      <c r="J1255">
        <v>1.15306671021622</v>
      </c>
      <c r="K1255">
        <v>0.886782682690338</v>
      </c>
      <c r="L1255">
        <v>11483.7345550722</v>
      </c>
      <c r="M1255">
        <v>250</v>
      </c>
      <c r="O1255">
        <v>45.9319993781764</v>
      </c>
      <c r="P1255">
        <v>-0.19812316338536101</v>
      </c>
      <c r="Q1255">
        <v>0.85439691407638296</v>
      </c>
      <c r="R1255">
        <v>0.20999242871722301</v>
      </c>
      <c r="S1255" t="s">
        <v>7116</v>
      </c>
      <c r="T1255" t="s">
        <v>11720</v>
      </c>
      <c r="U1255" t="s">
        <v>11720</v>
      </c>
      <c r="V1255" t="s">
        <v>11720</v>
      </c>
      <c r="W1255" t="s">
        <v>12943</v>
      </c>
      <c r="X1255">
        <v>14</v>
      </c>
      <c r="Y1255" t="s">
        <v>18732</v>
      </c>
      <c r="Z1255" t="s">
        <v>24462</v>
      </c>
      <c r="AA1255">
        <v>0.88321349587196851</v>
      </c>
      <c r="AB1255" t="str">
        <f>HYPERLINK("Melting_Curves/meltCurve_O14737_PDCD5.pdf", "Melting_Curves/meltCurve_O14737_PDCD5.pdf")</f>
        <v>Melting_Curves/meltCurve_O14737_PDCD5.pdf</v>
      </c>
    </row>
    <row r="1256" spans="1:28" x14ac:dyDescent="0.25">
      <c r="A1256" t="s">
        <v>1260</v>
      </c>
      <c r="B1256">
        <v>0.99334974765950101</v>
      </c>
      <c r="C1256">
        <v>1.07666881338493</v>
      </c>
      <c r="D1256">
        <v>1.30808819860718</v>
      </c>
      <c r="E1256">
        <v>2.1402313758701998</v>
      </c>
      <c r="F1256">
        <v>2.50183863902868</v>
      </c>
      <c r="G1256">
        <v>1.0213351530708501</v>
      </c>
      <c r="H1256">
        <v>0.485962928882403</v>
      </c>
      <c r="I1256">
        <v>0.33763978204278</v>
      </c>
      <c r="J1256">
        <v>0.296523627494442</v>
      </c>
      <c r="K1256">
        <v>0.23849295719505301</v>
      </c>
      <c r="L1256">
        <v>5037.6918671888398</v>
      </c>
      <c r="M1256">
        <v>83.520522359978798</v>
      </c>
      <c r="N1256">
        <v>60.943521529521099</v>
      </c>
      <c r="O1256">
        <v>60.282260777151002</v>
      </c>
      <c r="P1256">
        <v>-0.24655503617823299</v>
      </c>
      <c r="Q1256">
        <v>0.288180057660267</v>
      </c>
      <c r="R1256">
        <v>0.324246100139021</v>
      </c>
      <c r="S1256" t="s">
        <v>7117</v>
      </c>
      <c r="T1256" t="s">
        <v>11720</v>
      </c>
      <c r="U1256" t="s">
        <v>11720</v>
      </c>
      <c r="V1256" t="s">
        <v>11720</v>
      </c>
      <c r="W1256" t="s">
        <v>12944</v>
      </c>
      <c r="X1256">
        <v>6</v>
      </c>
      <c r="Y1256" t="s">
        <v>18733</v>
      </c>
      <c r="Z1256" t="s">
        <v>24463</v>
      </c>
      <c r="AA1256">
        <v>0.7709199292831328</v>
      </c>
      <c r="AB1256" t="str">
        <f>HYPERLINK("Melting_Curves/meltCurve_O14744_PRMT5.pdf", "Melting_Curves/meltCurve_O14744_PRMT5.pdf")</f>
        <v>Melting_Curves/meltCurve_O14744_PRMT5.pdf</v>
      </c>
    </row>
    <row r="1257" spans="1:28" x14ac:dyDescent="0.25">
      <c r="A1257" t="s">
        <v>1261</v>
      </c>
      <c r="B1257">
        <v>0.99334974765950101</v>
      </c>
      <c r="C1257">
        <v>0.99815322642075399</v>
      </c>
      <c r="D1257">
        <v>0.90637661407658499</v>
      </c>
      <c r="E1257">
        <v>0.79108919783082099</v>
      </c>
      <c r="F1257">
        <v>0.81415290987382805</v>
      </c>
      <c r="G1257">
        <v>0.60014274685142199</v>
      </c>
      <c r="H1257">
        <v>0.51184838200845695</v>
      </c>
      <c r="I1257">
        <v>0.56967509724926602</v>
      </c>
      <c r="J1257">
        <v>0.65548945743309495</v>
      </c>
      <c r="K1257">
        <v>0.53987934810104499</v>
      </c>
      <c r="L1257">
        <v>764.46404254296601</v>
      </c>
      <c r="M1257">
        <v>14.8445335736217</v>
      </c>
      <c r="O1257">
        <v>50.590550512116003</v>
      </c>
      <c r="P1257">
        <v>-3.2997321697289597E-2</v>
      </c>
      <c r="Q1257">
        <v>0.55022446453667195</v>
      </c>
      <c r="R1257">
        <v>0.91754618685425904</v>
      </c>
      <c r="S1257" t="s">
        <v>7118</v>
      </c>
      <c r="T1257" t="s">
        <v>11720</v>
      </c>
      <c r="U1257" t="s">
        <v>11720</v>
      </c>
      <c r="V1257" t="s">
        <v>11720</v>
      </c>
      <c r="W1257" t="s">
        <v>12945</v>
      </c>
      <c r="X1257">
        <v>23</v>
      </c>
      <c r="Y1257" t="s">
        <v>18734</v>
      </c>
      <c r="Z1257" t="s">
        <v>24464</v>
      </c>
      <c r="AA1257">
        <v>0.73300642845953923</v>
      </c>
      <c r="AB1257" t="str">
        <f>HYPERLINK("Melting_Curves/meltCurve_O14745_SLC9A3R1.pdf", "Melting_Curves/meltCurve_O14745_SLC9A3R1.pdf")</f>
        <v>Melting_Curves/meltCurve_O14745_SLC9A3R1.pdf</v>
      </c>
    </row>
    <row r="1258" spans="1:28" x14ac:dyDescent="0.25">
      <c r="A1258" t="s">
        <v>1262</v>
      </c>
      <c r="B1258">
        <v>0.99334974765950101</v>
      </c>
      <c r="C1258">
        <v>0.92036527336122098</v>
      </c>
      <c r="D1258">
        <v>0.91307746010145296</v>
      </c>
      <c r="E1258">
        <v>0.87266199403929401</v>
      </c>
      <c r="F1258">
        <v>0.88754907843894704</v>
      </c>
      <c r="G1258">
        <v>0.76357868694479603</v>
      </c>
      <c r="H1258">
        <v>0.51404588802986795</v>
      </c>
      <c r="I1258">
        <v>0.473051030761106</v>
      </c>
      <c r="J1258">
        <v>0.46050702813904398</v>
      </c>
      <c r="K1258">
        <v>0.33648340860342901</v>
      </c>
      <c r="L1258">
        <v>493.93579399779702</v>
      </c>
      <c r="M1258">
        <v>7.7958075071739001</v>
      </c>
      <c r="N1258">
        <v>63.8736487025649</v>
      </c>
      <c r="O1258">
        <v>59.595534542320202</v>
      </c>
      <c r="P1258">
        <v>-3.1747272678909699E-2</v>
      </c>
      <c r="Q1258">
        <v>3.04315440678001E-2</v>
      </c>
      <c r="R1258">
        <v>0.96273153601039996</v>
      </c>
      <c r="S1258" t="s">
        <v>7119</v>
      </c>
      <c r="T1258" t="s">
        <v>11720</v>
      </c>
      <c r="U1258" t="s">
        <v>11720</v>
      </c>
      <c r="V1258" t="s">
        <v>11720</v>
      </c>
      <c r="W1258" t="s">
        <v>12946</v>
      </c>
      <c r="X1258">
        <v>10</v>
      </c>
      <c r="Y1258" t="s">
        <v>18735</v>
      </c>
      <c r="Z1258" t="s">
        <v>24465</v>
      </c>
      <c r="AA1258">
        <v>0.73138597225615953</v>
      </c>
      <c r="AB1258" t="str">
        <f>HYPERLINK("Melting_Curves/meltCurve_O14763_2_TNFRSF10B.pdf", "Melting_Curves/meltCurve_O14763_2_TNFRSF10B.pdf")</f>
        <v>Melting_Curves/meltCurve_O14763_2_TNFRSF10B.pdf</v>
      </c>
    </row>
    <row r="1259" spans="1:28" x14ac:dyDescent="0.25">
      <c r="A1259" t="s">
        <v>1263</v>
      </c>
      <c r="B1259">
        <v>0.99334974765950101</v>
      </c>
      <c r="C1259">
        <v>1.0018075484859199</v>
      </c>
      <c r="D1259">
        <v>0.951841005391592</v>
      </c>
      <c r="E1259">
        <v>0.81149832223587604</v>
      </c>
      <c r="F1259">
        <v>0.52759753760773298</v>
      </c>
      <c r="G1259">
        <v>0.17766380408466301</v>
      </c>
      <c r="H1259">
        <v>0.11178552145334</v>
      </c>
      <c r="I1259">
        <v>7.2353286799768698E-2</v>
      </c>
      <c r="J1259">
        <v>5.10279076868215E-2</v>
      </c>
      <c r="K1259">
        <v>3.5213929005174199E-2</v>
      </c>
      <c r="L1259">
        <v>1239.6488575563401</v>
      </c>
      <c r="M1259">
        <v>23.406270229508099</v>
      </c>
      <c r="N1259">
        <v>53.184906142672297</v>
      </c>
      <c r="O1259">
        <v>52.580207293644001</v>
      </c>
      <c r="P1259">
        <v>-0.10609647190117399</v>
      </c>
      <c r="Q1259">
        <v>4.6669642880489297E-2</v>
      </c>
      <c r="R1259">
        <v>0.998835323581026</v>
      </c>
      <c r="S1259" t="s">
        <v>7120</v>
      </c>
      <c r="T1259" t="s">
        <v>11720</v>
      </c>
      <c r="U1259" t="s">
        <v>11720</v>
      </c>
      <c r="V1259" t="s">
        <v>11720</v>
      </c>
      <c r="W1259" t="s">
        <v>12947</v>
      </c>
      <c r="X1259">
        <v>5</v>
      </c>
      <c r="Y1259" t="s">
        <v>18736</v>
      </c>
      <c r="Z1259" t="s">
        <v>24466</v>
      </c>
      <c r="AA1259">
        <v>0.46849832017203757</v>
      </c>
      <c r="AB1259" t="str">
        <f>HYPERLINK("Melting_Curves/meltCurve_O14772_FPGT.pdf", "Melting_Curves/meltCurve_O14772_FPGT.pdf")</f>
        <v>Melting_Curves/meltCurve_O14772_FPGT.pdf</v>
      </c>
    </row>
    <row r="1260" spans="1:28" x14ac:dyDescent="0.25">
      <c r="A1260" t="s">
        <v>1264</v>
      </c>
      <c r="B1260">
        <v>0.99334974765950101</v>
      </c>
      <c r="C1260">
        <v>0.97435823631701501</v>
      </c>
      <c r="D1260">
        <v>0.93926175121912403</v>
      </c>
      <c r="E1260">
        <v>0.78792983270967298</v>
      </c>
      <c r="F1260">
        <v>0.61602742778779795</v>
      </c>
      <c r="G1260">
        <v>0.3535374400779</v>
      </c>
      <c r="H1260">
        <v>0.240601681015193</v>
      </c>
      <c r="I1260">
        <v>0.19703176664392</v>
      </c>
      <c r="J1260">
        <v>0.16962262636637501</v>
      </c>
      <c r="K1260">
        <v>0.15913693260595399</v>
      </c>
      <c r="L1260">
        <v>881.834003034842</v>
      </c>
      <c r="M1260">
        <v>16.494546566619299</v>
      </c>
      <c r="N1260">
        <v>54.5531202135816</v>
      </c>
      <c r="O1260">
        <v>52.694880413706002</v>
      </c>
      <c r="P1260">
        <v>-6.7265756978812694E-2</v>
      </c>
      <c r="Q1260">
        <v>0.14048818097677199</v>
      </c>
      <c r="R1260">
        <v>0.99946205467775395</v>
      </c>
      <c r="S1260" t="s">
        <v>7121</v>
      </c>
      <c r="T1260" t="s">
        <v>11720</v>
      </c>
      <c r="U1260" t="s">
        <v>11720</v>
      </c>
      <c r="V1260" t="s">
        <v>11720</v>
      </c>
      <c r="W1260" t="s">
        <v>12948</v>
      </c>
      <c r="X1260">
        <v>7</v>
      </c>
      <c r="Y1260" t="s">
        <v>18737</v>
      </c>
      <c r="Z1260" t="s">
        <v>24467</v>
      </c>
      <c r="AA1260">
        <v>0.5420705232838684</v>
      </c>
      <c r="AB1260" t="str">
        <f>HYPERLINK("Melting_Curves/meltCurve_O14773_TPP1.pdf", "Melting_Curves/meltCurve_O14773_TPP1.pdf")</f>
        <v>Melting_Curves/meltCurve_O14773_TPP1.pdf</v>
      </c>
    </row>
    <row r="1261" spans="1:28" x14ac:dyDescent="0.25">
      <c r="A1261" t="s">
        <v>1265</v>
      </c>
      <c r="B1261">
        <v>0.99334974765950101</v>
      </c>
      <c r="C1261">
        <v>1.0407969688282801</v>
      </c>
      <c r="D1261">
        <v>0.93783449376083805</v>
      </c>
      <c r="E1261">
        <v>0.38773813874639501</v>
      </c>
      <c r="F1261">
        <v>0.164442708614669</v>
      </c>
      <c r="G1261">
        <v>0.10346371110008</v>
      </c>
      <c r="H1261">
        <v>7.7723849402078604E-2</v>
      </c>
      <c r="I1261">
        <v>7.45560163350837E-2</v>
      </c>
      <c r="J1261">
        <v>6.7340869596084499E-2</v>
      </c>
      <c r="K1261">
        <v>6.9636906364161796E-2</v>
      </c>
      <c r="L1261">
        <v>1788.2524381251401</v>
      </c>
      <c r="M1261">
        <v>36.401388623522102</v>
      </c>
      <c r="N1261">
        <v>49.3635737183291</v>
      </c>
      <c r="O1261">
        <v>48.978387604115902</v>
      </c>
      <c r="P1261">
        <v>-0.17087078351346</v>
      </c>
      <c r="Q1261">
        <v>8.0370289370690295E-2</v>
      </c>
      <c r="R1261">
        <v>0.99783623742830696</v>
      </c>
      <c r="S1261" t="s">
        <v>7122</v>
      </c>
      <c r="T1261" t="s">
        <v>11720</v>
      </c>
      <c r="U1261" t="s">
        <v>11720</v>
      </c>
      <c r="V1261" t="s">
        <v>11720</v>
      </c>
      <c r="W1261" t="s">
        <v>12949</v>
      </c>
      <c r="X1261">
        <v>14</v>
      </c>
      <c r="Y1261" t="s">
        <v>18738</v>
      </c>
      <c r="Z1261" t="s">
        <v>24468</v>
      </c>
      <c r="AA1261">
        <v>0.36390340349625699</v>
      </c>
      <c r="AB1261" t="str">
        <f>HYPERLINK("Melting_Curves/meltCurve_O14776_2_TCERG1.pdf", "Melting_Curves/meltCurve_O14776_2_TCERG1.pdf")</f>
        <v>Melting_Curves/meltCurve_O14776_2_TCERG1.pdf</v>
      </c>
    </row>
    <row r="1262" spans="1:28" x14ac:dyDescent="0.25">
      <c r="A1262" t="s">
        <v>1266</v>
      </c>
      <c r="B1262">
        <v>0.99334974765950101</v>
      </c>
      <c r="C1262">
        <v>0.98836822416825998</v>
      </c>
      <c r="D1262">
        <v>0.94695252553354803</v>
      </c>
      <c r="E1262">
        <v>0.46259413656367798</v>
      </c>
      <c r="F1262">
        <v>0.26295761574994198</v>
      </c>
      <c r="G1262">
        <v>0.26919804199457198</v>
      </c>
      <c r="H1262">
        <v>0.206818533389169</v>
      </c>
      <c r="I1262">
        <v>8.6656986366454095E-2</v>
      </c>
      <c r="J1262">
        <v>6.4583378557525398E-2</v>
      </c>
      <c r="K1262">
        <v>3.3946993162693201E-2</v>
      </c>
      <c r="L1262">
        <v>1246.8672234783101</v>
      </c>
      <c r="M1262">
        <v>25.171830783063001</v>
      </c>
      <c r="N1262">
        <v>50.075833872185598</v>
      </c>
      <c r="O1262">
        <v>49.2247740717103</v>
      </c>
      <c r="P1262">
        <v>-0.112608573150234</v>
      </c>
      <c r="Q1262">
        <v>0.119164743475643</v>
      </c>
      <c r="R1262">
        <v>0.97323513780528303</v>
      </c>
      <c r="S1262" t="s">
        <v>7123</v>
      </c>
      <c r="T1262" t="s">
        <v>11720</v>
      </c>
      <c r="U1262" t="s">
        <v>11720</v>
      </c>
      <c r="V1262" t="s">
        <v>11720</v>
      </c>
      <c r="W1262" t="s">
        <v>12950</v>
      </c>
      <c r="X1262">
        <v>15</v>
      </c>
      <c r="Y1262" t="s">
        <v>18739</v>
      </c>
      <c r="Z1262" t="s">
        <v>24469</v>
      </c>
      <c r="AA1262">
        <v>0.40683025741230261</v>
      </c>
      <c r="AB1262" t="str">
        <f>HYPERLINK("Melting_Curves/meltCurve_O14787_2_TNPO2.pdf", "Melting_Curves/meltCurve_O14787_2_TNPO2.pdf")</f>
        <v>Melting_Curves/meltCurve_O14787_2_TNPO2.pdf</v>
      </c>
    </row>
    <row r="1263" spans="1:28" x14ac:dyDescent="0.25">
      <c r="A1263" t="s">
        <v>1267</v>
      </c>
      <c r="B1263">
        <v>0.99334974765950101</v>
      </c>
      <c r="C1263">
        <v>0.99484345914146799</v>
      </c>
      <c r="D1263">
        <v>0.881315482798946</v>
      </c>
      <c r="E1263">
        <v>0.71570479362056005</v>
      </c>
      <c r="F1263">
        <v>0.57589879185128201</v>
      </c>
      <c r="G1263">
        <v>0.50028286187969395</v>
      </c>
      <c r="H1263">
        <v>0.33462766436873898</v>
      </c>
      <c r="I1263">
        <v>0.203500781793341</v>
      </c>
      <c r="J1263">
        <v>9.4130213040116595E-2</v>
      </c>
      <c r="K1263">
        <v>6.6632508691334399E-2</v>
      </c>
      <c r="L1263">
        <v>563.61012390140797</v>
      </c>
      <c r="M1263">
        <v>10.1576912777959</v>
      </c>
      <c r="N1263">
        <v>55.486045840180601</v>
      </c>
      <c r="O1263">
        <v>53.4643576555614</v>
      </c>
      <c r="P1263">
        <v>-4.7519229179577203E-2</v>
      </c>
      <c r="Q1263">
        <v>0</v>
      </c>
      <c r="R1263">
        <v>0.985217477356083</v>
      </c>
      <c r="S1263" t="s">
        <v>7124</v>
      </c>
      <c r="T1263" t="s">
        <v>11720</v>
      </c>
      <c r="U1263" t="s">
        <v>11720</v>
      </c>
      <c r="V1263" t="s">
        <v>11720</v>
      </c>
      <c r="W1263" t="s">
        <v>12951</v>
      </c>
      <c r="X1263">
        <v>8</v>
      </c>
      <c r="Y1263" t="s">
        <v>18740</v>
      </c>
      <c r="Z1263" t="s">
        <v>24470</v>
      </c>
      <c r="AA1263">
        <v>0.53972892241433468</v>
      </c>
      <c r="AB1263" t="str">
        <f>HYPERLINK("Melting_Curves/meltCurve_O14807_MRAS.pdf", "Melting_Curves/meltCurve_O14807_MRAS.pdf")</f>
        <v>Melting_Curves/meltCurve_O14807_MRAS.pdf</v>
      </c>
    </row>
    <row r="1264" spans="1:28" x14ac:dyDescent="0.25">
      <c r="A1264" t="s">
        <v>1268</v>
      </c>
      <c r="B1264">
        <v>0.99334974765950101</v>
      </c>
      <c r="C1264">
        <v>0.97545536938463895</v>
      </c>
      <c r="D1264">
        <v>0.78393744617878203</v>
      </c>
      <c r="E1264">
        <v>0.63669590860813996</v>
      </c>
      <c r="F1264">
        <v>0.74370912497158803</v>
      </c>
      <c r="G1264">
        <v>1.45885975232216</v>
      </c>
      <c r="H1264">
        <v>1.6920643251510901</v>
      </c>
      <c r="I1264">
        <v>2.1224924216881802</v>
      </c>
      <c r="J1264">
        <v>1.3322531900580299</v>
      </c>
      <c r="K1264">
        <v>0.85619863073560598</v>
      </c>
      <c r="L1264">
        <v>14112.530253614999</v>
      </c>
      <c r="M1264">
        <v>250</v>
      </c>
      <c r="O1264">
        <v>56.446503302693401</v>
      </c>
      <c r="P1264">
        <v>0.55362148727799898</v>
      </c>
      <c r="Q1264">
        <v>1.5</v>
      </c>
      <c r="R1264">
        <v>0.46309896885405899</v>
      </c>
      <c r="S1264" t="s">
        <v>7125</v>
      </c>
      <c r="T1264" t="s">
        <v>11720</v>
      </c>
      <c r="U1264" t="s">
        <v>11720</v>
      </c>
      <c r="V1264" t="s">
        <v>11720</v>
      </c>
      <c r="W1264" t="s">
        <v>12952</v>
      </c>
      <c r="X1264">
        <v>13</v>
      </c>
      <c r="Y1264" t="s">
        <v>18741</v>
      </c>
      <c r="Z1264" t="s">
        <v>24471</v>
      </c>
      <c r="AA1264">
        <v>1.225781781883754</v>
      </c>
      <c r="AB1264" t="str">
        <f>HYPERLINK("Melting_Curves/meltCurve_O14818_PSMA7.pdf", "Melting_Curves/meltCurve_O14818_PSMA7.pdf")</f>
        <v>Melting_Curves/meltCurve_O14818_PSMA7.pdf</v>
      </c>
    </row>
    <row r="1265" spans="1:28" x14ac:dyDescent="0.25">
      <c r="A1265" t="s">
        <v>1269</v>
      </c>
      <c r="B1265">
        <v>0.99334974765950101</v>
      </c>
      <c r="C1265">
        <v>0.95097662128577598</v>
      </c>
      <c r="D1265">
        <v>0.93229635550478196</v>
      </c>
      <c r="E1265">
        <v>0.82026387568906101</v>
      </c>
      <c r="F1265">
        <v>0.89297576018190306</v>
      </c>
      <c r="G1265">
        <v>0.73266637911258603</v>
      </c>
      <c r="H1265">
        <v>0.73717114619431501</v>
      </c>
      <c r="I1265">
        <v>0.671802966075984</v>
      </c>
      <c r="J1265">
        <v>0.86336907698294096</v>
      </c>
      <c r="K1265">
        <v>0.50734558154694398</v>
      </c>
      <c r="L1265">
        <v>253.97235961130701</v>
      </c>
      <c r="M1265">
        <v>3.0999498092765601</v>
      </c>
      <c r="O1265">
        <v>61.187585281200199</v>
      </c>
      <c r="P1265">
        <v>-1.30215477736165E-2</v>
      </c>
      <c r="Q1265">
        <v>0</v>
      </c>
      <c r="R1265">
        <v>0.67212325600145395</v>
      </c>
      <c r="S1265" t="s">
        <v>7126</v>
      </c>
      <c r="T1265" t="s">
        <v>11720</v>
      </c>
      <c r="U1265" t="s">
        <v>11720</v>
      </c>
      <c r="V1265" t="s">
        <v>11720</v>
      </c>
      <c r="W1265" t="s">
        <v>12953</v>
      </c>
      <c r="X1265">
        <v>15</v>
      </c>
      <c r="Y1265" t="s">
        <v>18742</v>
      </c>
      <c r="Z1265" t="s">
        <v>24472</v>
      </c>
      <c r="AA1265">
        <v>0.81207213741670126</v>
      </c>
      <c r="AB1265" t="str">
        <f>HYPERLINK("Melting_Curves/meltCurve_O14828_SCAMP3.pdf", "Melting_Curves/meltCurve_O14828_SCAMP3.pdf")</f>
        <v>Melting_Curves/meltCurve_O14828_SCAMP3.pdf</v>
      </c>
    </row>
    <row r="1266" spans="1:28" x14ac:dyDescent="0.25">
      <c r="A1266" t="s">
        <v>1270</v>
      </c>
      <c r="B1266">
        <v>0.99334974765950101</v>
      </c>
      <c r="C1266">
        <v>0.97529328366613999</v>
      </c>
      <c r="D1266">
        <v>1.1490760489721099</v>
      </c>
      <c r="E1266">
        <v>1.3520202093637399</v>
      </c>
      <c r="F1266">
        <v>0.76182940508159502</v>
      </c>
      <c r="G1266">
        <v>0.393161661965934</v>
      </c>
      <c r="H1266">
        <v>0.267995802750919</v>
      </c>
      <c r="I1266">
        <v>0.22979031720346599</v>
      </c>
      <c r="J1266">
        <v>0.17086309318102899</v>
      </c>
      <c r="K1266">
        <v>0.144276535467801</v>
      </c>
      <c r="L1266">
        <v>2112.3395232733201</v>
      </c>
      <c r="M1266">
        <v>38.403766708320099</v>
      </c>
      <c r="N1266">
        <v>55.7477743632532</v>
      </c>
      <c r="O1266">
        <v>54.854940227472802</v>
      </c>
      <c r="P1266">
        <v>-0.139918442423446</v>
      </c>
      <c r="Q1266">
        <v>0.20057851233312801</v>
      </c>
      <c r="R1266">
        <v>0.90576628208727905</v>
      </c>
      <c r="S1266" t="s">
        <v>7127</v>
      </c>
      <c r="T1266" t="s">
        <v>11720</v>
      </c>
      <c r="U1266" t="s">
        <v>11720</v>
      </c>
      <c r="V1266" t="s">
        <v>11720</v>
      </c>
      <c r="W1266" t="s">
        <v>12954</v>
      </c>
      <c r="X1266">
        <v>6</v>
      </c>
      <c r="Y1266" t="s">
        <v>18743</v>
      </c>
      <c r="Z1266" t="s">
        <v>24473</v>
      </c>
      <c r="AA1266">
        <v>0.60366412853887064</v>
      </c>
      <c r="AB1266" t="str">
        <f>HYPERLINK("Melting_Curves/meltCurve_O14841_OPLAH.pdf", "Melting_Curves/meltCurve_O14841_OPLAH.pdf")</f>
        <v>Melting_Curves/meltCurve_O14841_OPLAH.pdf</v>
      </c>
    </row>
    <row r="1267" spans="1:28" x14ac:dyDescent="0.25">
      <c r="A1267" t="s">
        <v>1271</v>
      </c>
      <c r="B1267">
        <v>0.99334974765950101</v>
      </c>
      <c r="C1267">
        <v>0.94467323220362098</v>
      </c>
      <c r="D1267">
        <v>0.91588851559811102</v>
      </c>
      <c r="E1267">
        <v>0.87323435347294198</v>
      </c>
      <c r="F1267">
        <v>0.81090938825731895</v>
      </c>
      <c r="G1267">
        <v>0.77443628061649095</v>
      </c>
      <c r="H1267">
        <v>0.70615674411958995</v>
      </c>
      <c r="I1267">
        <v>0.77592956177069505</v>
      </c>
      <c r="J1267">
        <v>0.59608308373942098</v>
      </c>
      <c r="K1267">
        <v>0.444753176293602</v>
      </c>
      <c r="L1267">
        <v>336.98922089606901</v>
      </c>
      <c r="M1267">
        <v>4.6605666248818798</v>
      </c>
      <c r="O1267">
        <v>62.025754914703299</v>
      </c>
      <c r="P1267">
        <v>-1.8930923149387199E-2</v>
      </c>
      <c r="Q1267">
        <v>0</v>
      </c>
      <c r="R1267">
        <v>0.88993991006467399</v>
      </c>
      <c r="S1267" t="s">
        <v>7128</v>
      </c>
      <c r="T1267" t="s">
        <v>11720</v>
      </c>
      <c r="U1267" t="s">
        <v>11720</v>
      </c>
      <c r="V1267" t="s">
        <v>11720</v>
      </c>
      <c r="W1267" t="s">
        <v>12955</v>
      </c>
      <c r="X1267">
        <v>8</v>
      </c>
      <c r="Y1267" t="s">
        <v>18744</v>
      </c>
      <c r="Z1267" t="s">
        <v>24474</v>
      </c>
      <c r="AA1267">
        <v>0.7931578655250221</v>
      </c>
      <c r="AB1267" t="str">
        <f>HYPERLINK("Melting_Curves/meltCurve_O14867_BACH1.pdf", "Melting_Curves/meltCurve_O14867_BACH1.pdf")</f>
        <v>Melting_Curves/meltCurve_O14867_BACH1.pdf</v>
      </c>
    </row>
    <row r="1268" spans="1:28" x14ac:dyDescent="0.25">
      <c r="A1268" t="s">
        <v>1272</v>
      </c>
      <c r="B1268">
        <v>0.99334974765950101</v>
      </c>
      <c r="C1268">
        <v>0.90521434290170999</v>
      </c>
      <c r="D1268">
        <v>0.68959647429173998</v>
      </c>
      <c r="E1268">
        <v>0.29073053612284899</v>
      </c>
      <c r="F1268">
        <v>0.216259292386874</v>
      </c>
      <c r="G1268">
        <v>0.157298782533763</v>
      </c>
      <c r="H1268">
        <v>0.116383292331488</v>
      </c>
      <c r="I1268">
        <v>0.116979858624242</v>
      </c>
      <c r="J1268">
        <v>0.122116480107929</v>
      </c>
      <c r="K1268">
        <v>9.7736762808421598E-2</v>
      </c>
      <c r="L1268">
        <v>1038.3851647786701</v>
      </c>
      <c r="M1268">
        <v>22.011172931957098</v>
      </c>
      <c r="N1268">
        <v>47.757727713399603</v>
      </c>
      <c r="O1268">
        <v>46.791159555180798</v>
      </c>
      <c r="P1268">
        <v>-0.103763539859975</v>
      </c>
      <c r="Q1268">
        <v>0.11770114154242001</v>
      </c>
      <c r="R1268">
        <v>0.99781200077296295</v>
      </c>
      <c r="S1268" t="s">
        <v>7129</v>
      </c>
      <c r="T1268" t="s">
        <v>11720</v>
      </c>
      <c r="U1268" t="s">
        <v>11720</v>
      </c>
      <c r="V1268" t="s">
        <v>11720</v>
      </c>
      <c r="W1268" t="s">
        <v>12956</v>
      </c>
      <c r="X1268">
        <v>8</v>
      </c>
      <c r="Y1268" t="s">
        <v>18745</v>
      </c>
      <c r="Z1268" t="s">
        <v>24475</v>
      </c>
      <c r="AA1268">
        <v>0.33911900482687529</v>
      </c>
      <c r="AB1268" t="str">
        <f>HYPERLINK("Melting_Curves/meltCurve_O14879_IFIT3.pdf", "Melting_Curves/meltCurve_O14879_IFIT3.pdf")</f>
        <v>Melting_Curves/meltCurve_O14879_IFIT3.pdf</v>
      </c>
    </row>
    <row r="1269" spans="1:28" x14ac:dyDescent="0.25">
      <c r="A1269" t="s">
        <v>1273</v>
      </c>
      <c r="B1269">
        <v>0.99334974765950101</v>
      </c>
      <c r="C1269">
        <v>0.68637347647785096</v>
      </c>
      <c r="D1269">
        <v>0.38160008037453202</v>
      </c>
      <c r="E1269">
        <v>0.22121651739140799</v>
      </c>
      <c r="F1269">
        <v>9.7904057952604998E-2</v>
      </c>
      <c r="G1269">
        <v>6.3502989568057694E-2</v>
      </c>
      <c r="H1269">
        <v>5.2236073777471199E-2</v>
      </c>
      <c r="I1269">
        <v>5.8768503187010997E-2</v>
      </c>
      <c r="J1269">
        <v>4.4278776225088599E-2</v>
      </c>
      <c r="K1269">
        <v>4.5932701088323299E-2</v>
      </c>
      <c r="L1269">
        <v>881.79596705484801</v>
      </c>
      <c r="M1269">
        <v>19.703134905846699</v>
      </c>
      <c r="N1269">
        <v>45.023205132710899</v>
      </c>
      <c r="O1269">
        <v>44.300731587404698</v>
      </c>
      <c r="P1269">
        <v>-0.10501680851110801</v>
      </c>
      <c r="Q1269">
        <v>5.5549117573745303E-2</v>
      </c>
      <c r="R1269">
        <v>0.98850549499937801</v>
      </c>
      <c r="S1269" t="s">
        <v>7130</v>
      </c>
      <c r="T1269" t="s">
        <v>11720</v>
      </c>
      <c r="U1269" t="s">
        <v>11720</v>
      </c>
      <c r="V1269" t="s">
        <v>11720</v>
      </c>
      <c r="W1269" t="s">
        <v>12957</v>
      </c>
      <c r="X1269">
        <v>5</v>
      </c>
      <c r="Y1269" t="s">
        <v>18746</v>
      </c>
      <c r="Z1269" t="s">
        <v>24476</v>
      </c>
      <c r="AA1269">
        <v>0.22226181168972581</v>
      </c>
      <c r="AB1269" t="str">
        <f>HYPERLINK("Melting_Curves/meltCurve_O14907_TAX1BP3.pdf", "Melting_Curves/meltCurve_O14907_TAX1BP3.pdf")</f>
        <v>Melting_Curves/meltCurve_O14907_TAX1BP3.pdf</v>
      </c>
    </row>
    <row r="1270" spans="1:28" x14ac:dyDescent="0.25">
      <c r="A1270" t="s">
        <v>1274</v>
      </c>
      <c r="B1270">
        <v>0.99334974765950101</v>
      </c>
      <c r="C1270">
        <v>0.93548096157626404</v>
      </c>
      <c r="D1270">
        <v>0.78556740846180495</v>
      </c>
      <c r="E1270">
        <v>0.46897218346240199</v>
      </c>
      <c r="F1270">
        <v>0.25363033107515698</v>
      </c>
      <c r="G1270">
        <v>0.16063680938024399</v>
      </c>
      <c r="H1270">
        <v>0.12222160489875</v>
      </c>
      <c r="I1270">
        <v>0.10920831130735099</v>
      </c>
      <c r="J1270">
        <v>9.6655029589680794E-2</v>
      </c>
      <c r="K1270">
        <v>8.3781452688947697E-2</v>
      </c>
      <c r="L1270">
        <v>908.27146996763202</v>
      </c>
      <c r="M1270">
        <v>18.552666468777002</v>
      </c>
      <c r="N1270">
        <v>49.497521403210598</v>
      </c>
      <c r="O1270">
        <v>48.398245809019897</v>
      </c>
      <c r="P1270">
        <v>-8.7040547505475005E-2</v>
      </c>
      <c r="Q1270">
        <v>9.1791033287443702E-2</v>
      </c>
      <c r="R1270">
        <v>0.99943582431848399</v>
      </c>
      <c r="S1270" t="s">
        <v>7131</v>
      </c>
      <c r="T1270" t="s">
        <v>11720</v>
      </c>
      <c r="U1270" t="s">
        <v>11720</v>
      </c>
      <c r="V1270" t="s">
        <v>11720</v>
      </c>
      <c r="W1270" t="s">
        <v>12958</v>
      </c>
      <c r="X1270">
        <v>11</v>
      </c>
      <c r="Y1270" t="s">
        <v>18747</v>
      </c>
      <c r="Z1270" t="s">
        <v>24477</v>
      </c>
      <c r="AA1270">
        <v>0.37775114941220528</v>
      </c>
      <c r="AB1270" t="str">
        <f>HYPERLINK("Melting_Curves/meltCurve_O14908_GIPC1.pdf", "Melting_Curves/meltCurve_O14908_GIPC1.pdf")</f>
        <v>Melting_Curves/meltCurve_O14908_GIPC1.pdf</v>
      </c>
    </row>
    <row r="1271" spans="1:28" x14ac:dyDescent="0.25">
      <c r="A1271" t="s">
        <v>1275</v>
      </c>
      <c r="B1271">
        <v>0.99334974765950101</v>
      </c>
      <c r="C1271">
        <v>0.99150975461117696</v>
      </c>
      <c r="D1271">
        <v>0.79933949222047596</v>
      </c>
      <c r="E1271">
        <v>0.75698163716656897</v>
      </c>
      <c r="F1271">
        <v>0.44313703103919699</v>
      </c>
      <c r="G1271">
        <v>0.26406188566039701</v>
      </c>
      <c r="H1271">
        <v>0.23754931414192801</v>
      </c>
      <c r="I1271">
        <v>0.226653761707684</v>
      </c>
      <c r="J1271">
        <v>0.178705075227376</v>
      </c>
      <c r="K1271">
        <v>0.15767881153614099</v>
      </c>
      <c r="L1271">
        <v>825.41570977463505</v>
      </c>
      <c r="M1271">
        <v>16.073133116971</v>
      </c>
      <c r="N1271">
        <v>52.622692514330801</v>
      </c>
      <c r="O1271">
        <v>50.578563067807501</v>
      </c>
      <c r="P1271">
        <v>-6.6688174481011595E-2</v>
      </c>
      <c r="Q1271">
        <v>0.16065345248676299</v>
      </c>
      <c r="R1271">
        <v>0.98099164339449196</v>
      </c>
      <c r="S1271" t="s">
        <v>7132</v>
      </c>
      <c r="T1271" t="s">
        <v>11720</v>
      </c>
      <c r="U1271" t="s">
        <v>11720</v>
      </c>
      <c r="V1271" t="s">
        <v>11720</v>
      </c>
      <c r="W1271" t="s">
        <v>12959</v>
      </c>
      <c r="X1271">
        <v>5</v>
      </c>
      <c r="Y1271" t="s">
        <v>18748</v>
      </c>
      <c r="Z1271" t="s">
        <v>24478</v>
      </c>
      <c r="AA1271">
        <v>0.49542884926205738</v>
      </c>
      <c r="AB1271" t="str">
        <f>HYPERLINK("Melting_Curves/meltCurve_O14910_LIN7A.pdf", "Melting_Curves/meltCurve_O14910_LIN7A.pdf")</f>
        <v>Melting_Curves/meltCurve_O14910_LIN7A.pdf</v>
      </c>
    </row>
    <row r="1272" spans="1:28" x14ac:dyDescent="0.25">
      <c r="A1272" t="s">
        <v>1276</v>
      </c>
      <c r="B1272">
        <v>0.99334974765950101</v>
      </c>
      <c r="C1272">
        <v>0.83519411410950595</v>
      </c>
      <c r="D1272">
        <v>0.60220712992206904</v>
      </c>
      <c r="E1272">
        <v>0.22193383927361501</v>
      </c>
      <c r="F1272">
        <v>0.17401529098017801</v>
      </c>
      <c r="G1272">
        <v>0.12945782426496499</v>
      </c>
      <c r="H1272">
        <v>9.0345752918485997E-2</v>
      </c>
      <c r="I1272">
        <v>8.1229913911691598E-2</v>
      </c>
      <c r="J1272">
        <v>7.7636436433278194E-2</v>
      </c>
      <c r="K1272">
        <v>0.110265233977758</v>
      </c>
      <c r="L1272">
        <v>983.00996208227502</v>
      </c>
      <c r="M1272">
        <v>21.213820344018799</v>
      </c>
      <c r="N1272">
        <v>46.7917248428788</v>
      </c>
      <c r="O1272">
        <v>45.932313935392898</v>
      </c>
      <c r="P1272">
        <v>-0.10473549643829801</v>
      </c>
      <c r="Q1272">
        <v>9.2927222680970201E-2</v>
      </c>
      <c r="R1272">
        <v>0.99614226300720699</v>
      </c>
      <c r="S1272" t="s">
        <v>7133</v>
      </c>
      <c r="T1272" t="s">
        <v>11720</v>
      </c>
      <c r="U1272" t="s">
        <v>11720</v>
      </c>
      <c r="V1272" t="s">
        <v>11720</v>
      </c>
      <c r="W1272" t="s">
        <v>12960</v>
      </c>
      <c r="X1272">
        <v>5</v>
      </c>
      <c r="Y1272" t="s">
        <v>18749</v>
      </c>
      <c r="Z1272" t="s">
        <v>24479</v>
      </c>
      <c r="AA1272">
        <v>0.29656672742843282</v>
      </c>
      <c r="AB1272" t="str">
        <f>HYPERLINK("Melting_Curves/meltCurve_O14920_IKBKB.pdf", "Melting_Curves/meltCurve_O14920_IKBKB.pdf")</f>
        <v>Melting_Curves/meltCurve_O14920_IKBKB.pdf</v>
      </c>
    </row>
    <row r="1273" spans="1:28" x14ac:dyDescent="0.25">
      <c r="A1273" t="s">
        <v>1277</v>
      </c>
      <c r="B1273">
        <v>0.99334974765950101</v>
      </c>
      <c r="C1273">
        <v>1.00741845749061</v>
      </c>
      <c r="D1273">
        <v>0.92950039592867095</v>
      </c>
      <c r="E1273">
        <v>1.04365342131496</v>
      </c>
      <c r="F1273">
        <v>1.34760361012107</v>
      </c>
      <c r="G1273">
        <v>1.3736273514183499</v>
      </c>
      <c r="H1273">
        <v>1.11931424110233</v>
      </c>
      <c r="I1273">
        <v>1.0797228850990901</v>
      </c>
      <c r="J1273">
        <v>0.50122782573979197</v>
      </c>
      <c r="K1273">
        <v>0.29439853160058599</v>
      </c>
      <c r="L1273">
        <v>15000</v>
      </c>
      <c r="M1273">
        <v>224.76051852706399</v>
      </c>
      <c r="N1273">
        <v>67.0025732904938</v>
      </c>
      <c r="O1273">
        <v>66.732425463967601</v>
      </c>
      <c r="P1273">
        <v>-0.59415920270513201</v>
      </c>
      <c r="Q1273">
        <v>0.29436576619872801</v>
      </c>
      <c r="R1273">
        <v>0.71902946695407199</v>
      </c>
      <c r="S1273" t="s">
        <v>7134</v>
      </c>
      <c r="T1273" t="s">
        <v>11720</v>
      </c>
      <c r="U1273" t="s">
        <v>11720</v>
      </c>
      <c r="V1273" t="s">
        <v>11720</v>
      </c>
      <c r="W1273" t="s">
        <v>12961</v>
      </c>
      <c r="X1273">
        <v>3</v>
      </c>
      <c r="Y1273" t="s">
        <v>18750</v>
      </c>
      <c r="Z1273" t="s">
        <v>24480</v>
      </c>
      <c r="AA1273">
        <v>0.92336901183178555</v>
      </c>
      <c r="AB1273" t="str">
        <f>HYPERLINK("Melting_Curves/meltCurve_O14925_TIMM23.pdf", "Melting_Curves/meltCurve_O14925_TIMM23.pdf")</f>
        <v>Melting_Curves/meltCurve_O14925_TIMM23.pdf</v>
      </c>
    </row>
    <row r="1274" spans="1:28" x14ac:dyDescent="0.25">
      <c r="A1274" t="s">
        <v>1278</v>
      </c>
      <c r="B1274">
        <v>0.99334974765950101</v>
      </c>
      <c r="C1274">
        <v>0.99066087156514404</v>
      </c>
      <c r="D1274">
        <v>0.92948400351312599</v>
      </c>
      <c r="E1274">
        <v>0.50408075954692</v>
      </c>
      <c r="F1274">
        <v>0.26095166307435402</v>
      </c>
      <c r="G1274">
        <v>0.174120935147732</v>
      </c>
      <c r="H1274">
        <v>0.111876569260322</v>
      </c>
      <c r="I1274">
        <v>0.112652399913128</v>
      </c>
      <c r="J1274">
        <v>0.106378334394287</v>
      </c>
      <c r="K1274">
        <v>5.0929733344379703E-2</v>
      </c>
      <c r="L1274">
        <v>1289.4951900496701</v>
      </c>
      <c r="M1274">
        <v>25.911956653038001</v>
      </c>
      <c r="N1274">
        <v>50.204493233144603</v>
      </c>
      <c r="O1274">
        <v>49.470947163577897</v>
      </c>
      <c r="P1274">
        <v>-0.117645773578547</v>
      </c>
      <c r="Q1274">
        <v>0.101576515891129</v>
      </c>
      <c r="R1274">
        <v>0.99619334885330602</v>
      </c>
      <c r="S1274" t="s">
        <v>7135</v>
      </c>
      <c r="T1274" t="s">
        <v>11720</v>
      </c>
      <c r="U1274" t="s">
        <v>11720</v>
      </c>
      <c r="V1274" t="s">
        <v>11720</v>
      </c>
      <c r="W1274" t="s">
        <v>12962</v>
      </c>
      <c r="X1274">
        <v>7</v>
      </c>
      <c r="Y1274" t="s">
        <v>18751</v>
      </c>
      <c r="Z1274" t="s">
        <v>24481</v>
      </c>
      <c r="AA1274">
        <v>0.40144896056205159</v>
      </c>
      <c r="AB1274" t="str">
        <f>HYPERLINK("Melting_Curves/meltCurve_O14929_HAT1.pdf", "Melting_Curves/meltCurve_O14929_HAT1.pdf")</f>
        <v>Melting_Curves/meltCurve_O14929_HAT1.pdf</v>
      </c>
    </row>
    <row r="1275" spans="1:28" x14ac:dyDescent="0.25">
      <c r="A1275" t="s">
        <v>1279</v>
      </c>
      <c r="B1275">
        <v>0.99334974765950101</v>
      </c>
      <c r="C1275">
        <v>1.0092918036192999</v>
      </c>
      <c r="D1275">
        <v>0.79301798087553099</v>
      </c>
      <c r="E1275">
        <v>0.56775648867783002</v>
      </c>
      <c r="F1275">
        <v>0.26287486787370701</v>
      </c>
      <c r="G1275">
        <v>0.13462352983696499</v>
      </c>
      <c r="H1275">
        <v>0.104240587995024</v>
      </c>
      <c r="I1275">
        <v>8.5243317220984202E-2</v>
      </c>
      <c r="J1275">
        <v>0.107836884710653</v>
      </c>
      <c r="K1275">
        <v>8.4659072906847599E-2</v>
      </c>
      <c r="L1275">
        <v>990.42178181131897</v>
      </c>
      <c r="M1275">
        <v>19.897860886127098</v>
      </c>
      <c r="N1275">
        <v>50.2182194534617</v>
      </c>
      <c r="O1275">
        <v>49.280733647719003</v>
      </c>
      <c r="P1275">
        <v>-9.2820559702543604E-2</v>
      </c>
      <c r="Q1275">
        <v>8.0481648913858006E-2</v>
      </c>
      <c r="R1275">
        <v>0.99328726825243996</v>
      </c>
      <c r="S1275" t="s">
        <v>7136</v>
      </c>
      <c r="T1275" t="s">
        <v>11720</v>
      </c>
      <c r="U1275" t="s">
        <v>11720</v>
      </c>
      <c r="V1275" t="s">
        <v>11720</v>
      </c>
      <c r="W1275" t="s">
        <v>12963</v>
      </c>
      <c r="X1275">
        <v>12</v>
      </c>
      <c r="Y1275" t="s">
        <v>18752</v>
      </c>
      <c r="Z1275" t="s">
        <v>24482</v>
      </c>
      <c r="AA1275">
        <v>0.39304308993990061</v>
      </c>
      <c r="AB1275" t="str">
        <f>HYPERLINK("Melting_Curves/meltCurve_O14933_UBE2L6.pdf", "Melting_Curves/meltCurve_O14933_UBE2L6.pdf")</f>
        <v>Melting_Curves/meltCurve_O14933_UBE2L6.pdf</v>
      </c>
    </row>
    <row r="1276" spans="1:28" x14ac:dyDescent="0.25">
      <c r="A1276" t="s">
        <v>1280</v>
      </c>
      <c r="B1276">
        <v>0.99334974765950101</v>
      </c>
      <c r="C1276">
        <v>1.0192490540288</v>
      </c>
      <c r="D1276">
        <v>1.0738490590483301</v>
      </c>
      <c r="E1276">
        <v>1.1745983353043701</v>
      </c>
      <c r="F1276">
        <v>0.84955654881891096</v>
      </c>
      <c r="G1276">
        <v>0.330291622518255</v>
      </c>
      <c r="H1276">
        <v>0.22808045708483399</v>
      </c>
      <c r="I1276">
        <v>0.22263626219357699</v>
      </c>
      <c r="J1276">
        <v>0.200257572319084</v>
      </c>
      <c r="K1276">
        <v>0.18378362875688201</v>
      </c>
      <c r="L1276">
        <v>2621.0701091091501</v>
      </c>
      <c r="M1276">
        <v>47.798145461900198</v>
      </c>
      <c r="N1276">
        <v>55.462929650724703</v>
      </c>
      <c r="O1276">
        <v>54.740505242607298</v>
      </c>
      <c r="P1276">
        <v>-0.17274590551838301</v>
      </c>
      <c r="Q1276">
        <v>0.208656499029997</v>
      </c>
      <c r="R1276">
        <v>0.97489956510820097</v>
      </c>
      <c r="S1276" t="s">
        <v>7137</v>
      </c>
      <c r="T1276" t="s">
        <v>11720</v>
      </c>
      <c r="U1276" t="s">
        <v>11720</v>
      </c>
      <c r="V1276" t="s">
        <v>11720</v>
      </c>
      <c r="W1276" t="s">
        <v>12964</v>
      </c>
      <c r="X1276">
        <v>18</v>
      </c>
      <c r="Y1276" t="s">
        <v>18753</v>
      </c>
      <c r="Z1276" t="s">
        <v>24483</v>
      </c>
      <c r="AA1276">
        <v>0.60210232004143538</v>
      </c>
      <c r="AB1276" t="str">
        <f>HYPERLINK("Melting_Curves/meltCurve_O14936_3_CASK.pdf", "Melting_Curves/meltCurve_O14936_3_CASK.pdf")</f>
        <v>Melting_Curves/meltCurve_O14936_3_CASK.pdf</v>
      </c>
    </row>
    <row r="1277" spans="1:28" x14ac:dyDescent="0.25">
      <c r="A1277" t="s">
        <v>1281</v>
      </c>
      <c r="B1277">
        <v>0.99334974765950101</v>
      </c>
      <c r="C1277">
        <v>1.0815525685656</v>
      </c>
      <c r="D1277">
        <v>0.83273582390104595</v>
      </c>
      <c r="E1277">
        <v>0.76059043383061498</v>
      </c>
      <c r="F1277">
        <v>1.3130083170634901</v>
      </c>
      <c r="G1277">
        <v>0.67044302722762905</v>
      </c>
      <c r="H1277">
        <v>0.89302447618164105</v>
      </c>
      <c r="I1277">
        <v>0.43653168890696797</v>
      </c>
      <c r="J1277">
        <v>1.29712486811168</v>
      </c>
      <c r="K1277">
        <v>0.54704543694145702</v>
      </c>
      <c r="L1277">
        <v>410.35169427475802</v>
      </c>
      <c r="M1277">
        <v>6.6407966151858604</v>
      </c>
      <c r="O1277">
        <v>56.910552053142403</v>
      </c>
      <c r="P1277">
        <v>-1.04305458598456E-2</v>
      </c>
      <c r="Q1277">
        <v>0.64324926521077697</v>
      </c>
      <c r="R1277">
        <v>8.9961324208688506E-2</v>
      </c>
      <c r="S1277" t="s">
        <v>7138</v>
      </c>
      <c r="T1277" t="s">
        <v>11720</v>
      </c>
      <c r="U1277" t="s">
        <v>11720</v>
      </c>
      <c r="V1277" t="s">
        <v>11720</v>
      </c>
      <c r="W1277" t="s">
        <v>12965</v>
      </c>
      <c r="X1277">
        <v>3</v>
      </c>
      <c r="Y1277" t="s">
        <v>18754</v>
      </c>
      <c r="Z1277" t="s">
        <v>24484</v>
      </c>
      <c r="AA1277">
        <v>0.88473457187426829</v>
      </c>
      <c r="AB1277" t="str">
        <f>HYPERLINK("Melting_Curves/meltCurve_O14949_UQCRQ.pdf", "Melting_Curves/meltCurve_O14949_UQCRQ.pdf")</f>
        <v>Melting_Curves/meltCurve_O14949_UQCRQ.pdf</v>
      </c>
    </row>
    <row r="1278" spans="1:28" x14ac:dyDescent="0.25">
      <c r="A1278" t="s">
        <v>1282</v>
      </c>
      <c r="B1278">
        <v>0.99334974765950101</v>
      </c>
      <c r="C1278">
        <v>0.98979595206012505</v>
      </c>
      <c r="D1278">
        <v>0.96909477301005598</v>
      </c>
      <c r="E1278">
        <v>0.84993228046652203</v>
      </c>
      <c r="F1278">
        <v>0.24881863188756301</v>
      </c>
      <c r="G1278">
        <v>0.141339583832612</v>
      </c>
      <c r="H1278">
        <v>0.102797479169836</v>
      </c>
      <c r="I1278">
        <v>8.0039896906616406E-2</v>
      </c>
      <c r="J1278">
        <v>8.6348331112336502E-2</v>
      </c>
      <c r="K1278">
        <v>7.3992370088898404E-2</v>
      </c>
      <c r="L1278">
        <v>2784.7718877523798</v>
      </c>
      <c r="M1278">
        <v>54.101462974315197</v>
      </c>
      <c r="N1278">
        <v>51.675168365191901</v>
      </c>
      <c r="O1278">
        <v>51.402962261200102</v>
      </c>
      <c r="P1278">
        <v>-0.23804256308736199</v>
      </c>
      <c r="Q1278">
        <v>9.5323343965467502E-2</v>
      </c>
      <c r="R1278">
        <v>0.99788213638885304</v>
      </c>
      <c r="S1278" t="s">
        <v>7139</v>
      </c>
      <c r="T1278" t="s">
        <v>11720</v>
      </c>
      <c r="U1278" t="s">
        <v>11720</v>
      </c>
      <c r="V1278" t="s">
        <v>11720</v>
      </c>
      <c r="W1278" t="s">
        <v>12966</v>
      </c>
      <c r="X1278">
        <v>29</v>
      </c>
      <c r="Y1278" t="s">
        <v>18755</v>
      </c>
      <c r="Z1278" t="s">
        <v>24485</v>
      </c>
      <c r="AA1278">
        <v>0.44305887791079618</v>
      </c>
      <c r="AB1278" t="str">
        <f>HYPERLINK("Melting_Curves/meltCurve_O14964_HGS.pdf", "Melting_Curves/meltCurve_O14964_HGS.pdf")</f>
        <v>Melting_Curves/meltCurve_O14964_HGS.pdf</v>
      </c>
    </row>
    <row r="1279" spans="1:28" x14ac:dyDescent="0.25">
      <c r="A1279" t="s">
        <v>1283</v>
      </c>
      <c r="B1279">
        <v>0.99334974765950101</v>
      </c>
      <c r="C1279">
        <v>0.93916712442079597</v>
      </c>
      <c r="D1279">
        <v>0.80879989951519604</v>
      </c>
      <c r="E1279">
        <v>0.68504383948915604</v>
      </c>
      <c r="F1279">
        <v>0.37318331015837197</v>
      </c>
      <c r="G1279">
        <v>0.200576613132742</v>
      </c>
      <c r="H1279">
        <v>0.129281951552559</v>
      </c>
      <c r="I1279">
        <v>0.100357719407569</v>
      </c>
      <c r="J1279">
        <v>9.7988726203077497E-2</v>
      </c>
      <c r="K1279">
        <v>6.26831349859856E-2</v>
      </c>
      <c r="L1279">
        <v>785.62451053749999</v>
      </c>
      <c r="M1279">
        <v>15.3394873836041</v>
      </c>
      <c r="N1279">
        <v>51.602314049163198</v>
      </c>
      <c r="O1279">
        <v>50.369068613390297</v>
      </c>
      <c r="P1279">
        <v>-7.2010453658854903E-2</v>
      </c>
      <c r="Q1279">
        <v>5.4267282663032199E-2</v>
      </c>
      <c r="R1279">
        <v>0.99245141121325098</v>
      </c>
      <c r="S1279" t="s">
        <v>7140</v>
      </c>
      <c r="T1279" t="s">
        <v>11720</v>
      </c>
      <c r="U1279" t="s">
        <v>11720</v>
      </c>
      <c r="V1279" t="s">
        <v>11720</v>
      </c>
      <c r="W1279" t="s">
        <v>12967</v>
      </c>
      <c r="X1279">
        <v>7</v>
      </c>
      <c r="Y1279" t="s">
        <v>18756</v>
      </c>
      <c r="Z1279" t="s">
        <v>24486</v>
      </c>
      <c r="AA1279">
        <v>0.42876036379256738</v>
      </c>
      <c r="AB1279" t="str">
        <f>HYPERLINK("Melting_Curves/meltCurve_O14966_RAB7L1.pdf", "Melting_Curves/meltCurve_O14966_RAB7L1.pdf")</f>
        <v>Melting_Curves/meltCurve_O14966_RAB7L1.pdf</v>
      </c>
    </row>
    <row r="1280" spans="1:28" x14ac:dyDescent="0.25">
      <c r="A1280" t="s">
        <v>1284</v>
      </c>
      <c r="B1280">
        <v>0.99334974765950101</v>
      </c>
      <c r="C1280">
        <v>0.88227168553190805</v>
      </c>
      <c r="D1280">
        <v>0.67786373834797897</v>
      </c>
      <c r="E1280">
        <v>0.29092446022462998</v>
      </c>
      <c r="F1280">
        <v>0.35348828015915201</v>
      </c>
      <c r="G1280">
        <v>0.116304544003594</v>
      </c>
      <c r="H1280">
        <v>9.2395274948014403E-2</v>
      </c>
      <c r="I1280">
        <v>9.38310073374789E-2</v>
      </c>
      <c r="J1280">
        <v>9.20178356850989E-2</v>
      </c>
      <c r="K1280">
        <v>5.8726665372669601E-2</v>
      </c>
      <c r="L1280">
        <v>762.68030355872497</v>
      </c>
      <c r="M1280">
        <v>15.975976704622999</v>
      </c>
      <c r="N1280">
        <v>48.235712594702498</v>
      </c>
      <c r="O1280">
        <v>47.009999857826699</v>
      </c>
      <c r="P1280">
        <v>-7.8525020045344701E-2</v>
      </c>
      <c r="Q1280">
        <v>7.5819895121079006E-2</v>
      </c>
      <c r="R1280">
        <v>0.97842312475346105</v>
      </c>
      <c r="S1280" t="s">
        <v>7141</v>
      </c>
      <c r="T1280" t="s">
        <v>11720</v>
      </c>
      <c r="U1280" t="s">
        <v>11720</v>
      </c>
      <c r="V1280" t="s">
        <v>11720</v>
      </c>
      <c r="W1280" t="s">
        <v>12968</v>
      </c>
      <c r="X1280">
        <v>7</v>
      </c>
      <c r="Y1280" t="s">
        <v>18757</v>
      </c>
      <c r="Z1280" t="s">
        <v>24487</v>
      </c>
      <c r="AA1280">
        <v>0.33543347797003942</v>
      </c>
      <c r="AB1280" t="str">
        <f>HYPERLINK("Melting_Curves/meltCurve_O14967_CLGN.pdf", "Melting_Curves/meltCurve_O14967_CLGN.pdf")</f>
        <v>Melting_Curves/meltCurve_O14967_CLGN.pdf</v>
      </c>
    </row>
    <row r="1281" spans="1:28" x14ac:dyDescent="0.25">
      <c r="A1281" t="s">
        <v>1285</v>
      </c>
      <c r="B1281">
        <v>0.99334974765950101</v>
      </c>
      <c r="C1281">
        <v>0.97597641363563103</v>
      </c>
      <c r="D1281">
        <v>0.93727067244529305</v>
      </c>
      <c r="E1281">
        <v>0.69998677175130497</v>
      </c>
      <c r="F1281">
        <v>0.50192879126211898</v>
      </c>
      <c r="G1281">
        <v>0.37016530411436099</v>
      </c>
      <c r="H1281">
        <v>0.35423907197558002</v>
      </c>
      <c r="I1281">
        <v>0.39358878586491303</v>
      </c>
      <c r="J1281">
        <v>0.40959988675103098</v>
      </c>
      <c r="K1281">
        <v>0.374733849639664</v>
      </c>
      <c r="L1281">
        <v>1324.27193242776</v>
      </c>
      <c r="M1281">
        <v>26.432760239569902</v>
      </c>
      <c r="N1281">
        <v>52.881264759198501</v>
      </c>
      <c r="O1281">
        <v>49.815531105977101</v>
      </c>
      <c r="P1281">
        <v>-8.28413315780092E-2</v>
      </c>
      <c r="Q1281">
        <v>0.37551121090259398</v>
      </c>
      <c r="R1281">
        <v>0.99489308549941102</v>
      </c>
      <c r="S1281" t="s">
        <v>7142</v>
      </c>
      <c r="T1281" t="s">
        <v>11720</v>
      </c>
      <c r="U1281" t="s">
        <v>11720</v>
      </c>
      <c r="V1281" t="s">
        <v>11720</v>
      </c>
      <c r="W1281" t="s">
        <v>12969</v>
      </c>
      <c r="X1281">
        <v>45</v>
      </c>
      <c r="Y1281" t="s">
        <v>18758</v>
      </c>
      <c r="Z1281" t="s">
        <v>24488</v>
      </c>
      <c r="AA1281">
        <v>0.59074349465551201</v>
      </c>
      <c r="AB1281" t="str">
        <f>HYPERLINK("Melting_Curves/meltCurve_O14974_PPP1R12A.pdf", "Melting_Curves/meltCurve_O14974_PPP1R12A.pdf")</f>
        <v>Melting_Curves/meltCurve_O14974_PPP1R12A.pdf</v>
      </c>
    </row>
    <row r="1282" spans="1:28" x14ac:dyDescent="0.25">
      <c r="A1282" t="s">
        <v>1286</v>
      </c>
      <c r="B1282">
        <v>0.99334974765950101</v>
      </c>
      <c r="C1282">
        <v>0.93377049679180402</v>
      </c>
      <c r="D1282">
        <v>0.57350598032018796</v>
      </c>
      <c r="E1282">
        <v>0.288814894749785</v>
      </c>
      <c r="F1282">
        <v>0.20309448221256701</v>
      </c>
      <c r="G1282">
        <v>0.133889537371885</v>
      </c>
      <c r="H1282">
        <v>0.106591713656567</v>
      </c>
      <c r="I1282">
        <v>0.115703888212374</v>
      </c>
      <c r="J1282">
        <v>8.7359368468351406E-2</v>
      </c>
      <c r="K1282">
        <v>8.3064969350784196E-2</v>
      </c>
      <c r="L1282">
        <v>1011.61068884421</v>
      </c>
      <c r="M1282">
        <v>21.697670343244901</v>
      </c>
      <c r="N1282">
        <v>47.143836701574799</v>
      </c>
      <c r="O1282">
        <v>46.232409519188103</v>
      </c>
      <c r="P1282">
        <v>-0.10482799902810901</v>
      </c>
      <c r="Q1282">
        <v>0.106570271422678</v>
      </c>
      <c r="R1282">
        <v>0.99324287834258895</v>
      </c>
      <c r="S1282" t="s">
        <v>7143</v>
      </c>
      <c r="T1282" t="s">
        <v>11720</v>
      </c>
      <c r="U1282" t="s">
        <v>11720</v>
      </c>
      <c r="V1282" t="s">
        <v>11720</v>
      </c>
      <c r="W1282" t="s">
        <v>12970</v>
      </c>
      <c r="X1282">
        <v>15</v>
      </c>
      <c r="Y1282" t="s">
        <v>18759</v>
      </c>
      <c r="Z1282" t="s">
        <v>24489</v>
      </c>
      <c r="AA1282">
        <v>0.31488568554013729</v>
      </c>
      <c r="AB1282" t="str">
        <f>HYPERLINK("Melting_Curves/meltCurve_O14976_GAK.pdf", "Melting_Curves/meltCurve_O14976_GAK.pdf")</f>
        <v>Melting_Curves/meltCurve_O14976_GAK.pdf</v>
      </c>
    </row>
    <row r="1283" spans="1:28" x14ac:dyDescent="0.25">
      <c r="A1283" t="s">
        <v>1287</v>
      </c>
      <c r="B1283">
        <v>0.99334974765950101</v>
      </c>
      <c r="C1283">
        <v>1.05463342193855</v>
      </c>
      <c r="D1283">
        <v>1.0369636738218599</v>
      </c>
      <c r="E1283">
        <v>1.09131033904929</v>
      </c>
      <c r="F1283">
        <v>1.2825457235962101</v>
      </c>
      <c r="G1283">
        <v>1.05927026796824</v>
      </c>
      <c r="H1283">
        <v>1.4991679350240099</v>
      </c>
      <c r="I1283">
        <v>1.24677322708256</v>
      </c>
      <c r="J1283">
        <v>1.38725220440747</v>
      </c>
      <c r="K1283">
        <v>1.66818037541244</v>
      </c>
      <c r="L1283">
        <v>643.58271367571797</v>
      </c>
      <c r="M1283">
        <v>11.377435720348601</v>
      </c>
      <c r="O1283">
        <v>54.903635692128098</v>
      </c>
      <c r="P1283">
        <v>2.5910869662529201E-2</v>
      </c>
      <c r="Q1283">
        <v>1.5</v>
      </c>
      <c r="R1283">
        <v>0.67264917817154801</v>
      </c>
      <c r="S1283" t="s">
        <v>7144</v>
      </c>
      <c r="T1283" t="s">
        <v>11720</v>
      </c>
      <c r="U1283" t="s">
        <v>11720</v>
      </c>
      <c r="V1283" t="s">
        <v>11720</v>
      </c>
      <c r="W1283" t="s">
        <v>12971</v>
      </c>
      <c r="X1283">
        <v>12</v>
      </c>
      <c r="Y1283" t="s">
        <v>18760</v>
      </c>
      <c r="Z1283" t="s">
        <v>24490</v>
      </c>
      <c r="AA1283">
        <v>1.2146232730063229</v>
      </c>
      <c r="AB1283" t="str">
        <f>HYPERLINK("Melting_Curves/meltCurve_O14979_HNRPDL.pdf", "Melting_Curves/meltCurve_O14979_HNRPDL.pdf")</f>
        <v>Melting_Curves/meltCurve_O14979_HNRPDL.pdf</v>
      </c>
    </row>
    <row r="1284" spans="1:28" x14ac:dyDescent="0.25">
      <c r="A1284" t="s">
        <v>1288</v>
      </c>
      <c r="B1284">
        <v>0.99334974765950101</v>
      </c>
      <c r="C1284">
        <v>1.0966291355169899</v>
      </c>
      <c r="D1284">
        <v>1.08532123751979</v>
      </c>
      <c r="E1284">
        <v>0.79052840413227998</v>
      </c>
      <c r="F1284">
        <v>0.17782660561264699</v>
      </c>
      <c r="G1284">
        <v>0.124803755347474</v>
      </c>
      <c r="H1284">
        <v>9.0327893639536194E-2</v>
      </c>
      <c r="I1284">
        <v>7.3918780484948196E-2</v>
      </c>
      <c r="J1284">
        <v>6.4567784879821497E-2</v>
      </c>
      <c r="K1284">
        <v>5.6580573911887699E-2</v>
      </c>
      <c r="L1284">
        <v>2982.0778001471799</v>
      </c>
      <c r="M1284">
        <v>58.413316675232501</v>
      </c>
      <c r="N1284">
        <v>51.207525330134999</v>
      </c>
      <c r="O1284">
        <v>50.991606374231999</v>
      </c>
      <c r="P1284">
        <v>-0.26301939633717603</v>
      </c>
      <c r="Q1284">
        <v>8.1594698682904601E-2</v>
      </c>
      <c r="R1284">
        <v>0.990100186576646</v>
      </c>
      <c r="S1284" t="s">
        <v>7145</v>
      </c>
      <c r="T1284" t="s">
        <v>11720</v>
      </c>
      <c r="U1284" t="s">
        <v>11720</v>
      </c>
      <c r="V1284" t="s">
        <v>11720</v>
      </c>
      <c r="W1284" t="s">
        <v>12972</v>
      </c>
      <c r="X1284">
        <v>34</v>
      </c>
      <c r="Y1284" t="s">
        <v>18761</v>
      </c>
      <c r="Z1284" t="s">
        <v>24491</v>
      </c>
      <c r="AA1284">
        <v>0.42142787531134951</v>
      </c>
      <c r="AB1284" t="str">
        <f>HYPERLINK("Melting_Curves/meltCurve_O14980_XPO1.pdf", "Melting_Curves/meltCurve_O14980_XPO1.pdf")</f>
        <v>Melting_Curves/meltCurve_O14980_XPO1.pdf</v>
      </c>
    </row>
    <row r="1285" spans="1:28" x14ac:dyDescent="0.25">
      <c r="A1285" t="s">
        <v>1289</v>
      </c>
      <c r="B1285">
        <v>0.99334974765950101</v>
      </c>
      <c r="C1285">
        <v>0.92125569520311501</v>
      </c>
      <c r="D1285">
        <v>0.82406514929970898</v>
      </c>
      <c r="E1285">
        <v>0.60344036752907404</v>
      </c>
      <c r="F1285">
        <v>0.97380668195503395</v>
      </c>
      <c r="G1285">
        <v>0.63060025663890396</v>
      </c>
      <c r="H1285">
        <v>0.51469491055189998</v>
      </c>
      <c r="I1285">
        <v>0.43976341128779201</v>
      </c>
      <c r="J1285">
        <v>0.56708648575542098</v>
      </c>
      <c r="K1285">
        <v>0.20475678850611401</v>
      </c>
      <c r="L1285">
        <v>349.96988507311698</v>
      </c>
      <c r="M1285">
        <v>5.5908393106202503</v>
      </c>
      <c r="N1285">
        <v>62.597020962453499</v>
      </c>
      <c r="O1285">
        <v>55.961958249729904</v>
      </c>
      <c r="P1285">
        <v>-2.5079940152709701E-2</v>
      </c>
      <c r="Q1285">
        <v>0</v>
      </c>
      <c r="R1285">
        <v>0.74448933066235301</v>
      </c>
      <c r="S1285" t="s">
        <v>7146</v>
      </c>
      <c r="T1285" t="s">
        <v>11720</v>
      </c>
      <c r="U1285" t="s">
        <v>11720</v>
      </c>
      <c r="V1285" t="s">
        <v>11720</v>
      </c>
      <c r="W1285" t="s">
        <v>12973</v>
      </c>
      <c r="X1285">
        <v>17</v>
      </c>
      <c r="Y1285" t="s">
        <v>18505</v>
      </c>
      <c r="Z1285" t="s">
        <v>24492</v>
      </c>
      <c r="AA1285">
        <v>0.67605620417965928</v>
      </c>
      <c r="AB1285" t="str">
        <f>HYPERLINK("Melting_Curves/meltCurve_O15027_5_SEC16A.pdf", "Melting_Curves/meltCurve_O15027_5_SEC16A.pdf")</f>
        <v>Melting_Curves/meltCurve_O15027_5_SEC16A.pdf</v>
      </c>
    </row>
    <row r="1286" spans="1:28" x14ac:dyDescent="0.25">
      <c r="A1286" t="s">
        <v>1290</v>
      </c>
      <c r="B1286">
        <v>0.99334974765950101</v>
      </c>
      <c r="C1286">
        <v>0.97261341083500297</v>
      </c>
      <c r="D1286">
        <v>1.0503163118731</v>
      </c>
      <c r="E1286">
        <v>1.1173871702070499</v>
      </c>
      <c r="F1286">
        <v>0.64618814097330202</v>
      </c>
      <c r="G1286">
        <v>0.62590030481178305</v>
      </c>
      <c r="H1286">
        <v>0.53551333290338299</v>
      </c>
      <c r="I1286">
        <v>0.62126124379452996</v>
      </c>
      <c r="J1286">
        <v>0.51533109014158396</v>
      </c>
      <c r="K1286">
        <v>0.49726909205440101</v>
      </c>
      <c r="L1286">
        <v>13175.7304990252</v>
      </c>
      <c r="M1286">
        <v>250</v>
      </c>
      <c r="O1286">
        <v>52.699549512696002</v>
      </c>
      <c r="P1286">
        <v>-0.52294698502117398</v>
      </c>
      <c r="Q1286">
        <v>0.55905487333139203</v>
      </c>
      <c r="R1286">
        <v>0.94136229481934497</v>
      </c>
      <c r="S1286" t="s">
        <v>7147</v>
      </c>
      <c r="T1286" t="s">
        <v>11720</v>
      </c>
      <c r="U1286" t="s">
        <v>11720</v>
      </c>
      <c r="V1286" t="s">
        <v>11720</v>
      </c>
      <c r="W1286" t="s">
        <v>12974</v>
      </c>
      <c r="X1286">
        <v>37</v>
      </c>
      <c r="Y1286" t="s">
        <v>18323</v>
      </c>
      <c r="Z1286" t="s">
        <v>24493</v>
      </c>
      <c r="AA1286">
        <v>0.74580537587201479</v>
      </c>
      <c r="AB1286" t="str">
        <f>HYPERLINK("Melting_Curves/meltCurve_O15031_PLXNB2.pdf", "Melting_Curves/meltCurve_O15031_PLXNB2.pdf")</f>
        <v>Melting_Curves/meltCurve_O15031_PLXNB2.pdf</v>
      </c>
    </row>
    <row r="1287" spans="1:28" x14ac:dyDescent="0.25">
      <c r="A1287" t="s">
        <v>1291</v>
      </c>
      <c r="B1287">
        <v>0.99334974765950101</v>
      </c>
      <c r="C1287">
        <v>0.96230737500905905</v>
      </c>
      <c r="D1287">
        <v>0.99874800112193196</v>
      </c>
      <c r="E1287">
        <v>0.92842813193489104</v>
      </c>
      <c r="F1287">
        <v>0.86364497842968002</v>
      </c>
      <c r="G1287">
        <v>0.54438721371633603</v>
      </c>
      <c r="H1287">
        <v>0.26811570873118201</v>
      </c>
      <c r="I1287">
        <v>0.208220282644552</v>
      </c>
      <c r="J1287">
        <v>0.19383957700853099</v>
      </c>
      <c r="K1287">
        <v>0.17203379156878901</v>
      </c>
      <c r="L1287">
        <v>1345.47434717291</v>
      </c>
      <c r="M1287">
        <v>23.825122233562201</v>
      </c>
      <c r="N1287">
        <v>57.4236000655103</v>
      </c>
      <c r="O1287">
        <v>56.079585085468302</v>
      </c>
      <c r="P1287">
        <v>-8.89034400799808E-2</v>
      </c>
      <c r="Q1287">
        <v>0.16296976663170001</v>
      </c>
      <c r="R1287">
        <v>0.99737845389722501</v>
      </c>
      <c r="S1287" t="s">
        <v>7148</v>
      </c>
      <c r="T1287" t="s">
        <v>11720</v>
      </c>
      <c r="U1287" t="s">
        <v>11720</v>
      </c>
      <c r="V1287" t="s">
        <v>11720</v>
      </c>
      <c r="W1287" t="s">
        <v>12975</v>
      </c>
      <c r="X1287">
        <v>8</v>
      </c>
      <c r="Y1287" t="s">
        <v>18762</v>
      </c>
      <c r="Z1287" t="s">
        <v>24494</v>
      </c>
      <c r="AA1287">
        <v>0.63081169518766578</v>
      </c>
      <c r="AB1287" t="str">
        <f>HYPERLINK("Melting_Curves/meltCurve_O15040_TECPR2.pdf", "Melting_Curves/meltCurve_O15040_TECPR2.pdf")</f>
        <v>Melting_Curves/meltCurve_O15040_TECPR2.pdf</v>
      </c>
    </row>
    <row r="1288" spans="1:28" x14ac:dyDescent="0.25">
      <c r="A1288" t="s">
        <v>1292</v>
      </c>
      <c r="B1288">
        <v>0.99334974765950101</v>
      </c>
      <c r="C1288">
        <v>1.14677445521099</v>
      </c>
      <c r="D1288">
        <v>1.0606580366583001</v>
      </c>
      <c r="E1288">
        <v>1.2564751361234501</v>
      </c>
      <c r="F1288">
        <v>0.57508912054371297</v>
      </c>
      <c r="G1288">
        <v>0.43133493539461598</v>
      </c>
      <c r="H1288">
        <v>0.39659649042008299</v>
      </c>
      <c r="I1288">
        <v>0.48746484111208799</v>
      </c>
      <c r="J1288">
        <v>0.48234752618124799</v>
      </c>
      <c r="K1288">
        <v>0.35258989623079701</v>
      </c>
      <c r="L1288">
        <v>13193.026186797</v>
      </c>
      <c r="M1288">
        <v>250</v>
      </c>
      <c r="N1288">
        <v>53.190621531649001</v>
      </c>
      <c r="O1288">
        <v>52.7687276777759</v>
      </c>
      <c r="P1288">
        <v>-0.67503690662627902</v>
      </c>
      <c r="Q1288">
        <v>0.43006658144550203</v>
      </c>
      <c r="R1288">
        <v>0.90656000430474404</v>
      </c>
      <c r="S1288" t="s">
        <v>7149</v>
      </c>
      <c r="T1288" t="s">
        <v>11720</v>
      </c>
      <c r="U1288" t="s">
        <v>11720</v>
      </c>
      <c r="V1288" t="s">
        <v>11720</v>
      </c>
      <c r="W1288" t="s">
        <v>12976</v>
      </c>
      <c r="X1288">
        <v>2</v>
      </c>
      <c r="Y1288" t="s">
        <v>18763</v>
      </c>
      <c r="Z1288" t="s">
        <v>24495</v>
      </c>
      <c r="AA1288">
        <v>0.67276100940931349</v>
      </c>
      <c r="AB1288" t="str">
        <f>HYPERLINK("Melting_Curves/meltCurve_O15061_SYNM.pdf", "Melting_Curves/meltCurve_O15061_SYNM.pdf")</f>
        <v>Melting_Curves/meltCurve_O15061_SYNM.pdf</v>
      </c>
    </row>
    <row r="1289" spans="1:28" x14ac:dyDescent="0.25">
      <c r="A1289" t="s">
        <v>1293</v>
      </c>
      <c r="B1289">
        <v>0.99334974765950101</v>
      </c>
      <c r="C1289">
        <v>0.97594000664257596</v>
      </c>
      <c r="D1289">
        <v>0.72352341345259197</v>
      </c>
      <c r="E1289">
        <v>0.340597050236007</v>
      </c>
      <c r="F1289">
        <v>0.19053855711259801</v>
      </c>
      <c r="G1289">
        <v>0.116401430341702</v>
      </c>
      <c r="H1289">
        <v>0.12873575126749101</v>
      </c>
      <c r="I1289">
        <v>0.110285196127638</v>
      </c>
      <c r="J1289">
        <v>8.6645984693344599E-2</v>
      </c>
      <c r="K1289">
        <v>0.116511669967828</v>
      </c>
      <c r="L1289">
        <v>1137.1218938121699</v>
      </c>
      <c r="M1289">
        <v>23.8246319146132</v>
      </c>
      <c r="N1289">
        <v>48.221303982484102</v>
      </c>
      <c r="O1289">
        <v>47.396383757584999</v>
      </c>
      <c r="P1289">
        <v>-0.11209829943563</v>
      </c>
      <c r="Q1289">
        <v>0.107987472509967</v>
      </c>
      <c r="R1289">
        <v>0.99807060460951502</v>
      </c>
      <c r="S1289" t="s">
        <v>7150</v>
      </c>
      <c r="T1289" t="s">
        <v>11720</v>
      </c>
      <c r="U1289" t="s">
        <v>11720</v>
      </c>
      <c r="V1289" t="s">
        <v>11720</v>
      </c>
      <c r="W1289" t="s">
        <v>12977</v>
      </c>
      <c r="X1289">
        <v>1</v>
      </c>
      <c r="Y1289" t="s">
        <v>18764</v>
      </c>
      <c r="Z1289" t="s">
        <v>24496</v>
      </c>
      <c r="AA1289">
        <v>0.3465475073697441</v>
      </c>
      <c r="AB1289" t="str">
        <f>HYPERLINK("Melting_Curves/meltCurve_O15063_KIAA0355.pdf", "Melting_Curves/meltCurve_O15063_KIAA0355.pdf")</f>
        <v>Melting_Curves/meltCurve_O15063_KIAA0355.pdf</v>
      </c>
    </row>
    <row r="1290" spans="1:28" x14ac:dyDescent="0.25">
      <c r="A1290" t="s">
        <v>1294</v>
      </c>
      <c r="B1290">
        <v>0.99334974765950101</v>
      </c>
      <c r="C1290">
        <v>1.25632562357251</v>
      </c>
      <c r="D1290">
        <v>1.1977859189323901</v>
      </c>
      <c r="E1290">
        <v>1.0694377737055001</v>
      </c>
      <c r="F1290">
        <v>0.47766828589725202</v>
      </c>
      <c r="G1290">
        <v>0.33688368531937901</v>
      </c>
      <c r="H1290">
        <v>0.24043812708012599</v>
      </c>
      <c r="I1290">
        <v>0.17912794911412699</v>
      </c>
      <c r="J1290">
        <v>0.18624288224690999</v>
      </c>
      <c r="K1290">
        <v>0.13491835796997201</v>
      </c>
      <c r="L1290">
        <v>13213.461821205099</v>
      </c>
      <c r="M1290">
        <v>250</v>
      </c>
      <c r="N1290">
        <v>52.973347501729499</v>
      </c>
      <c r="O1290">
        <v>52.850488597716101</v>
      </c>
      <c r="P1290">
        <v>-0.92770922272594403</v>
      </c>
      <c r="Q1290">
        <v>0.21552217774253499</v>
      </c>
      <c r="R1290">
        <v>0.931102367711926</v>
      </c>
      <c r="S1290" t="s">
        <v>7151</v>
      </c>
      <c r="T1290" t="s">
        <v>11720</v>
      </c>
      <c r="U1290" t="s">
        <v>11720</v>
      </c>
      <c r="V1290" t="s">
        <v>11720</v>
      </c>
      <c r="W1290" t="s">
        <v>12978</v>
      </c>
      <c r="X1290">
        <v>3</v>
      </c>
      <c r="Y1290" t="s">
        <v>18765</v>
      </c>
      <c r="Z1290" t="s">
        <v>24497</v>
      </c>
      <c r="AA1290">
        <v>0.55171354827239738</v>
      </c>
      <c r="AB1290" t="str">
        <f>HYPERLINK("Melting_Curves/meltCurve_O15066_KIF3B.pdf", "Melting_Curves/meltCurve_O15066_KIF3B.pdf")</f>
        <v>Melting_Curves/meltCurve_O15066_KIF3B.pdf</v>
      </c>
    </row>
    <row r="1291" spans="1:28" x14ac:dyDescent="0.25">
      <c r="A1291" t="s">
        <v>1295</v>
      </c>
      <c r="B1291">
        <v>0.99334974765950101</v>
      </c>
      <c r="C1291">
        <v>0.96433286534429197</v>
      </c>
      <c r="D1291">
        <v>0.96627817891727596</v>
      </c>
      <c r="E1291">
        <v>0.53930958938015205</v>
      </c>
      <c r="F1291">
        <v>0.231466692135821</v>
      </c>
      <c r="G1291">
        <v>0.181938620416317</v>
      </c>
      <c r="H1291">
        <v>0.13259699631924601</v>
      </c>
      <c r="I1291">
        <v>0.100530987895084</v>
      </c>
      <c r="J1291">
        <v>9.0587426147186206E-2</v>
      </c>
      <c r="K1291">
        <v>7.9387697142447505E-2</v>
      </c>
      <c r="L1291">
        <v>1552.7563000642499</v>
      </c>
      <c r="M1291">
        <v>31.096174550821701</v>
      </c>
      <c r="N1291">
        <v>50.339530035246099</v>
      </c>
      <c r="O1291">
        <v>49.728847816761302</v>
      </c>
      <c r="P1291">
        <v>-0.13900855144330301</v>
      </c>
      <c r="Q1291">
        <v>0.11079780620351599</v>
      </c>
      <c r="R1291">
        <v>0.99562050106934197</v>
      </c>
      <c r="S1291" t="s">
        <v>7152</v>
      </c>
      <c r="T1291" t="s">
        <v>11720</v>
      </c>
      <c r="U1291" t="s">
        <v>11720</v>
      </c>
      <c r="V1291" t="s">
        <v>11720</v>
      </c>
      <c r="W1291" t="s">
        <v>12979</v>
      </c>
      <c r="X1291">
        <v>24</v>
      </c>
      <c r="Y1291" t="s">
        <v>18766</v>
      </c>
      <c r="Z1291" t="s">
        <v>24498</v>
      </c>
      <c r="AA1291">
        <v>0.41035108113849628</v>
      </c>
      <c r="AB1291" t="str">
        <f>HYPERLINK("Melting_Curves/meltCurve_O15067_PFAS.pdf", "Melting_Curves/meltCurve_O15067_PFAS.pdf")</f>
        <v>Melting_Curves/meltCurve_O15067_PFAS.pdf</v>
      </c>
    </row>
    <row r="1292" spans="1:28" x14ac:dyDescent="0.25">
      <c r="A1292" t="s">
        <v>1296</v>
      </c>
      <c r="B1292">
        <v>0.99334974765950101</v>
      </c>
      <c r="C1292">
        <v>0.95764450491380404</v>
      </c>
      <c r="D1292">
        <v>0.85882574044307303</v>
      </c>
      <c r="E1292">
        <v>0.75188213427120698</v>
      </c>
      <c r="F1292">
        <v>0.70201440518704195</v>
      </c>
      <c r="G1292">
        <v>0.59243341489632795</v>
      </c>
      <c r="H1292">
        <v>0.52396477912000505</v>
      </c>
      <c r="I1292">
        <v>0.61844463817475703</v>
      </c>
      <c r="J1292">
        <v>0.59764442910161597</v>
      </c>
      <c r="K1292">
        <v>0.54086642664870999</v>
      </c>
      <c r="L1292">
        <v>695.21823354131902</v>
      </c>
      <c r="M1292">
        <v>14.151336337183199</v>
      </c>
      <c r="O1292">
        <v>48.177583580009099</v>
      </c>
      <c r="P1292">
        <v>-3.2584829856923202E-2</v>
      </c>
      <c r="Q1292">
        <v>0.55632198938077804</v>
      </c>
      <c r="R1292">
        <v>0.96661689552613905</v>
      </c>
      <c r="S1292" t="s">
        <v>7153</v>
      </c>
      <c r="T1292" t="s">
        <v>11720</v>
      </c>
      <c r="U1292" t="s">
        <v>11720</v>
      </c>
      <c r="V1292" t="s">
        <v>11720</v>
      </c>
      <c r="W1292" t="s">
        <v>12980</v>
      </c>
      <c r="X1292">
        <v>8</v>
      </c>
      <c r="Y1292" t="s">
        <v>18767</v>
      </c>
      <c r="Z1292" t="s">
        <v>24499</v>
      </c>
      <c r="AA1292">
        <v>0.70344403530974797</v>
      </c>
      <c r="AB1292" t="str">
        <f>HYPERLINK("Melting_Curves/meltCurve_O15069_NACAD.pdf", "Melting_Curves/meltCurve_O15069_NACAD.pdf")</f>
        <v>Melting_Curves/meltCurve_O15069_NACAD.pdf</v>
      </c>
    </row>
    <row r="1293" spans="1:28" x14ac:dyDescent="0.25">
      <c r="A1293" t="s">
        <v>1297</v>
      </c>
      <c r="B1293">
        <v>0.99334974765950101</v>
      </c>
      <c r="C1293">
        <v>0.92057282348230596</v>
      </c>
      <c r="D1293">
        <v>0.74804408053634797</v>
      </c>
      <c r="E1293">
        <v>0.46882241159745403</v>
      </c>
      <c r="F1293">
        <v>0.51732239985514905</v>
      </c>
      <c r="G1293">
        <v>0.35372725419840301</v>
      </c>
      <c r="H1293">
        <v>0.27846835345559801</v>
      </c>
      <c r="I1293">
        <v>0.21861587442774599</v>
      </c>
      <c r="J1293">
        <v>0.16512188503175401</v>
      </c>
      <c r="K1293">
        <v>0.213332012188584</v>
      </c>
      <c r="L1293">
        <v>566.90178988104606</v>
      </c>
      <c r="M1293">
        <v>11.4237233290653</v>
      </c>
      <c r="N1293">
        <v>51.521663063183702</v>
      </c>
      <c r="O1293">
        <v>48.177305710662701</v>
      </c>
      <c r="P1293">
        <v>-4.91181500985012E-2</v>
      </c>
      <c r="Q1293">
        <v>0.17165705479722501</v>
      </c>
      <c r="R1293">
        <v>0.97232323009274602</v>
      </c>
      <c r="S1293" t="s">
        <v>7154</v>
      </c>
      <c r="T1293" t="s">
        <v>11720</v>
      </c>
      <c r="U1293" t="s">
        <v>11720</v>
      </c>
      <c r="V1293" t="s">
        <v>11720</v>
      </c>
      <c r="W1293" t="s">
        <v>12981</v>
      </c>
      <c r="X1293">
        <v>4</v>
      </c>
      <c r="Y1293" t="s">
        <v>18768</v>
      </c>
      <c r="Z1293" t="s">
        <v>24500</v>
      </c>
      <c r="AA1293">
        <v>0.4691014310787523</v>
      </c>
      <c r="AB1293" t="str">
        <f>HYPERLINK("Melting_Curves/meltCurve_O15085_ARHGEF11.pdf", "Melting_Curves/meltCurve_O15085_ARHGEF11.pdf")</f>
        <v>Melting_Curves/meltCurve_O15085_ARHGEF11.pdf</v>
      </c>
    </row>
    <row r="1294" spans="1:28" x14ac:dyDescent="0.25">
      <c r="A1294" t="s">
        <v>1298</v>
      </c>
      <c r="B1294">
        <v>0.99334974765950101</v>
      </c>
      <c r="C1294">
        <v>1.0097351374961701</v>
      </c>
      <c r="D1294">
        <v>1.1068958415886101</v>
      </c>
      <c r="E1294">
        <v>0.88252362348853097</v>
      </c>
      <c r="F1294">
        <v>0.98968730537812799</v>
      </c>
      <c r="G1294">
        <v>0.80638476846344498</v>
      </c>
      <c r="H1294">
        <v>0.94387129002215597</v>
      </c>
      <c r="I1294">
        <v>0.69967340192149097</v>
      </c>
      <c r="J1294">
        <v>1.33639689103846</v>
      </c>
      <c r="K1294">
        <v>0.81047227875573202</v>
      </c>
      <c r="L1294">
        <v>12002.8288600387</v>
      </c>
      <c r="M1294">
        <v>250</v>
      </c>
      <c r="O1294">
        <v>48.008243995261999</v>
      </c>
      <c r="P1294">
        <v>-9.8753534544514798E-2</v>
      </c>
      <c r="Q1294">
        <v>0.92414426109771297</v>
      </c>
      <c r="R1294">
        <v>7.8400897583835796E-2</v>
      </c>
      <c r="S1294" t="s">
        <v>7155</v>
      </c>
      <c r="T1294" t="s">
        <v>11720</v>
      </c>
      <c r="U1294" t="s">
        <v>11720</v>
      </c>
      <c r="V1294" t="s">
        <v>11720</v>
      </c>
      <c r="W1294" t="s">
        <v>12982</v>
      </c>
      <c r="X1294">
        <v>5</v>
      </c>
      <c r="Y1294" t="s">
        <v>18769</v>
      </c>
      <c r="Z1294" t="s">
        <v>24501</v>
      </c>
      <c r="AA1294">
        <v>0.94440746104460715</v>
      </c>
      <c r="AB1294" t="str">
        <f>HYPERLINK("Melting_Curves/meltCurve_O15116_LSM1.pdf", "Melting_Curves/meltCurve_O15116_LSM1.pdf")</f>
        <v>Melting_Curves/meltCurve_O15116_LSM1.pdf</v>
      </c>
    </row>
    <row r="1295" spans="1:28" x14ac:dyDescent="0.25">
      <c r="A1295" t="s">
        <v>1299</v>
      </c>
      <c r="B1295">
        <v>0.99334974765950101</v>
      </c>
      <c r="C1295">
        <v>0.92103654034869098</v>
      </c>
      <c r="D1295">
        <v>0.96081876134446198</v>
      </c>
      <c r="E1295">
        <v>0.94091991531112795</v>
      </c>
      <c r="F1295">
        <v>0.88391971334627795</v>
      </c>
      <c r="G1295">
        <v>0.78558843465561901</v>
      </c>
      <c r="H1295">
        <v>0.79738110754516101</v>
      </c>
      <c r="I1295">
        <v>1.05650465141452</v>
      </c>
      <c r="J1295">
        <v>0.79819458229894202</v>
      </c>
      <c r="K1295">
        <v>0.54395839964540404</v>
      </c>
      <c r="L1295">
        <v>325.79411490215398</v>
      </c>
      <c r="M1295">
        <v>3.7559956969917501</v>
      </c>
      <c r="O1295">
        <v>69.744446660256799</v>
      </c>
      <c r="P1295">
        <v>-1.3674760159968199E-2</v>
      </c>
      <c r="Q1295">
        <v>0</v>
      </c>
      <c r="R1295">
        <v>0.40027935723608299</v>
      </c>
      <c r="S1295" t="s">
        <v>7156</v>
      </c>
      <c r="T1295" t="s">
        <v>11720</v>
      </c>
      <c r="U1295" t="s">
        <v>11720</v>
      </c>
      <c r="V1295" t="s">
        <v>11720</v>
      </c>
      <c r="W1295" t="s">
        <v>12983</v>
      </c>
      <c r="X1295">
        <v>8</v>
      </c>
      <c r="Y1295" t="s">
        <v>18770</v>
      </c>
      <c r="Z1295" t="s">
        <v>24502</v>
      </c>
      <c r="AA1295">
        <v>0.88038348396497379</v>
      </c>
      <c r="AB1295" t="str">
        <f>HYPERLINK("Melting_Curves/meltCurve_O15118_NPC1.pdf", "Melting_Curves/meltCurve_O15118_NPC1.pdf")</f>
        <v>Melting_Curves/meltCurve_O15118_NPC1.pdf</v>
      </c>
    </row>
    <row r="1296" spans="1:28" x14ac:dyDescent="0.25">
      <c r="A1296" t="s">
        <v>1300</v>
      </c>
      <c r="B1296">
        <v>0.99334974765950101</v>
      </c>
      <c r="C1296">
        <v>0.87940972479698998</v>
      </c>
      <c r="D1296">
        <v>0.87860027553971298</v>
      </c>
      <c r="E1296">
        <v>0.77441482567391895</v>
      </c>
      <c r="F1296">
        <v>0.77129753969318804</v>
      </c>
      <c r="G1296">
        <v>0.46896646756520999</v>
      </c>
      <c r="H1296">
        <v>0.34497401286937901</v>
      </c>
      <c r="I1296">
        <v>0.21994086887327599</v>
      </c>
      <c r="J1296">
        <v>0.179587122918828</v>
      </c>
      <c r="K1296">
        <v>9.5916956664324704E-2</v>
      </c>
      <c r="L1296">
        <v>584.70531689604002</v>
      </c>
      <c r="M1296">
        <v>10.283742956340999</v>
      </c>
      <c r="N1296">
        <v>56.857247547527301</v>
      </c>
      <c r="O1296">
        <v>54.8331532928337</v>
      </c>
      <c r="P1296">
        <v>-4.6907006570320403E-2</v>
      </c>
      <c r="Q1296">
        <v>0</v>
      </c>
      <c r="R1296">
        <v>0.97949825491728604</v>
      </c>
      <c r="S1296" t="s">
        <v>7157</v>
      </c>
      <c r="T1296" t="s">
        <v>11720</v>
      </c>
      <c r="U1296" t="s">
        <v>11720</v>
      </c>
      <c r="V1296" t="s">
        <v>11720</v>
      </c>
      <c r="W1296" t="s">
        <v>12984</v>
      </c>
      <c r="X1296">
        <v>3</v>
      </c>
      <c r="Y1296" t="s">
        <v>18771</v>
      </c>
      <c r="Z1296" t="s">
        <v>24503</v>
      </c>
      <c r="AA1296">
        <v>0.57874320086906039</v>
      </c>
      <c r="AB1296" t="str">
        <f>HYPERLINK("Melting_Curves/meltCurve_O15121_DEGS1.pdf", "Melting_Curves/meltCurve_O15121_DEGS1.pdf")</f>
        <v>Melting_Curves/meltCurve_O15121_DEGS1.pdf</v>
      </c>
    </row>
    <row r="1297" spans="1:28" x14ac:dyDescent="0.25">
      <c r="A1297" t="s">
        <v>1301</v>
      </c>
      <c r="B1297">
        <v>0.99334974765950101</v>
      </c>
      <c r="C1297">
        <v>0.96168186447964998</v>
      </c>
      <c r="D1297">
        <v>1.09594201059832</v>
      </c>
      <c r="E1297">
        <v>0.81051700729343201</v>
      </c>
      <c r="F1297">
        <v>1.0311525206023</v>
      </c>
      <c r="G1297">
        <v>0.81718122091103795</v>
      </c>
      <c r="H1297">
        <v>0.95274064511238199</v>
      </c>
      <c r="I1297">
        <v>0.613870697235672</v>
      </c>
      <c r="J1297">
        <v>0.96732057415546402</v>
      </c>
      <c r="K1297">
        <v>0.52203779744720302</v>
      </c>
      <c r="L1297">
        <v>503.13758039794499</v>
      </c>
      <c r="M1297">
        <v>6.5709314301696802</v>
      </c>
      <c r="Q1297">
        <v>0</v>
      </c>
      <c r="R1297">
        <v>0.44400629874950198</v>
      </c>
      <c r="S1297" t="s">
        <v>7158</v>
      </c>
      <c r="T1297" t="s">
        <v>11720</v>
      </c>
      <c r="U1297" t="s">
        <v>11720</v>
      </c>
      <c r="V1297" t="s">
        <v>11720</v>
      </c>
      <c r="W1297" t="s">
        <v>12985</v>
      </c>
      <c r="X1297">
        <v>11</v>
      </c>
      <c r="Y1297" t="s">
        <v>18772</v>
      </c>
      <c r="Z1297" t="s">
        <v>24504</v>
      </c>
      <c r="AA1297">
        <v>0.89098956903702964</v>
      </c>
      <c r="AB1297" t="str">
        <f>HYPERLINK("Melting_Curves/meltCurve_O15126_SCAMP1.pdf", "Melting_Curves/meltCurve_O15126_SCAMP1.pdf")</f>
        <v>Melting_Curves/meltCurve_O15126_SCAMP1.pdf</v>
      </c>
    </row>
    <row r="1298" spans="1:28" x14ac:dyDescent="0.25">
      <c r="A1298" t="s">
        <v>1302</v>
      </c>
      <c r="B1298">
        <v>0.99334974765950101</v>
      </c>
      <c r="C1298">
        <v>0.91708328583727095</v>
      </c>
      <c r="D1298">
        <v>0.89051702263259402</v>
      </c>
      <c r="E1298">
        <v>0.74392545958800005</v>
      </c>
      <c r="F1298">
        <v>0.79875761381737198</v>
      </c>
      <c r="G1298">
        <v>0.61875499134720602</v>
      </c>
      <c r="H1298">
        <v>0.58677629919658403</v>
      </c>
      <c r="I1298">
        <v>0.61558294147216597</v>
      </c>
      <c r="J1298">
        <v>0.68038634961325195</v>
      </c>
      <c r="K1298">
        <v>0.410054552626614</v>
      </c>
      <c r="L1298">
        <v>377.49232907549401</v>
      </c>
      <c r="M1298">
        <v>6.9098845957206798</v>
      </c>
      <c r="O1298">
        <v>50.605265733366203</v>
      </c>
      <c r="P1298">
        <v>-1.9738603146121799E-2</v>
      </c>
      <c r="Q1298">
        <v>0.422890766053372</v>
      </c>
      <c r="R1298">
        <v>0.84704340245243304</v>
      </c>
      <c r="S1298" t="s">
        <v>7159</v>
      </c>
      <c r="T1298" t="s">
        <v>11720</v>
      </c>
      <c r="U1298" t="s">
        <v>11720</v>
      </c>
      <c r="V1298" t="s">
        <v>11720</v>
      </c>
      <c r="W1298" t="s">
        <v>12986</v>
      </c>
      <c r="X1298">
        <v>8</v>
      </c>
      <c r="Y1298" t="s">
        <v>18773</v>
      </c>
      <c r="Z1298" t="s">
        <v>24505</v>
      </c>
      <c r="AA1298">
        <v>0.72183182568163906</v>
      </c>
      <c r="AB1298" t="str">
        <f>HYPERLINK("Melting_Curves/meltCurve_O15127_SCAMP2.pdf", "Melting_Curves/meltCurve_O15127_SCAMP2.pdf")</f>
        <v>Melting_Curves/meltCurve_O15127_SCAMP2.pdf</v>
      </c>
    </row>
    <row r="1299" spans="1:28" x14ac:dyDescent="0.25">
      <c r="A1299" t="s">
        <v>1303</v>
      </c>
      <c r="B1299">
        <v>0.99334974765950101</v>
      </c>
      <c r="C1299">
        <v>1.0784629423049401</v>
      </c>
      <c r="D1299">
        <v>1.29916671349663</v>
      </c>
      <c r="E1299">
        <v>1.5939674124049299</v>
      </c>
      <c r="F1299">
        <v>1.6587836742512101</v>
      </c>
      <c r="G1299">
        <v>1.66036798576502</v>
      </c>
      <c r="H1299">
        <v>1.07149635830373</v>
      </c>
      <c r="I1299">
        <v>0.33393913792852897</v>
      </c>
      <c r="J1299">
        <v>0.20309113803089901</v>
      </c>
      <c r="K1299">
        <v>0.15464900999539299</v>
      </c>
      <c r="L1299">
        <v>15000</v>
      </c>
      <c r="M1299">
        <v>235.83228295825401</v>
      </c>
      <c r="N1299">
        <v>63.724175182312599</v>
      </c>
      <c r="O1299">
        <v>63.599949222250103</v>
      </c>
      <c r="P1299">
        <v>-0.76120822890201301</v>
      </c>
      <c r="Q1299">
        <v>0.17886042854321699</v>
      </c>
      <c r="R1299">
        <v>0.57492446775759198</v>
      </c>
      <c r="S1299" t="s">
        <v>7160</v>
      </c>
      <c r="T1299" t="s">
        <v>11720</v>
      </c>
      <c r="U1299" t="s">
        <v>11720</v>
      </c>
      <c r="V1299" t="s">
        <v>11720</v>
      </c>
      <c r="W1299" t="s">
        <v>12987</v>
      </c>
      <c r="X1299">
        <v>19</v>
      </c>
      <c r="Y1299" t="s">
        <v>18774</v>
      </c>
      <c r="Z1299" t="s">
        <v>24506</v>
      </c>
      <c r="AA1299">
        <v>0.82505038043311629</v>
      </c>
      <c r="AB1299" t="str">
        <f>HYPERLINK("Melting_Curves/meltCurve_O15143_ARPC1B.pdf", "Melting_Curves/meltCurve_O15143_ARPC1B.pdf")</f>
        <v>Melting_Curves/meltCurve_O15143_ARPC1B.pdf</v>
      </c>
    </row>
    <row r="1300" spans="1:28" x14ac:dyDescent="0.25">
      <c r="A1300" t="s">
        <v>1304</v>
      </c>
      <c r="B1300">
        <v>0.99334974765950101</v>
      </c>
      <c r="C1300">
        <v>1.05752216929684</v>
      </c>
      <c r="D1300">
        <v>1.35805105928265</v>
      </c>
      <c r="E1300">
        <v>1.5590241942551</v>
      </c>
      <c r="F1300">
        <v>1.50190986488863</v>
      </c>
      <c r="G1300">
        <v>1.77110581584328</v>
      </c>
      <c r="H1300">
        <v>1.15853410459608</v>
      </c>
      <c r="I1300">
        <v>0.65525355909654204</v>
      </c>
      <c r="J1300">
        <v>0.20451047892737001</v>
      </c>
      <c r="K1300">
        <v>0.13987978346489499</v>
      </c>
      <c r="L1300">
        <v>14656.1434523635</v>
      </c>
      <c r="M1300">
        <v>228.66480080496399</v>
      </c>
      <c r="N1300">
        <v>64.213007907482904</v>
      </c>
      <c r="O1300">
        <v>64.089542202398206</v>
      </c>
      <c r="P1300">
        <v>-0.73840108490567002</v>
      </c>
      <c r="Q1300">
        <v>0.17217189122843701</v>
      </c>
      <c r="R1300">
        <v>0.52788008219304094</v>
      </c>
      <c r="S1300" t="s">
        <v>7161</v>
      </c>
      <c r="T1300" t="s">
        <v>11720</v>
      </c>
      <c r="U1300" t="s">
        <v>11720</v>
      </c>
      <c r="V1300" t="s">
        <v>11720</v>
      </c>
      <c r="W1300" t="s">
        <v>12988</v>
      </c>
      <c r="X1300">
        <v>22</v>
      </c>
      <c r="Y1300" t="s">
        <v>18775</v>
      </c>
      <c r="Z1300" t="s">
        <v>24507</v>
      </c>
      <c r="AA1300">
        <v>0.83715182342917294</v>
      </c>
      <c r="AB1300" t="str">
        <f>HYPERLINK("Melting_Curves/meltCurve_O15144_ARPC2.pdf", "Melting_Curves/meltCurve_O15144_ARPC2.pdf")</f>
        <v>Melting_Curves/meltCurve_O15144_ARPC2.pdf</v>
      </c>
    </row>
    <row r="1301" spans="1:28" x14ac:dyDescent="0.25">
      <c r="A1301" t="s">
        <v>1305</v>
      </c>
      <c r="B1301">
        <v>0.99334974765950101</v>
      </c>
      <c r="C1301">
        <v>1.05140030768677</v>
      </c>
      <c r="D1301">
        <v>1.1971399849142399</v>
      </c>
      <c r="E1301">
        <v>1.28563014417499</v>
      </c>
      <c r="F1301">
        <v>1.2201392140784899</v>
      </c>
      <c r="G1301">
        <v>1.09330842031515</v>
      </c>
      <c r="H1301">
        <v>0.60635386946774705</v>
      </c>
      <c r="I1301">
        <v>0.27761119353197</v>
      </c>
      <c r="J1301">
        <v>0.13747663421589601</v>
      </c>
      <c r="K1301">
        <v>0.114039021494328</v>
      </c>
      <c r="L1301">
        <v>3003.9449162476299</v>
      </c>
      <c r="M1301">
        <v>48.926614278811499</v>
      </c>
      <c r="N1301">
        <v>61.7820915474556</v>
      </c>
      <c r="O1301">
        <v>61.294642635753199</v>
      </c>
      <c r="P1301">
        <v>-0.173325889790897</v>
      </c>
      <c r="Q1301">
        <v>0.131438888147031</v>
      </c>
      <c r="R1301">
        <v>0.905155354600224</v>
      </c>
      <c r="S1301" t="s">
        <v>7162</v>
      </c>
      <c r="T1301" t="s">
        <v>11720</v>
      </c>
      <c r="U1301" t="s">
        <v>11720</v>
      </c>
      <c r="V1301" t="s">
        <v>11720</v>
      </c>
      <c r="W1301" t="s">
        <v>12989</v>
      </c>
      <c r="X1301">
        <v>10</v>
      </c>
      <c r="Y1301" t="s">
        <v>18776</v>
      </c>
      <c r="Z1301" t="s">
        <v>24508</v>
      </c>
      <c r="AA1301">
        <v>0.75326023627210092</v>
      </c>
      <c r="AB1301" t="str">
        <f>HYPERLINK("Melting_Curves/meltCurve_O15145_ARPC3.pdf", "Melting_Curves/meltCurve_O15145_ARPC3.pdf")</f>
        <v>Melting_Curves/meltCurve_O15145_ARPC3.pdf</v>
      </c>
    </row>
    <row r="1302" spans="1:28" x14ac:dyDescent="0.25">
      <c r="A1302" t="s">
        <v>1306</v>
      </c>
      <c r="B1302">
        <v>0.99334974765950101</v>
      </c>
      <c r="C1302">
        <v>0.94101893666442504</v>
      </c>
      <c r="D1302">
        <v>0.86455691447861704</v>
      </c>
      <c r="E1302">
        <v>0.73577809609359401</v>
      </c>
      <c r="F1302">
        <v>0.93470092954293604</v>
      </c>
      <c r="G1302">
        <v>0.57140118827195396</v>
      </c>
      <c r="H1302">
        <v>0.60149283814510002</v>
      </c>
      <c r="I1302">
        <v>0.601495305377581</v>
      </c>
      <c r="J1302">
        <v>0.81947753441989002</v>
      </c>
      <c r="K1302">
        <v>0.60192064973945003</v>
      </c>
      <c r="L1302">
        <v>567.72409079310603</v>
      </c>
      <c r="M1302">
        <v>11.5391565320108</v>
      </c>
      <c r="O1302">
        <v>47.791769332496202</v>
      </c>
      <c r="P1302">
        <v>-2.2189819746352299E-2</v>
      </c>
      <c r="Q1302">
        <v>0.63248844641763302</v>
      </c>
      <c r="R1302">
        <v>0.61033985089535403</v>
      </c>
      <c r="S1302" t="s">
        <v>7163</v>
      </c>
      <c r="T1302" t="s">
        <v>11720</v>
      </c>
      <c r="U1302" t="s">
        <v>11720</v>
      </c>
      <c r="V1302" t="s">
        <v>11720</v>
      </c>
      <c r="W1302" t="s">
        <v>12039</v>
      </c>
      <c r="X1302">
        <v>4</v>
      </c>
      <c r="Y1302" t="s">
        <v>17835</v>
      </c>
      <c r="Z1302" t="s">
        <v>24509</v>
      </c>
      <c r="AA1302">
        <v>0.75940968630576933</v>
      </c>
      <c r="AB1302" t="str">
        <f>HYPERLINK("Melting_Curves/meltCurve_O15155_BET1.pdf", "Melting_Curves/meltCurve_O15155_BET1.pdf")</f>
        <v>Melting_Curves/meltCurve_O15155_BET1.pdf</v>
      </c>
    </row>
    <row r="1303" spans="1:28" x14ac:dyDescent="0.25">
      <c r="A1303" t="s">
        <v>1307</v>
      </c>
      <c r="B1303">
        <v>0.99334974765950101</v>
      </c>
      <c r="C1303">
        <v>0.87068305358156595</v>
      </c>
      <c r="D1303">
        <v>0.59772503273329503</v>
      </c>
      <c r="E1303">
        <v>0.28735933725975199</v>
      </c>
      <c r="F1303">
        <v>0.27634576996829502</v>
      </c>
      <c r="G1303">
        <v>0.186048336564584</v>
      </c>
      <c r="H1303">
        <v>0.101601938865059</v>
      </c>
      <c r="I1303">
        <v>8.3772556639090598E-2</v>
      </c>
      <c r="J1303">
        <v>7.6836570664901793E-2</v>
      </c>
      <c r="K1303">
        <v>5.09720159693254E-2</v>
      </c>
      <c r="L1303">
        <v>766.88906649159799</v>
      </c>
      <c r="M1303">
        <v>16.306316103445301</v>
      </c>
      <c r="N1303">
        <v>47.567138876773001</v>
      </c>
      <c r="O1303">
        <v>46.339949957177197</v>
      </c>
      <c r="P1303">
        <v>-8.0582167370394198E-2</v>
      </c>
      <c r="Q1303">
        <v>8.4060413937666903E-2</v>
      </c>
      <c r="R1303">
        <v>0.98645454105021702</v>
      </c>
      <c r="S1303" t="s">
        <v>7164</v>
      </c>
      <c r="T1303" t="s">
        <v>11720</v>
      </c>
      <c r="U1303" t="s">
        <v>11720</v>
      </c>
      <c r="V1303" t="s">
        <v>11720</v>
      </c>
      <c r="W1303" t="s">
        <v>12990</v>
      </c>
      <c r="X1303">
        <v>6</v>
      </c>
      <c r="Y1303" t="s">
        <v>18777</v>
      </c>
      <c r="Z1303" t="s">
        <v>24510</v>
      </c>
      <c r="AA1303">
        <v>0.31956535170773392</v>
      </c>
      <c r="AB1303" t="str">
        <f>HYPERLINK("Melting_Curves/meltCurve_O15160_POLR1C.pdf", "Melting_Curves/meltCurve_O15160_POLR1C.pdf")</f>
        <v>Melting_Curves/meltCurve_O15160_POLR1C.pdf</v>
      </c>
    </row>
    <row r="1304" spans="1:28" x14ac:dyDescent="0.25">
      <c r="A1304" t="s">
        <v>1308</v>
      </c>
      <c r="B1304">
        <v>0.99334974765950101</v>
      </c>
      <c r="C1304">
        <v>0.93766430317890903</v>
      </c>
      <c r="D1304">
        <v>0.88263277611391</v>
      </c>
      <c r="E1304">
        <v>0.77605355837227996</v>
      </c>
      <c r="F1304">
        <v>0.55998013463765095</v>
      </c>
      <c r="G1304">
        <v>0.38754788704036602</v>
      </c>
      <c r="H1304">
        <v>0.33334153353859702</v>
      </c>
      <c r="I1304">
        <v>0.39712869461304201</v>
      </c>
      <c r="J1304">
        <v>0.42880661384979202</v>
      </c>
      <c r="K1304">
        <v>0.37562826900876101</v>
      </c>
      <c r="L1304">
        <v>1026.24524424943</v>
      </c>
      <c r="M1304">
        <v>20.207827922334101</v>
      </c>
      <c r="N1304">
        <v>54.369131883689398</v>
      </c>
      <c r="O1304">
        <v>50.295079948206798</v>
      </c>
      <c r="P1304">
        <v>-6.3477354349671195E-2</v>
      </c>
      <c r="Q1304">
        <v>0.36806716927225902</v>
      </c>
      <c r="R1304">
        <v>0.97587412608790602</v>
      </c>
      <c r="S1304" t="s">
        <v>7165</v>
      </c>
      <c r="T1304" t="s">
        <v>11720</v>
      </c>
      <c r="U1304" t="s">
        <v>11720</v>
      </c>
      <c r="V1304" t="s">
        <v>11720</v>
      </c>
      <c r="W1304" t="s">
        <v>12991</v>
      </c>
      <c r="X1304">
        <v>17</v>
      </c>
      <c r="Y1304" t="s">
        <v>18778</v>
      </c>
      <c r="Z1304" t="s">
        <v>24511</v>
      </c>
      <c r="AA1304">
        <v>0.60384422519602954</v>
      </c>
      <c r="AB1304" t="str">
        <f>HYPERLINK("Melting_Curves/meltCurve_O15173_PGRMC2.pdf", "Melting_Curves/meltCurve_O15173_PGRMC2.pdf")</f>
        <v>Melting_Curves/meltCurve_O15173_PGRMC2.pdf</v>
      </c>
    </row>
    <row r="1305" spans="1:28" x14ac:dyDescent="0.25">
      <c r="A1305" t="s">
        <v>1309</v>
      </c>
      <c r="B1305">
        <v>0.99334974765950101</v>
      </c>
      <c r="C1305">
        <v>0.78155599191321301</v>
      </c>
      <c r="D1305">
        <v>0.41809612170264998</v>
      </c>
      <c r="E1305">
        <v>0.186605712789117</v>
      </c>
      <c r="F1305">
        <v>0.117591916473628</v>
      </c>
      <c r="G1305">
        <v>7.0548734802761498E-2</v>
      </c>
      <c r="H1305">
        <v>6.8169207436598503E-2</v>
      </c>
      <c r="I1305">
        <v>6.7315563851735302E-2</v>
      </c>
      <c r="J1305">
        <v>6.3287858551187404E-2</v>
      </c>
      <c r="K1305">
        <v>6.1629557653555898E-2</v>
      </c>
      <c r="L1305">
        <v>1039.3754774603799</v>
      </c>
      <c r="M1305">
        <v>23.030456015702601</v>
      </c>
      <c r="N1305">
        <v>45.429511001776902</v>
      </c>
      <c r="O1305">
        <v>44.7943412249045</v>
      </c>
      <c r="P1305">
        <v>-0.119496044585789</v>
      </c>
      <c r="Q1305">
        <v>7.0335839056477695E-2</v>
      </c>
      <c r="R1305">
        <v>0.99698574124304096</v>
      </c>
      <c r="S1305" t="s">
        <v>7166</v>
      </c>
      <c r="T1305" t="s">
        <v>11720</v>
      </c>
      <c r="U1305" t="s">
        <v>11720</v>
      </c>
      <c r="V1305" t="s">
        <v>11720</v>
      </c>
      <c r="W1305" t="s">
        <v>12992</v>
      </c>
      <c r="X1305">
        <v>3</v>
      </c>
      <c r="Y1305" t="s">
        <v>18779</v>
      </c>
      <c r="Z1305" t="s">
        <v>24512</v>
      </c>
      <c r="AA1305">
        <v>0.2404453467695899</v>
      </c>
      <c r="AB1305" t="str">
        <f>HYPERLINK("Melting_Curves/meltCurve_O15211_RGL2.pdf", "Melting_Curves/meltCurve_O15211_RGL2.pdf")</f>
        <v>Melting_Curves/meltCurve_O15211_RGL2.pdf</v>
      </c>
    </row>
    <row r="1306" spans="1:28" x14ac:dyDescent="0.25">
      <c r="A1306" t="s">
        <v>1310</v>
      </c>
      <c r="B1306">
        <v>0.99334974765950101</v>
      </c>
      <c r="C1306">
        <v>0.98505108860380597</v>
      </c>
      <c r="D1306">
        <v>1.0727243660713901</v>
      </c>
      <c r="E1306">
        <v>1.0656847320424601</v>
      </c>
      <c r="F1306">
        <v>1.10067493974441</v>
      </c>
      <c r="G1306">
        <v>1.09838254080288</v>
      </c>
      <c r="H1306">
        <v>0.97626710618588897</v>
      </c>
      <c r="I1306">
        <v>0.89589846113912697</v>
      </c>
      <c r="J1306">
        <v>0.97686889341660998</v>
      </c>
      <c r="K1306">
        <v>0.846819523788233</v>
      </c>
      <c r="L1306">
        <v>1253.1326773652499</v>
      </c>
      <c r="M1306">
        <v>16.120711776563301</v>
      </c>
      <c r="Q1306">
        <v>0</v>
      </c>
      <c r="R1306">
        <v>0.41231982290830099</v>
      </c>
      <c r="S1306" t="s">
        <v>7167</v>
      </c>
      <c r="T1306" t="s">
        <v>11720</v>
      </c>
      <c r="U1306" t="s">
        <v>11720</v>
      </c>
      <c r="V1306" t="s">
        <v>11720</v>
      </c>
      <c r="W1306" t="s">
        <v>12993</v>
      </c>
      <c r="X1306">
        <v>16</v>
      </c>
      <c r="Y1306" t="s">
        <v>18780</v>
      </c>
      <c r="Z1306" t="s">
        <v>24513</v>
      </c>
      <c r="AA1306">
        <v>0.98173554638284855</v>
      </c>
      <c r="AB1306" t="str">
        <f>HYPERLINK("Melting_Curves/meltCurve_O15212_PFDN6.pdf", "Melting_Curves/meltCurve_O15212_PFDN6.pdf")</f>
        <v>Melting_Curves/meltCurve_O15212_PFDN6.pdf</v>
      </c>
    </row>
    <row r="1307" spans="1:28" x14ac:dyDescent="0.25">
      <c r="A1307" t="s">
        <v>1311</v>
      </c>
      <c r="B1307">
        <v>0.99334974765950101</v>
      </c>
      <c r="C1307">
        <v>1.0099200538180899</v>
      </c>
      <c r="D1307">
        <v>1.04746641176535</v>
      </c>
      <c r="E1307">
        <v>0.94914337075596</v>
      </c>
      <c r="F1307">
        <v>0.31199786738547203</v>
      </c>
      <c r="G1307">
        <v>0.17929362082730199</v>
      </c>
      <c r="H1307">
        <v>8.8144461263265E-2</v>
      </c>
      <c r="I1307">
        <v>6.1858406407943801E-2</v>
      </c>
      <c r="J1307">
        <v>5.5447515217234497E-2</v>
      </c>
      <c r="K1307">
        <v>5.0282823649069698E-2</v>
      </c>
      <c r="L1307">
        <v>3346.8860105838098</v>
      </c>
      <c r="M1307">
        <v>64.237013882034702</v>
      </c>
      <c r="N1307">
        <v>52.255027702190198</v>
      </c>
      <c r="O1307">
        <v>52.051717098587197</v>
      </c>
      <c r="P1307">
        <v>-0.28209417273922199</v>
      </c>
      <c r="Q1307">
        <v>8.5668489380239604E-2</v>
      </c>
      <c r="R1307">
        <v>0.992988766480423</v>
      </c>
      <c r="S1307" t="s">
        <v>7168</v>
      </c>
      <c r="T1307" t="s">
        <v>11720</v>
      </c>
      <c r="U1307" t="s">
        <v>11720</v>
      </c>
      <c r="V1307" t="s">
        <v>11720</v>
      </c>
      <c r="W1307" t="s">
        <v>12994</v>
      </c>
      <c r="X1307">
        <v>12</v>
      </c>
      <c r="Y1307" t="s">
        <v>18781</v>
      </c>
      <c r="Z1307" t="s">
        <v>24514</v>
      </c>
      <c r="AA1307">
        <v>0.45578444845768201</v>
      </c>
      <c r="AB1307" t="str">
        <f>HYPERLINK("Melting_Curves/meltCurve_O15228_GNPAT.pdf", "Melting_Curves/meltCurve_O15228_GNPAT.pdf")</f>
        <v>Melting_Curves/meltCurve_O15228_GNPAT.pdf</v>
      </c>
    </row>
    <row r="1308" spans="1:28" x14ac:dyDescent="0.25">
      <c r="A1308" t="s">
        <v>1312</v>
      </c>
      <c r="B1308">
        <v>0.99334974765950101</v>
      </c>
      <c r="C1308">
        <v>0.99697504702525097</v>
      </c>
      <c r="D1308">
        <v>0.83187718620711903</v>
      </c>
      <c r="E1308">
        <v>0.80627505430544999</v>
      </c>
      <c r="F1308">
        <v>0.75062635663740696</v>
      </c>
      <c r="G1308">
        <v>0.59520362973148</v>
      </c>
      <c r="H1308">
        <v>0.75886302669927796</v>
      </c>
      <c r="I1308">
        <v>1.4156618628023501</v>
      </c>
      <c r="J1308">
        <v>1.7000340073439999</v>
      </c>
      <c r="K1308">
        <v>2.08059668413402</v>
      </c>
      <c r="L1308">
        <v>15000</v>
      </c>
      <c r="M1308">
        <v>235.96896259418</v>
      </c>
      <c r="O1308">
        <v>63.563116116626297</v>
      </c>
      <c r="P1308">
        <v>0.46404459343332299</v>
      </c>
      <c r="Q1308">
        <v>1.5</v>
      </c>
      <c r="R1308">
        <v>0.65276770970831599</v>
      </c>
      <c r="S1308" t="s">
        <v>7169</v>
      </c>
      <c r="T1308" t="s">
        <v>11720</v>
      </c>
      <c r="U1308" t="s">
        <v>11720</v>
      </c>
      <c r="V1308" t="s">
        <v>11720</v>
      </c>
      <c r="W1308" t="s">
        <v>12995</v>
      </c>
      <c r="X1308">
        <v>3</v>
      </c>
      <c r="Y1308" t="s">
        <v>18782</v>
      </c>
      <c r="Z1308" t="s">
        <v>24515</v>
      </c>
      <c r="AA1308">
        <v>1.107142685721128</v>
      </c>
      <c r="AB1308" t="str">
        <f>HYPERLINK("Melting_Curves/meltCurve_O15234_CASC3.pdf", "Melting_Curves/meltCurve_O15234_CASC3.pdf")</f>
        <v>Melting_Curves/meltCurve_O15234_CASC3.pdf</v>
      </c>
    </row>
    <row r="1309" spans="1:28" x14ac:dyDescent="0.25">
      <c r="A1309" t="s">
        <v>1313</v>
      </c>
      <c r="B1309">
        <v>0.99334974765950101</v>
      </c>
      <c r="C1309">
        <v>1.26379048656843</v>
      </c>
      <c r="D1309">
        <v>1.01754765534311</v>
      </c>
      <c r="E1309">
        <v>0.73662355336450602</v>
      </c>
      <c r="F1309">
        <v>0.79862355533470897</v>
      </c>
      <c r="G1309">
        <v>0.72205001620662401</v>
      </c>
      <c r="H1309">
        <v>0.49349220018094297</v>
      </c>
      <c r="I1309">
        <v>0.599929468798584</v>
      </c>
      <c r="J1309">
        <v>0.51300036971141505</v>
      </c>
      <c r="K1309">
        <v>0.27536302939169699</v>
      </c>
      <c r="L1309">
        <v>535.141906891129</v>
      </c>
      <c r="M1309">
        <v>8.8958424558740408</v>
      </c>
      <c r="N1309">
        <v>63.798513956898098</v>
      </c>
      <c r="O1309">
        <v>57.349347308225099</v>
      </c>
      <c r="P1309">
        <v>-3.1081654134470098E-2</v>
      </c>
      <c r="Q1309">
        <v>0.19910382640098701</v>
      </c>
      <c r="R1309">
        <v>0.81157361900314196</v>
      </c>
      <c r="S1309" t="s">
        <v>7170</v>
      </c>
      <c r="T1309" t="s">
        <v>11720</v>
      </c>
      <c r="U1309" t="s">
        <v>11720</v>
      </c>
      <c r="V1309" t="s">
        <v>11720</v>
      </c>
      <c r="W1309" t="s">
        <v>12996</v>
      </c>
      <c r="X1309">
        <v>2</v>
      </c>
      <c r="Y1309" t="s">
        <v>18783</v>
      </c>
      <c r="Z1309" t="s">
        <v>24516</v>
      </c>
      <c r="AA1309">
        <v>0.72856566416218194</v>
      </c>
      <c r="AB1309" t="str">
        <f>HYPERLINK("Melting_Curves/meltCurve_O15240_VGF.pdf", "Melting_Curves/meltCurve_O15240_VGF.pdf")</f>
        <v>Melting_Curves/meltCurve_O15240_VGF.pdf</v>
      </c>
    </row>
    <row r="1310" spans="1:28" x14ac:dyDescent="0.25">
      <c r="A1310" t="s">
        <v>1314</v>
      </c>
      <c r="B1310">
        <v>0.99334974765950101</v>
      </c>
      <c r="C1310">
        <v>0.92737068295455005</v>
      </c>
      <c r="D1310">
        <v>0.77743307335808798</v>
      </c>
      <c r="E1310">
        <v>0.37888478825265698</v>
      </c>
      <c r="F1310">
        <v>0.20830819710041501</v>
      </c>
      <c r="G1310">
        <v>0.120110990246133</v>
      </c>
      <c r="H1310">
        <v>9.9888166092105907E-2</v>
      </c>
      <c r="I1310">
        <v>8.8635238395274998E-2</v>
      </c>
      <c r="J1310">
        <v>8.6148284175591006E-2</v>
      </c>
      <c r="K1310">
        <v>6.10529443637539E-2</v>
      </c>
      <c r="L1310">
        <v>1016.5764867837</v>
      </c>
      <c r="M1310">
        <v>21.019107306689801</v>
      </c>
      <c r="N1310">
        <v>48.764965188760698</v>
      </c>
      <c r="O1310">
        <v>47.933008877370398</v>
      </c>
      <c r="P1310">
        <v>-0.100938246149366</v>
      </c>
      <c r="Q1310">
        <v>7.9286357468497701E-2</v>
      </c>
      <c r="R1310">
        <v>0.99928955925121199</v>
      </c>
      <c r="S1310" t="s">
        <v>7171</v>
      </c>
      <c r="T1310" t="s">
        <v>11720</v>
      </c>
      <c r="U1310" t="s">
        <v>11720</v>
      </c>
      <c r="V1310" t="s">
        <v>11720</v>
      </c>
      <c r="W1310" t="s">
        <v>12997</v>
      </c>
      <c r="X1310">
        <v>10</v>
      </c>
      <c r="Y1310" t="s">
        <v>18784</v>
      </c>
      <c r="Z1310" t="s">
        <v>24517</v>
      </c>
      <c r="AA1310">
        <v>0.34770802919203841</v>
      </c>
      <c r="AB1310" t="str">
        <f>HYPERLINK("Melting_Curves/meltCurve_O15247_CLIC2.pdf", "Melting_Curves/meltCurve_O15247_CLIC2.pdf")</f>
        <v>Melting_Curves/meltCurve_O15247_CLIC2.pdf</v>
      </c>
    </row>
    <row r="1311" spans="1:28" x14ac:dyDescent="0.25">
      <c r="A1311" t="s">
        <v>1315</v>
      </c>
      <c r="B1311">
        <v>0.99334974765950101</v>
      </c>
      <c r="C1311">
        <v>0.97963568556578695</v>
      </c>
      <c r="D1311">
        <v>1.09585927390301</v>
      </c>
      <c r="E1311">
        <v>1.06208423410811</v>
      </c>
      <c r="F1311">
        <v>1.32892356139599</v>
      </c>
      <c r="G1311">
        <v>1.6473394167378399</v>
      </c>
      <c r="H1311">
        <v>1.05236486350975</v>
      </c>
      <c r="I1311">
        <v>0.77968850579409799</v>
      </c>
      <c r="J1311">
        <v>0.48997715617072501</v>
      </c>
      <c r="K1311">
        <v>0.372996436892227</v>
      </c>
      <c r="L1311">
        <v>3755.25368457376</v>
      </c>
      <c r="M1311">
        <v>57.931322238493699</v>
      </c>
      <c r="N1311">
        <v>66.484099859746394</v>
      </c>
      <c r="O1311">
        <v>64.745401919838102</v>
      </c>
      <c r="P1311">
        <v>-0.13813673336840501</v>
      </c>
      <c r="Q1311">
        <v>0.38246090421165801</v>
      </c>
      <c r="R1311">
        <v>0.55924046911444503</v>
      </c>
      <c r="S1311" t="s">
        <v>7172</v>
      </c>
      <c r="T1311" t="s">
        <v>11720</v>
      </c>
      <c r="U1311" t="s">
        <v>11720</v>
      </c>
      <c r="V1311" t="s">
        <v>11720</v>
      </c>
      <c r="W1311" t="s">
        <v>12998</v>
      </c>
      <c r="X1311">
        <v>5</v>
      </c>
      <c r="Y1311" t="s">
        <v>18785</v>
      </c>
      <c r="Z1311" t="s">
        <v>24518</v>
      </c>
      <c r="AA1311">
        <v>0.89435464605256221</v>
      </c>
      <c r="AB1311" t="str">
        <f>HYPERLINK("Melting_Curves/meltCurve_O15254_2_ACOX3.pdf", "Melting_Curves/meltCurve_O15254_2_ACOX3.pdf")</f>
        <v>Melting_Curves/meltCurve_O15254_2_ACOX3.pdf</v>
      </c>
    </row>
    <row r="1312" spans="1:28" x14ac:dyDescent="0.25">
      <c r="A1312" t="s">
        <v>1316</v>
      </c>
      <c r="B1312">
        <v>0.99334974765950101</v>
      </c>
      <c r="C1312">
        <v>0.945767893785603</v>
      </c>
      <c r="D1312">
        <v>0.87103627052930199</v>
      </c>
      <c r="E1312">
        <v>0.91249736598037001</v>
      </c>
      <c r="F1312">
        <v>0.70209530010608001</v>
      </c>
      <c r="G1312">
        <v>0.67820488849856297</v>
      </c>
      <c r="H1312">
        <v>0.57703725883645096</v>
      </c>
      <c r="I1312">
        <v>0.61953575286625195</v>
      </c>
      <c r="J1312">
        <v>0.37649507582796099</v>
      </c>
      <c r="K1312">
        <v>0.21437827028605999</v>
      </c>
      <c r="L1312">
        <v>438.28698008465398</v>
      </c>
      <c r="M1312">
        <v>6.9608719923305502</v>
      </c>
      <c r="N1312">
        <v>62.964378562402601</v>
      </c>
      <c r="O1312">
        <v>58.384638429751099</v>
      </c>
      <c r="P1312">
        <v>-2.9862500197129101E-2</v>
      </c>
      <c r="Q1312">
        <v>0</v>
      </c>
      <c r="R1312">
        <v>0.91345910468066804</v>
      </c>
      <c r="S1312" t="s">
        <v>7173</v>
      </c>
      <c r="T1312" t="s">
        <v>11720</v>
      </c>
      <c r="U1312" t="s">
        <v>11720</v>
      </c>
      <c r="V1312" t="s">
        <v>11720</v>
      </c>
      <c r="W1312" t="s">
        <v>12999</v>
      </c>
      <c r="X1312">
        <v>5</v>
      </c>
      <c r="Y1312" t="s">
        <v>18786</v>
      </c>
      <c r="Z1312" t="s">
        <v>24519</v>
      </c>
      <c r="AA1312">
        <v>0.70448800518206645</v>
      </c>
      <c r="AB1312" t="str">
        <f>HYPERLINK("Melting_Curves/meltCurve_O15258_RER1.pdf", "Melting_Curves/meltCurve_O15258_RER1.pdf")</f>
        <v>Melting_Curves/meltCurve_O15258_RER1.pdf</v>
      </c>
    </row>
    <row r="1313" spans="1:28" x14ac:dyDescent="0.25">
      <c r="A1313" t="s">
        <v>1317</v>
      </c>
      <c r="B1313">
        <v>0.99334974765950101</v>
      </c>
      <c r="C1313">
        <v>1.0695926773261799</v>
      </c>
      <c r="D1313">
        <v>1.12357222597647</v>
      </c>
      <c r="E1313">
        <v>0.85526894980669199</v>
      </c>
      <c r="F1313">
        <v>0.36972946738677798</v>
      </c>
      <c r="G1313">
        <v>0.123883954221643</v>
      </c>
      <c r="H1313">
        <v>6.6019995168714707E-2</v>
      </c>
      <c r="I1313">
        <v>5.8828633591562103E-2</v>
      </c>
      <c r="J1313">
        <v>5.1462766061976799E-2</v>
      </c>
      <c r="K1313">
        <v>3.61875384922253E-2</v>
      </c>
      <c r="L1313">
        <v>2121.8575163349401</v>
      </c>
      <c r="M1313">
        <v>40.716833892679801</v>
      </c>
      <c r="N1313">
        <v>52.277048546033498</v>
      </c>
      <c r="O1313">
        <v>51.987306489434502</v>
      </c>
      <c r="P1313">
        <v>-0.184028345262577</v>
      </c>
      <c r="Q1313">
        <v>6.0131300558590603E-2</v>
      </c>
      <c r="R1313">
        <v>0.98858027173901697</v>
      </c>
      <c r="S1313" t="s">
        <v>7174</v>
      </c>
      <c r="T1313" t="s">
        <v>11720</v>
      </c>
      <c r="U1313" t="s">
        <v>11720</v>
      </c>
      <c r="V1313" t="s">
        <v>11720</v>
      </c>
      <c r="W1313" t="s">
        <v>13000</v>
      </c>
      <c r="X1313">
        <v>12</v>
      </c>
      <c r="Y1313" t="s">
        <v>18787</v>
      </c>
      <c r="Z1313" t="s">
        <v>24520</v>
      </c>
      <c r="AA1313">
        <v>0.44286953003605251</v>
      </c>
      <c r="AB1313" t="str">
        <f>HYPERLINK("Melting_Curves/meltCurve_O15269_SPTLC1.pdf", "Melting_Curves/meltCurve_O15269_SPTLC1.pdf")</f>
        <v>Melting_Curves/meltCurve_O15269_SPTLC1.pdf</v>
      </c>
    </row>
    <row r="1314" spans="1:28" x14ac:dyDescent="0.25">
      <c r="A1314" t="s">
        <v>1318</v>
      </c>
      <c r="B1314">
        <v>0.99334974765950101</v>
      </c>
      <c r="C1314">
        <v>0.96662634591525898</v>
      </c>
      <c r="D1314">
        <v>1.17841800152601</v>
      </c>
      <c r="E1314">
        <v>1.18811196243532</v>
      </c>
      <c r="F1314">
        <v>0.49879289371292701</v>
      </c>
      <c r="G1314">
        <v>0.24009881485565299</v>
      </c>
      <c r="H1314">
        <v>0.17192369993365</v>
      </c>
      <c r="I1314">
        <v>0.171099026024157</v>
      </c>
      <c r="J1314">
        <v>0.14300201922778</v>
      </c>
      <c r="K1314">
        <v>0.13556654200954199</v>
      </c>
      <c r="L1314">
        <v>13227.2774203318</v>
      </c>
      <c r="M1314">
        <v>250</v>
      </c>
      <c r="N1314">
        <v>52.998725205305</v>
      </c>
      <c r="O1314">
        <v>52.905734915879201</v>
      </c>
      <c r="P1314">
        <v>-0.977755791050683</v>
      </c>
      <c r="Q1314">
        <v>0.172337954432004</v>
      </c>
      <c r="R1314">
        <v>0.96024799776610603</v>
      </c>
      <c r="S1314" t="s">
        <v>7175</v>
      </c>
      <c r="T1314" t="s">
        <v>11720</v>
      </c>
      <c r="U1314" t="s">
        <v>11720</v>
      </c>
      <c r="V1314" t="s">
        <v>11720</v>
      </c>
      <c r="W1314" t="s">
        <v>13001</v>
      </c>
      <c r="X1314">
        <v>9</v>
      </c>
      <c r="Y1314" t="s">
        <v>18788</v>
      </c>
      <c r="Z1314" t="s">
        <v>24521</v>
      </c>
      <c r="AA1314">
        <v>0.52856081089015083</v>
      </c>
      <c r="AB1314" t="str">
        <f>HYPERLINK("Melting_Curves/meltCurve_O15270_SPTLC2.pdf", "Melting_Curves/meltCurve_O15270_SPTLC2.pdf")</f>
        <v>Melting_Curves/meltCurve_O15270_SPTLC2.pdf</v>
      </c>
    </row>
    <row r="1315" spans="1:28" x14ac:dyDescent="0.25">
      <c r="A1315" t="s">
        <v>1319</v>
      </c>
      <c r="B1315">
        <v>0.99334974765950101</v>
      </c>
      <c r="C1315">
        <v>1.0057578722993901</v>
      </c>
      <c r="D1315">
        <v>1.0471814272084501</v>
      </c>
      <c r="E1315">
        <v>0.60168418427272896</v>
      </c>
      <c r="F1315">
        <v>0.390801488100193</v>
      </c>
      <c r="G1315">
        <v>0.22421998004334601</v>
      </c>
      <c r="H1315">
        <v>0.16911643354094499</v>
      </c>
      <c r="I1315">
        <v>0.14528842140585299</v>
      </c>
      <c r="J1315">
        <v>0.20841484783303801</v>
      </c>
      <c r="K1315">
        <v>0.16423306576695301</v>
      </c>
      <c r="L1315">
        <v>1453.9496325182399</v>
      </c>
      <c r="M1315">
        <v>28.770494882352999</v>
      </c>
      <c r="N1315">
        <v>51.320006793368997</v>
      </c>
      <c r="O1315">
        <v>50.293874874763901</v>
      </c>
      <c r="P1315">
        <v>-0.117584898735418</v>
      </c>
      <c r="Q1315">
        <v>0.17780289852851</v>
      </c>
      <c r="R1315">
        <v>0.98814174079754502</v>
      </c>
      <c r="S1315" t="s">
        <v>7176</v>
      </c>
      <c r="T1315" t="s">
        <v>11720</v>
      </c>
      <c r="U1315" t="s">
        <v>11720</v>
      </c>
      <c r="V1315" t="s">
        <v>11720</v>
      </c>
      <c r="W1315" t="s">
        <v>13002</v>
      </c>
      <c r="X1315">
        <v>7</v>
      </c>
      <c r="Y1315" t="s">
        <v>18789</v>
      </c>
      <c r="Z1315" t="s">
        <v>24522</v>
      </c>
      <c r="AA1315">
        <v>0.47214277433675372</v>
      </c>
      <c r="AB1315" t="str">
        <f>HYPERLINK("Melting_Curves/meltCurve_O15294_3_OGT.pdf", "Melting_Curves/meltCurve_O15294_3_OGT.pdf")</f>
        <v>Melting_Curves/meltCurve_O15294_3_OGT.pdf</v>
      </c>
    </row>
    <row r="1316" spans="1:28" x14ac:dyDescent="0.25">
      <c r="A1316" t="s">
        <v>1320</v>
      </c>
      <c r="B1316">
        <v>0.99334974765950101</v>
      </c>
      <c r="C1316">
        <v>0.95455517456549199</v>
      </c>
      <c r="D1316">
        <v>0.93538707906545304</v>
      </c>
      <c r="E1316">
        <v>0.67347064871951701</v>
      </c>
      <c r="F1316">
        <v>0.39922973554302299</v>
      </c>
      <c r="G1316">
        <v>0.18457694389802501</v>
      </c>
      <c r="H1316">
        <v>0.12513119654001101</v>
      </c>
      <c r="I1316">
        <v>9.33395373683681E-2</v>
      </c>
      <c r="J1316">
        <v>8.8039074628836603E-2</v>
      </c>
      <c r="K1316">
        <v>7.4573013922849998E-2</v>
      </c>
      <c r="L1316">
        <v>1058.48445599515</v>
      </c>
      <c r="M1316">
        <v>20.580997781670298</v>
      </c>
      <c r="N1316">
        <v>51.861060986804802</v>
      </c>
      <c r="O1316">
        <v>50.952014057522703</v>
      </c>
      <c r="P1316">
        <v>-9.3049339627078301E-2</v>
      </c>
      <c r="Q1316">
        <v>7.8584306844576901E-2</v>
      </c>
      <c r="R1316">
        <v>0.99910763850988404</v>
      </c>
      <c r="S1316" t="s">
        <v>7177</v>
      </c>
      <c r="T1316" t="s">
        <v>11720</v>
      </c>
      <c r="U1316" t="s">
        <v>11720</v>
      </c>
      <c r="V1316" t="s">
        <v>11720</v>
      </c>
      <c r="W1316" t="s">
        <v>13003</v>
      </c>
      <c r="X1316">
        <v>21</v>
      </c>
      <c r="Y1316" t="s">
        <v>18790</v>
      </c>
      <c r="Z1316" t="s">
        <v>24523</v>
      </c>
      <c r="AA1316">
        <v>0.44176736873873818</v>
      </c>
      <c r="AB1316" t="str">
        <f>HYPERLINK("Melting_Curves/meltCurve_O15305_PMM2.pdf", "Melting_Curves/meltCurve_O15305_PMM2.pdf")</f>
        <v>Melting_Curves/meltCurve_O15305_PMM2.pdf</v>
      </c>
    </row>
    <row r="1317" spans="1:28" x14ac:dyDescent="0.25">
      <c r="A1317" t="s">
        <v>1321</v>
      </c>
      <c r="B1317">
        <v>0.99334974765950101</v>
      </c>
      <c r="C1317">
        <v>0.94707033276722996</v>
      </c>
      <c r="D1317">
        <v>0.94774589753041805</v>
      </c>
      <c r="E1317">
        <v>0.67070216836383201</v>
      </c>
      <c r="F1317">
        <v>0.25321236581878598</v>
      </c>
      <c r="G1317">
        <v>0.148148333024371</v>
      </c>
      <c r="H1317">
        <v>0.141003658585208</v>
      </c>
      <c r="I1317">
        <v>0.13848118275534499</v>
      </c>
      <c r="J1317">
        <v>9.7840788467314102E-2</v>
      </c>
      <c r="K1317">
        <v>7.23241495038182E-2</v>
      </c>
      <c r="L1317">
        <v>1776.4810695773899</v>
      </c>
      <c r="M1317">
        <v>35.060288569166502</v>
      </c>
      <c r="N1317">
        <v>51.043576975999798</v>
      </c>
      <c r="O1317">
        <v>50.5053517376329</v>
      </c>
      <c r="P1317">
        <v>-0.153878027571174</v>
      </c>
      <c r="Q1317">
        <v>0.113340649506827</v>
      </c>
      <c r="R1317">
        <v>0.99486248281760303</v>
      </c>
      <c r="S1317" t="s">
        <v>7178</v>
      </c>
      <c r="T1317" t="s">
        <v>11720</v>
      </c>
      <c r="U1317" t="s">
        <v>11720</v>
      </c>
      <c r="V1317" t="s">
        <v>11720</v>
      </c>
      <c r="W1317" t="s">
        <v>13004</v>
      </c>
      <c r="X1317">
        <v>10</v>
      </c>
      <c r="Y1317" t="s">
        <v>18791</v>
      </c>
      <c r="Z1317" t="s">
        <v>24524</v>
      </c>
      <c r="AA1317">
        <v>0.4327267299527699</v>
      </c>
      <c r="AB1317" t="str">
        <f>HYPERLINK("Melting_Curves/meltCurve_O15327_INPP4B.pdf", "Melting_Curves/meltCurve_O15327_INPP4B.pdf")</f>
        <v>Melting_Curves/meltCurve_O15327_INPP4B.pdf</v>
      </c>
    </row>
    <row r="1318" spans="1:28" x14ac:dyDescent="0.25">
      <c r="A1318" t="s">
        <v>1322</v>
      </c>
      <c r="B1318">
        <v>0.99334974765950101</v>
      </c>
      <c r="C1318">
        <v>1.07474264039637</v>
      </c>
      <c r="D1318">
        <v>0.96798304962693005</v>
      </c>
      <c r="E1318">
        <v>0.71004924407131098</v>
      </c>
      <c r="F1318">
        <v>0.39203207207743801</v>
      </c>
      <c r="G1318">
        <v>0.33737862134552699</v>
      </c>
      <c r="H1318">
        <v>0.22278603154740401</v>
      </c>
      <c r="I1318">
        <v>0.18831148112534701</v>
      </c>
      <c r="J1318">
        <v>0.17873284461269801</v>
      </c>
      <c r="K1318">
        <v>0.15725397136750099</v>
      </c>
      <c r="L1318">
        <v>1241.4335982278401</v>
      </c>
      <c r="M1318">
        <v>24.275993093246299</v>
      </c>
      <c r="N1318">
        <v>52.187264536449902</v>
      </c>
      <c r="O1318">
        <v>50.795101728610902</v>
      </c>
      <c r="P1318">
        <v>-9.6415359132938402E-2</v>
      </c>
      <c r="Q1318">
        <v>0.193053985099151</v>
      </c>
      <c r="R1318">
        <v>0.98593892168580899</v>
      </c>
      <c r="S1318" t="s">
        <v>7179</v>
      </c>
      <c r="T1318" t="s">
        <v>11720</v>
      </c>
      <c r="U1318" t="s">
        <v>11720</v>
      </c>
      <c r="V1318" t="s">
        <v>11720</v>
      </c>
      <c r="W1318" t="s">
        <v>13005</v>
      </c>
      <c r="X1318">
        <v>8</v>
      </c>
      <c r="Y1318" t="s">
        <v>18792</v>
      </c>
      <c r="Z1318" t="s">
        <v>24525</v>
      </c>
      <c r="AA1318">
        <v>0.50038794815197873</v>
      </c>
      <c r="AB1318" t="str">
        <f>HYPERLINK("Melting_Curves/meltCurve_O15344_MID1.pdf", "Melting_Curves/meltCurve_O15344_MID1.pdf")</f>
        <v>Melting_Curves/meltCurve_O15344_MID1.pdf</v>
      </c>
    </row>
    <row r="1319" spans="1:28" x14ac:dyDescent="0.25">
      <c r="A1319" t="s">
        <v>1323</v>
      </c>
      <c r="B1319">
        <v>0.99334974765950101</v>
      </c>
      <c r="C1319">
        <v>0.99191574751252998</v>
      </c>
      <c r="D1319">
        <v>0.96390094345313304</v>
      </c>
      <c r="E1319">
        <v>0.83658536513635595</v>
      </c>
      <c r="F1319">
        <v>0.71415075470803602</v>
      </c>
      <c r="G1319">
        <v>0.54154520122378103</v>
      </c>
      <c r="H1319">
        <v>0.35317169910067597</v>
      </c>
      <c r="I1319">
        <v>0.39518025613666002</v>
      </c>
      <c r="J1319">
        <v>0.31456738164002102</v>
      </c>
      <c r="K1319">
        <v>0.28342549753336099</v>
      </c>
      <c r="L1319">
        <v>790.42818889749003</v>
      </c>
      <c r="M1319">
        <v>14.477988268497</v>
      </c>
      <c r="N1319">
        <v>57.663283598108897</v>
      </c>
      <c r="O1319">
        <v>53.585301833308101</v>
      </c>
      <c r="P1319">
        <v>-4.9411138219356603E-2</v>
      </c>
      <c r="Q1319">
        <v>0.26857144505791403</v>
      </c>
      <c r="R1319">
        <v>0.99329631969726795</v>
      </c>
      <c r="S1319" t="s">
        <v>7180</v>
      </c>
      <c r="T1319" t="s">
        <v>11720</v>
      </c>
      <c r="U1319" t="s">
        <v>11720</v>
      </c>
      <c r="V1319" t="s">
        <v>11720</v>
      </c>
      <c r="W1319" t="s">
        <v>13006</v>
      </c>
      <c r="X1319">
        <v>11</v>
      </c>
      <c r="Y1319" t="s">
        <v>18793</v>
      </c>
      <c r="Z1319" t="s">
        <v>24526</v>
      </c>
      <c r="AA1319">
        <v>0.63949056208222077</v>
      </c>
      <c r="AB1319" t="str">
        <f>HYPERLINK("Melting_Curves/meltCurve_O15347_HMGB3.pdf", "Melting_Curves/meltCurve_O15347_HMGB3.pdf")</f>
        <v>Melting_Curves/meltCurve_O15347_HMGB3.pdf</v>
      </c>
    </row>
    <row r="1320" spans="1:28" x14ac:dyDescent="0.25">
      <c r="A1320" t="s">
        <v>1324</v>
      </c>
      <c r="B1320">
        <v>0.99334974765950101</v>
      </c>
      <c r="C1320">
        <v>0.83695325040881896</v>
      </c>
      <c r="D1320">
        <v>0.41080619422514503</v>
      </c>
      <c r="E1320">
        <v>0.22803539674788101</v>
      </c>
      <c r="F1320">
        <v>0.30148742368116399</v>
      </c>
      <c r="G1320">
        <v>0.16479318593974299</v>
      </c>
      <c r="H1320">
        <v>0.13919187101139999</v>
      </c>
      <c r="I1320">
        <v>0.13254693253313701</v>
      </c>
      <c r="J1320">
        <v>0.12975815516067199</v>
      </c>
      <c r="K1320">
        <v>0.11555039974574099</v>
      </c>
      <c r="L1320">
        <v>1279.3180944272599</v>
      </c>
      <c r="M1320">
        <v>28.5245522246286</v>
      </c>
      <c r="N1320">
        <v>45.4776955611635</v>
      </c>
      <c r="O1320">
        <v>44.631020160601302</v>
      </c>
      <c r="P1320">
        <v>-0.13377154221964699</v>
      </c>
      <c r="Q1320">
        <v>0.16278260020166099</v>
      </c>
      <c r="R1320">
        <v>0.97421222273715002</v>
      </c>
      <c r="S1320" t="s">
        <v>7181</v>
      </c>
      <c r="T1320" t="s">
        <v>11720</v>
      </c>
      <c r="U1320" t="s">
        <v>11720</v>
      </c>
      <c r="V1320" t="s">
        <v>11720</v>
      </c>
      <c r="W1320" t="s">
        <v>13007</v>
      </c>
      <c r="X1320">
        <v>13</v>
      </c>
      <c r="Y1320" t="s">
        <v>18794</v>
      </c>
      <c r="Z1320" t="s">
        <v>24527</v>
      </c>
      <c r="AA1320">
        <v>0.30429018747721331</v>
      </c>
      <c r="AB1320" t="str">
        <f>HYPERLINK("Melting_Curves/meltCurve_O15355_PPM1G.pdf", "Melting_Curves/meltCurve_O15355_PPM1G.pdf")</f>
        <v>Melting_Curves/meltCurve_O15355_PPM1G.pdf</v>
      </c>
    </row>
    <row r="1321" spans="1:28" x14ac:dyDescent="0.25">
      <c r="A1321" t="s">
        <v>1325</v>
      </c>
      <c r="B1321">
        <v>0.99334974765950101</v>
      </c>
      <c r="C1321">
        <v>0.95554353750145504</v>
      </c>
      <c r="D1321">
        <v>0.85769251490907406</v>
      </c>
      <c r="E1321">
        <v>0.39514010777383601</v>
      </c>
      <c r="F1321">
        <v>0.236415543644275</v>
      </c>
      <c r="G1321">
        <v>0.16007046516772</v>
      </c>
      <c r="H1321">
        <v>0.13783774443538899</v>
      </c>
      <c r="I1321">
        <v>0.121103380911301</v>
      </c>
      <c r="J1321">
        <v>0.10665494151449099</v>
      </c>
      <c r="K1321">
        <v>0.10119018963436199</v>
      </c>
      <c r="L1321">
        <v>1248.30511125722</v>
      </c>
      <c r="M1321">
        <v>25.647052136397001</v>
      </c>
      <c r="N1321">
        <v>49.203220732890102</v>
      </c>
      <c r="O1321">
        <v>48.379422908065798</v>
      </c>
      <c r="P1321">
        <v>-0.116516723013906</v>
      </c>
      <c r="Q1321">
        <v>0.120843144647632</v>
      </c>
      <c r="R1321">
        <v>0.99793285273658106</v>
      </c>
      <c r="S1321" t="s">
        <v>7182</v>
      </c>
      <c r="T1321" t="s">
        <v>11720</v>
      </c>
      <c r="U1321" t="s">
        <v>11720</v>
      </c>
      <c r="V1321" t="s">
        <v>11720</v>
      </c>
      <c r="W1321" t="s">
        <v>13008</v>
      </c>
      <c r="X1321">
        <v>28</v>
      </c>
      <c r="Y1321" t="s">
        <v>18795</v>
      </c>
      <c r="Z1321" t="s">
        <v>24528</v>
      </c>
      <c r="AA1321">
        <v>0.38236614333768698</v>
      </c>
      <c r="AB1321" t="str">
        <f>HYPERLINK("Melting_Curves/meltCurve_O15357_INPPL1.pdf", "Melting_Curves/meltCurve_O15357_INPPL1.pdf")</f>
        <v>Melting_Curves/meltCurve_O15357_INPPL1.pdf</v>
      </c>
    </row>
    <row r="1322" spans="1:28" x14ac:dyDescent="0.25">
      <c r="A1322" t="s">
        <v>1326</v>
      </c>
      <c r="B1322">
        <v>0.99334974765950101</v>
      </c>
      <c r="C1322">
        <v>1.0479909611837499</v>
      </c>
      <c r="D1322">
        <v>1.03082455712958</v>
      </c>
      <c r="E1322">
        <v>0.87916262264139999</v>
      </c>
      <c r="F1322">
        <v>0.75038854072363703</v>
      </c>
      <c r="G1322">
        <v>0.52762219793767495</v>
      </c>
      <c r="H1322">
        <v>0.33908613838055801</v>
      </c>
      <c r="I1322">
        <v>0.23802899233130101</v>
      </c>
      <c r="J1322">
        <v>0.16717618803137799</v>
      </c>
      <c r="K1322">
        <v>0.11089134153713701</v>
      </c>
      <c r="L1322">
        <v>822.76816487569295</v>
      </c>
      <c r="M1322">
        <v>14.4338429385558</v>
      </c>
      <c r="N1322">
        <v>57.575220262828701</v>
      </c>
      <c r="O1322">
        <v>55.942050678470103</v>
      </c>
      <c r="P1322">
        <v>-6.0198481819373699E-2</v>
      </c>
      <c r="Q1322">
        <v>6.6851136114589302E-2</v>
      </c>
      <c r="R1322">
        <v>0.99401549342907003</v>
      </c>
      <c r="S1322" t="s">
        <v>7183</v>
      </c>
      <c r="T1322" t="s">
        <v>11720</v>
      </c>
      <c r="U1322" t="s">
        <v>11720</v>
      </c>
      <c r="V1322" t="s">
        <v>11720</v>
      </c>
      <c r="W1322" t="s">
        <v>13009</v>
      </c>
      <c r="X1322">
        <v>16</v>
      </c>
      <c r="Y1322" t="s">
        <v>18796</v>
      </c>
      <c r="Z1322" t="s">
        <v>24529</v>
      </c>
      <c r="AA1322">
        <v>0.61077571532295372</v>
      </c>
      <c r="AB1322" t="str">
        <f>HYPERLINK("Melting_Curves/meltCurve_O15382_BCAT2.pdf", "Melting_Curves/meltCurve_O15382_BCAT2.pdf")</f>
        <v>Melting_Curves/meltCurve_O15382_BCAT2.pdf</v>
      </c>
    </row>
    <row r="1323" spans="1:28" x14ac:dyDescent="0.25">
      <c r="A1323" t="s">
        <v>1327</v>
      </c>
      <c r="B1323">
        <v>0.99334974765950101</v>
      </c>
      <c r="C1323">
        <v>0.99464033515790795</v>
      </c>
      <c r="D1323">
        <v>0.95849913554743305</v>
      </c>
      <c r="E1323">
        <v>0.96878236455787803</v>
      </c>
      <c r="F1323">
        <v>0.91227867997428902</v>
      </c>
      <c r="G1323">
        <v>0.66741467281186795</v>
      </c>
      <c r="H1323">
        <v>0.44531650102864601</v>
      </c>
      <c r="I1323">
        <v>0.49479970958170699</v>
      </c>
      <c r="J1323">
        <v>0.38874651008234101</v>
      </c>
      <c r="K1323">
        <v>0.29120772859903499</v>
      </c>
      <c r="L1323">
        <v>1088.6468755588801</v>
      </c>
      <c r="M1323">
        <v>18.976568361444201</v>
      </c>
      <c r="N1323">
        <v>60.773296273520899</v>
      </c>
      <c r="O1323">
        <v>56.742276910309997</v>
      </c>
      <c r="P1323">
        <v>-5.6241822513292697E-2</v>
      </c>
      <c r="Q1323">
        <v>0.32734703725430497</v>
      </c>
      <c r="R1323">
        <v>0.97867987528437095</v>
      </c>
      <c r="S1323" t="s">
        <v>7184</v>
      </c>
      <c r="T1323" t="s">
        <v>11720</v>
      </c>
      <c r="U1323" t="s">
        <v>11720</v>
      </c>
      <c r="V1323" t="s">
        <v>11720</v>
      </c>
      <c r="W1323" t="s">
        <v>13010</v>
      </c>
      <c r="X1323">
        <v>17</v>
      </c>
      <c r="Y1323" t="s">
        <v>18797</v>
      </c>
      <c r="Z1323" t="s">
        <v>24530</v>
      </c>
      <c r="AA1323">
        <v>0.72525750848394577</v>
      </c>
      <c r="AB1323" t="str">
        <f>HYPERLINK("Melting_Curves/meltCurve_O15394_NCAM2.pdf", "Melting_Curves/meltCurve_O15394_NCAM2.pdf")</f>
        <v>Melting_Curves/meltCurve_O15394_NCAM2.pdf</v>
      </c>
    </row>
    <row r="1324" spans="1:28" x14ac:dyDescent="0.25">
      <c r="A1324" t="s">
        <v>1328</v>
      </c>
      <c r="B1324">
        <v>0.99334974765950101</v>
      </c>
      <c r="C1324">
        <v>1.0496894951720801</v>
      </c>
      <c r="D1324">
        <v>1.10645229224386</v>
      </c>
      <c r="E1324">
        <v>0.60619456999671295</v>
      </c>
      <c r="F1324">
        <v>0.40256169477470699</v>
      </c>
      <c r="G1324">
        <v>0.199190896198122</v>
      </c>
      <c r="H1324">
        <v>0.159037226297877</v>
      </c>
      <c r="I1324">
        <v>0.15405441260976999</v>
      </c>
      <c r="J1324">
        <v>0.170606567123984</v>
      </c>
      <c r="K1324">
        <v>0.100625061616838</v>
      </c>
      <c r="S1324" t="s">
        <v>7185</v>
      </c>
      <c r="T1324" t="s">
        <v>11720</v>
      </c>
      <c r="U1324" t="s">
        <v>11721</v>
      </c>
      <c r="V1324" t="s">
        <v>11720</v>
      </c>
      <c r="W1324" t="s">
        <v>13011</v>
      </c>
      <c r="X1324">
        <v>7</v>
      </c>
      <c r="Y1324" t="s">
        <v>18798</v>
      </c>
      <c r="Z1324" t="s">
        <v>24531</v>
      </c>
      <c r="AB1324" t="str">
        <f>HYPERLINK("Melting_Curves/meltCurve_O15397_IPO8.pdf", "Melting_Curves/meltCurve_O15397_IPO8.pdf")</f>
        <v>Melting_Curves/meltCurve_O15397_IPO8.pdf</v>
      </c>
    </row>
    <row r="1325" spans="1:28" x14ac:dyDescent="0.25">
      <c r="A1325" t="s">
        <v>1329</v>
      </c>
      <c r="B1325">
        <v>0.99334974765950101</v>
      </c>
      <c r="C1325">
        <v>0.95736445495468403</v>
      </c>
      <c r="D1325">
        <v>0.81948413887889604</v>
      </c>
      <c r="E1325">
        <v>0.86724100009010796</v>
      </c>
      <c r="F1325">
        <v>0.959400829425887</v>
      </c>
      <c r="G1325">
        <v>0.82876832956358704</v>
      </c>
      <c r="H1325">
        <v>0.79738206183654803</v>
      </c>
      <c r="I1325">
        <v>0.76677080367697004</v>
      </c>
      <c r="J1325">
        <v>0.882007967969197</v>
      </c>
      <c r="K1325">
        <v>0.68774783484398105</v>
      </c>
      <c r="L1325">
        <v>174.21724176426599</v>
      </c>
      <c r="M1325">
        <v>1.3666500618998001</v>
      </c>
      <c r="O1325">
        <v>58.329797716654497</v>
      </c>
      <c r="P1325">
        <v>-7.0612290844122303E-3</v>
      </c>
      <c r="Q1325">
        <v>0</v>
      </c>
      <c r="R1325">
        <v>0.54430937614702302</v>
      </c>
      <c r="S1325" t="s">
        <v>7186</v>
      </c>
      <c r="T1325" t="s">
        <v>11720</v>
      </c>
      <c r="U1325" t="s">
        <v>11720</v>
      </c>
      <c r="V1325" t="s">
        <v>11720</v>
      </c>
      <c r="W1325" t="s">
        <v>13012</v>
      </c>
      <c r="X1325">
        <v>13</v>
      </c>
      <c r="Y1325" t="s">
        <v>18799</v>
      </c>
      <c r="Z1325" t="s">
        <v>24532</v>
      </c>
      <c r="AA1325">
        <v>0.85673276001990595</v>
      </c>
      <c r="AB1325" t="str">
        <f>HYPERLINK("Melting_Curves/meltCurve_O15400_2_STX7.pdf", "Melting_Curves/meltCurve_O15400_2_STX7.pdf")</f>
        <v>Melting_Curves/meltCurve_O15400_2_STX7.pdf</v>
      </c>
    </row>
    <row r="1326" spans="1:28" x14ac:dyDescent="0.25">
      <c r="A1326" t="s">
        <v>1330</v>
      </c>
      <c r="B1326">
        <v>0.99334974765950101</v>
      </c>
      <c r="C1326">
        <v>0.88726103195723505</v>
      </c>
      <c r="D1326">
        <v>0.83496957402991501</v>
      </c>
      <c r="E1326">
        <v>0.77000168996891705</v>
      </c>
      <c r="F1326">
        <v>0.79898083959940602</v>
      </c>
      <c r="G1326">
        <v>0.56563113316206903</v>
      </c>
      <c r="H1326">
        <v>0.44886751206321202</v>
      </c>
      <c r="I1326">
        <v>0.43484242620852798</v>
      </c>
      <c r="J1326">
        <v>0.35333499795630502</v>
      </c>
      <c r="K1326">
        <v>0.26038740874233901</v>
      </c>
      <c r="L1326">
        <v>386.45682298587298</v>
      </c>
      <c r="M1326">
        <v>6.41817366054023</v>
      </c>
      <c r="N1326">
        <v>60.212896841086298</v>
      </c>
      <c r="O1326">
        <v>55.164977797318201</v>
      </c>
      <c r="P1326">
        <v>-2.9160222671449101E-2</v>
      </c>
      <c r="Q1326">
        <v>0</v>
      </c>
      <c r="R1326">
        <v>0.97037219590420098</v>
      </c>
      <c r="S1326" t="s">
        <v>7187</v>
      </c>
      <c r="T1326" t="s">
        <v>11720</v>
      </c>
      <c r="U1326" t="s">
        <v>11720</v>
      </c>
      <c r="V1326" t="s">
        <v>11720</v>
      </c>
      <c r="W1326" t="s">
        <v>13013</v>
      </c>
      <c r="X1326">
        <v>2</v>
      </c>
      <c r="Y1326" t="s">
        <v>18800</v>
      </c>
      <c r="Z1326" t="s">
        <v>24533</v>
      </c>
      <c r="AA1326">
        <v>0.64192590469161859</v>
      </c>
      <c r="AB1326" t="str">
        <f>HYPERLINK("Melting_Curves/meltCurve_O15403_SLC16A6.pdf", "Melting_Curves/meltCurve_O15403_SLC16A6.pdf")</f>
        <v>Melting_Curves/meltCurve_O15403_SLC16A6.pdf</v>
      </c>
    </row>
    <row r="1327" spans="1:28" x14ac:dyDescent="0.25">
      <c r="A1327" t="s">
        <v>1331</v>
      </c>
      <c r="B1327">
        <v>0.99334974765950101</v>
      </c>
      <c r="C1327">
        <v>1.00813321024053</v>
      </c>
      <c r="D1327">
        <v>0.92191662162852195</v>
      </c>
      <c r="E1327">
        <v>0.965746148010589</v>
      </c>
      <c r="F1327">
        <v>1.0171651467699401</v>
      </c>
      <c r="G1327">
        <v>0.919447938701485</v>
      </c>
      <c r="H1327">
        <v>0.798682913705134</v>
      </c>
      <c r="I1327">
        <v>1.1660704506235799</v>
      </c>
      <c r="J1327">
        <v>0.77025000595896498</v>
      </c>
      <c r="K1327">
        <v>0.59361364203914102</v>
      </c>
      <c r="L1327">
        <v>15000</v>
      </c>
      <c r="M1327">
        <v>224.143087472498</v>
      </c>
      <c r="O1327">
        <v>66.916212621762398</v>
      </c>
      <c r="P1327">
        <v>-0.34033310260845701</v>
      </c>
      <c r="Q1327">
        <v>0.59358458836791705</v>
      </c>
      <c r="R1327">
        <v>0.64023950370284</v>
      </c>
      <c r="S1327" t="s">
        <v>7188</v>
      </c>
      <c r="T1327" t="s">
        <v>11720</v>
      </c>
      <c r="U1327" t="s">
        <v>11720</v>
      </c>
      <c r="V1327" t="s">
        <v>11720</v>
      </c>
      <c r="W1327" t="s">
        <v>13014</v>
      </c>
      <c r="X1327">
        <v>6</v>
      </c>
      <c r="Y1327" t="s">
        <v>18801</v>
      </c>
      <c r="Z1327" t="s">
        <v>24534</v>
      </c>
      <c r="AA1327">
        <v>0.95835466025807559</v>
      </c>
      <c r="AB1327" t="str">
        <f>HYPERLINK("Melting_Curves/meltCurve_O15427_SLC16A3.pdf", "Melting_Curves/meltCurve_O15427_SLC16A3.pdf")</f>
        <v>Melting_Curves/meltCurve_O15427_SLC16A3.pdf</v>
      </c>
    </row>
    <row r="1328" spans="1:28" x14ac:dyDescent="0.25">
      <c r="A1328" t="s">
        <v>1332</v>
      </c>
      <c r="B1328">
        <v>0.99334974765950101</v>
      </c>
      <c r="C1328">
        <v>0.87731242013094402</v>
      </c>
      <c r="D1328">
        <v>0.88865424512759605</v>
      </c>
      <c r="E1328">
        <v>0.84506691860831296</v>
      </c>
      <c r="F1328">
        <v>0.91030626574226803</v>
      </c>
      <c r="G1328">
        <v>0.73373704541764495</v>
      </c>
      <c r="H1328">
        <v>0.61012122914353994</v>
      </c>
      <c r="I1328">
        <v>0.933629778454656</v>
      </c>
      <c r="J1328">
        <v>0.67141157000473695</v>
      </c>
      <c r="K1328">
        <v>0.51568715996021797</v>
      </c>
      <c r="L1328">
        <v>239.063807499863</v>
      </c>
      <c r="M1328">
        <v>2.9082172586883801</v>
      </c>
      <c r="O1328">
        <v>59.689482943007299</v>
      </c>
      <c r="P1328">
        <v>-1.25918485346883E-2</v>
      </c>
      <c r="Q1328">
        <v>0</v>
      </c>
      <c r="R1328">
        <v>0.55770751560363896</v>
      </c>
      <c r="S1328" t="s">
        <v>7189</v>
      </c>
      <c r="T1328" t="s">
        <v>11720</v>
      </c>
      <c r="U1328" t="s">
        <v>11720</v>
      </c>
      <c r="V1328" t="s">
        <v>11720</v>
      </c>
      <c r="W1328" t="s">
        <v>13015</v>
      </c>
      <c r="X1328">
        <v>2</v>
      </c>
      <c r="Y1328" t="s">
        <v>18802</v>
      </c>
      <c r="Z1328" t="s">
        <v>24535</v>
      </c>
      <c r="AA1328">
        <v>0.8022264133743785</v>
      </c>
      <c r="AB1328" t="str">
        <f>HYPERLINK("Melting_Curves/meltCurve_O15431_SLC31A1.pdf", "Melting_Curves/meltCurve_O15431_SLC31A1.pdf")</f>
        <v>Melting_Curves/meltCurve_O15431_SLC31A1.pdf</v>
      </c>
    </row>
    <row r="1329" spans="1:28" x14ac:dyDescent="0.25">
      <c r="A1329" t="s">
        <v>1333</v>
      </c>
      <c r="B1329">
        <v>0.99334974765950101</v>
      </c>
      <c r="C1329">
        <v>1.0353157109640401</v>
      </c>
      <c r="D1329">
        <v>0.98373167565733599</v>
      </c>
      <c r="E1329">
        <v>1.04921976374249</v>
      </c>
      <c r="F1329">
        <v>1.18440634354371</v>
      </c>
      <c r="G1329">
        <v>0.79166650286977103</v>
      </c>
      <c r="H1329">
        <v>0.45050897617033397</v>
      </c>
      <c r="I1329">
        <v>0.224456815415876</v>
      </c>
      <c r="J1329">
        <v>0.22665619811690799</v>
      </c>
      <c r="K1329">
        <v>0.18173157812452101</v>
      </c>
      <c r="L1329">
        <v>2032.6746969220301</v>
      </c>
      <c r="M1329">
        <v>34.243264232338603</v>
      </c>
      <c r="N1329">
        <v>60.1943881871575</v>
      </c>
      <c r="O1329">
        <v>59.158497104760798</v>
      </c>
      <c r="P1329">
        <v>-0.11736283746106101</v>
      </c>
      <c r="Q1329">
        <v>0.18898128068617401</v>
      </c>
      <c r="R1329">
        <v>0.96634777981779196</v>
      </c>
      <c r="S1329" t="s">
        <v>7190</v>
      </c>
      <c r="T1329" t="s">
        <v>11720</v>
      </c>
      <c r="U1329" t="s">
        <v>11720</v>
      </c>
      <c r="V1329" t="s">
        <v>11720</v>
      </c>
      <c r="W1329" t="s">
        <v>13016</v>
      </c>
      <c r="X1329">
        <v>23</v>
      </c>
      <c r="Y1329" t="s">
        <v>18803</v>
      </c>
      <c r="Z1329" t="s">
        <v>24536</v>
      </c>
      <c r="AA1329">
        <v>0.71652688855758606</v>
      </c>
      <c r="AB1329" t="str">
        <f>HYPERLINK("Melting_Curves/meltCurve_O15439_2_ABCC4.pdf", "Melting_Curves/meltCurve_O15439_2_ABCC4.pdf")</f>
        <v>Melting_Curves/meltCurve_O15439_2_ABCC4.pdf</v>
      </c>
    </row>
    <row r="1330" spans="1:28" x14ac:dyDescent="0.25">
      <c r="A1330" t="s">
        <v>1334</v>
      </c>
      <c r="B1330">
        <v>0.99334974765950101</v>
      </c>
      <c r="C1330">
        <v>1.0052932936777299</v>
      </c>
      <c r="D1330">
        <v>1.02288697916051</v>
      </c>
      <c r="E1330">
        <v>1.1668558842285699</v>
      </c>
      <c r="F1330">
        <v>1.4992655154105099</v>
      </c>
      <c r="G1330">
        <v>0.99020770299405303</v>
      </c>
      <c r="H1330">
        <v>0.83423804397692902</v>
      </c>
      <c r="I1330">
        <v>0.76477187229814203</v>
      </c>
      <c r="J1330">
        <v>1.1062460913230701</v>
      </c>
      <c r="K1330">
        <v>1.7419402308748699</v>
      </c>
      <c r="L1330">
        <v>15000</v>
      </c>
      <c r="M1330">
        <v>222.57482931096999</v>
      </c>
      <c r="O1330">
        <v>67.387624667538901</v>
      </c>
      <c r="P1330">
        <v>0.41286295445961202</v>
      </c>
      <c r="Q1330">
        <v>1.5</v>
      </c>
      <c r="R1330">
        <v>0.47322488299882798</v>
      </c>
      <c r="S1330" t="s">
        <v>7191</v>
      </c>
      <c r="T1330" t="s">
        <v>11720</v>
      </c>
      <c r="U1330" t="s">
        <v>11720</v>
      </c>
      <c r="V1330" t="s">
        <v>11720</v>
      </c>
      <c r="W1330" t="s">
        <v>13017</v>
      </c>
      <c r="X1330">
        <v>4</v>
      </c>
      <c r="Y1330" t="s">
        <v>18804</v>
      </c>
      <c r="Z1330" t="s">
        <v>24537</v>
      </c>
      <c r="AA1330">
        <v>1.0433756802363161</v>
      </c>
      <c r="AB1330" t="str">
        <f>HYPERLINK("Melting_Curves/meltCurve_O15446_CD3EAP.pdf", "Melting_Curves/meltCurve_O15446_CD3EAP.pdf")</f>
        <v>Melting_Curves/meltCurve_O15446_CD3EAP.pdf</v>
      </c>
    </row>
    <row r="1331" spans="1:28" x14ac:dyDescent="0.25">
      <c r="A1331" t="s">
        <v>1335</v>
      </c>
      <c r="B1331">
        <v>0.99334974765950101</v>
      </c>
      <c r="C1331">
        <v>1.0665399409032901</v>
      </c>
      <c r="D1331">
        <v>1.1506823111355899</v>
      </c>
      <c r="E1331">
        <v>1.32821600190166</v>
      </c>
      <c r="F1331">
        <v>1.0434333562815801</v>
      </c>
      <c r="G1331">
        <v>0.725716233679225</v>
      </c>
      <c r="H1331">
        <v>0.50289883467163599</v>
      </c>
      <c r="I1331">
        <v>0.39188948816305003</v>
      </c>
      <c r="J1331">
        <v>0.33089292695091099</v>
      </c>
      <c r="K1331">
        <v>0.223087182255165</v>
      </c>
      <c r="L1331">
        <v>1587.8488873369799</v>
      </c>
      <c r="M1331">
        <v>26.936752302649001</v>
      </c>
      <c r="N1331">
        <v>60.7557579632768</v>
      </c>
      <c r="O1331">
        <v>58.625295933473197</v>
      </c>
      <c r="P1331">
        <v>-8.3195631640585202E-2</v>
      </c>
      <c r="Q1331">
        <v>0.27573753844498</v>
      </c>
      <c r="R1331">
        <v>0.88671195335088804</v>
      </c>
      <c r="S1331" t="s">
        <v>7192</v>
      </c>
      <c r="T1331" t="s">
        <v>11720</v>
      </c>
      <c r="U1331" t="s">
        <v>11720</v>
      </c>
      <c r="V1331" t="s">
        <v>11720</v>
      </c>
      <c r="W1331" t="s">
        <v>13018</v>
      </c>
      <c r="X1331">
        <v>25</v>
      </c>
      <c r="Y1331" t="s">
        <v>18805</v>
      </c>
      <c r="Z1331" t="s">
        <v>24538</v>
      </c>
      <c r="AA1331">
        <v>0.73858596428501133</v>
      </c>
      <c r="AB1331" t="str">
        <f>HYPERLINK("Melting_Curves/meltCurve_O15460_2_P4HA2.pdf", "Melting_Curves/meltCurve_O15460_2_P4HA2.pdf")</f>
        <v>Melting_Curves/meltCurve_O15460_2_P4HA2.pdf</v>
      </c>
    </row>
    <row r="1332" spans="1:28" x14ac:dyDescent="0.25">
      <c r="A1332" t="s">
        <v>1336</v>
      </c>
      <c r="B1332">
        <v>0.99334974765950101</v>
      </c>
      <c r="C1332">
        <v>1.00590573400661</v>
      </c>
      <c r="D1332">
        <v>0.91793974187571603</v>
      </c>
      <c r="E1332">
        <v>0.76409866621448197</v>
      </c>
      <c r="F1332">
        <v>0.74304060692071505</v>
      </c>
      <c r="G1332">
        <v>0.42945787434552901</v>
      </c>
      <c r="H1332">
        <v>0.20837681517113299</v>
      </c>
      <c r="I1332">
        <v>9.7773177493144001E-2</v>
      </c>
      <c r="J1332">
        <v>7.9030647878087806E-2</v>
      </c>
      <c r="K1332">
        <v>5.9688820538070203E-2</v>
      </c>
      <c r="L1332">
        <v>800.60646649166699</v>
      </c>
      <c r="M1332">
        <v>14.3753948281796</v>
      </c>
      <c r="N1332">
        <v>55.692827248399801</v>
      </c>
      <c r="O1332">
        <v>54.648374294268301</v>
      </c>
      <c r="P1332">
        <v>-6.5770999708778505E-2</v>
      </c>
      <c r="Q1332">
        <v>0</v>
      </c>
      <c r="R1332">
        <v>0.99055332093200099</v>
      </c>
      <c r="S1332" t="s">
        <v>7193</v>
      </c>
      <c r="T1332" t="s">
        <v>11720</v>
      </c>
      <c r="U1332" t="s">
        <v>11720</v>
      </c>
      <c r="V1332" t="s">
        <v>11720</v>
      </c>
      <c r="W1332" t="s">
        <v>13019</v>
      </c>
      <c r="X1332">
        <v>18</v>
      </c>
      <c r="Y1332" t="s">
        <v>18806</v>
      </c>
      <c r="Z1332" t="s">
        <v>24539</v>
      </c>
      <c r="AA1332">
        <v>0.54204269468007693</v>
      </c>
      <c r="AB1332" t="str">
        <f>HYPERLINK("Melting_Curves/meltCurve_O15498_YKT6.pdf", "Melting_Curves/meltCurve_O15498_YKT6.pdf")</f>
        <v>Melting_Curves/meltCurve_O15498_YKT6.pdf</v>
      </c>
    </row>
    <row r="1333" spans="1:28" x14ac:dyDescent="0.25">
      <c r="A1333" t="s">
        <v>1337</v>
      </c>
      <c r="B1333">
        <v>0.99334974765950101</v>
      </c>
      <c r="C1333">
        <v>1.0218121835385101</v>
      </c>
      <c r="D1333">
        <v>1.0541571699683701</v>
      </c>
      <c r="E1333">
        <v>1.1189170184558499</v>
      </c>
      <c r="F1333">
        <v>1.0541102610775399</v>
      </c>
      <c r="G1333">
        <v>0.98488072069446997</v>
      </c>
      <c r="H1333">
        <v>0.78194668828304503</v>
      </c>
      <c r="I1333">
        <v>0.88056142325241904</v>
      </c>
      <c r="J1333">
        <v>0.54383692829274299</v>
      </c>
      <c r="K1333">
        <v>0.50920489919380796</v>
      </c>
      <c r="L1333">
        <v>1265.49971670061</v>
      </c>
      <c r="M1333">
        <v>19.123267363481698</v>
      </c>
      <c r="N1333">
        <v>69.691392499642802</v>
      </c>
      <c r="O1333">
        <v>65.465010672394996</v>
      </c>
      <c r="P1333">
        <v>-5.0432498901850101E-2</v>
      </c>
      <c r="Q1333">
        <v>0.30944106314663899</v>
      </c>
      <c r="R1333">
        <v>0.87660746104473197</v>
      </c>
      <c r="S1333" t="s">
        <v>7194</v>
      </c>
      <c r="T1333" t="s">
        <v>11720</v>
      </c>
      <c r="U1333" t="s">
        <v>11720</v>
      </c>
      <c r="V1333" t="s">
        <v>11720</v>
      </c>
      <c r="W1333" t="s">
        <v>13020</v>
      </c>
      <c r="X1333">
        <v>8</v>
      </c>
      <c r="Y1333" t="s">
        <v>18807</v>
      </c>
      <c r="Z1333" t="s">
        <v>24540</v>
      </c>
      <c r="AA1333">
        <v>0.89544730729935074</v>
      </c>
      <c r="AB1333" t="str">
        <f>HYPERLINK("Melting_Curves/meltCurve_O15511_ARPC5.pdf", "Melting_Curves/meltCurve_O15511_ARPC5.pdf")</f>
        <v>Melting_Curves/meltCurve_O15511_ARPC5.pdf</v>
      </c>
    </row>
    <row r="1334" spans="1:28" x14ac:dyDescent="0.25">
      <c r="A1334" t="s">
        <v>1338</v>
      </c>
      <c r="B1334">
        <v>0.99334974765950101</v>
      </c>
      <c r="C1334">
        <v>0.987781252927739</v>
      </c>
      <c r="D1334">
        <v>0.84959232365874904</v>
      </c>
      <c r="E1334">
        <v>1.01101184934755</v>
      </c>
      <c r="F1334">
        <v>1.4640739660582101</v>
      </c>
      <c r="G1334">
        <v>0.99441826714196901</v>
      </c>
      <c r="H1334">
        <v>0.90170476744059802</v>
      </c>
      <c r="I1334">
        <v>0.51505786779316398</v>
      </c>
      <c r="J1334">
        <v>0.265609117371368</v>
      </c>
      <c r="K1334">
        <v>0.22428126379520499</v>
      </c>
      <c r="L1334">
        <v>3177.4703992416098</v>
      </c>
      <c r="M1334">
        <v>50.138338862221197</v>
      </c>
      <c r="N1334">
        <v>64.103284659794795</v>
      </c>
      <c r="O1334">
        <v>63.273499261010699</v>
      </c>
      <c r="P1334">
        <v>-0.15504587447343501</v>
      </c>
      <c r="Q1334">
        <v>0.217342575084159</v>
      </c>
      <c r="R1334">
        <v>0.81703441042226599</v>
      </c>
      <c r="S1334" t="s">
        <v>7195</v>
      </c>
      <c r="T1334" t="s">
        <v>11720</v>
      </c>
      <c r="U1334" t="s">
        <v>11720</v>
      </c>
      <c r="V1334" t="s">
        <v>11720</v>
      </c>
      <c r="W1334" t="s">
        <v>13021</v>
      </c>
      <c r="X1334">
        <v>5</v>
      </c>
      <c r="Y1334" t="s">
        <v>18808</v>
      </c>
      <c r="Z1334" t="s">
        <v>24541</v>
      </c>
      <c r="AA1334">
        <v>0.82895007671295962</v>
      </c>
      <c r="AB1334" t="str">
        <f>HYPERLINK("Melting_Curves/meltCurve_O15514_POLR2D.pdf", "Melting_Curves/meltCurve_O15514_POLR2D.pdf")</f>
        <v>Melting_Curves/meltCurve_O15514_POLR2D.pdf</v>
      </c>
    </row>
    <row r="1335" spans="1:28" x14ac:dyDescent="0.25">
      <c r="A1335" t="s">
        <v>1339</v>
      </c>
      <c r="B1335">
        <v>0.99334974765950101</v>
      </c>
      <c r="C1335">
        <v>1.22455440173345</v>
      </c>
      <c r="D1335">
        <v>1.367468361244</v>
      </c>
      <c r="E1335">
        <v>1.5842978731484301</v>
      </c>
      <c r="F1335">
        <v>1.94100258425592</v>
      </c>
      <c r="G1335">
        <v>1.6050347455885701</v>
      </c>
      <c r="H1335">
        <v>1.72110625956442</v>
      </c>
      <c r="I1335">
        <v>1.33637370795048</v>
      </c>
      <c r="J1335">
        <v>0.93682645729701397</v>
      </c>
      <c r="K1335">
        <v>0.62815527193957299</v>
      </c>
      <c r="L1335">
        <v>15000</v>
      </c>
      <c r="M1335">
        <v>222.29354614447399</v>
      </c>
      <c r="O1335">
        <v>67.472881517988995</v>
      </c>
      <c r="P1335">
        <v>-0.30636857785775201</v>
      </c>
      <c r="Q1335">
        <v>0.62803111740381301</v>
      </c>
      <c r="R1335">
        <v>-0.67527927490764905</v>
      </c>
      <c r="S1335" t="s">
        <v>7196</v>
      </c>
      <c r="T1335" t="s">
        <v>11720</v>
      </c>
      <c r="U1335" t="s">
        <v>11720</v>
      </c>
      <c r="V1335" t="s">
        <v>11720</v>
      </c>
      <c r="W1335" t="s">
        <v>13022</v>
      </c>
      <c r="X1335">
        <v>1</v>
      </c>
      <c r="Y1335" t="s">
        <v>18809</v>
      </c>
      <c r="Z1335" t="s">
        <v>24542</v>
      </c>
      <c r="AA1335">
        <v>0.96878841761967194</v>
      </c>
      <c r="AB1335" t="str">
        <f>HYPERLINK("Melting_Curves/meltCurve_O15522_NKX2_8.pdf", "Melting_Curves/meltCurve_O15522_NKX2_8.pdf")</f>
        <v>Melting_Curves/meltCurve_O15522_NKX2_8.pdf</v>
      </c>
    </row>
    <row r="1336" spans="1:28" x14ac:dyDescent="0.25">
      <c r="A1336" t="s">
        <v>1340</v>
      </c>
      <c r="B1336">
        <v>0.99334974765950101</v>
      </c>
      <c r="C1336">
        <v>0.93804696166483104</v>
      </c>
      <c r="D1336">
        <v>0.97509624212996004</v>
      </c>
      <c r="E1336">
        <v>0.81956790700750304</v>
      </c>
      <c r="F1336">
        <v>0.78209010176097304</v>
      </c>
      <c r="G1336">
        <v>0.86005292118410104</v>
      </c>
      <c r="H1336">
        <v>0.78897167229716203</v>
      </c>
      <c r="I1336">
        <v>0.96587281432557504</v>
      </c>
      <c r="J1336">
        <v>1.1115839464663499</v>
      </c>
      <c r="K1336">
        <v>0.91392421571312099</v>
      </c>
      <c r="L1336">
        <v>1159.6207170032601</v>
      </c>
      <c r="M1336">
        <v>26.480551232184901</v>
      </c>
      <c r="O1336">
        <v>43.5439593595001</v>
      </c>
      <c r="P1336">
        <v>-1.5723913291244299E-2</v>
      </c>
      <c r="Q1336">
        <v>0.89657706002399495</v>
      </c>
      <c r="R1336">
        <v>9.6308699274246998E-2</v>
      </c>
      <c r="S1336" t="s">
        <v>7197</v>
      </c>
      <c r="T1336" t="s">
        <v>11720</v>
      </c>
      <c r="U1336" t="s">
        <v>11720</v>
      </c>
      <c r="V1336" t="s">
        <v>11720</v>
      </c>
      <c r="W1336" t="s">
        <v>13023</v>
      </c>
      <c r="X1336">
        <v>4</v>
      </c>
      <c r="Y1336" t="s">
        <v>18810</v>
      </c>
      <c r="Z1336" t="s">
        <v>24543</v>
      </c>
      <c r="AA1336">
        <v>0.91071771699574477</v>
      </c>
      <c r="AB1336" t="str">
        <f>HYPERLINK("Melting_Curves/meltCurve_O15541_RNF113A.pdf", "Melting_Curves/meltCurve_O15541_RNF113A.pdf")</f>
        <v>Melting_Curves/meltCurve_O15541_RNF113A.pdf</v>
      </c>
    </row>
    <row r="1337" spans="1:28" x14ac:dyDescent="0.25">
      <c r="A1337" t="s">
        <v>1341</v>
      </c>
      <c r="B1337">
        <v>0.99334974765950101</v>
      </c>
      <c r="C1337">
        <v>1.0531128223578201</v>
      </c>
      <c r="D1337">
        <v>1.16250940379742</v>
      </c>
      <c r="E1337">
        <v>1.1178712274606299</v>
      </c>
      <c r="F1337">
        <v>0.90901372159531402</v>
      </c>
      <c r="G1337">
        <v>0.413209512830779</v>
      </c>
      <c r="H1337">
        <v>0.18959279528457701</v>
      </c>
      <c r="I1337">
        <v>0.171929468729177</v>
      </c>
      <c r="J1337">
        <v>0.16555225686695399</v>
      </c>
      <c r="K1337">
        <v>0.13828408805240999</v>
      </c>
      <c r="L1337">
        <v>2393.47079942451</v>
      </c>
      <c r="M1337">
        <v>42.8366044414309</v>
      </c>
      <c r="N1337">
        <v>56.3806067875285</v>
      </c>
      <c r="O1337">
        <v>55.7530495748261</v>
      </c>
      <c r="P1337">
        <v>-0.16141977571608099</v>
      </c>
      <c r="Q1337">
        <v>0.15963143402369301</v>
      </c>
      <c r="R1337">
        <v>0.97504365229367396</v>
      </c>
      <c r="S1337" t="s">
        <v>7198</v>
      </c>
      <c r="T1337" t="s">
        <v>11720</v>
      </c>
      <c r="U1337" t="s">
        <v>11720</v>
      </c>
      <c r="V1337" t="s">
        <v>11720</v>
      </c>
      <c r="W1337" t="s">
        <v>13024</v>
      </c>
      <c r="X1337">
        <v>25</v>
      </c>
      <c r="Y1337" t="s">
        <v>18811</v>
      </c>
      <c r="Z1337" t="s">
        <v>24544</v>
      </c>
      <c r="AA1337">
        <v>0.60712735878039237</v>
      </c>
      <c r="AB1337" t="str">
        <f>HYPERLINK("Melting_Curves/meltCurve_O43143_DHX15.pdf", "Melting_Curves/meltCurve_O43143_DHX15.pdf")</f>
        <v>Melting_Curves/meltCurve_O43143_DHX15.pdf</v>
      </c>
    </row>
    <row r="1338" spans="1:28" x14ac:dyDescent="0.25">
      <c r="A1338" t="s">
        <v>1342</v>
      </c>
      <c r="B1338">
        <v>0.99334974765950101</v>
      </c>
      <c r="C1338">
        <v>1.01535984206064</v>
      </c>
      <c r="D1338">
        <v>1.1209461214657199</v>
      </c>
      <c r="E1338">
        <v>0.98034080202214602</v>
      </c>
      <c r="F1338">
        <v>0.83767619786533498</v>
      </c>
      <c r="G1338">
        <v>0.54297951261755395</v>
      </c>
      <c r="H1338">
        <v>0.266342619273857</v>
      </c>
      <c r="I1338">
        <v>0.15811577993110601</v>
      </c>
      <c r="J1338">
        <v>0.13801669347589701</v>
      </c>
      <c r="K1338">
        <v>0.10159639043881399</v>
      </c>
      <c r="L1338">
        <v>1292.94800248856</v>
      </c>
      <c r="M1338">
        <v>22.721838194716099</v>
      </c>
      <c r="N1338">
        <v>57.4570038792546</v>
      </c>
      <c r="O1338">
        <v>56.468061505204098</v>
      </c>
      <c r="P1338">
        <v>-9.0706882736230704E-2</v>
      </c>
      <c r="Q1338">
        <v>9.8322789145977002E-2</v>
      </c>
      <c r="R1338">
        <v>0.98918183773711998</v>
      </c>
      <c r="S1338" t="s">
        <v>7199</v>
      </c>
      <c r="T1338" t="s">
        <v>11720</v>
      </c>
      <c r="U1338" t="s">
        <v>11720</v>
      </c>
      <c r="V1338" t="s">
        <v>11720</v>
      </c>
      <c r="W1338" t="s">
        <v>13025</v>
      </c>
      <c r="X1338">
        <v>12</v>
      </c>
      <c r="Y1338" t="s">
        <v>18812</v>
      </c>
      <c r="Z1338" t="s">
        <v>24545</v>
      </c>
      <c r="AA1338">
        <v>0.61575593227906356</v>
      </c>
      <c r="AB1338" t="str">
        <f>HYPERLINK("Melting_Curves/meltCurve_O43148_RNMT.pdf", "Melting_Curves/meltCurve_O43148_RNMT.pdf")</f>
        <v>Melting_Curves/meltCurve_O43148_RNMT.pdf</v>
      </c>
    </row>
    <row r="1339" spans="1:28" x14ac:dyDescent="0.25">
      <c r="A1339" t="s">
        <v>1343</v>
      </c>
      <c r="B1339">
        <v>0.99334974765950101</v>
      </c>
      <c r="C1339">
        <v>0.94939242369834598</v>
      </c>
      <c r="D1339">
        <v>0.79634292628928005</v>
      </c>
      <c r="E1339">
        <v>0.63608920039866101</v>
      </c>
      <c r="F1339">
        <v>0.33419838459944501</v>
      </c>
      <c r="G1339">
        <v>0.20702768711231201</v>
      </c>
      <c r="H1339">
        <v>0.20985903836314099</v>
      </c>
      <c r="I1339">
        <v>0.21443701404604501</v>
      </c>
      <c r="J1339">
        <v>0.18183024990336599</v>
      </c>
      <c r="K1339">
        <v>0.135693828263277</v>
      </c>
      <c r="L1339">
        <v>870.76071386927697</v>
      </c>
      <c r="M1339">
        <v>17.4753381138758</v>
      </c>
      <c r="N1339">
        <v>50.946844840348199</v>
      </c>
      <c r="O1339">
        <v>49.189221190688599</v>
      </c>
      <c r="P1339">
        <v>-7.4667214164140502E-2</v>
      </c>
      <c r="Q1339">
        <v>0.159359669655706</v>
      </c>
      <c r="R1339">
        <v>0.98787273895440697</v>
      </c>
      <c r="S1339" t="s">
        <v>7200</v>
      </c>
      <c r="T1339" t="s">
        <v>11720</v>
      </c>
      <c r="U1339" t="s">
        <v>11720</v>
      </c>
      <c r="V1339" t="s">
        <v>11720</v>
      </c>
      <c r="W1339" t="s">
        <v>13026</v>
      </c>
      <c r="X1339">
        <v>11</v>
      </c>
      <c r="Y1339" t="s">
        <v>18813</v>
      </c>
      <c r="Z1339" t="s">
        <v>24546</v>
      </c>
      <c r="AA1339">
        <v>0.44995549335769008</v>
      </c>
      <c r="AB1339" t="str">
        <f>HYPERLINK("Melting_Curves/meltCurve_O43150_ASAP2.pdf", "Melting_Curves/meltCurve_O43150_ASAP2.pdf")</f>
        <v>Melting_Curves/meltCurve_O43150_ASAP2.pdf</v>
      </c>
    </row>
    <row r="1340" spans="1:28" x14ac:dyDescent="0.25">
      <c r="A1340" t="s">
        <v>1344</v>
      </c>
      <c r="B1340">
        <v>0.99334974765950101</v>
      </c>
      <c r="C1340">
        <v>1.00304779115888</v>
      </c>
      <c r="D1340">
        <v>0.99693262934844096</v>
      </c>
      <c r="E1340">
        <v>0.86579701482064297</v>
      </c>
      <c r="F1340">
        <v>0.702545834632894</v>
      </c>
      <c r="G1340">
        <v>0.65394337653016898</v>
      </c>
      <c r="H1340">
        <v>0.52869981702275304</v>
      </c>
      <c r="I1340">
        <v>0.46937274079404401</v>
      </c>
      <c r="J1340">
        <v>0.33882854385150402</v>
      </c>
      <c r="K1340">
        <v>0.19227768152233601</v>
      </c>
      <c r="L1340">
        <v>513.09739717786999</v>
      </c>
      <c r="M1340">
        <v>8.3810789584151095</v>
      </c>
      <c r="N1340">
        <v>61.220921556312902</v>
      </c>
      <c r="O1340">
        <v>58.033156908672602</v>
      </c>
      <c r="P1340">
        <v>-3.6139015407933399E-2</v>
      </c>
      <c r="Q1340">
        <v>0</v>
      </c>
      <c r="R1340">
        <v>0.97425628667142605</v>
      </c>
      <c r="S1340" t="s">
        <v>7201</v>
      </c>
      <c r="T1340" t="s">
        <v>11720</v>
      </c>
      <c r="U1340" t="s">
        <v>11720</v>
      </c>
      <c r="V1340" t="s">
        <v>11720</v>
      </c>
      <c r="W1340" t="s">
        <v>13027</v>
      </c>
      <c r="X1340">
        <v>6</v>
      </c>
      <c r="Y1340" t="s">
        <v>18814</v>
      </c>
      <c r="Z1340" t="s">
        <v>24547</v>
      </c>
      <c r="AA1340">
        <v>0.68259659460856048</v>
      </c>
      <c r="AB1340" t="str">
        <f>HYPERLINK("Melting_Curves/meltCurve_O43155_FLRT2.pdf", "Melting_Curves/meltCurve_O43155_FLRT2.pdf")</f>
        <v>Melting_Curves/meltCurve_O43155_FLRT2.pdf</v>
      </c>
    </row>
    <row r="1341" spans="1:28" x14ac:dyDescent="0.25">
      <c r="A1341" t="s">
        <v>1345</v>
      </c>
      <c r="B1341">
        <v>0.99334974765950101</v>
      </c>
      <c r="C1341">
        <v>0.89143929847622605</v>
      </c>
      <c r="D1341">
        <v>0.88592996588246498</v>
      </c>
      <c r="E1341">
        <v>0.88119437954242297</v>
      </c>
      <c r="F1341">
        <v>0.687398031181226</v>
      </c>
      <c r="G1341">
        <v>0.50803892759483504</v>
      </c>
      <c r="H1341">
        <v>0.49765300337374502</v>
      </c>
      <c r="I1341">
        <v>0.56383831918193295</v>
      </c>
      <c r="J1341">
        <v>0.58098555252072803</v>
      </c>
      <c r="K1341">
        <v>0.45019615704840299</v>
      </c>
      <c r="L1341">
        <v>819.73554828367503</v>
      </c>
      <c r="M1341">
        <v>15.9444678733167</v>
      </c>
      <c r="O1341">
        <v>50.623585366995499</v>
      </c>
      <c r="P1341">
        <v>-3.9890111785245499E-2</v>
      </c>
      <c r="Q1341">
        <v>0.49343685995144598</v>
      </c>
      <c r="R1341">
        <v>0.90833428677528605</v>
      </c>
      <c r="S1341" t="s">
        <v>7202</v>
      </c>
      <c r="T1341" t="s">
        <v>11720</v>
      </c>
      <c r="U1341" t="s">
        <v>11720</v>
      </c>
      <c r="V1341" t="s">
        <v>11720</v>
      </c>
      <c r="W1341" t="s">
        <v>13028</v>
      </c>
      <c r="X1341">
        <v>5</v>
      </c>
      <c r="Y1341" t="s">
        <v>18815</v>
      </c>
      <c r="Z1341" t="s">
        <v>24548</v>
      </c>
      <c r="AA1341">
        <v>0.69658722965374242</v>
      </c>
      <c r="AB1341" t="str">
        <f>HYPERLINK("Melting_Curves/meltCurve_O43157_2_PLXNB1.pdf", "Melting_Curves/meltCurve_O43157_2_PLXNB1.pdf")</f>
        <v>Melting_Curves/meltCurve_O43157_2_PLXNB1.pdf</v>
      </c>
    </row>
    <row r="1342" spans="1:28" x14ac:dyDescent="0.25">
      <c r="A1342" t="s">
        <v>1346</v>
      </c>
      <c r="B1342">
        <v>0.99334974765950101</v>
      </c>
      <c r="C1342">
        <v>0.92027807107982795</v>
      </c>
      <c r="D1342">
        <v>0.812749527001702</v>
      </c>
      <c r="E1342">
        <v>0.70501756441128505</v>
      </c>
      <c r="F1342">
        <v>0.76436533518271199</v>
      </c>
      <c r="G1342">
        <v>0.632297308060918</v>
      </c>
      <c r="H1342">
        <v>0.59199056855119603</v>
      </c>
      <c r="I1342">
        <v>0.81641903142926198</v>
      </c>
      <c r="J1342">
        <v>0.68711665384696596</v>
      </c>
      <c r="K1342">
        <v>0.64171046291461298</v>
      </c>
      <c r="L1342">
        <v>935.27973953287199</v>
      </c>
      <c r="M1342">
        <v>20.6633634483252</v>
      </c>
      <c r="O1342">
        <v>44.845178349458898</v>
      </c>
      <c r="P1342">
        <v>-3.6597910355549601E-2</v>
      </c>
      <c r="Q1342">
        <v>0.68229899358027501</v>
      </c>
      <c r="R1342">
        <v>0.765492183512402</v>
      </c>
      <c r="S1342" t="s">
        <v>7203</v>
      </c>
      <c r="T1342" t="s">
        <v>11720</v>
      </c>
      <c r="U1342" t="s">
        <v>11720</v>
      </c>
      <c r="V1342" t="s">
        <v>11720</v>
      </c>
      <c r="W1342" t="s">
        <v>13029</v>
      </c>
      <c r="X1342">
        <v>3</v>
      </c>
      <c r="Y1342" t="s">
        <v>18816</v>
      </c>
      <c r="Z1342" t="s">
        <v>24549</v>
      </c>
      <c r="AA1342">
        <v>0.74287728946203302</v>
      </c>
      <c r="AB1342" t="str">
        <f>HYPERLINK("Melting_Curves/meltCurve_O43164_2_PJA2.pdf", "Melting_Curves/meltCurve_O43164_2_PJA2.pdf")</f>
        <v>Melting_Curves/meltCurve_O43164_2_PJA2.pdf</v>
      </c>
    </row>
    <row r="1343" spans="1:28" x14ac:dyDescent="0.25">
      <c r="A1343" t="s">
        <v>1347</v>
      </c>
      <c r="B1343">
        <v>0.99334974765950101</v>
      </c>
      <c r="C1343">
        <v>0.72798854596714901</v>
      </c>
      <c r="D1343">
        <v>0.94956111949632105</v>
      </c>
      <c r="E1343">
        <v>0.56994948977985804</v>
      </c>
      <c r="F1343">
        <v>0.93287670138358403</v>
      </c>
      <c r="G1343">
        <v>0.56828827738742504</v>
      </c>
      <c r="H1343">
        <v>0.13702551702511301</v>
      </c>
      <c r="I1343">
        <v>7.4213099523004394E-2</v>
      </c>
      <c r="J1343">
        <v>6.3387586310946806E-2</v>
      </c>
      <c r="K1343">
        <v>5.47814950774985E-2</v>
      </c>
      <c r="L1343">
        <v>854.56369943677703</v>
      </c>
      <c r="M1343">
        <v>15.134163012344001</v>
      </c>
      <c r="N1343">
        <v>56.465849140890498</v>
      </c>
      <c r="O1343">
        <v>55.507527387756198</v>
      </c>
      <c r="P1343">
        <v>-6.8169312725414502E-2</v>
      </c>
      <c r="Q1343">
        <v>0</v>
      </c>
      <c r="R1343">
        <v>0.83299927058051204</v>
      </c>
      <c r="S1343" t="s">
        <v>7204</v>
      </c>
      <c r="T1343" t="s">
        <v>11720</v>
      </c>
      <c r="U1343" t="s">
        <v>11720</v>
      </c>
      <c r="V1343" t="s">
        <v>11720</v>
      </c>
      <c r="W1343" t="s">
        <v>13030</v>
      </c>
      <c r="X1343">
        <v>29</v>
      </c>
      <c r="Y1343" t="s">
        <v>18817</v>
      </c>
      <c r="Z1343" t="s">
        <v>24550</v>
      </c>
      <c r="AA1343">
        <v>0.56565066334306269</v>
      </c>
      <c r="AB1343" t="str">
        <f>HYPERLINK("Melting_Curves/meltCurve_O43175_PHGDH.pdf", "Melting_Curves/meltCurve_O43175_PHGDH.pdf")</f>
        <v>Melting_Curves/meltCurve_O43175_PHGDH.pdf</v>
      </c>
    </row>
    <row r="1344" spans="1:28" x14ac:dyDescent="0.25">
      <c r="A1344" t="s">
        <v>1348</v>
      </c>
      <c r="B1344">
        <v>0.99334974765950101</v>
      </c>
      <c r="C1344">
        <v>1.0044918040661801</v>
      </c>
      <c r="D1344">
        <v>0.82950854148335695</v>
      </c>
      <c r="E1344">
        <v>1.0161992459053599</v>
      </c>
      <c r="F1344">
        <v>1.2108772258479199</v>
      </c>
      <c r="G1344">
        <v>0.90800343134920103</v>
      </c>
      <c r="H1344">
        <v>0.82550176578093803</v>
      </c>
      <c r="I1344">
        <v>0.65688443933265295</v>
      </c>
      <c r="J1344">
        <v>0.946825429986766</v>
      </c>
      <c r="K1344">
        <v>1.3731990900829301</v>
      </c>
      <c r="L1344">
        <v>15000</v>
      </c>
      <c r="M1344">
        <v>215.36461302156701</v>
      </c>
      <c r="O1344">
        <v>69.643339040898198</v>
      </c>
      <c r="P1344">
        <v>0.386549303209133</v>
      </c>
      <c r="Q1344">
        <v>1.5</v>
      </c>
      <c r="R1344">
        <v>0.36432657730161899</v>
      </c>
      <c r="S1344" t="s">
        <v>7205</v>
      </c>
      <c r="T1344" t="s">
        <v>11720</v>
      </c>
      <c r="U1344" t="s">
        <v>11720</v>
      </c>
      <c r="V1344" t="s">
        <v>11720</v>
      </c>
      <c r="W1344" t="s">
        <v>13031</v>
      </c>
      <c r="X1344">
        <v>1</v>
      </c>
      <c r="Y1344" t="s">
        <v>18818</v>
      </c>
      <c r="Z1344" t="s">
        <v>24551</v>
      </c>
      <c r="AA1344">
        <v>1.0073717475202431</v>
      </c>
      <c r="AB1344" t="str">
        <f>HYPERLINK("Melting_Curves/meltCurve_O43181_NDUFS4.pdf", "Melting_Curves/meltCurve_O43181_NDUFS4.pdf")</f>
        <v>Melting_Curves/meltCurve_O43181_NDUFS4.pdf</v>
      </c>
    </row>
    <row r="1345" spans="1:28" x14ac:dyDescent="0.25">
      <c r="A1345" t="s">
        <v>1349</v>
      </c>
      <c r="B1345">
        <v>0.99334974765950101</v>
      </c>
      <c r="C1345">
        <v>0.88120680873378299</v>
      </c>
      <c r="D1345">
        <v>0.64824081665178401</v>
      </c>
      <c r="E1345">
        <v>0.28052697671921001</v>
      </c>
      <c r="F1345">
        <v>0.214859904763057</v>
      </c>
      <c r="G1345">
        <v>0.16214836057979101</v>
      </c>
      <c r="H1345">
        <v>0.13556549929954101</v>
      </c>
      <c r="I1345">
        <v>9.8424540792778903E-2</v>
      </c>
      <c r="J1345">
        <v>0.11757861692992901</v>
      </c>
      <c r="K1345">
        <v>0.101639003296741</v>
      </c>
      <c r="L1345">
        <v>975.00727505755106</v>
      </c>
      <c r="M1345">
        <v>20.816272612145902</v>
      </c>
      <c r="N1345">
        <v>47.449854119650098</v>
      </c>
      <c r="O1345">
        <v>46.412868979140598</v>
      </c>
      <c r="P1345">
        <v>-9.8943636377484004E-2</v>
      </c>
      <c r="Q1345">
        <v>0.11758833512816499</v>
      </c>
      <c r="R1345">
        <v>0.99714318308906502</v>
      </c>
      <c r="S1345" t="s">
        <v>7206</v>
      </c>
      <c r="T1345" t="s">
        <v>11720</v>
      </c>
      <c r="U1345" t="s">
        <v>11720</v>
      </c>
      <c r="V1345" t="s">
        <v>11720</v>
      </c>
      <c r="W1345" t="s">
        <v>13032</v>
      </c>
      <c r="X1345">
        <v>1</v>
      </c>
      <c r="Y1345" t="s">
        <v>18819</v>
      </c>
      <c r="Z1345" t="s">
        <v>24552</v>
      </c>
      <c r="AA1345">
        <v>0.33063736093418888</v>
      </c>
      <c r="AB1345" t="str">
        <f>HYPERLINK("Melting_Curves/meltCurve_O43182_4_ARHGAP6.pdf", "Melting_Curves/meltCurve_O43182_4_ARHGAP6.pdf")</f>
        <v>Melting_Curves/meltCurve_O43182_4_ARHGAP6.pdf</v>
      </c>
    </row>
    <row r="1346" spans="1:28" x14ac:dyDescent="0.25">
      <c r="A1346" t="s">
        <v>1350</v>
      </c>
      <c r="B1346">
        <v>0.99334974765950101</v>
      </c>
      <c r="C1346">
        <v>0.97867897601537301</v>
      </c>
      <c r="D1346">
        <v>0.84267219451507602</v>
      </c>
      <c r="E1346">
        <v>1.0196608920938099</v>
      </c>
      <c r="F1346">
        <v>0.66986893486922505</v>
      </c>
      <c r="G1346">
        <v>0.35987604993134298</v>
      </c>
      <c r="H1346">
        <v>0.30063511654259301</v>
      </c>
      <c r="I1346">
        <v>0.336368402478122</v>
      </c>
      <c r="J1346">
        <v>0.35444713609193701</v>
      </c>
      <c r="K1346">
        <v>0.29158359229419401</v>
      </c>
      <c r="L1346">
        <v>13251.7613933389</v>
      </c>
      <c r="M1346">
        <v>250</v>
      </c>
      <c r="N1346">
        <v>53.234994458279097</v>
      </c>
      <c r="O1346">
        <v>53.003655588115997</v>
      </c>
      <c r="P1346">
        <v>-0.79171187076615301</v>
      </c>
      <c r="Q1346">
        <v>0.32858205438065802</v>
      </c>
      <c r="R1346">
        <v>0.96751658254991302</v>
      </c>
      <c r="S1346" t="s">
        <v>7207</v>
      </c>
      <c r="T1346" t="s">
        <v>11720</v>
      </c>
      <c r="U1346" t="s">
        <v>11720</v>
      </c>
      <c r="V1346" t="s">
        <v>11720</v>
      </c>
      <c r="W1346" t="s">
        <v>13033</v>
      </c>
      <c r="X1346">
        <v>15</v>
      </c>
      <c r="Y1346" t="s">
        <v>18820</v>
      </c>
      <c r="Z1346" t="s">
        <v>24553</v>
      </c>
      <c r="AA1346">
        <v>0.61974997465035819</v>
      </c>
      <c r="AB1346" t="str">
        <f>HYPERLINK("Melting_Curves/meltCurve_O43237_DYNC1LI2.pdf", "Melting_Curves/meltCurve_O43237_DYNC1LI2.pdf")</f>
        <v>Melting_Curves/meltCurve_O43237_DYNC1LI2.pdf</v>
      </c>
    </row>
    <row r="1347" spans="1:28" x14ac:dyDescent="0.25">
      <c r="A1347" t="s">
        <v>1351</v>
      </c>
      <c r="B1347">
        <v>0.99334974765950101</v>
      </c>
      <c r="C1347">
        <v>1.0586343704747301</v>
      </c>
      <c r="D1347">
        <v>1.1117504837555501</v>
      </c>
      <c r="E1347">
        <v>1.4003368118669</v>
      </c>
      <c r="F1347">
        <v>1.1414418209789301</v>
      </c>
      <c r="G1347">
        <v>1.0930039364781099</v>
      </c>
      <c r="H1347">
        <v>0.36232998671379202</v>
      </c>
      <c r="I1347">
        <v>0.23601635215313099</v>
      </c>
      <c r="J1347">
        <v>0.207271426864125</v>
      </c>
      <c r="K1347">
        <v>0.16864737347353001</v>
      </c>
      <c r="L1347">
        <v>11139.9290738542</v>
      </c>
      <c r="M1347">
        <v>184.01455788480001</v>
      </c>
      <c r="N1347">
        <v>60.711222701854403</v>
      </c>
      <c r="O1347">
        <v>60.531153179849603</v>
      </c>
      <c r="P1347">
        <v>-0.60498890406651795</v>
      </c>
      <c r="Q1347">
        <v>0.203961333003366</v>
      </c>
      <c r="R1347">
        <v>0.89736976194657303</v>
      </c>
      <c r="S1347" t="s">
        <v>7208</v>
      </c>
      <c r="T1347" t="s">
        <v>11720</v>
      </c>
      <c r="U1347" t="s">
        <v>11720</v>
      </c>
      <c r="V1347" t="s">
        <v>11720</v>
      </c>
      <c r="W1347" t="s">
        <v>13034</v>
      </c>
      <c r="X1347">
        <v>10</v>
      </c>
      <c r="Y1347" t="s">
        <v>18821</v>
      </c>
      <c r="Z1347" t="s">
        <v>24554</v>
      </c>
      <c r="AA1347">
        <v>0.74909357915150399</v>
      </c>
      <c r="AB1347" t="str">
        <f>HYPERLINK("Melting_Curves/meltCurve_O43242_PSMD3.pdf", "Melting_Curves/meltCurve_O43242_PSMD3.pdf")</f>
        <v>Melting_Curves/meltCurve_O43242_PSMD3.pdf</v>
      </c>
    </row>
    <row r="1348" spans="1:28" x14ac:dyDescent="0.25">
      <c r="A1348" t="s">
        <v>1352</v>
      </c>
      <c r="B1348">
        <v>0.99334974765950101</v>
      </c>
      <c r="C1348">
        <v>1.0147658028958799</v>
      </c>
      <c r="D1348">
        <v>1.05317354399149</v>
      </c>
      <c r="E1348">
        <v>1.04935305808984</v>
      </c>
      <c r="F1348">
        <v>0.68048704970028595</v>
      </c>
      <c r="G1348">
        <v>0.26823203318841998</v>
      </c>
      <c r="H1348">
        <v>0.16371457879286799</v>
      </c>
      <c r="I1348">
        <v>0.13155043828708099</v>
      </c>
      <c r="J1348">
        <v>0.143892739383923</v>
      </c>
      <c r="K1348">
        <v>0.11854374690663699</v>
      </c>
      <c r="L1348">
        <v>2102.4589457819702</v>
      </c>
      <c r="M1348">
        <v>38.985419070117501</v>
      </c>
      <c r="N1348">
        <v>54.395796945510398</v>
      </c>
      <c r="O1348">
        <v>53.788056603613597</v>
      </c>
      <c r="P1348">
        <v>-0.155455314151344</v>
      </c>
      <c r="Q1348">
        <v>0.14207724026667801</v>
      </c>
      <c r="R1348">
        <v>0.99180248710773899</v>
      </c>
      <c r="S1348" t="s">
        <v>7209</v>
      </c>
      <c r="T1348" t="s">
        <v>11720</v>
      </c>
      <c r="U1348" t="s">
        <v>11720</v>
      </c>
      <c r="V1348" t="s">
        <v>11720</v>
      </c>
      <c r="W1348" t="s">
        <v>13035</v>
      </c>
      <c r="X1348">
        <v>25</v>
      </c>
      <c r="Y1348" t="s">
        <v>18822</v>
      </c>
      <c r="Z1348" t="s">
        <v>24555</v>
      </c>
      <c r="AA1348">
        <v>0.54378129856993573</v>
      </c>
      <c r="AB1348" t="str">
        <f>HYPERLINK("Melting_Curves/meltCurve_O43252_PAPSS1.pdf", "Melting_Curves/meltCurve_O43252_PAPSS1.pdf")</f>
        <v>Melting_Curves/meltCurve_O43252_PAPSS1.pdf</v>
      </c>
    </row>
    <row r="1349" spans="1:28" x14ac:dyDescent="0.25">
      <c r="A1349" t="s">
        <v>1353</v>
      </c>
      <c r="B1349">
        <v>0.99334974765950101</v>
      </c>
      <c r="C1349">
        <v>0.86918187796523305</v>
      </c>
      <c r="D1349">
        <v>0.89762325890781802</v>
      </c>
      <c r="E1349">
        <v>0.73919364471719196</v>
      </c>
      <c r="F1349">
        <v>0.32937066492712702</v>
      </c>
      <c r="G1349">
        <v>0.28286618740241898</v>
      </c>
      <c r="H1349">
        <v>0.16804052559434901</v>
      </c>
      <c r="I1349">
        <v>0.16327328473483099</v>
      </c>
      <c r="J1349">
        <v>0.107203222011979</v>
      </c>
      <c r="K1349">
        <v>5.3959041945935801E-2</v>
      </c>
      <c r="L1349">
        <v>845.57583165230301</v>
      </c>
      <c r="M1349">
        <v>16.430357336275701</v>
      </c>
      <c r="N1349">
        <v>52.0870322614646</v>
      </c>
      <c r="O1349">
        <v>50.719995087858599</v>
      </c>
      <c r="P1349">
        <v>-7.3768531954672006E-2</v>
      </c>
      <c r="Q1349">
        <v>8.9179840836187296E-2</v>
      </c>
      <c r="R1349">
        <v>0.97189430410122901</v>
      </c>
      <c r="S1349" t="s">
        <v>7210</v>
      </c>
      <c r="T1349" t="s">
        <v>11720</v>
      </c>
      <c r="U1349" t="s">
        <v>11720</v>
      </c>
      <c r="V1349" t="s">
        <v>11720</v>
      </c>
      <c r="W1349" t="s">
        <v>13036</v>
      </c>
      <c r="X1349">
        <v>1</v>
      </c>
      <c r="Y1349" t="s">
        <v>18823</v>
      </c>
      <c r="Z1349" t="s">
        <v>24556</v>
      </c>
      <c r="AA1349">
        <v>0.45509906303218639</v>
      </c>
      <c r="AB1349" t="str">
        <f>HYPERLINK("Melting_Curves/meltCurve_O43264_ZW10.pdf", "Melting_Curves/meltCurve_O43264_ZW10.pdf")</f>
        <v>Melting_Curves/meltCurve_O43264_ZW10.pdf</v>
      </c>
    </row>
    <row r="1350" spans="1:28" x14ac:dyDescent="0.25">
      <c r="A1350" t="s">
        <v>1354</v>
      </c>
      <c r="B1350">
        <v>0.99334974765950101</v>
      </c>
      <c r="C1350">
        <v>0.98086306466797102</v>
      </c>
      <c r="D1350">
        <v>0.80378251846902005</v>
      </c>
      <c r="E1350">
        <v>0.61726620326208403</v>
      </c>
      <c r="F1350">
        <v>0.28981954772060498</v>
      </c>
      <c r="G1350">
        <v>0.212166105414901</v>
      </c>
      <c r="H1350">
        <v>0.17734123495147799</v>
      </c>
      <c r="I1350">
        <v>0.167930643108016</v>
      </c>
      <c r="J1350">
        <v>0.19456022242073501</v>
      </c>
      <c r="K1350">
        <v>0.152197979938409</v>
      </c>
      <c r="L1350">
        <v>991.29587033368296</v>
      </c>
      <c r="M1350">
        <v>19.962759860450401</v>
      </c>
      <c r="N1350">
        <v>50.624126587298697</v>
      </c>
      <c r="O1350">
        <v>49.166996626382002</v>
      </c>
      <c r="P1350">
        <v>-8.54190712604119E-2</v>
      </c>
      <c r="Q1350">
        <v>0.158500609422558</v>
      </c>
      <c r="R1350">
        <v>0.98960074107652196</v>
      </c>
      <c r="S1350" t="s">
        <v>7211</v>
      </c>
      <c r="T1350" t="s">
        <v>11720</v>
      </c>
      <c r="U1350" t="s">
        <v>11720</v>
      </c>
      <c r="V1350" t="s">
        <v>11720</v>
      </c>
      <c r="W1350" t="s">
        <v>13037</v>
      </c>
      <c r="X1350">
        <v>5</v>
      </c>
      <c r="Y1350" t="s">
        <v>18824</v>
      </c>
      <c r="Z1350" t="s">
        <v>24557</v>
      </c>
      <c r="AA1350">
        <v>0.44116252280108681</v>
      </c>
      <c r="AB1350" t="str">
        <f>HYPERLINK("Melting_Curves/meltCurve_O43281_EFS.pdf", "Melting_Curves/meltCurve_O43281_EFS.pdf")</f>
        <v>Melting_Curves/meltCurve_O43281_EFS.pdf</v>
      </c>
    </row>
    <row r="1351" spans="1:28" x14ac:dyDescent="0.25">
      <c r="A1351" t="s">
        <v>1355</v>
      </c>
      <c r="B1351">
        <v>0.99334974765950101</v>
      </c>
      <c r="C1351">
        <v>1.03349910415152</v>
      </c>
      <c r="D1351">
        <v>0.98959883583867103</v>
      </c>
      <c r="E1351">
        <v>0.757223993498223</v>
      </c>
      <c r="F1351">
        <v>0.55716217273878699</v>
      </c>
      <c r="G1351">
        <v>0.40244260325063402</v>
      </c>
      <c r="H1351">
        <v>0.29734416845134198</v>
      </c>
      <c r="I1351">
        <v>0.26399315899842202</v>
      </c>
      <c r="J1351">
        <v>0.26866660745344001</v>
      </c>
      <c r="K1351">
        <v>0.33009706318672299</v>
      </c>
      <c r="L1351">
        <v>1135.06146442115</v>
      </c>
      <c r="M1351">
        <v>21.902311701658</v>
      </c>
      <c r="N1351">
        <v>53.901965233090003</v>
      </c>
      <c r="O1351">
        <v>51.397622612080902</v>
      </c>
      <c r="P1351">
        <v>-7.6162855305114893E-2</v>
      </c>
      <c r="Q1351">
        <v>0.28509838819909999</v>
      </c>
      <c r="R1351">
        <v>0.99196619208307402</v>
      </c>
      <c r="S1351" t="s">
        <v>7212</v>
      </c>
      <c r="T1351" t="s">
        <v>11720</v>
      </c>
      <c r="U1351" t="s">
        <v>11720</v>
      </c>
      <c r="V1351" t="s">
        <v>11720</v>
      </c>
      <c r="W1351" t="s">
        <v>13038</v>
      </c>
      <c r="X1351">
        <v>12</v>
      </c>
      <c r="Y1351" t="s">
        <v>18825</v>
      </c>
      <c r="Z1351" t="s">
        <v>24558</v>
      </c>
      <c r="AA1351">
        <v>0.57523875473411346</v>
      </c>
      <c r="AB1351" t="str">
        <f>HYPERLINK("Melting_Curves/meltCurve_O43290_SART1.pdf", "Melting_Curves/meltCurve_O43290_SART1.pdf")</f>
        <v>Melting_Curves/meltCurve_O43290_SART1.pdf</v>
      </c>
    </row>
    <row r="1352" spans="1:28" x14ac:dyDescent="0.25">
      <c r="A1352" t="s">
        <v>1356</v>
      </c>
      <c r="B1352">
        <v>0.99334974765950101</v>
      </c>
      <c r="C1352">
        <v>0.92037725488643596</v>
      </c>
      <c r="D1352">
        <v>0.735508400360667</v>
      </c>
      <c r="E1352">
        <v>0.26810990291266201</v>
      </c>
      <c r="F1352">
        <v>0.15373798249409401</v>
      </c>
      <c r="G1352">
        <v>0.11093273415954499</v>
      </c>
      <c r="H1352">
        <v>7.6096304300037804E-2</v>
      </c>
      <c r="I1352">
        <v>7.7944762152847E-2</v>
      </c>
      <c r="J1352">
        <v>6.5080748460651094E-2</v>
      </c>
      <c r="K1352">
        <v>6.3076740483031704E-2</v>
      </c>
      <c r="L1352">
        <v>1178.8888275499701</v>
      </c>
      <c r="M1352">
        <v>24.7925651867934</v>
      </c>
      <c r="N1352">
        <v>47.861220220895603</v>
      </c>
      <c r="O1352">
        <v>47.243972389660897</v>
      </c>
      <c r="P1352">
        <v>-0.12143188891140699</v>
      </c>
      <c r="Q1352">
        <v>7.4424871422522507E-2</v>
      </c>
      <c r="R1352">
        <v>0.99857271489852795</v>
      </c>
      <c r="S1352" t="s">
        <v>7213</v>
      </c>
      <c r="T1352" t="s">
        <v>11720</v>
      </c>
      <c r="U1352" t="s">
        <v>11720</v>
      </c>
      <c r="V1352" t="s">
        <v>11720</v>
      </c>
      <c r="W1352" t="s">
        <v>13039</v>
      </c>
      <c r="X1352">
        <v>4</v>
      </c>
      <c r="Y1352" t="s">
        <v>18826</v>
      </c>
      <c r="Z1352" t="s">
        <v>24559</v>
      </c>
      <c r="AA1352">
        <v>0.31571373507879458</v>
      </c>
      <c r="AB1352" t="str">
        <f>HYPERLINK("Melting_Curves/meltCurve_O43293_DAPK3.pdf", "Melting_Curves/meltCurve_O43293_DAPK3.pdf")</f>
        <v>Melting_Curves/meltCurve_O43293_DAPK3.pdf</v>
      </c>
    </row>
    <row r="1353" spans="1:28" x14ac:dyDescent="0.25">
      <c r="A1353" t="s">
        <v>1357</v>
      </c>
      <c r="B1353">
        <v>0.99334974765950101</v>
      </c>
      <c r="C1353">
        <v>0.93848915294739299</v>
      </c>
      <c r="D1353">
        <v>0.80576670106436199</v>
      </c>
      <c r="E1353">
        <v>0.60899012433982602</v>
      </c>
      <c r="F1353">
        <v>0.43542133525658799</v>
      </c>
      <c r="G1353">
        <v>0.39727333744722498</v>
      </c>
      <c r="H1353">
        <v>0.27620463070087797</v>
      </c>
      <c r="I1353">
        <v>0.33103715761432401</v>
      </c>
      <c r="J1353">
        <v>0.37802896190734703</v>
      </c>
      <c r="K1353">
        <v>0.61510133103279996</v>
      </c>
      <c r="L1353">
        <v>1022.95490965234</v>
      </c>
      <c r="M1353">
        <v>21.3727747105203</v>
      </c>
      <c r="N1353">
        <v>51.6093329575667</v>
      </c>
      <c r="O1353">
        <v>47.449422891346998</v>
      </c>
      <c r="P1353">
        <v>-6.8236507225125698E-2</v>
      </c>
      <c r="Q1353">
        <v>0.39405119527214399</v>
      </c>
      <c r="R1353">
        <v>0.88097585320572502</v>
      </c>
      <c r="S1353" t="s">
        <v>7214</v>
      </c>
      <c r="T1353" t="s">
        <v>11720</v>
      </c>
      <c r="U1353" t="s">
        <v>11720</v>
      </c>
      <c r="V1353" t="s">
        <v>11720</v>
      </c>
      <c r="W1353" t="s">
        <v>13040</v>
      </c>
      <c r="X1353">
        <v>11</v>
      </c>
      <c r="Y1353" t="s">
        <v>18827</v>
      </c>
      <c r="Z1353" t="s">
        <v>24560</v>
      </c>
      <c r="AA1353">
        <v>0.56035505812013353</v>
      </c>
      <c r="AB1353" t="str">
        <f>HYPERLINK("Melting_Curves/meltCurve_O43294_2_TGFB1I1.pdf", "Melting_Curves/meltCurve_O43294_2_TGFB1I1.pdf")</f>
        <v>Melting_Curves/meltCurve_O43294_2_TGFB1I1.pdf</v>
      </c>
    </row>
    <row r="1354" spans="1:28" x14ac:dyDescent="0.25">
      <c r="A1354" t="s">
        <v>1358</v>
      </c>
      <c r="B1354">
        <v>0.99334974765950101</v>
      </c>
      <c r="C1354">
        <v>0.92835014792739701</v>
      </c>
      <c r="D1354">
        <v>1.03436259448547</v>
      </c>
      <c r="E1354">
        <v>0.98596259920281804</v>
      </c>
      <c r="F1354">
        <v>0.74031400476634601</v>
      </c>
      <c r="G1354">
        <v>0.68938174231502403</v>
      </c>
      <c r="H1354">
        <v>0.52668889836181598</v>
      </c>
      <c r="I1354">
        <v>0.25443037047204797</v>
      </c>
      <c r="J1354">
        <v>0.15893177629348501</v>
      </c>
      <c r="K1354">
        <v>0.102119422654596</v>
      </c>
      <c r="L1354">
        <v>820.94429127262504</v>
      </c>
      <c r="M1354">
        <v>13.7021779340407</v>
      </c>
      <c r="N1354">
        <v>59.913416492154397</v>
      </c>
      <c r="O1354">
        <v>58.680523025867402</v>
      </c>
      <c r="P1354">
        <v>-5.8384588113409602E-2</v>
      </c>
      <c r="Q1354">
        <v>0</v>
      </c>
      <c r="R1354">
        <v>0.97120917429300102</v>
      </c>
      <c r="S1354" t="s">
        <v>7215</v>
      </c>
      <c r="T1354" t="s">
        <v>11720</v>
      </c>
      <c r="U1354" t="s">
        <v>11720</v>
      </c>
      <c r="V1354" t="s">
        <v>11720</v>
      </c>
      <c r="W1354" t="s">
        <v>13041</v>
      </c>
      <c r="X1354">
        <v>5</v>
      </c>
      <c r="Y1354" t="s">
        <v>18828</v>
      </c>
      <c r="Z1354" t="s">
        <v>24561</v>
      </c>
      <c r="AA1354">
        <v>0.66964459289607181</v>
      </c>
      <c r="AB1354" t="str">
        <f>HYPERLINK("Melting_Curves/meltCurve_O43299_AP5Z1.pdf", "Melting_Curves/meltCurve_O43299_AP5Z1.pdf")</f>
        <v>Melting_Curves/meltCurve_O43299_AP5Z1.pdf</v>
      </c>
    </row>
    <row r="1355" spans="1:28" x14ac:dyDescent="0.25">
      <c r="A1355" t="s">
        <v>1359</v>
      </c>
      <c r="B1355">
        <v>0.99334974765950101</v>
      </c>
      <c r="C1355">
        <v>1.0098605787858399</v>
      </c>
      <c r="D1355">
        <v>1.0270801542330701</v>
      </c>
      <c r="E1355">
        <v>0.67265632998687797</v>
      </c>
      <c r="F1355">
        <v>0.21444999533866099</v>
      </c>
      <c r="G1355">
        <v>0.11526311108097601</v>
      </c>
      <c r="H1355">
        <v>8.0010829800112399E-2</v>
      </c>
      <c r="I1355">
        <v>6.3946669197859102E-2</v>
      </c>
      <c r="J1355">
        <v>6.1381754373615503E-2</v>
      </c>
      <c r="K1355">
        <v>4.53879104276802E-2</v>
      </c>
      <c r="L1355">
        <v>2058.6784139506999</v>
      </c>
      <c r="M1355">
        <v>40.542513424559303</v>
      </c>
      <c r="N1355">
        <v>50.969365143833301</v>
      </c>
      <c r="O1355">
        <v>50.655198119831397</v>
      </c>
      <c r="P1355">
        <v>-0.18598265703803399</v>
      </c>
      <c r="Q1355">
        <v>7.0509672067175302E-2</v>
      </c>
      <c r="R1355">
        <v>0.99783475535217803</v>
      </c>
      <c r="S1355" t="s">
        <v>7216</v>
      </c>
      <c r="T1355" t="s">
        <v>11720</v>
      </c>
      <c r="U1355" t="s">
        <v>11720</v>
      </c>
      <c r="V1355" t="s">
        <v>11720</v>
      </c>
      <c r="W1355" t="s">
        <v>13042</v>
      </c>
      <c r="X1355">
        <v>10</v>
      </c>
      <c r="Y1355" t="s">
        <v>18829</v>
      </c>
      <c r="Z1355" t="s">
        <v>24562</v>
      </c>
      <c r="AA1355">
        <v>0.40762786316219812</v>
      </c>
      <c r="AB1355" t="str">
        <f>HYPERLINK("Melting_Curves/meltCurve_O43301_HSPA12A.pdf", "Melting_Curves/meltCurve_O43301_HSPA12A.pdf")</f>
        <v>Melting_Curves/meltCurve_O43301_HSPA12A.pdf</v>
      </c>
    </row>
    <row r="1356" spans="1:28" x14ac:dyDescent="0.25">
      <c r="A1356" t="s">
        <v>1360</v>
      </c>
      <c r="B1356">
        <v>0.99334974765950101</v>
      </c>
      <c r="C1356">
        <v>0.99348776166084096</v>
      </c>
      <c r="D1356">
        <v>0.930778053839599</v>
      </c>
      <c r="E1356">
        <v>0.81855353065368197</v>
      </c>
      <c r="F1356">
        <v>0.91796004283494004</v>
      </c>
      <c r="G1356">
        <v>0.51395177031226602</v>
      </c>
      <c r="H1356">
        <v>0.42012565329945101</v>
      </c>
      <c r="I1356">
        <v>0.41420622361426901</v>
      </c>
      <c r="J1356">
        <v>0.465488472315226</v>
      </c>
      <c r="K1356">
        <v>0.41493275243709798</v>
      </c>
      <c r="L1356">
        <v>1928.72833193049</v>
      </c>
      <c r="M1356">
        <v>35.206510856087398</v>
      </c>
      <c r="N1356">
        <v>57.805493195118999</v>
      </c>
      <c r="O1356">
        <v>54.607440235674098</v>
      </c>
      <c r="P1356">
        <v>-9.3380731135704595E-2</v>
      </c>
      <c r="Q1356">
        <v>0.42064523236782803</v>
      </c>
      <c r="R1356">
        <v>0.94021070475441604</v>
      </c>
      <c r="S1356" t="s">
        <v>7217</v>
      </c>
      <c r="T1356" t="s">
        <v>11720</v>
      </c>
      <c r="U1356" t="s">
        <v>11720</v>
      </c>
      <c r="V1356" t="s">
        <v>11720</v>
      </c>
      <c r="W1356" t="s">
        <v>13043</v>
      </c>
      <c r="X1356">
        <v>2</v>
      </c>
      <c r="Y1356" t="s">
        <v>18830</v>
      </c>
      <c r="Z1356" t="s">
        <v>24563</v>
      </c>
      <c r="AA1356">
        <v>0.70895248920702969</v>
      </c>
      <c r="AB1356" t="str">
        <f>HYPERLINK("Melting_Curves/meltCurve_O43310_CTIF.pdf", "Melting_Curves/meltCurve_O43310_CTIF.pdf")</f>
        <v>Melting_Curves/meltCurve_O43310_CTIF.pdf</v>
      </c>
    </row>
    <row r="1357" spans="1:28" x14ac:dyDescent="0.25">
      <c r="A1357" t="s">
        <v>1361</v>
      </c>
      <c r="B1357">
        <v>0.99334974765950101</v>
      </c>
      <c r="C1357">
        <v>0.95269863410198596</v>
      </c>
      <c r="D1357">
        <v>0.80722742677709203</v>
      </c>
      <c r="E1357">
        <v>0.72940509027588596</v>
      </c>
      <c r="F1357">
        <v>0.71325935642826599</v>
      </c>
      <c r="G1357">
        <v>0.349881816049601</v>
      </c>
      <c r="H1357">
        <v>0.28533675823658</v>
      </c>
      <c r="I1357">
        <v>0.28124916461262101</v>
      </c>
      <c r="J1357">
        <v>0.32170768994578203</v>
      </c>
      <c r="K1357">
        <v>0.25273990567146598</v>
      </c>
      <c r="L1357">
        <v>640.47837319392397</v>
      </c>
      <c r="M1357">
        <v>12.153806331533501</v>
      </c>
      <c r="N1357">
        <v>55.151072247131403</v>
      </c>
      <c r="O1357">
        <v>51.331979917422998</v>
      </c>
      <c r="P1357">
        <v>-4.6842731396814302E-2</v>
      </c>
      <c r="Q1357">
        <v>0.20881459853763901</v>
      </c>
      <c r="R1357">
        <v>0.95718469979272602</v>
      </c>
      <c r="S1357" t="s">
        <v>7218</v>
      </c>
      <c r="T1357" t="s">
        <v>11720</v>
      </c>
      <c r="U1357" t="s">
        <v>11720</v>
      </c>
      <c r="V1357" t="s">
        <v>11720</v>
      </c>
      <c r="W1357" t="s">
        <v>13044</v>
      </c>
      <c r="X1357">
        <v>10</v>
      </c>
      <c r="Y1357" t="s">
        <v>18831</v>
      </c>
      <c r="Z1357" t="s">
        <v>24564</v>
      </c>
      <c r="AA1357">
        <v>0.56639839006200354</v>
      </c>
      <c r="AB1357" t="str">
        <f>HYPERLINK("Melting_Curves/meltCurve_O43314_2_PPIP5K2.pdf", "Melting_Curves/meltCurve_O43314_2_PPIP5K2.pdf")</f>
        <v>Melting_Curves/meltCurve_O43314_2_PPIP5K2.pdf</v>
      </c>
    </row>
    <row r="1358" spans="1:28" x14ac:dyDescent="0.25">
      <c r="A1358" t="s">
        <v>1362</v>
      </c>
      <c r="B1358">
        <v>0.99334974765950101</v>
      </c>
      <c r="C1358">
        <v>0.95150134904871297</v>
      </c>
      <c r="D1358">
        <v>0.81800184231574502</v>
      </c>
      <c r="E1358">
        <v>0.34482645528897399</v>
      </c>
      <c r="F1358">
        <v>0.18220204581198099</v>
      </c>
      <c r="G1358">
        <v>9.8177568178812402E-2</v>
      </c>
      <c r="H1358">
        <v>7.4972448542501902E-2</v>
      </c>
      <c r="I1358">
        <v>5.9896773106830302E-2</v>
      </c>
      <c r="J1358">
        <v>7.0216208306558794E-2</v>
      </c>
      <c r="K1358">
        <v>4.6804131453015298E-2</v>
      </c>
      <c r="L1358">
        <v>1201.3146661425101</v>
      </c>
      <c r="M1358">
        <v>24.7888412485941</v>
      </c>
      <c r="N1358">
        <v>48.734969493583698</v>
      </c>
      <c r="O1358">
        <v>48.149830588321599</v>
      </c>
      <c r="P1358">
        <v>-0.120363416659719</v>
      </c>
      <c r="Q1358">
        <v>6.4837690223727207E-2</v>
      </c>
      <c r="R1358">
        <v>0.99892712008897599</v>
      </c>
      <c r="S1358" t="s">
        <v>7219</v>
      </c>
      <c r="T1358" t="s">
        <v>11720</v>
      </c>
      <c r="U1358" t="s">
        <v>11720</v>
      </c>
      <c r="V1358" t="s">
        <v>11720</v>
      </c>
      <c r="W1358" t="s">
        <v>13045</v>
      </c>
      <c r="X1358">
        <v>10</v>
      </c>
      <c r="Y1358" t="s">
        <v>18832</v>
      </c>
      <c r="Z1358" t="s">
        <v>24565</v>
      </c>
      <c r="AA1358">
        <v>0.33702753410669511</v>
      </c>
      <c r="AB1358" t="str">
        <f>HYPERLINK("Melting_Curves/meltCurve_O43318_2_MAP3K7.pdf", "Melting_Curves/meltCurve_O43318_2_MAP3K7.pdf")</f>
        <v>Melting_Curves/meltCurve_O43318_2_MAP3K7.pdf</v>
      </c>
    </row>
    <row r="1359" spans="1:28" x14ac:dyDescent="0.25">
      <c r="A1359" t="s">
        <v>1363</v>
      </c>
      <c r="B1359">
        <v>0.99334974765950101</v>
      </c>
      <c r="C1359">
        <v>0.93384111238755196</v>
      </c>
      <c r="D1359">
        <v>0.82208638028576198</v>
      </c>
      <c r="E1359">
        <v>0.69879331853498095</v>
      </c>
      <c r="F1359">
        <v>0.437026723570687</v>
      </c>
      <c r="G1359">
        <v>0.19256031238760701</v>
      </c>
      <c r="H1359">
        <v>0.14666845993511701</v>
      </c>
      <c r="I1359">
        <v>0.110787032457592</v>
      </c>
      <c r="J1359">
        <v>0.10744448025466199</v>
      </c>
      <c r="K1359">
        <v>8.8338051949315904E-2</v>
      </c>
      <c r="L1359">
        <v>794.29871064111001</v>
      </c>
      <c r="M1359">
        <v>15.407769745347199</v>
      </c>
      <c r="N1359">
        <v>52.027908217897902</v>
      </c>
      <c r="O1359">
        <v>50.706868523964602</v>
      </c>
      <c r="P1359">
        <v>-7.0976689399379206E-2</v>
      </c>
      <c r="Q1359">
        <v>6.5750057522711597E-2</v>
      </c>
      <c r="R1359">
        <v>0.992704127342521</v>
      </c>
      <c r="S1359" t="s">
        <v>7220</v>
      </c>
      <c r="T1359" t="s">
        <v>11720</v>
      </c>
      <c r="U1359" t="s">
        <v>11720</v>
      </c>
      <c r="V1359" t="s">
        <v>11720</v>
      </c>
      <c r="W1359" t="s">
        <v>13046</v>
      </c>
      <c r="X1359">
        <v>9</v>
      </c>
      <c r="Y1359" t="s">
        <v>18833</v>
      </c>
      <c r="Z1359" t="s">
        <v>24566</v>
      </c>
      <c r="AA1359">
        <v>0.44580913611538692</v>
      </c>
      <c r="AB1359" t="str">
        <f>HYPERLINK("Melting_Curves/meltCurve_O43325_LYRM1.pdf", "Melting_Curves/meltCurve_O43325_LYRM1.pdf")</f>
        <v>Melting_Curves/meltCurve_O43325_LYRM1.pdf</v>
      </c>
    </row>
    <row r="1360" spans="1:28" x14ac:dyDescent="0.25">
      <c r="A1360" t="s">
        <v>1364</v>
      </c>
      <c r="B1360">
        <v>0.99334974765950101</v>
      </c>
      <c r="C1360">
        <v>0.96990528864542103</v>
      </c>
      <c r="D1360">
        <v>0.95934192894288095</v>
      </c>
      <c r="E1360">
        <v>0.81418119998868299</v>
      </c>
      <c r="F1360">
        <v>0.65456403282243503</v>
      </c>
      <c r="G1360">
        <v>0.46801995181123601</v>
      </c>
      <c r="H1360">
        <v>0.37034738499230302</v>
      </c>
      <c r="I1360">
        <v>0.34571119366015302</v>
      </c>
      <c r="J1360">
        <v>0.227500582453911</v>
      </c>
      <c r="K1360">
        <v>0.15302017678874699</v>
      </c>
      <c r="L1360">
        <v>618.55749854369606</v>
      </c>
      <c r="M1360">
        <v>11.103641670619499</v>
      </c>
      <c r="N1360">
        <v>57.002476651471099</v>
      </c>
      <c r="O1360">
        <v>53.992288094259102</v>
      </c>
      <c r="P1360">
        <v>-4.5697147905326002E-2</v>
      </c>
      <c r="Q1360">
        <v>0.111465938830469</v>
      </c>
      <c r="R1360">
        <v>0.99033409750370105</v>
      </c>
      <c r="S1360" t="s">
        <v>7221</v>
      </c>
      <c r="T1360" t="s">
        <v>11720</v>
      </c>
      <c r="U1360" t="s">
        <v>11720</v>
      </c>
      <c r="V1360" t="s">
        <v>11720</v>
      </c>
      <c r="W1360" t="s">
        <v>13047</v>
      </c>
      <c r="X1360">
        <v>14</v>
      </c>
      <c r="Y1360" t="s">
        <v>18834</v>
      </c>
      <c r="Z1360" t="s">
        <v>24567</v>
      </c>
      <c r="AA1360">
        <v>0.59625344223555732</v>
      </c>
      <c r="AB1360" t="str">
        <f>HYPERLINK("Melting_Curves/meltCurve_O43353_RIPK2.pdf", "Melting_Curves/meltCurve_O43353_RIPK2.pdf")</f>
        <v>Melting_Curves/meltCurve_O43353_RIPK2.pdf</v>
      </c>
    </row>
    <row r="1361" spans="1:28" x14ac:dyDescent="0.25">
      <c r="A1361" t="s">
        <v>1365</v>
      </c>
      <c r="B1361">
        <v>0.99334974765950101</v>
      </c>
      <c r="C1361">
        <v>0.95188755836348504</v>
      </c>
      <c r="D1361">
        <v>0.87838379921587395</v>
      </c>
      <c r="E1361">
        <v>0.69170828884683999</v>
      </c>
      <c r="F1361">
        <v>0.75276719993081398</v>
      </c>
      <c r="G1361">
        <v>0.42886019660859198</v>
      </c>
      <c r="H1361">
        <v>0.33855391630687898</v>
      </c>
      <c r="I1361">
        <v>0.19152427647301801</v>
      </c>
      <c r="J1361">
        <v>0.29823348291351998</v>
      </c>
      <c r="K1361">
        <v>0.30565386225475999</v>
      </c>
      <c r="L1361">
        <v>648.87217950510501</v>
      </c>
      <c r="M1361">
        <v>12.121370849141201</v>
      </c>
      <c r="N1361">
        <v>55.908940976651401</v>
      </c>
      <c r="O1361">
        <v>52.136755299705499</v>
      </c>
      <c r="P1361">
        <v>-4.6427923091463603E-2</v>
      </c>
      <c r="Q1361">
        <v>0.20139719786344301</v>
      </c>
      <c r="R1361">
        <v>0.95260469792412605</v>
      </c>
      <c r="S1361" t="s">
        <v>7222</v>
      </c>
      <c r="T1361" t="s">
        <v>11720</v>
      </c>
      <c r="U1361" t="s">
        <v>11720</v>
      </c>
      <c r="V1361" t="s">
        <v>11720</v>
      </c>
      <c r="W1361" t="s">
        <v>13048</v>
      </c>
      <c r="X1361">
        <v>8</v>
      </c>
      <c r="Y1361" t="s">
        <v>18835</v>
      </c>
      <c r="Z1361" t="s">
        <v>24568</v>
      </c>
      <c r="AA1361">
        <v>0.58314242421622287</v>
      </c>
      <c r="AB1361" t="str">
        <f>HYPERLINK("Melting_Curves/meltCurve_O43395_PRPF3.pdf", "Melting_Curves/meltCurve_O43395_PRPF3.pdf")</f>
        <v>Melting_Curves/meltCurve_O43395_PRPF3.pdf</v>
      </c>
    </row>
    <row r="1362" spans="1:28" x14ac:dyDescent="0.25">
      <c r="A1362" t="s">
        <v>1366</v>
      </c>
      <c r="B1362">
        <v>0.99334974765950101</v>
      </c>
      <c r="C1362">
        <v>0.97589884178554498</v>
      </c>
      <c r="D1362">
        <v>0.76905325339753094</v>
      </c>
      <c r="E1362">
        <v>0.36639814609959898</v>
      </c>
      <c r="F1362">
        <v>0.20782061921505199</v>
      </c>
      <c r="G1362">
        <v>0.13244371516029699</v>
      </c>
      <c r="H1362">
        <v>0.11291940910536601</v>
      </c>
      <c r="I1362">
        <v>0.106677611480722</v>
      </c>
      <c r="J1362">
        <v>0.105739597734754</v>
      </c>
      <c r="K1362">
        <v>8.8455746626461801E-2</v>
      </c>
      <c r="L1362">
        <v>1128.87594210572</v>
      </c>
      <c r="M1362">
        <v>23.4361064354378</v>
      </c>
      <c r="N1362">
        <v>48.649400888511401</v>
      </c>
      <c r="O1362">
        <v>47.821646919203801</v>
      </c>
      <c r="P1362">
        <v>-0.109846315685297</v>
      </c>
      <c r="Q1362">
        <v>0.10344489785759201</v>
      </c>
      <c r="R1362">
        <v>0.99920434854126805</v>
      </c>
      <c r="S1362" t="s">
        <v>7223</v>
      </c>
      <c r="T1362" t="s">
        <v>11720</v>
      </c>
      <c r="U1362" t="s">
        <v>11720</v>
      </c>
      <c r="V1362" t="s">
        <v>11720</v>
      </c>
      <c r="W1362" t="s">
        <v>13049</v>
      </c>
      <c r="X1362">
        <v>14</v>
      </c>
      <c r="Y1362" t="s">
        <v>18836</v>
      </c>
      <c r="Z1362" t="s">
        <v>24569</v>
      </c>
      <c r="AA1362">
        <v>0.35663630883086289</v>
      </c>
      <c r="AB1362" t="str">
        <f>HYPERLINK("Melting_Curves/meltCurve_O43396_TXNL1.pdf", "Melting_Curves/meltCurve_O43396_TXNL1.pdf")</f>
        <v>Melting_Curves/meltCurve_O43396_TXNL1.pdf</v>
      </c>
    </row>
    <row r="1363" spans="1:28" x14ac:dyDescent="0.25">
      <c r="A1363" t="s">
        <v>1367</v>
      </c>
      <c r="B1363">
        <v>0.99334974765950101</v>
      </c>
      <c r="C1363">
        <v>1.0365211682978499</v>
      </c>
      <c r="D1363">
        <v>0.88145394585560799</v>
      </c>
      <c r="E1363">
        <v>0.91875995530379595</v>
      </c>
      <c r="F1363">
        <v>0.81252778991797403</v>
      </c>
      <c r="G1363">
        <v>0.74289454057179105</v>
      </c>
      <c r="H1363">
        <v>0.741969620813002</v>
      </c>
      <c r="I1363">
        <v>1.1306767717489501</v>
      </c>
      <c r="J1363">
        <v>0.96538984213104895</v>
      </c>
      <c r="K1363">
        <v>0.83699728426711095</v>
      </c>
      <c r="L1363">
        <v>11330.8210203936</v>
      </c>
      <c r="M1363">
        <v>250</v>
      </c>
      <c r="O1363">
        <v>45.320370441158097</v>
      </c>
      <c r="P1363">
        <v>-0.167613387628959</v>
      </c>
      <c r="Q1363">
        <v>0.87845915135167196</v>
      </c>
      <c r="R1363">
        <v>0.199388643412617</v>
      </c>
      <c r="S1363" t="s">
        <v>7224</v>
      </c>
      <c r="T1363" t="s">
        <v>11720</v>
      </c>
      <c r="U1363" t="s">
        <v>11720</v>
      </c>
      <c r="V1363" t="s">
        <v>11720</v>
      </c>
      <c r="W1363" t="s">
        <v>13050</v>
      </c>
      <c r="X1363">
        <v>24</v>
      </c>
      <c r="Y1363" t="s">
        <v>18837</v>
      </c>
      <c r="Z1363" t="s">
        <v>24570</v>
      </c>
      <c r="AA1363">
        <v>0.90003536774132309</v>
      </c>
      <c r="AB1363" t="str">
        <f>HYPERLINK("Melting_Curves/meltCurve_O43399_TPD52L2.pdf", "Melting_Curves/meltCurve_O43399_TPD52L2.pdf")</f>
        <v>Melting_Curves/meltCurve_O43399_TPD52L2.pdf</v>
      </c>
    </row>
    <row r="1364" spans="1:28" x14ac:dyDescent="0.25">
      <c r="A1364" t="s">
        <v>1368</v>
      </c>
      <c r="B1364">
        <v>0.99334974765950101</v>
      </c>
      <c r="C1364">
        <v>1.0634558181550799</v>
      </c>
      <c r="D1364">
        <v>0.78045076205796005</v>
      </c>
      <c r="E1364">
        <v>0.65482178876956298</v>
      </c>
      <c r="F1364">
        <v>0.60603753115642001</v>
      </c>
      <c r="G1364">
        <v>0.32470395189962897</v>
      </c>
      <c r="H1364">
        <v>0.32748727919639498</v>
      </c>
      <c r="I1364">
        <v>0.225271985872563</v>
      </c>
      <c r="J1364">
        <v>0.30588828848399002</v>
      </c>
      <c r="K1364">
        <v>0.21772950819095399</v>
      </c>
      <c r="L1364">
        <v>691.78139908917797</v>
      </c>
      <c r="M1364">
        <v>13.47206957077</v>
      </c>
      <c r="N1364">
        <v>53.632823541602697</v>
      </c>
      <c r="O1364">
        <v>50.257480486266701</v>
      </c>
      <c r="P1364">
        <v>-5.2396990693139502E-2</v>
      </c>
      <c r="Q1364">
        <v>0.21825309912955901</v>
      </c>
      <c r="R1364">
        <v>0.95966722418488004</v>
      </c>
      <c r="S1364" t="s">
        <v>7225</v>
      </c>
      <c r="T1364" t="s">
        <v>11720</v>
      </c>
      <c r="U1364" t="s">
        <v>11720</v>
      </c>
      <c r="V1364" t="s">
        <v>11720</v>
      </c>
      <c r="W1364" t="s">
        <v>13051</v>
      </c>
      <c r="X1364">
        <v>18</v>
      </c>
      <c r="Y1364" t="s">
        <v>18837</v>
      </c>
      <c r="Z1364" t="s">
        <v>24571</v>
      </c>
      <c r="AA1364">
        <v>0.53511178755641042</v>
      </c>
      <c r="AB1364" t="str">
        <f>HYPERLINK("Melting_Curves/meltCurve_O43399_2_TPD52L2.pdf", "Melting_Curves/meltCurve_O43399_2_TPD52L2.pdf")</f>
        <v>Melting_Curves/meltCurve_O43399_2_TPD52L2.pdf</v>
      </c>
    </row>
    <row r="1365" spans="1:28" x14ac:dyDescent="0.25">
      <c r="A1365" t="s">
        <v>1369</v>
      </c>
      <c r="B1365">
        <v>0.99334974765950101</v>
      </c>
      <c r="C1365">
        <v>0.96825568875492196</v>
      </c>
      <c r="D1365">
        <v>0.74918374929079401</v>
      </c>
      <c r="E1365">
        <v>1.0661201643251601</v>
      </c>
      <c r="F1365">
        <v>1.24989479743369</v>
      </c>
      <c r="G1365">
        <v>0.355798525226111</v>
      </c>
      <c r="H1365">
        <v>0.21060774461335499</v>
      </c>
      <c r="I1365">
        <v>0.17158700984456399</v>
      </c>
      <c r="J1365">
        <v>0.156395104981081</v>
      </c>
      <c r="K1365">
        <v>0.145536603203054</v>
      </c>
      <c r="L1365">
        <v>14178.811784789399</v>
      </c>
      <c r="M1365">
        <v>250</v>
      </c>
      <c r="N1365">
        <v>56.810377905728799</v>
      </c>
      <c r="O1365">
        <v>56.7116231040375</v>
      </c>
      <c r="P1365">
        <v>-0.91357868373906004</v>
      </c>
      <c r="Q1365">
        <v>0.17103159946122301</v>
      </c>
      <c r="R1365">
        <v>0.92387512808880101</v>
      </c>
      <c r="S1365" t="s">
        <v>7226</v>
      </c>
      <c r="T1365" t="s">
        <v>11720</v>
      </c>
      <c r="U1365" t="s">
        <v>11720</v>
      </c>
      <c r="V1365" t="s">
        <v>11720</v>
      </c>
      <c r="W1365" t="s">
        <v>13052</v>
      </c>
      <c r="X1365">
        <v>4</v>
      </c>
      <c r="Y1365" t="s">
        <v>18838</v>
      </c>
      <c r="Z1365" t="s">
        <v>24572</v>
      </c>
      <c r="AA1365">
        <v>0.6329944998323267</v>
      </c>
      <c r="AB1365" t="str">
        <f>HYPERLINK("Melting_Curves/meltCurve_O43402_EMC8.pdf", "Melting_Curves/meltCurve_O43402_EMC8.pdf")</f>
        <v>Melting_Curves/meltCurve_O43402_EMC8.pdf</v>
      </c>
    </row>
    <row r="1366" spans="1:28" x14ac:dyDescent="0.25">
      <c r="A1366" t="s">
        <v>1370</v>
      </c>
      <c r="B1366">
        <v>0.99334974765950101</v>
      </c>
      <c r="C1366">
        <v>0.91629819165430404</v>
      </c>
      <c r="D1366">
        <v>0.94856276864984801</v>
      </c>
      <c r="E1366">
        <v>0.85414682163923095</v>
      </c>
      <c r="F1366">
        <v>0.84572030204916504</v>
      </c>
      <c r="G1366">
        <v>0.50891110050687105</v>
      </c>
      <c r="H1366">
        <v>0.39250527108137501</v>
      </c>
      <c r="I1366">
        <v>0.32895527738784702</v>
      </c>
      <c r="J1366">
        <v>0.27702357237533598</v>
      </c>
      <c r="K1366">
        <v>0.126548735147828</v>
      </c>
      <c r="L1366">
        <v>634.69242960533199</v>
      </c>
      <c r="M1366">
        <v>10.8662969185219</v>
      </c>
      <c r="N1366">
        <v>58.782628708684499</v>
      </c>
      <c r="O1366">
        <v>56.535495468416201</v>
      </c>
      <c r="P1366">
        <v>-4.64649173872448E-2</v>
      </c>
      <c r="Q1366">
        <v>3.3345593873426303E-2</v>
      </c>
      <c r="R1366">
        <v>0.97646203554214905</v>
      </c>
      <c r="S1366" t="s">
        <v>7227</v>
      </c>
      <c r="T1366" t="s">
        <v>11720</v>
      </c>
      <c r="U1366" t="s">
        <v>11720</v>
      </c>
      <c r="V1366" t="s">
        <v>11720</v>
      </c>
      <c r="W1366" t="s">
        <v>13053</v>
      </c>
      <c r="X1366">
        <v>4</v>
      </c>
      <c r="Y1366" t="s">
        <v>18839</v>
      </c>
      <c r="Z1366" t="s">
        <v>24573</v>
      </c>
      <c r="AA1366">
        <v>0.63540903384993663</v>
      </c>
      <c r="AB1366" t="str">
        <f>HYPERLINK("Melting_Curves/meltCurve_O43464_3_HTRA2.pdf", "Melting_Curves/meltCurve_O43464_3_HTRA2.pdf")</f>
        <v>Melting_Curves/meltCurve_O43464_3_HTRA2.pdf</v>
      </c>
    </row>
    <row r="1367" spans="1:28" x14ac:dyDescent="0.25">
      <c r="A1367" t="s">
        <v>1371</v>
      </c>
      <c r="B1367">
        <v>0.99334974765950101</v>
      </c>
      <c r="C1367">
        <v>1.09646856790459</v>
      </c>
      <c r="D1367">
        <v>1.0532747333458301</v>
      </c>
      <c r="E1367">
        <v>0.95308472667340605</v>
      </c>
      <c r="F1367">
        <v>0.36587056350091501</v>
      </c>
      <c r="G1367">
        <v>0.15755081400438301</v>
      </c>
      <c r="H1367">
        <v>0.11572653490485101</v>
      </c>
      <c r="I1367">
        <v>0.100096117766307</v>
      </c>
      <c r="J1367">
        <v>9.8756959485699597E-2</v>
      </c>
      <c r="K1367">
        <v>7.5569502742299094E-2</v>
      </c>
      <c r="L1367">
        <v>3246.7730122726798</v>
      </c>
      <c r="M1367">
        <v>62.146704256011503</v>
      </c>
      <c r="N1367">
        <v>52.4494427979539</v>
      </c>
      <c r="O1367">
        <v>52.189688205057699</v>
      </c>
      <c r="P1367">
        <v>-0.26549334845731998</v>
      </c>
      <c r="Q1367">
        <v>0.108174350721224</v>
      </c>
      <c r="R1367">
        <v>0.99182737709484503</v>
      </c>
      <c r="S1367" t="s">
        <v>7228</v>
      </c>
      <c r="T1367" t="s">
        <v>11720</v>
      </c>
      <c r="U1367" t="s">
        <v>11720</v>
      </c>
      <c r="V1367" t="s">
        <v>11720</v>
      </c>
      <c r="W1367" t="s">
        <v>13054</v>
      </c>
      <c r="X1367">
        <v>16</v>
      </c>
      <c r="Y1367" t="s">
        <v>18840</v>
      </c>
      <c r="Z1367" t="s">
        <v>24574</v>
      </c>
      <c r="AA1367">
        <v>0.47347653237129939</v>
      </c>
      <c r="AB1367" t="str">
        <f>HYPERLINK("Melting_Curves/meltCurve_O43488_AKR7A2.pdf", "Melting_Curves/meltCurve_O43488_AKR7A2.pdf")</f>
        <v>Melting_Curves/meltCurve_O43488_AKR7A2.pdf</v>
      </c>
    </row>
    <row r="1368" spans="1:28" x14ac:dyDescent="0.25">
      <c r="A1368" t="s">
        <v>1372</v>
      </c>
      <c r="B1368">
        <v>0.99334974765950101</v>
      </c>
      <c r="C1368">
        <v>1.02623294124853</v>
      </c>
      <c r="D1368">
        <v>0.92545503088800996</v>
      </c>
      <c r="E1368">
        <v>0.84665197107916801</v>
      </c>
      <c r="F1368">
        <v>1.04061562077018</v>
      </c>
      <c r="G1368">
        <v>0.76259715412797102</v>
      </c>
      <c r="H1368">
        <v>0.89509259548337705</v>
      </c>
      <c r="I1368">
        <v>0.95635743343040702</v>
      </c>
      <c r="J1368">
        <v>1.36072463791966</v>
      </c>
      <c r="K1368">
        <v>0.93793207229145303</v>
      </c>
      <c r="L1368">
        <v>1118.33418277395</v>
      </c>
      <c r="M1368">
        <v>16.584756918118199</v>
      </c>
      <c r="O1368">
        <v>66.473945574249896</v>
      </c>
      <c r="P1368">
        <v>6.8813845465607497E-3</v>
      </c>
      <c r="Q1368">
        <v>1.1103185581904</v>
      </c>
      <c r="R1368">
        <v>1.9681767600574301E-2</v>
      </c>
      <c r="S1368" t="s">
        <v>7229</v>
      </c>
      <c r="T1368" t="s">
        <v>11720</v>
      </c>
      <c r="U1368" t="s">
        <v>11720</v>
      </c>
      <c r="V1368" t="s">
        <v>11720</v>
      </c>
      <c r="W1368" t="s">
        <v>13055</v>
      </c>
      <c r="X1368">
        <v>29</v>
      </c>
      <c r="Y1368" t="s">
        <v>18841</v>
      </c>
      <c r="Z1368" t="s">
        <v>24575</v>
      </c>
      <c r="AA1368">
        <v>1.0145561336645199</v>
      </c>
      <c r="AB1368" t="str">
        <f>HYPERLINK("Melting_Curves/meltCurve_O43493_2_TGOLN2.pdf", "Melting_Curves/meltCurve_O43493_2_TGOLN2.pdf")</f>
        <v>Melting_Curves/meltCurve_O43493_2_TGOLN2.pdf</v>
      </c>
    </row>
    <row r="1369" spans="1:28" x14ac:dyDescent="0.25">
      <c r="A1369" t="s">
        <v>1373</v>
      </c>
      <c r="B1369">
        <v>0.99334974765950101</v>
      </c>
      <c r="C1369">
        <v>0.97154868352620505</v>
      </c>
      <c r="D1369">
        <v>0.97669502537257902</v>
      </c>
      <c r="E1369">
        <v>0.95165397255244799</v>
      </c>
      <c r="F1369">
        <v>1.1768195417972001</v>
      </c>
      <c r="G1369">
        <v>0.96738163970716295</v>
      </c>
      <c r="H1369">
        <v>0.90028963945035301</v>
      </c>
      <c r="I1369">
        <v>1.1735437891650999</v>
      </c>
      <c r="J1369">
        <v>1.5024837191614899</v>
      </c>
      <c r="K1369">
        <v>1.19123265227707</v>
      </c>
      <c r="L1369">
        <v>15000</v>
      </c>
      <c r="M1369">
        <v>234.376482478192</v>
      </c>
      <c r="O1369">
        <v>63.9949377898444</v>
      </c>
      <c r="P1369">
        <v>0.31758422378859502</v>
      </c>
      <c r="Q1369">
        <v>1.3468570168435701</v>
      </c>
      <c r="R1369">
        <v>0.68557304419459897</v>
      </c>
      <c r="S1369" t="s">
        <v>7230</v>
      </c>
      <c r="T1369" t="s">
        <v>11720</v>
      </c>
      <c r="U1369" t="s">
        <v>11720</v>
      </c>
      <c r="V1369" t="s">
        <v>11720</v>
      </c>
      <c r="W1369" t="s">
        <v>13056</v>
      </c>
      <c r="X1369">
        <v>5</v>
      </c>
      <c r="Y1369" t="s">
        <v>18842</v>
      </c>
      <c r="Z1369" t="s">
        <v>24576</v>
      </c>
      <c r="AA1369">
        <v>1.069331757002653</v>
      </c>
      <c r="AB1369" t="str">
        <f>HYPERLINK("Melting_Curves/meltCurve_O43504_LAMTOR5.pdf", "Melting_Curves/meltCurve_O43504_LAMTOR5.pdf")</f>
        <v>Melting_Curves/meltCurve_O43504_LAMTOR5.pdf</v>
      </c>
    </row>
    <row r="1370" spans="1:28" x14ac:dyDescent="0.25">
      <c r="A1370" t="s">
        <v>1374</v>
      </c>
      <c r="B1370">
        <v>0.99334974765950101</v>
      </c>
      <c r="C1370">
        <v>1.11489639028245</v>
      </c>
      <c r="D1370">
        <v>1.13286161161395</v>
      </c>
      <c r="E1370">
        <v>0.90432987981357804</v>
      </c>
      <c r="F1370">
        <v>0.92868748025028502</v>
      </c>
      <c r="G1370">
        <v>0.24282958600257801</v>
      </c>
      <c r="H1370">
        <v>0.17230167153987</v>
      </c>
      <c r="I1370">
        <v>0.15166890077959999</v>
      </c>
      <c r="J1370">
        <v>0.208893496969076</v>
      </c>
      <c r="K1370">
        <v>0.15501134296427799</v>
      </c>
      <c r="L1370">
        <v>3500.6799844597099</v>
      </c>
      <c r="M1370">
        <v>63.7466154397247</v>
      </c>
      <c r="N1370">
        <v>55.279082670408897</v>
      </c>
      <c r="O1370">
        <v>54.861578054525999</v>
      </c>
      <c r="P1370">
        <v>-0.240751159790485</v>
      </c>
      <c r="Q1370">
        <v>0.17121976691698701</v>
      </c>
      <c r="R1370">
        <v>0.97632039488635403</v>
      </c>
      <c r="S1370" t="s">
        <v>7231</v>
      </c>
      <c r="T1370" t="s">
        <v>11720</v>
      </c>
      <c r="U1370" t="s">
        <v>11720</v>
      </c>
      <c r="V1370" t="s">
        <v>11720</v>
      </c>
      <c r="W1370" t="s">
        <v>13057</v>
      </c>
      <c r="X1370">
        <v>4</v>
      </c>
      <c r="Y1370" t="s">
        <v>18843</v>
      </c>
      <c r="Z1370" t="s">
        <v>24577</v>
      </c>
      <c r="AA1370">
        <v>0.5845090558189282</v>
      </c>
      <c r="AB1370" t="str">
        <f>HYPERLINK("Melting_Curves/meltCurve_O43505_B3GNT1.pdf", "Melting_Curves/meltCurve_O43505_B3GNT1.pdf")</f>
        <v>Melting_Curves/meltCurve_O43505_B3GNT1.pdf</v>
      </c>
    </row>
    <row r="1371" spans="1:28" x14ac:dyDescent="0.25">
      <c r="A1371" t="s">
        <v>1375</v>
      </c>
      <c r="B1371">
        <v>0.99334974765950101</v>
      </c>
      <c r="C1371">
        <v>0.99002639414785398</v>
      </c>
      <c r="D1371">
        <v>1.02098457775076</v>
      </c>
      <c r="E1371">
        <v>0.98302448945630705</v>
      </c>
      <c r="F1371">
        <v>1.0376245171583101</v>
      </c>
      <c r="G1371">
        <v>0.86063489160887796</v>
      </c>
      <c r="H1371">
        <v>0.78708298374937602</v>
      </c>
      <c r="I1371">
        <v>0.92253134944423099</v>
      </c>
      <c r="J1371">
        <v>0.99127049300306402</v>
      </c>
      <c r="K1371">
        <v>0.92628928409615596</v>
      </c>
      <c r="L1371">
        <v>4327.9959413012602</v>
      </c>
      <c r="M1371">
        <v>78.782106275365095</v>
      </c>
      <c r="O1371">
        <v>54.900908865809697</v>
      </c>
      <c r="P1371">
        <v>-3.68000366383276E-2</v>
      </c>
      <c r="Q1371">
        <v>0.89742059612140301</v>
      </c>
      <c r="R1371">
        <v>0.507875270743948</v>
      </c>
      <c r="S1371" t="s">
        <v>7232</v>
      </c>
      <c r="T1371" t="s">
        <v>11720</v>
      </c>
      <c r="U1371" t="s">
        <v>11720</v>
      </c>
      <c r="V1371" t="s">
        <v>11720</v>
      </c>
      <c r="W1371" t="s">
        <v>13058</v>
      </c>
      <c r="X1371">
        <v>11</v>
      </c>
      <c r="Y1371" t="s">
        <v>18844</v>
      </c>
      <c r="Z1371" t="s">
        <v>24578</v>
      </c>
      <c r="AA1371">
        <v>0.94859221440454888</v>
      </c>
      <c r="AB1371" t="str">
        <f>HYPERLINK("Melting_Curves/meltCurve_O43516_WIPF1.pdf", "Melting_Curves/meltCurve_O43516_WIPF1.pdf")</f>
        <v>Melting_Curves/meltCurve_O43516_WIPF1.pdf</v>
      </c>
    </row>
    <row r="1372" spans="1:28" x14ac:dyDescent="0.25">
      <c r="A1372" t="s">
        <v>1376</v>
      </c>
      <c r="B1372">
        <v>0.99334974765950101</v>
      </c>
      <c r="C1372">
        <v>0.95485248027066705</v>
      </c>
      <c r="D1372">
        <v>1.0302638721281601</v>
      </c>
      <c r="E1372">
        <v>1.2949262292894499</v>
      </c>
      <c r="F1372">
        <v>1.1834543050517401</v>
      </c>
      <c r="G1372">
        <v>1.1869909882595899</v>
      </c>
      <c r="H1372">
        <v>0.83266072875524699</v>
      </c>
      <c r="I1372">
        <v>0.46516127106483202</v>
      </c>
      <c r="J1372">
        <v>0.21543277726198901</v>
      </c>
      <c r="K1372">
        <v>0.161817517975578</v>
      </c>
      <c r="L1372">
        <v>2870.1083575206198</v>
      </c>
      <c r="M1372">
        <v>45.444505806966397</v>
      </c>
      <c r="N1372">
        <v>63.681916970383497</v>
      </c>
      <c r="O1372">
        <v>63.034402418676798</v>
      </c>
      <c r="P1372">
        <v>-0.152052059647863</v>
      </c>
      <c r="Q1372">
        <v>0.15637777872283601</v>
      </c>
      <c r="R1372">
        <v>0.89270491763722803</v>
      </c>
      <c r="S1372" t="s">
        <v>7233</v>
      </c>
      <c r="T1372" t="s">
        <v>11720</v>
      </c>
      <c r="U1372" t="s">
        <v>11720</v>
      </c>
      <c r="V1372" t="s">
        <v>11720</v>
      </c>
      <c r="W1372" t="s">
        <v>13059</v>
      </c>
      <c r="X1372">
        <v>12</v>
      </c>
      <c r="Y1372" t="s">
        <v>18845</v>
      </c>
      <c r="Z1372" t="s">
        <v>24579</v>
      </c>
      <c r="AA1372">
        <v>0.80980837468292155</v>
      </c>
      <c r="AB1372" t="str">
        <f>HYPERLINK("Melting_Curves/meltCurve_O43520_ATP8B1.pdf", "Melting_Curves/meltCurve_O43520_ATP8B1.pdf")</f>
        <v>Melting_Curves/meltCurve_O43520_ATP8B1.pdf</v>
      </c>
    </row>
    <row r="1373" spans="1:28" x14ac:dyDescent="0.25">
      <c r="A1373" t="s">
        <v>1377</v>
      </c>
      <c r="B1373">
        <v>0.99334974765950101</v>
      </c>
      <c r="C1373">
        <v>0.94753371764913596</v>
      </c>
      <c r="D1373">
        <v>0.76562037586036402</v>
      </c>
      <c r="E1373">
        <v>0.59592711838486201</v>
      </c>
      <c r="F1373">
        <v>0.45567142610203698</v>
      </c>
      <c r="G1373">
        <v>0.30117162401502101</v>
      </c>
      <c r="H1373">
        <v>0.25164925708761998</v>
      </c>
      <c r="I1373">
        <v>0.26750321374650199</v>
      </c>
      <c r="J1373">
        <v>0.32886247401786101</v>
      </c>
      <c r="K1373">
        <v>0.43550142548332299</v>
      </c>
      <c r="L1373">
        <v>859.68535099037899</v>
      </c>
      <c r="M1373">
        <v>17.753962049557199</v>
      </c>
      <c r="N1373">
        <v>51.193743332955499</v>
      </c>
      <c r="O1373">
        <v>47.820368788093603</v>
      </c>
      <c r="P1373">
        <v>-6.4159601057878698E-2</v>
      </c>
      <c r="Q1373">
        <v>0.30877942540568498</v>
      </c>
      <c r="R1373">
        <v>0.95724783745617603</v>
      </c>
      <c r="S1373" t="s">
        <v>7234</v>
      </c>
      <c r="T1373" t="s">
        <v>11720</v>
      </c>
      <c r="U1373" t="s">
        <v>11720</v>
      </c>
      <c r="V1373" t="s">
        <v>11720</v>
      </c>
      <c r="W1373" t="s">
        <v>13060</v>
      </c>
      <c r="X1373">
        <v>8</v>
      </c>
      <c r="Y1373" t="s">
        <v>18846</v>
      </c>
      <c r="Z1373" t="s">
        <v>24580</v>
      </c>
      <c r="AA1373">
        <v>0.51530106602995784</v>
      </c>
      <c r="AB1373" t="str">
        <f>HYPERLINK("Melting_Curves/meltCurve_O43524_FOXO3.pdf", "Melting_Curves/meltCurve_O43524_FOXO3.pdf")</f>
        <v>Melting_Curves/meltCurve_O43524_FOXO3.pdf</v>
      </c>
    </row>
    <row r="1374" spans="1:28" x14ac:dyDescent="0.25">
      <c r="A1374" t="s">
        <v>1378</v>
      </c>
      <c r="B1374">
        <v>0.99334974765950101</v>
      </c>
      <c r="C1374">
        <v>1.02643093989052</v>
      </c>
      <c r="D1374">
        <v>0.95745451330578502</v>
      </c>
      <c r="E1374">
        <v>0.89965272365543902</v>
      </c>
      <c r="F1374">
        <v>0.71666323496380901</v>
      </c>
      <c r="G1374">
        <v>0.63219367229754397</v>
      </c>
      <c r="H1374">
        <v>0.54817623331273502</v>
      </c>
      <c r="I1374">
        <v>0.56610187741637097</v>
      </c>
      <c r="J1374">
        <v>0.81806757659681495</v>
      </c>
      <c r="K1374">
        <v>1.0201585584800501</v>
      </c>
      <c r="L1374">
        <v>12529.976640053999</v>
      </c>
      <c r="M1374">
        <v>250</v>
      </c>
      <c r="O1374">
        <v>50.116698980555597</v>
      </c>
      <c r="P1374">
        <v>-0.35305913311963</v>
      </c>
      <c r="Q1374">
        <v>0.71689346623656103</v>
      </c>
      <c r="R1374">
        <v>0.49371713298306902</v>
      </c>
      <c r="S1374" t="s">
        <v>7235</v>
      </c>
      <c r="T1374" t="s">
        <v>11720</v>
      </c>
      <c r="U1374" t="s">
        <v>11720</v>
      </c>
      <c r="V1374" t="s">
        <v>11720</v>
      </c>
      <c r="W1374" t="s">
        <v>13061</v>
      </c>
      <c r="X1374">
        <v>2</v>
      </c>
      <c r="Y1374" t="s">
        <v>18847</v>
      </c>
      <c r="Z1374" t="s">
        <v>24581</v>
      </c>
      <c r="AA1374">
        <v>0.81241875713229639</v>
      </c>
      <c r="AB1374" t="str">
        <f>HYPERLINK("Melting_Curves/meltCurve_O43567_RNF13.pdf", "Melting_Curves/meltCurve_O43567_RNF13.pdf")</f>
        <v>Melting_Curves/meltCurve_O43567_RNF13.pdf</v>
      </c>
    </row>
    <row r="1375" spans="1:28" x14ac:dyDescent="0.25">
      <c r="A1375" t="s">
        <v>1379</v>
      </c>
      <c r="B1375">
        <v>0.99334974765950101</v>
      </c>
      <c r="C1375">
        <v>1.0176169409033</v>
      </c>
      <c r="D1375">
        <v>0.92936617423482204</v>
      </c>
      <c r="E1375">
        <v>0.818117877144933</v>
      </c>
      <c r="F1375">
        <v>0.93317264338031702</v>
      </c>
      <c r="G1375">
        <v>0.70603065668667597</v>
      </c>
      <c r="H1375">
        <v>0.59454434300755399</v>
      </c>
      <c r="I1375">
        <v>0.48398904410276899</v>
      </c>
      <c r="J1375">
        <v>0.372688274952656</v>
      </c>
      <c r="K1375">
        <v>0.25611675970721398</v>
      </c>
      <c r="L1375">
        <v>577.58723417457895</v>
      </c>
      <c r="M1375">
        <v>9.1539153375074491</v>
      </c>
      <c r="N1375">
        <v>63.097276787373197</v>
      </c>
      <c r="O1375">
        <v>60.304919358126199</v>
      </c>
      <c r="P1375">
        <v>-3.7974316192480997E-2</v>
      </c>
      <c r="Q1375">
        <v>0</v>
      </c>
      <c r="R1375">
        <v>0.96875628891249699</v>
      </c>
      <c r="S1375" t="s">
        <v>7236</v>
      </c>
      <c r="T1375" t="s">
        <v>11720</v>
      </c>
      <c r="U1375" t="s">
        <v>11720</v>
      </c>
      <c r="V1375" t="s">
        <v>11720</v>
      </c>
      <c r="W1375" t="s">
        <v>13062</v>
      </c>
      <c r="X1375">
        <v>14</v>
      </c>
      <c r="Y1375" t="s">
        <v>18848</v>
      </c>
      <c r="Z1375" t="s">
        <v>24582</v>
      </c>
      <c r="AA1375">
        <v>0.7310511204828144</v>
      </c>
      <c r="AB1375" t="str">
        <f>HYPERLINK("Melting_Curves/meltCurve_O43583_DENR.pdf", "Melting_Curves/meltCurve_O43583_DENR.pdf")</f>
        <v>Melting_Curves/meltCurve_O43583_DENR.pdf</v>
      </c>
    </row>
    <row r="1376" spans="1:28" x14ac:dyDescent="0.25">
      <c r="A1376" t="s">
        <v>1380</v>
      </c>
      <c r="B1376">
        <v>0.99334974765950101</v>
      </c>
      <c r="C1376">
        <v>1.0991119534212399</v>
      </c>
      <c r="D1376">
        <v>1.2015404045865801</v>
      </c>
      <c r="E1376">
        <v>0.67248269626809298</v>
      </c>
      <c r="F1376">
        <v>0.29032835788152001</v>
      </c>
      <c r="G1376">
        <v>0.20314422997352999</v>
      </c>
      <c r="H1376">
        <v>0.152108153478102</v>
      </c>
      <c r="I1376">
        <v>0.140195219936044</v>
      </c>
      <c r="J1376">
        <v>0.14647610659820201</v>
      </c>
      <c r="K1376">
        <v>0.106141516986844</v>
      </c>
      <c r="L1376">
        <v>2198.6016812462499</v>
      </c>
      <c r="M1376">
        <v>43.374648896389303</v>
      </c>
      <c r="N1376">
        <v>51.113904862645498</v>
      </c>
      <c r="O1376">
        <v>50.581241091489602</v>
      </c>
      <c r="P1376">
        <v>-0.181909515286342</v>
      </c>
      <c r="Q1376">
        <v>0.15146787759734301</v>
      </c>
      <c r="R1376">
        <v>0.96620637238498597</v>
      </c>
      <c r="S1376" t="s">
        <v>7237</v>
      </c>
      <c r="T1376" t="s">
        <v>11720</v>
      </c>
      <c r="U1376" t="s">
        <v>11720</v>
      </c>
      <c r="V1376" t="s">
        <v>11720</v>
      </c>
      <c r="W1376" t="s">
        <v>13063</v>
      </c>
      <c r="X1376">
        <v>9</v>
      </c>
      <c r="Y1376" t="s">
        <v>18849</v>
      </c>
      <c r="Z1376" t="s">
        <v>24583</v>
      </c>
      <c r="AA1376">
        <v>0.45631504633686509</v>
      </c>
      <c r="AB1376" t="str">
        <f>HYPERLINK("Melting_Curves/meltCurve_O43592_XPOT.pdf", "Melting_Curves/meltCurve_O43592_XPOT.pdf")</f>
        <v>Melting_Curves/meltCurve_O43592_XPOT.pdf</v>
      </c>
    </row>
    <row r="1377" spans="1:28" x14ac:dyDescent="0.25">
      <c r="A1377" t="s">
        <v>1381</v>
      </c>
      <c r="B1377">
        <v>0.99334974765950101</v>
      </c>
      <c r="C1377">
        <v>0.94239648926901898</v>
      </c>
      <c r="D1377">
        <v>0.87370068574829496</v>
      </c>
      <c r="E1377">
        <v>0.735875744868974</v>
      </c>
      <c r="F1377">
        <v>0.58792919144099998</v>
      </c>
      <c r="G1377">
        <v>0.47254026270837701</v>
      </c>
      <c r="H1377">
        <v>0.421167518133577</v>
      </c>
      <c r="I1377">
        <v>0.40894418039946201</v>
      </c>
      <c r="J1377">
        <v>0.18499767984929399</v>
      </c>
      <c r="K1377">
        <v>0.12094722791048999</v>
      </c>
      <c r="L1377">
        <v>441.88596878319998</v>
      </c>
      <c r="M1377">
        <v>7.7698885359658503</v>
      </c>
      <c r="N1377">
        <v>56.871596900712603</v>
      </c>
      <c r="O1377">
        <v>53.472949738808097</v>
      </c>
      <c r="P1377">
        <v>-3.6372063463909497E-2</v>
      </c>
      <c r="Q1377">
        <v>0</v>
      </c>
      <c r="R1377">
        <v>0.96829807347956798</v>
      </c>
      <c r="S1377" t="s">
        <v>7238</v>
      </c>
      <c r="T1377" t="s">
        <v>11720</v>
      </c>
      <c r="U1377" t="s">
        <v>11720</v>
      </c>
      <c r="V1377" t="s">
        <v>11720</v>
      </c>
      <c r="W1377" t="s">
        <v>13064</v>
      </c>
      <c r="X1377">
        <v>10</v>
      </c>
      <c r="Y1377" t="s">
        <v>18850</v>
      </c>
      <c r="Z1377" t="s">
        <v>24584</v>
      </c>
      <c r="AA1377">
        <v>0.57474735452644732</v>
      </c>
      <c r="AB1377" t="str">
        <f>HYPERLINK("Melting_Curves/meltCurve_O43598_DNPH1.pdf", "Melting_Curves/meltCurve_O43598_DNPH1.pdf")</f>
        <v>Melting_Curves/meltCurve_O43598_DNPH1.pdf</v>
      </c>
    </row>
    <row r="1378" spans="1:28" x14ac:dyDescent="0.25">
      <c r="A1378" t="s">
        <v>1382</v>
      </c>
      <c r="B1378">
        <v>0.99334974765950101</v>
      </c>
      <c r="C1378">
        <v>0.99400641598794304</v>
      </c>
      <c r="D1378">
        <v>0.853966249572783</v>
      </c>
      <c r="E1378">
        <v>0.61203997706739799</v>
      </c>
      <c r="F1378">
        <v>0.18125188542166601</v>
      </c>
      <c r="G1378">
        <v>0.116574015709313</v>
      </c>
      <c r="H1378">
        <v>9.2186104540397301E-2</v>
      </c>
      <c r="I1378">
        <v>8.1176676926260405E-2</v>
      </c>
      <c r="J1378">
        <v>7.5268921168504199E-2</v>
      </c>
      <c r="K1378">
        <v>6.3631273285986695E-2</v>
      </c>
      <c r="L1378">
        <v>1381.07533437129</v>
      </c>
      <c r="M1378">
        <v>27.536221234826598</v>
      </c>
      <c r="N1378">
        <v>50.435811075464002</v>
      </c>
      <c r="O1378">
        <v>49.892575708780598</v>
      </c>
      <c r="P1378">
        <v>-0.12816824117542899</v>
      </c>
      <c r="Q1378">
        <v>7.11019543297714E-2</v>
      </c>
      <c r="R1378">
        <v>0.99117962986991703</v>
      </c>
      <c r="S1378" t="s">
        <v>7239</v>
      </c>
      <c r="T1378" t="s">
        <v>11720</v>
      </c>
      <c r="U1378" t="s">
        <v>11720</v>
      </c>
      <c r="V1378" t="s">
        <v>11720</v>
      </c>
      <c r="W1378" t="s">
        <v>13065</v>
      </c>
      <c r="X1378">
        <v>28</v>
      </c>
      <c r="Y1378" t="s">
        <v>18851</v>
      </c>
      <c r="Z1378" t="s">
        <v>24585</v>
      </c>
      <c r="AA1378">
        <v>0.39237699309041202</v>
      </c>
      <c r="AB1378" t="str">
        <f>HYPERLINK("Melting_Curves/meltCurve_O43615_TIMM44.pdf", "Melting_Curves/meltCurve_O43615_TIMM44.pdf")</f>
        <v>Melting_Curves/meltCurve_O43615_TIMM44.pdf</v>
      </c>
    </row>
    <row r="1379" spans="1:28" x14ac:dyDescent="0.25">
      <c r="A1379" t="s">
        <v>1383</v>
      </c>
      <c r="B1379">
        <v>0.99334974765950101</v>
      </c>
      <c r="C1379">
        <v>1.1077987260223701</v>
      </c>
      <c r="D1379">
        <v>1.11074988144515</v>
      </c>
      <c r="E1379">
        <v>1.12464782450839</v>
      </c>
      <c r="F1379">
        <v>1.0235759025341</v>
      </c>
      <c r="G1379">
        <v>0.70565750913133896</v>
      </c>
      <c r="H1379">
        <v>0.44451295311505901</v>
      </c>
      <c r="I1379">
        <v>0.36421142669710399</v>
      </c>
      <c r="J1379">
        <v>0.33952797524648298</v>
      </c>
      <c r="K1379">
        <v>0.162393598622466</v>
      </c>
      <c r="L1379">
        <v>1524.23540214684</v>
      </c>
      <c r="M1379">
        <v>26.019334264190999</v>
      </c>
      <c r="N1379">
        <v>60.146420335577297</v>
      </c>
      <c r="O1379">
        <v>58.238150380550003</v>
      </c>
      <c r="P1379">
        <v>-8.4218592974908593E-2</v>
      </c>
      <c r="Q1379">
        <v>0.24599500411206601</v>
      </c>
      <c r="R1379">
        <v>0.95033969392176698</v>
      </c>
      <c r="S1379" t="s">
        <v>7240</v>
      </c>
      <c r="T1379" t="s">
        <v>11720</v>
      </c>
      <c r="U1379" t="s">
        <v>11720</v>
      </c>
      <c r="V1379" t="s">
        <v>11720</v>
      </c>
      <c r="W1379" t="s">
        <v>13066</v>
      </c>
      <c r="X1379">
        <v>8</v>
      </c>
      <c r="Y1379" t="s">
        <v>18852</v>
      </c>
      <c r="Z1379" t="s">
        <v>24586</v>
      </c>
      <c r="AA1379">
        <v>0.71903092051887085</v>
      </c>
      <c r="AB1379" t="str">
        <f>HYPERLINK("Melting_Curves/meltCurve_O43617_TRAPPC3.pdf", "Melting_Curves/meltCurve_O43617_TRAPPC3.pdf")</f>
        <v>Melting_Curves/meltCurve_O43617_TRAPPC3.pdf</v>
      </c>
    </row>
    <row r="1380" spans="1:28" x14ac:dyDescent="0.25">
      <c r="A1380" t="s">
        <v>1384</v>
      </c>
      <c r="B1380">
        <v>0.99334974765950101</v>
      </c>
      <c r="C1380">
        <v>1.04114423761778</v>
      </c>
      <c r="D1380">
        <v>0.80172570677080501</v>
      </c>
      <c r="E1380">
        <v>0.78309999348924597</v>
      </c>
      <c r="F1380">
        <v>0.59581904995527002</v>
      </c>
      <c r="G1380">
        <v>0.385173223305255</v>
      </c>
      <c r="H1380">
        <v>0.21508710813867299</v>
      </c>
      <c r="I1380">
        <v>0.16566898170195299</v>
      </c>
      <c r="J1380">
        <v>0.11618590495891699</v>
      </c>
      <c r="K1380">
        <v>8.1071268416940498E-2</v>
      </c>
      <c r="L1380">
        <v>637.37217010915299</v>
      </c>
      <c r="M1380">
        <v>11.6724024091186</v>
      </c>
      <c r="N1380">
        <v>54.688465101259403</v>
      </c>
      <c r="O1380">
        <v>53.076184642739399</v>
      </c>
      <c r="P1380">
        <v>-5.4509033614276801E-2</v>
      </c>
      <c r="Q1380">
        <v>8.8225853783116502E-3</v>
      </c>
      <c r="R1380">
        <v>0.98566241643565999</v>
      </c>
      <c r="S1380" t="s">
        <v>7241</v>
      </c>
      <c r="T1380" t="s">
        <v>11720</v>
      </c>
      <c r="U1380" t="s">
        <v>11720</v>
      </c>
      <c r="V1380" t="s">
        <v>11720</v>
      </c>
      <c r="W1380" t="s">
        <v>13067</v>
      </c>
      <c r="X1380">
        <v>11</v>
      </c>
      <c r="Y1380" t="s">
        <v>18853</v>
      </c>
      <c r="Z1380" t="s">
        <v>24587</v>
      </c>
      <c r="AA1380">
        <v>0.51621527992131067</v>
      </c>
      <c r="AB1380" t="str">
        <f>HYPERLINK("Melting_Curves/meltCurve_O43633_CHMP2A.pdf", "Melting_Curves/meltCurve_O43633_CHMP2A.pdf")</f>
        <v>Melting_Curves/meltCurve_O43633_CHMP2A.pdf</v>
      </c>
    </row>
    <row r="1381" spans="1:28" x14ac:dyDescent="0.25">
      <c r="A1381" t="s">
        <v>1385</v>
      </c>
      <c r="B1381">
        <v>0.99334974765950101</v>
      </c>
      <c r="C1381">
        <v>0.96450234234858101</v>
      </c>
      <c r="D1381">
        <v>0.770230513491173</v>
      </c>
      <c r="E1381">
        <v>0.32840884716355101</v>
      </c>
      <c r="F1381">
        <v>0.23744790461767301</v>
      </c>
      <c r="G1381">
        <v>0.16072080727381099</v>
      </c>
      <c r="H1381">
        <v>0.13039661272987199</v>
      </c>
      <c r="I1381">
        <v>0.126454616855429</v>
      </c>
      <c r="J1381">
        <v>0.115193852125392</v>
      </c>
      <c r="K1381">
        <v>8.3853822940780906E-2</v>
      </c>
      <c r="L1381">
        <v>1156.9383937519201</v>
      </c>
      <c r="M1381">
        <v>24.147289093596498</v>
      </c>
      <c r="N1381">
        <v>48.468807987909202</v>
      </c>
      <c r="O1381">
        <v>47.586774375728197</v>
      </c>
      <c r="P1381">
        <v>-0.11148897900041201</v>
      </c>
      <c r="Q1381">
        <v>0.121173731952643</v>
      </c>
      <c r="R1381">
        <v>0.99644432535452299</v>
      </c>
      <c r="S1381" t="s">
        <v>7242</v>
      </c>
      <c r="T1381" t="s">
        <v>11720</v>
      </c>
      <c r="U1381" t="s">
        <v>11720</v>
      </c>
      <c r="V1381" t="s">
        <v>11720</v>
      </c>
      <c r="W1381" t="s">
        <v>13068</v>
      </c>
      <c r="X1381">
        <v>5</v>
      </c>
      <c r="Y1381" t="s">
        <v>18854</v>
      </c>
      <c r="Z1381" t="s">
        <v>24588</v>
      </c>
      <c r="AA1381">
        <v>0.36130794052593701</v>
      </c>
      <c r="AB1381" t="str">
        <f>HYPERLINK("Melting_Curves/meltCurve_O43639_NCK2.pdf", "Melting_Curves/meltCurve_O43639_NCK2.pdf")</f>
        <v>Melting_Curves/meltCurve_O43639_NCK2.pdf</v>
      </c>
    </row>
    <row r="1382" spans="1:28" x14ac:dyDescent="0.25">
      <c r="A1382" t="s">
        <v>1386</v>
      </c>
      <c r="B1382">
        <v>0.99334974765950101</v>
      </c>
      <c r="C1382">
        <v>0.93401659716729901</v>
      </c>
      <c r="D1382">
        <v>0.83331421760873803</v>
      </c>
      <c r="E1382">
        <v>0.83700304534945102</v>
      </c>
      <c r="F1382">
        <v>1.0146515882029801</v>
      </c>
      <c r="G1382">
        <v>0.76375574688826497</v>
      </c>
      <c r="H1382">
        <v>0.815739426627618</v>
      </c>
      <c r="I1382">
        <v>1.26309474898215</v>
      </c>
      <c r="J1382">
        <v>1.1344350263776</v>
      </c>
      <c r="K1382">
        <v>0.79944380661729997</v>
      </c>
      <c r="L1382">
        <v>15000</v>
      </c>
      <c r="M1382">
        <v>212.90280319143301</v>
      </c>
      <c r="Q1382">
        <v>0</v>
      </c>
      <c r="R1382">
        <v>1.1981143529659601E-2</v>
      </c>
      <c r="S1382" t="s">
        <v>7243</v>
      </c>
      <c r="T1382" t="s">
        <v>11720</v>
      </c>
      <c r="U1382" t="s">
        <v>11720</v>
      </c>
      <c r="V1382" t="s">
        <v>11720</v>
      </c>
      <c r="W1382" t="s">
        <v>13069</v>
      </c>
      <c r="X1382">
        <v>6</v>
      </c>
      <c r="Y1382" t="s">
        <v>18855</v>
      </c>
      <c r="Z1382" t="s">
        <v>24589</v>
      </c>
      <c r="AA1382">
        <v>0.99758654792520729</v>
      </c>
      <c r="AB1382" t="str">
        <f>HYPERLINK("Melting_Curves/meltCurve_O43657_TSPAN6.pdf", "Melting_Curves/meltCurve_O43657_TSPAN6.pdf")</f>
        <v>Melting_Curves/meltCurve_O43657_TSPAN6.pdf</v>
      </c>
    </row>
    <row r="1383" spans="1:28" x14ac:dyDescent="0.25">
      <c r="A1383" t="s">
        <v>1387</v>
      </c>
      <c r="B1383">
        <v>0.99334974765950101</v>
      </c>
      <c r="C1383">
        <v>0.96116518339683499</v>
      </c>
      <c r="D1383">
        <v>0.91417115154344997</v>
      </c>
      <c r="E1383">
        <v>0.71954070953485605</v>
      </c>
      <c r="F1383">
        <v>0.47192244795279897</v>
      </c>
      <c r="G1383">
        <v>0.246435354312634</v>
      </c>
      <c r="H1383">
        <v>0.18785813648108801</v>
      </c>
      <c r="I1383">
        <v>0.171065753228966</v>
      </c>
      <c r="J1383">
        <v>0.220015252191156</v>
      </c>
      <c r="K1383">
        <v>0.15238764404057101</v>
      </c>
      <c r="L1383">
        <v>1059.4619125751999</v>
      </c>
      <c r="M1383">
        <v>20.5702948414419</v>
      </c>
      <c r="N1383">
        <v>52.531560626693903</v>
      </c>
      <c r="O1383">
        <v>51.025111296352698</v>
      </c>
      <c r="P1383">
        <v>-8.4100213157283804E-2</v>
      </c>
      <c r="Q1383">
        <v>0.165573889646453</v>
      </c>
      <c r="R1383">
        <v>0.996172051017576</v>
      </c>
      <c r="S1383" t="s">
        <v>7244</v>
      </c>
      <c r="T1383" t="s">
        <v>11720</v>
      </c>
      <c r="U1383" t="s">
        <v>11720</v>
      </c>
      <c r="V1383" t="s">
        <v>11720</v>
      </c>
      <c r="W1383" t="s">
        <v>13070</v>
      </c>
      <c r="X1383">
        <v>11</v>
      </c>
      <c r="Y1383" t="s">
        <v>18856</v>
      </c>
      <c r="Z1383" t="s">
        <v>24590</v>
      </c>
      <c r="AA1383">
        <v>0.49654529477236797</v>
      </c>
      <c r="AB1383" t="str">
        <f>HYPERLINK("Melting_Curves/meltCurve_O43665_2_RGS10.pdf", "Melting_Curves/meltCurve_O43665_2_RGS10.pdf")</f>
        <v>Melting_Curves/meltCurve_O43665_2_RGS10.pdf</v>
      </c>
    </row>
    <row r="1384" spans="1:28" x14ac:dyDescent="0.25">
      <c r="A1384" t="s">
        <v>1388</v>
      </c>
      <c r="B1384">
        <v>0.99334974765950101</v>
      </c>
      <c r="C1384">
        <v>1.1832002356402</v>
      </c>
      <c r="D1384">
        <v>1.5357142045374099</v>
      </c>
      <c r="E1384">
        <v>1.44668160821312</v>
      </c>
      <c r="F1384">
        <v>1.47629762450102</v>
      </c>
      <c r="G1384">
        <v>1.8726924730933801</v>
      </c>
      <c r="H1384">
        <v>2.94468770344425</v>
      </c>
      <c r="I1384">
        <v>4.52872009253384</v>
      </c>
      <c r="J1384">
        <v>3.46236026456693</v>
      </c>
      <c r="K1384">
        <v>2.58512769472568</v>
      </c>
      <c r="L1384">
        <v>10748.495904728899</v>
      </c>
      <c r="M1384">
        <v>250</v>
      </c>
      <c r="O1384">
        <v>42.991232275157699</v>
      </c>
      <c r="P1384">
        <v>0.72689240044243897</v>
      </c>
      <c r="Q1384">
        <v>1.5</v>
      </c>
      <c r="R1384">
        <v>-0.386826393872167</v>
      </c>
      <c r="S1384" t="s">
        <v>7245</v>
      </c>
      <c r="T1384" t="s">
        <v>11720</v>
      </c>
      <c r="U1384" t="s">
        <v>11720</v>
      </c>
      <c r="V1384" t="s">
        <v>11720</v>
      </c>
      <c r="W1384" t="s">
        <v>13071</v>
      </c>
      <c r="X1384">
        <v>3</v>
      </c>
      <c r="Y1384" t="s">
        <v>18857</v>
      </c>
      <c r="Z1384" t="s">
        <v>24591</v>
      </c>
      <c r="AA1384">
        <v>1.450062546113619</v>
      </c>
      <c r="AB1384" t="str">
        <f>HYPERLINK("Melting_Curves/meltCurve_O43676_NDUFB3.pdf", "Melting_Curves/meltCurve_O43676_NDUFB3.pdf")</f>
        <v>Melting_Curves/meltCurve_O43676_NDUFB3.pdf</v>
      </c>
    </row>
    <row r="1385" spans="1:28" x14ac:dyDescent="0.25">
      <c r="A1385" t="s">
        <v>1389</v>
      </c>
      <c r="B1385">
        <v>0.99334974765950101</v>
      </c>
      <c r="C1385">
        <v>0.928610926311634</v>
      </c>
      <c r="D1385">
        <v>0.83678598912189905</v>
      </c>
      <c r="E1385">
        <v>0.73851466533801902</v>
      </c>
      <c r="F1385">
        <v>0.54845563745329196</v>
      </c>
      <c r="G1385">
        <v>0.29578306072128802</v>
      </c>
      <c r="H1385">
        <v>0.1877741232772</v>
      </c>
      <c r="I1385">
        <v>0.16681894467560601</v>
      </c>
      <c r="J1385">
        <v>0.192234241603053</v>
      </c>
      <c r="K1385">
        <v>0.214817933169379</v>
      </c>
      <c r="L1385">
        <v>782.58262452401698</v>
      </c>
      <c r="M1385">
        <v>15.037515883009601</v>
      </c>
      <c r="N1385">
        <v>53.266889736754699</v>
      </c>
      <c r="O1385">
        <v>51.147685035724997</v>
      </c>
      <c r="P1385">
        <v>-6.2763399713331502E-2</v>
      </c>
      <c r="Q1385">
        <v>0.14616709412141801</v>
      </c>
      <c r="R1385">
        <v>0.98627371381599005</v>
      </c>
      <c r="S1385" t="s">
        <v>7246</v>
      </c>
      <c r="T1385" t="s">
        <v>11720</v>
      </c>
      <c r="U1385" t="s">
        <v>11720</v>
      </c>
      <c r="V1385" t="s">
        <v>11720</v>
      </c>
      <c r="W1385" t="s">
        <v>13072</v>
      </c>
      <c r="X1385">
        <v>4</v>
      </c>
      <c r="Y1385" t="s">
        <v>18858</v>
      </c>
      <c r="Z1385" t="s">
        <v>24592</v>
      </c>
      <c r="AA1385">
        <v>0.50788435150600419</v>
      </c>
      <c r="AB1385" t="str">
        <f>HYPERLINK("Melting_Curves/meltCurve_O43678_NDUFA2.pdf", "Melting_Curves/meltCurve_O43678_NDUFA2.pdf")</f>
        <v>Melting_Curves/meltCurve_O43678_NDUFA2.pdf</v>
      </c>
    </row>
    <row r="1386" spans="1:28" x14ac:dyDescent="0.25">
      <c r="A1386" t="s">
        <v>1390</v>
      </c>
      <c r="B1386">
        <v>0.99334974765950101</v>
      </c>
      <c r="C1386">
        <v>1.0163565441960001</v>
      </c>
      <c r="D1386">
        <v>1.05360884746283</v>
      </c>
      <c r="E1386">
        <v>0.93008974515069298</v>
      </c>
      <c r="F1386">
        <v>0.73155769909868495</v>
      </c>
      <c r="G1386">
        <v>0.47542248394553599</v>
      </c>
      <c r="H1386">
        <v>0.30940898416882201</v>
      </c>
      <c r="I1386">
        <v>0.162337755434694</v>
      </c>
      <c r="J1386">
        <v>9.7977447333758794E-2</v>
      </c>
      <c r="K1386">
        <v>8.3409387217946607E-2</v>
      </c>
      <c r="L1386">
        <v>943.94522730292101</v>
      </c>
      <c r="M1386">
        <v>16.6987402386338</v>
      </c>
      <c r="N1386">
        <v>56.879216257482</v>
      </c>
      <c r="O1386">
        <v>55.735919960001098</v>
      </c>
      <c r="P1386">
        <v>-7.1236044156133202E-2</v>
      </c>
      <c r="Q1386">
        <v>4.8995753606965398E-2</v>
      </c>
      <c r="R1386">
        <v>0.99300444022696299</v>
      </c>
      <c r="S1386" t="s">
        <v>7247</v>
      </c>
      <c r="T1386" t="s">
        <v>11720</v>
      </c>
      <c r="U1386" t="s">
        <v>11720</v>
      </c>
      <c r="V1386" t="s">
        <v>11720</v>
      </c>
      <c r="W1386" t="s">
        <v>13073</v>
      </c>
      <c r="X1386">
        <v>12</v>
      </c>
      <c r="Y1386" t="s">
        <v>18859</v>
      </c>
      <c r="Z1386" t="s">
        <v>24593</v>
      </c>
      <c r="AA1386">
        <v>0.58753895776300036</v>
      </c>
      <c r="AB1386" t="str">
        <f>HYPERLINK("Melting_Curves/meltCurve_O43681_ASNA1.pdf", "Melting_Curves/meltCurve_O43681_ASNA1.pdf")</f>
        <v>Melting_Curves/meltCurve_O43681_ASNA1.pdf</v>
      </c>
    </row>
    <row r="1387" spans="1:28" x14ac:dyDescent="0.25">
      <c r="A1387" t="s">
        <v>1391</v>
      </c>
      <c r="B1387">
        <v>0.99334974765950101</v>
      </c>
      <c r="C1387">
        <v>1.0081575150944899</v>
      </c>
      <c r="D1387">
        <v>0.95259274792161497</v>
      </c>
      <c r="E1387">
        <v>0.86936421663102204</v>
      </c>
      <c r="F1387">
        <v>0.520207172170709</v>
      </c>
      <c r="G1387">
        <v>0.223844051320157</v>
      </c>
      <c r="H1387">
        <v>9.3122147635909799E-2</v>
      </c>
      <c r="I1387">
        <v>7.1733489331720704E-2</v>
      </c>
      <c r="J1387">
        <v>6.4264983390107E-2</v>
      </c>
      <c r="K1387">
        <v>4.2576840083047199E-2</v>
      </c>
      <c r="L1387">
        <v>1323.8208827093499</v>
      </c>
      <c r="M1387">
        <v>24.899274801970801</v>
      </c>
      <c r="N1387">
        <v>53.418896233631699</v>
      </c>
      <c r="O1387">
        <v>52.827661630764098</v>
      </c>
      <c r="P1387">
        <v>-0.111308366313633</v>
      </c>
      <c r="Q1387">
        <v>5.5381264644306497E-2</v>
      </c>
      <c r="R1387">
        <v>0.99806668864797798</v>
      </c>
      <c r="S1387" t="s">
        <v>7248</v>
      </c>
      <c r="T1387" t="s">
        <v>11720</v>
      </c>
      <c r="U1387" t="s">
        <v>11720</v>
      </c>
      <c r="V1387" t="s">
        <v>11720</v>
      </c>
      <c r="W1387" t="s">
        <v>13074</v>
      </c>
      <c r="X1387">
        <v>16</v>
      </c>
      <c r="Y1387" t="s">
        <v>18860</v>
      </c>
      <c r="Z1387" t="s">
        <v>24594</v>
      </c>
      <c r="AA1387">
        <v>0.47874886818921081</v>
      </c>
      <c r="AB1387" t="str">
        <f>HYPERLINK("Melting_Curves/meltCurve_O43684_BUB3.pdf", "Melting_Curves/meltCurve_O43684_BUB3.pdf")</f>
        <v>Melting_Curves/meltCurve_O43684_BUB3.pdf</v>
      </c>
    </row>
    <row r="1388" spans="1:28" x14ac:dyDescent="0.25">
      <c r="A1388" t="s">
        <v>1392</v>
      </c>
      <c r="B1388">
        <v>0.99334974765950101</v>
      </c>
      <c r="C1388">
        <v>0.95986528465178</v>
      </c>
      <c r="D1388">
        <v>1.1448228529804401</v>
      </c>
      <c r="E1388">
        <v>1.0459640352870601</v>
      </c>
      <c r="F1388">
        <v>1.2723129278070999</v>
      </c>
      <c r="G1388">
        <v>1.2952812569554</v>
      </c>
      <c r="H1388">
        <v>0.57970552808782405</v>
      </c>
      <c r="I1388">
        <v>0.19277510781766599</v>
      </c>
      <c r="J1388">
        <v>0.155974490297661</v>
      </c>
      <c r="K1388">
        <v>0.12215617101244899</v>
      </c>
      <c r="L1388">
        <v>6751.50610478208</v>
      </c>
      <c r="M1388">
        <v>110.664498018747</v>
      </c>
      <c r="N1388">
        <v>61.214262908037298</v>
      </c>
      <c r="O1388">
        <v>60.9888650474537</v>
      </c>
      <c r="P1388">
        <v>-0.38324952449889499</v>
      </c>
      <c r="Q1388">
        <v>0.15514178149935001</v>
      </c>
      <c r="R1388">
        <v>0.90560516393460599</v>
      </c>
      <c r="S1388" t="s">
        <v>7249</v>
      </c>
      <c r="T1388" t="s">
        <v>11720</v>
      </c>
      <c r="U1388" t="s">
        <v>11720</v>
      </c>
      <c r="V1388" t="s">
        <v>11720</v>
      </c>
      <c r="W1388" t="s">
        <v>13075</v>
      </c>
      <c r="X1388">
        <v>76</v>
      </c>
      <c r="Y1388" t="s">
        <v>18861</v>
      </c>
      <c r="Z1388" t="s">
        <v>24595</v>
      </c>
      <c r="AA1388">
        <v>0.74725187550619032</v>
      </c>
      <c r="AB1388" t="str">
        <f>HYPERLINK("Melting_Curves/meltCurve_O43707_ACTN4.pdf", "Melting_Curves/meltCurve_O43707_ACTN4.pdf")</f>
        <v>Melting_Curves/meltCurve_O43707_ACTN4.pdf</v>
      </c>
    </row>
    <row r="1389" spans="1:28" x14ac:dyDescent="0.25">
      <c r="A1389" t="s">
        <v>1393</v>
      </c>
      <c r="B1389">
        <v>0.99334974765950101</v>
      </c>
      <c r="C1389">
        <v>1.1007747780963599</v>
      </c>
      <c r="D1389">
        <v>0.98009263184808304</v>
      </c>
      <c r="E1389">
        <v>0.83769413165525797</v>
      </c>
      <c r="F1389">
        <v>0.49918240725335999</v>
      </c>
      <c r="G1389">
        <v>0.26295142289286699</v>
      </c>
      <c r="H1389">
        <v>0.13981239207346699</v>
      </c>
      <c r="I1389">
        <v>7.5720490251018097E-2</v>
      </c>
      <c r="J1389">
        <v>5.4790425716972603E-2</v>
      </c>
      <c r="K1389">
        <v>4.0971148089896998E-2</v>
      </c>
      <c r="L1389">
        <v>1158.49478622379</v>
      </c>
      <c r="M1389">
        <v>21.793039385763102</v>
      </c>
      <c r="N1389">
        <v>53.454179657531697</v>
      </c>
      <c r="O1389">
        <v>52.717406684781402</v>
      </c>
      <c r="P1389">
        <v>-9.7490432755628798E-2</v>
      </c>
      <c r="Q1389">
        <v>5.6703639488548598E-2</v>
      </c>
      <c r="R1389">
        <v>0.99045860163663302</v>
      </c>
      <c r="S1389" t="s">
        <v>7250</v>
      </c>
      <c r="T1389" t="s">
        <v>11720</v>
      </c>
      <c r="U1389" t="s">
        <v>11720</v>
      </c>
      <c r="V1389" t="s">
        <v>11720</v>
      </c>
      <c r="W1389" t="s">
        <v>13076</v>
      </c>
      <c r="X1389">
        <v>3</v>
      </c>
      <c r="Y1389" t="s">
        <v>18862</v>
      </c>
      <c r="Z1389" t="s">
        <v>24596</v>
      </c>
      <c r="AA1389">
        <v>0.48162820994659089</v>
      </c>
      <c r="AB1389" t="str">
        <f>HYPERLINK("Melting_Curves/meltCurve_O43709_WBSCR22.pdf", "Melting_Curves/meltCurve_O43709_WBSCR22.pdf")</f>
        <v>Melting_Curves/meltCurve_O43709_WBSCR22.pdf</v>
      </c>
    </row>
    <row r="1390" spans="1:28" x14ac:dyDescent="0.25">
      <c r="A1390" t="s">
        <v>1394</v>
      </c>
      <c r="B1390">
        <v>0.99334974765950101</v>
      </c>
      <c r="C1390">
        <v>0.98300862895274499</v>
      </c>
      <c r="D1390">
        <v>0.88995568447485696</v>
      </c>
      <c r="E1390">
        <v>0.87600865915572002</v>
      </c>
      <c r="F1390">
        <v>0.91651212722898601</v>
      </c>
      <c r="G1390">
        <v>0.82432858289302102</v>
      </c>
      <c r="H1390">
        <v>0.85072122240674397</v>
      </c>
      <c r="I1390">
        <v>0.87150341145757004</v>
      </c>
      <c r="J1390">
        <v>1.0345992881111701</v>
      </c>
      <c r="K1390">
        <v>0.956547352180247</v>
      </c>
      <c r="L1390">
        <v>10791.7259832216</v>
      </c>
      <c r="M1390">
        <v>250</v>
      </c>
      <c r="O1390">
        <v>43.164135406073797</v>
      </c>
      <c r="P1390">
        <v>-0.141144318039193</v>
      </c>
      <c r="Q1390">
        <v>0.90252202694684502</v>
      </c>
      <c r="R1390">
        <v>0.27340099980232302</v>
      </c>
      <c r="S1390" t="s">
        <v>7251</v>
      </c>
      <c r="T1390" t="s">
        <v>11720</v>
      </c>
      <c r="U1390" t="s">
        <v>11720</v>
      </c>
      <c r="V1390" t="s">
        <v>11720</v>
      </c>
      <c r="W1390" t="s">
        <v>13077</v>
      </c>
      <c r="X1390">
        <v>7</v>
      </c>
      <c r="Y1390" t="s">
        <v>18863</v>
      </c>
      <c r="Z1390" t="s">
        <v>24597</v>
      </c>
      <c r="AA1390">
        <v>0.91281952415176371</v>
      </c>
      <c r="AB1390" t="str">
        <f>HYPERLINK("Melting_Curves/meltCurve_O43715_TRIAP1.pdf", "Melting_Curves/meltCurve_O43715_TRIAP1.pdf")</f>
        <v>Melting_Curves/meltCurve_O43715_TRIAP1.pdf</v>
      </c>
    </row>
    <row r="1391" spans="1:28" x14ac:dyDescent="0.25">
      <c r="A1391" t="s">
        <v>1395</v>
      </c>
      <c r="B1391">
        <v>0.99334974765950101</v>
      </c>
      <c r="C1391">
        <v>0.95375554895058201</v>
      </c>
      <c r="D1391">
        <v>0.80422684533231203</v>
      </c>
      <c r="E1391">
        <v>0.47838123047282399</v>
      </c>
      <c r="F1391">
        <v>0.34244381626607201</v>
      </c>
      <c r="G1391">
        <v>0.17558379605844099</v>
      </c>
      <c r="H1391">
        <v>0.17359412034498301</v>
      </c>
      <c r="I1391">
        <v>0.144532838612425</v>
      </c>
      <c r="J1391">
        <v>0.213230891101615</v>
      </c>
      <c r="K1391">
        <v>0.23264032215694999</v>
      </c>
      <c r="L1391">
        <v>1000.25020175655</v>
      </c>
      <c r="M1391">
        <v>20.544410018143299</v>
      </c>
      <c r="N1391">
        <v>49.773159705159102</v>
      </c>
      <c r="O1391">
        <v>48.232976304421399</v>
      </c>
      <c r="P1391">
        <v>-8.7254242318562103E-2</v>
      </c>
      <c r="Q1391">
        <v>0.18062231272010701</v>
      </c>
      <c r="R1391">
        <v>0.99166788161178798</v>
      </c>
      <c r="S1391" t="s">
        <v>7252</v>
      </c>
      <c r="T1391" t="s">
        <v>11720</v>
      </c>
      <c r="U1391" t="s">
        <v>11720</v>
      </c>
      <c r="V1391" t="s">
        <v>11720</v>
      </c>
      <c r="W1391" t="s">
        <v>13078</v>
      </c>
      <c r="X1391">
        <v>4</v>
      </c>
      <c r="Y1391" t="s">
        <v>18864</v>
      </c>
      <c r="Z1391" t="s">
        <v>24598</v>
      </c>
      <c r="AA1391">
        <v>0.42878821635203779</v>
      </c>
      <c r="AB1391" t="str">
        <f>HYPERLINK("Melting_Curves/meltCurve_O43719_HTATSF1.pdf", "Melting_Curves/meltCurve_O43719_HTATSF1.pdf")</f>
        <v>Melting_Curves/meltCurve_O43719_HTATSF1.pdf</v>
      </c>
    </row>
    <row r="1392" spans="1:28" x14ac:dyDescent="0.25">
      <c r="A1392" t="s">
        <v>1396</v>
      </c>
      <c r="B1392">
        <v>0.99334974765950101</v>
      </c>
      <c r="C1392">
        <v>0.942254534871654</v>
      </c>
      <c r="D1392">
        <v>0.83862392374302397</v>
      </c>
      <c r="E1392">
        <v>0.49165988325447502</v>
      </c>
      <c r="F1392">
        <v>0.212183956727758</v>
      </c>
      <c r="G1392">
        <v>0.15869081054624601</v>
      </c>
      <c r="H1392">
        <v>0.133739732499773</v>
      </c>
      <c r="I1392">
        <v>0.116994623025353</v>
      </c>
      <c r="J1392">
        <v>0.120900483399912</v>
      </c>
      <c r="K1392">
        <v>0.104933434565515</v>
      </c>
      <c r="L1392">
        <v>1125.5719914917099</v>
      </c>
      <c r="M1392">
        <v>22.925913532160202</v>
      </c>
      <c r="N1392">
        <v>49.6487982194121</v>
      </c>
      <c r="O1392">
        <v>48.727091299755003</v>
      </c>
      <c r="P1392">
        <v>-0.104377834817854</v>
      </c>
      <c r="Q1392">
        <v>0.11263179567951601</v>
      </c>
      <c r="R1392">
        <v>0.99739702967084898</v>
      </c>
      <c r="S1392" t="s">
        <v>7253</v>
      </c>
      <c r="T1392" t="s">
        <v>11720</v>
      </c>
      <c r="U1392" t="s">
        <v>11720</v>
      </c>
      <c r="V1392" t="s">
        <v>11720</v>
      </c>
      <c r="W1392" t="s">
        <v>13079</v>
      </c>
      <c r="X1392">
        <v>9</v>
      </c>
      <c r="Y1392" t="s">
        <v>18865</v>
      </c>
      <c r="Z1392" t="s">
        <v>24599</v>
      </c>
      <c r="AA1392">
        <v>0.39108367257462062</v>
      </c>
      <c r="AB1392" t="str">
        <f>HYPERLINK("Melting_Curves/meltCurve_O43739_2_CYTH3.pdf", "Melting_Curves/meltCurve_O43739_2_CYTH3.pdf")</f>
        <v>Melting_Curves/meltCurve_O43739_2_CYTH3.pdf</v>
      </c>
    </row>
    <row r="1393" spans="1:28" x14ac:dyDescent="0.25">
      <c r="A1393" t="s">
        <v>1397</v>
      </c>
      <c r="B1393">
        <v>0.99334974765950101</v>
      </c>
      <c r="C1393">
        <v>0.92024153147176602</v>
      </c>
      <c r="D1393">
        <v>0.84592889244054104</v>
      </c>
      <c r="E1393">
        <v>0.63149259964102999</v>
      </c>
      <c r="F1393">
        <v>0.53089514389192805</v>
      </c>
      <c r="G1393">
        <v>0.42432552329982898</v>
      </c>
      <c r="H1393">
        <v>0.35200710491674297</v>
      </c>
      <c r="I1393">
        <v>0.32860797375814799</v>
      </c>
      <c r="J1393">
        <v>0.31114614986501898</v>
      </c>
      <c r="K1393">
        <v>0.30756515027685</v>
      </c>
      <c r="L1393">
        <v>657.61287544276502</v>
      </c>
      <c r="M1393">
        <v>13.1200711591872</v>
      </c>
      <c r="N1393">
        <v>53.694449940419403</v>
      </c>
      <c r="O1393">
        <v>49.001127563757201</v>
      </c>
      <c r="P1393">
        <v>-4.7460109011288901E-2</v>
      </c>
      <c r="Q1393">
        <v>0.29110063955645299</v>
      </c>
      <c r="R1393">
        <v>0.99813020423536503</v>
      </c>
      <c r="S1393" t="s">
        <v>7254</v>
      </c>
      <c r="T1393" t="s">
        <v>11720</v>
      </c>
      <c r="U1393" t="s">
        <v>11720</v>
      </c>
      <c r="V1393" t="s">
        <v>11720</v>
      </c>
      <c r="W1393" t="s">
        <v>13080</v>
      </c>
      <c r="X1393">
        <v>9</v>
      </c>
      <c r="Y1393" t="s">
        <v>18866</v>
      </c>
      <c r="Z1393" t="s">
        <v>24600</v>
      </c>
      <c r="AA1393">
        <v>0.55143617132339251</v>
      </c>
      <c r="AB1393" t="str">
        <f>HYPERLINK("Melting_Curves/meltCurve_O43752_STX6.pdf", "Melting_Curves/meltCurve_O43752_STX6.pdf")</f>
        <v>Melting_Curves/meltCurve_O43752_STX6.pdf</v>
      </c>
    </row>
    <row r="1394" spans="1:28" x14ac:dyDescent="0.25">
      <c r="A1394" t="s">
        <v>1398</v>
      </c>
      <c r="B1394">
        <v>0.99334974765950101</v>
      </c>
      <c r="C1394">
        <v>0.910499921260432</v>
      </c>
      <c r="D1394">
        <v>0.89006286129703704</v>
      </c>
      <c r="E1394">
        <v>0.63134897111060595</v>
      </c>
      <c r="F1394">
        <v>0.59248579420914005</v>
      </c>
      <c r="G1394">
        <v>0.45973732876024198</v>
      </c>
      <c r="H1394">
        <v>0.39509886649097498</v>
      </c>
      <c r="I1394">
        <v>0.56927019830896497</v>
      </c>
      <c r="J1394">
        <v>0.51254108625446204</v>
      </c>
      <c r="K1394">
        <v>0.37916297048889702</v>
      </c>
      <c r="L1394">
        <v>870.36812749529599</v>
      </c>
      <c r="M1394">
        <v>17.905227157496999</v>
      </c>
      <c r="N1394">
        <v>56.115955525334797</v>
      </c>
      <c r="O1394">
        <v>48.015550047625801</v>
      </c>
      <c r="P1394">
        <v>-5.0865255910998802E-2</v>
      </c>
      <c r="Q1394">
        <v>0.45441625814854297</v>
      </c>
      <c r="R1394">
        <v>0.92740551210330002</v>
      </c>
      <c r="S1394" t="s">
        <v>7255</v>
      </c>
      <c r="T1394" t="s">
        <v>11720</v>
      </c>
      <c r="U1394" t="s">
        <v>11720</v>
      </c>
      <c r="V1394" t="s">
        <v>11720</v>
      </c>
      <c r="W1394" t="s">
        <v>13081</v>
      </c>
      <c r="X1394">
        <v>2</v>
      </c>
      <c r="Y1394" t="s">
        <v>18867</v>
      </c>
      <c r="Z1394" t="s">
        <v>24601</v>
      </c>
      <c r="AA1394">
        <v>0.6206227533931068</v>
      </c>
      <c r="AB1394" t="str">
        <f>HYPERLINK("Melting_Curves/meltCurve_O43760_SYNGR2.pdf", "Melting_Curves/meltCurve_O43760_SYNGR2.pdf")</f>
        <v>Melting_Curves/meltCurve_O43760_SYNGR2.pdf</v>
      </c>
    </row>
    <row r="1395" spans="1:28" x14ac:dyDescent="0.25">
      <c r="A1395" t="s">
        <v>1399</v>
      </c>
      <c r="B1395">
        <v>0.99334974765950101</v>
      </c>
      <c r="C1395">
        <v>0.99159911975423498</v>
      </c>
      <c r="D1395">
        <v>0.92504613719614603</v>
      </c>
      <c r="E1395">
        <v>0.80671104016294504</v>
      </c>
      <c r="F1395">
        <v>0.34539566757055301</v>
      </c>
      <c r="G1395">
        <v>0.16671337755451601</v>
      </c>
      <c r="H1395">
        <v>0.12934589666820401</v>
      </c>
      <c r="I1395">
        <v>0.13749864907961501</v>
      </c>
      <c r="J1395">
        <v>0.143150473392466</v>
      </c>
      <c r="K1395">
        <v>0.123847424677011</v>
      </c>
      <c r="L1395">
        <v>1997.88162272093</v>
      </c>
      <c r="M1395">
        <v>38.7797857849407</v>
      </c>
      <c r="N1395">
        <v>51.938787075066003</v>
      </c>
      <c r="O1395">
        <v>51.382225449654797</v>
      </c>
      <c r="P1395">
        <v>-0.163279212371335</v>
      </c>
      <c r="Q1395">
        <v>0.13463914982176001</v>
      </c>
      <c r="R1395">
        <v>0.99640613584264803</v>
      </c>
      <c r="S1395" t="s">
        <v>7256</v>
      </c>
      <c r="T1395" t="s">
        <v>11720</v>
      </c>
      <c r="U1395" t="s">
        <v>11720</v>
      </c>
      <c r="V1395" t="s">
        <v>11720</v>
      </c>
      <c r="W1395" t="s">
        <v>13082</v>
      </c>
      <c r="X1395">
        <v>16</v>
      </c>
      <c r="Y1395" t="s">
        <v>18868</v>
      </c>
      <c r="Z1395" t="s">
        <v>24602</v>
      </c>
      <c r="AA1395">
        <v>0.47017736969630108</v>
      </c>
      <c r="AB1395" t="str">
        <f>HYPERLINK("Melting_Curves/meltCurve_O43765_SGTA.pdf", "Melting_Curves/meltCurve_O43765_SGTA.pdf")</f>
        <v>Melting_Curves/meltCurve_O43765_SGTA.pdf</v>
      </c>
    </row>
    <row r="1396" spans="1:28" x14ac:dyDescent="0.25">
      <c r="A1396" t="s">
        <v>1400</v>
      </c>
      <c r="B1396">
        <v>0.99334974765950101</v>
      </c>
      <c r="C1396">
        <v>1.00798873932442</v>
      </c>
      <c r="D1396">
        <v>0.87912982630626102</v>
      </c>
      <c r="E1396">
        <v>0.90399338183085698</v>
      </c>
      <c r="F1396">
        <v>0.83777944721549102</v>
      </c>
      <c r="G1396">
        <v>0.76438764544883497</v>
      </c>
      <c r="H1396">
        <v>0.71969437033658201</v>
      </c>
      <c r="I1396">
        <v>0.89104445651039499</v>
      </c>
      <c r="J1396">
        <v>0.849405227609493</v>
      </c>
      <c r="K1396">
        <v>0.78902518379296704</v>
      </c>
      <c r="L1396">
        <v>846.06949811976494</v>
      </c>
      <c r="M1396">
        <v>17.8857642571413</v>
      </c>
      <c r="O1396">
        <v>46.7246228317671</v>
      </c>
      <c r="P1396">
        <v>-1.86287356667077E-2</v>
      </c>
      <c r="Q1396">
        <v>0.80534761357268803</v>
      </c>
      <c r="R1396">
        <v>0.674524531665459</v>
      </c>
      <c r="S1396" t="s">
        <v>7257</v>
      </c>
      <c r="T1396" t="s">
        <v>11720</v>
      </c>
      <c r="U1396" t="s">
        <v>11720</v>
      </c>
      <c r="V1396" t="s">
        <v>11720</v>
      </c>
      <c r="W1396" t="s">
        <v>13083</v>
      </c>
      <c r="X1396">
        <v>12</v>
      </c>
      <c r="Y1396" t="s">
        <v>18869</v>
      </c>
      <c r="Z1396" t="s">
        <v>24603</v>
      </c>
      <c r="AA1396">
        <v>0.85632983495354431</v>
      </c>
      <c r="AB1396" t="str">
        <f>HYPERLINK("Melting_Curves/meltCurve_O43768_2_ENSA.pdf", "Melting_Curves/meltCurve_O43768_2_ENSA.pdf")</f>
        <v>Melting_Curves/meltCurve_O43768_2_ENSA.pdf</v>
      </c>
    </row>
    <row r="1397" spans="1:28" x14ac:dyDescent="0.25">
      <c r="A1397" t="s">
        <v>1401</v>
      </c>
      <c r="B1397">
        <v>0.99334974765950101</v>
      </c>
      <c r="C1397">
        <v>0.82946643475626503</v>
      </c>
      <c r="D1397">
        <v>0.74559211877904796</v>
      </c>
      <c r="E1397">
        <v>0.90852632015388801</v>
      </c>
      <c r="F1397">
        <v>0.70227880344971105</v>
      </c>
      <c r="G1397">
        <v>0.73965797782214404</v>
      </c>
      <c r="H1397">
        <v>0.63271614188970104</v>
      </c>
      <c r="I1397">
        <v>0.28599388459131297</v>
      </c>
      <c r="J1397">
        <v>0.135519227085004</v>
      </c>
      <c r="K1397">
        <v>9.7770440087105295E-2</v>
      </c>
      <c r="L1397">
        <v>640.57395052312597</v>
      </c>
      <c r="M1397">
        <v>10.682304657832599</v>
      </c>
      <c r="N1397">
        <v>59.965900355998897</v>
      </c>
      <c r="O1397">
        <v>57.978978738704299</v>
      </c>
      <c r="P1397">
        <v>-4.6078506126501897E-2</v>
      </c>
      <c r="Q1397">
        <v>0</v>
      </c>
      <c r="R1397">
        <v>0.84194413213930697</v>
      </c>
      <c r="S1397" t="s">
        <v>7258</v>
      </c>
      <c r="T1397" t="s">
        <v>11720</v>
      </c>
      <c r="U1397" t="s">
        <v>11720</v>
      </c>
      <c r="V1397" t="s">
        <v>11720</v>
      </c>
      <c r="W1397" t="s">
        <v>13084</v>
      </c>
      <c r="X1397">
        <v>9</v>
      </c>
      <c r="Y1397" t="s">
        <v>18870</v>
      </c>
      <c r="Z1397" t="s">
        <v>24604</v>
      </c>
      <c r="AA1397">
        <v>0.66437211751318714</v>
      </c>
      <c r="AB1397" t="str">
        <f>HYPERLINK("Melting_Curves/meltCurve_O43772_SLC25A20.pdf", "Melting_Curves/meltCurve_O43772_SLC25A20.pdf")</f>
        <v>Melting_Curves/meltCurve_O43772_SLC25A20.pdf</v>
      </c>
    </row>
    <row r="1398" spans="1:28" x14ac:dyDescent="0.25">
      <c r="A1398" t="s">
        <v>1402</v>
      </c>
      <c r="B1398">
        <v>0.99334974765950101</v>
      </c>
      <c r="C1398">
        <v>1.0291690549927399</v>
      </c>
      <c r="D1398">
        <v>1.1741613116138101</v>
      </c>
      <c r="E1398">
        <v>1.27174016888427</v>
      </c>
      <c r="F1398">
        <v>0.57395569795518897</v>
      </c>
      <c r="G1398">
        <v>0.26124188819069399</v>
      </c>
      <c r="H1398">
        <v>0.192319551291846</v>
      </c>
      <c r="I1398">
        <v>0.175713085114238</v>
      </c>
      <c r="J1398">
        <v>0.18056478852352101</v>
      </c>
      <c r="K1398">
        <v>0.146026400946346</v>
      </c>
      <c r="L1398">
        <v>13244.325068088299</v>
      </c>
      <c r="M1398">
        <v>250</v>
      </c>
      <c r="N1398">
        <v>53.079601019474303</v>
      </c>
      <c r="O1398">
        <v>52.973919982279597</v>
      </c>
      <c r="P1398">
        <v>-0.95427504261436502</v>
      </c>
      <c r="Q1398">
        <v>0.19117311577538099</v>
      </c>
      <c r="R1398">
        <v>0.942769621233293</v>
      </c>
      <c r="S1398" t="s">
        <v>7259</v>
      </c>
      <c r="T1398" t="s">
        <v>11720</v>
      </c>
      <c r="U1398" t="s">
        <v>11720</v>
      </c>
      <c r="V1398" t="s">
        <v>11720</v>
      </c>
      <c r="W1398" t="s">
        <v>13085</v>
      </c>
      <c r="X1398">
        <v>18</v>
      </c>
      <c r="Y1398" t="s">
        <v>18871</v>
      </c>
      <c r="Z1398" t="s">
        <v>24605</v>
      </c>
      <c r="AA1398">
        <v>0.54112796075022729</v>
      </c>
      <c r="AB1398" t="str">
        <f>HYPERLINK("Melting_Curves/meltCurve_O43776_NARS.pdf", "Melting_Curves/meltCurve_O43776_NARS.pdf")</f>
        <v>Melting_Curves/meltCurve_O43776_NARS.pdf</v>
      </c>
    </row>
    <row r="1399" spans="1:28" x14ac:dyDescent="0.25">
      <c r="A1399" t="s">
        <v>1403</v>
      </c>
      <c r="B1399">
        <v>0.99334974765950101</v>
      </c>
      <c r="C1399">
        <v>1.06860710016075</v>
      </c>
      <c r="D1399">
        <v>0.93674111094750601</v>
      </c>
      <c r="E1399">
        <v>0.78666464986107798</v>
      </c>
      <c r="F1399">
        <v>0.58654401605720097</v>
      </c>
      <c r="G1399">
        <v>0.48347619874480302</v>
      </c>
      <c r="H1399">
        <v>0.38310311908212602</v>
      </c>
      <c r="I1399">
        <v>0.470010463585397</v>
      </c>
      <c r="J1399">
        <v>0.42757216522810598</v>
      </c>
      <c r="K1399">
        <v>0.39534960028645899</v>
      </c>
      <c r="L1399">
        <v>1199.1000799399301</v>
      </c>
      <c r="M1399">
        <v>23.468784926311301</v>
      </c>
      <c r="N1399">
        <v>55.341749167299099</v>
      </c>
      <c r="O1399">
        <v>50.726759715384297</v>
      </c>
      <c r="P1399">
        <v>-6.7376641384019303E-2</v>
      </c>
      <c r="Q1399">
        <v>0.41748317476596702</v>
      </c>
      <c r="R1399">
        <v>0.98185582261812698</v>
      </c>
      <c r="S1399" t="s">
        <v>7260</v>
      </c>
      <c r="T1399" t="s">
        <v>11720</v>
      </c>
      <c r="U1399" t="s">
        <v>11720</v>
      </c>
      <c r="V1399" t="s">
        <v>11720</v>
      </c>
      <c r="W1399" t="s">
        <v>13086</v>
      </c>
      <c r="X1399">
        <v>7</v>
      </c>
      <c r="Y1399" t="s">
        <v>18872</v>
      </c>
      <c r="Z1399" t="s">
        <v>24606</v>
      </c>
      <c r="AA1399">
        <v>0.63884626754704299</v>
      </c>
      <c r="AB1399" t="str">
        <f>HYPERLINK("Melting_Curves/meltCurve_O43805_SSNA1.pdf", "Melting_Curves/meltCurve_O43805_SSNA1.pdf")</f>
        <v>Melting_Curves/meltCurve_O43805_SSNA1.pdf</v>
      </c>
    </row>
    <row r="1400" spans="1:28" x14ac:dyDescent="0.25">
      <c r="A1400" t="s">
        <v>1404</v>
      </c>
      <c r="B1400">
        <v>0.99334974765950101</v>
      </c>
      <c r="C1400">
        <v>0.99014522798736904</v>
      </c>
      <c r="D1400">
        <v>0.97375057207626703</v>
      </c>
      <c r="E1400">
        <v>0.82659451138351503</v>
      </c>
      <c r="F1400">
        <v>0.66544023956307696</v>
      </c>
      <c r="G1400">
        <v>0.45093898996710402</v>
      </c>
      <c r="H1400">
        <v>0.21832457113952899</v>
      </c>
      <c r="I1400">
        <v>0.13913147397249701</v>
      </c>
      <c r="J1400">
        <v>0.14214314109744899</v>
      </c>
      <c r="K1400">
        <v>0.14139217484303099</v>
      </c>
      <c r="L1400">
        <v>879.54419346782799</v>
      </c>
      <c r="M1400">
        <v>16.0159183226945</v>
      </c>
      <c r="N1400">
        <v>55.586193926513097</v>
      </c>
      <c r="O1400">
        <v>54.0821340871167</v>
      </c>
      <c r="P1400">
        <v>-6.7547835685102697E-2</v>
      </c>
      <c r="Q1400">
        <v>8.76965296603094E-2</v>
      </c>
      <c r="R1400">
        <v>0.99668475254321298</v>
      </c>
      <c r="S1400" t="s">
        <v>7261</v>
      </c>
      <c r="T1400" t="s">
        <v>11720</v>
      </c>
      <c r="U1400" t="s">
        <v>11720</v>
      </c>
      <c r="V1400" t="s">
        <v>11720</v>
      </c>
      <c r="W1400" t="s">
        <v>13087</v>
      </c>
      <c r="X1400">
        <v>15</v>
      </c>
      <c r="Y1400" t="s">
        <v>18873</v>
      </c>
      <c r="Z1400" t="s">
        <v>24607</v>
      </c>
      <c r="AA1400">
        <v>0.55775089468331174</v>
      </c>
      <c r="AB1400" t="str">
        <f>HYPERLINK("Melting_Curves/meltCurve_O43813_LANCL1.pdf", "Melting_Curves/meltCurve_O43813_LANCL1.pdf")</f>
        <v>Melting_Curves/meltCurve_O43813_LANCL1.pdf</v>
      </c>
    </row>
    <row r="1401" spans="1:28" x14ac:dyDescent="0.25">
      <c r="A1401" t="s">
        <v>1405</v>
      </c>
      <c r="B1401">
        <v>0.99334974765950101</v>
      </c>
      <c r="C1401">
        <v>1.0089220416787901</v>
      </c>
      <c r="D1401">
        <v>0.90826224972584602</v>
      </c>
      <c r="E1401">
        <v>1.01431410589148</v>
      </c>
      <c r="F1401">
        <v>1.2593988519731401</v>
      </c>
      <c r="G1401">
        <v>1.3411659027946701</v>
      </c>
      <c r="H1401">
        <v>1.0185192936057199</v>
      </c>
      <c r="I1401">
        <v>0.70951562982917904</v>
      </c>
      <c r="J1401">
        <v>0.35752125630400899</v>
      </c>
      <c r="K1401">
        <v>0.33735155106871401</v>
      </c>
      <c r="L1401">
        <v>7733.1550047461096</v>
      </c>
      <c r="M1401">
        <v>120.602746835071</v>
      </c>
      <c r="N1401">
        <v>64.751481782381305</v>
      </c>
      <c r="O1401">
        <v>64.1032605104662</v>
      </c>
      <c r="P1401">
        <v>-0.30783389144239498</v>
      </c>
      <c r="Q1401">
        <v>0.34551554896875197</v>
      </c>
      <c r="R1401">
        <v>0.81053283125474995</v>
      </c>
      <c r="S1401" t="s">
        <v>7262</v>
      </c>
      <c r="T1401" t="s">
        <v>11720</v>
      </c>
      <c r="U1401" t="s">
        <v>11720</v>
      </c>
      <c r="V1401" t="s">
        <v>11720</v>
      </c>
      <c r="W1401" t="s">
        <v>13088</v>
      </c>
      <c r="X1401">
        <v>3</v>
      </c>
      <c r="Y1401" t="s">
        <v>18874</v>
      </c>
      <c r="Z1401" t="s">
        <v>24608</v>
      </c>
      <c r="AA1401">
        <v>0.87205652417451029</v>
      </c>
      <c r="AB1401" t="str">
        <f>HYPERLINK("Melting_Curves/meltCurve_O43818_RRP9.pdf", "Melting_Curves/meltCurve_O43818_RRP9.pdf")</f>
        <v>Melting_Curves/meltCurve_O43818_RRP9.pdf</v>
      </c>
    </row>
    <row r="1402" spans="1:28" x14ac:dyDescent="0.25">
      <c r="A1402" t="s">
        <v>1406</v>
      </c>
      <c r="B1402">
        <v>0.99334974765950101</v>
      </c>
      <c r="C1402">
        <v>0.92547088494168905</v>
      </c>
      <c r="D1402">
        <v>0.71451956039055697</v>
      </c>
      <c r="E1402">
        <v>0.468882336044739</v>
      </c>
      <c r="F1402">
        <v>0.40331346317092498</v>
      </c>
      <c r="G1402">
        <v>0.22625902904636999</v>
      </c>
      <c r="H1402">
        <v>0.18074533587612801</v>
      </c>
      <c r="I1402">
        <v>0.148913201134795</v>
      </c>
      <c r="J1402">
        <v>0.239120374673046</v>
      </c>
      <c r="K1402">
        <v>0.211887780735666</v>
      </c>
      <c r="L1402">
        <v>762.83884812217298</v>
      </c>
      <c r="M1402">
        <v>15.799643834541399</v>
      </c>
      <c r="N1402">
        <v>49.716206135078799</v>
      </c>
      <c r="O1402">
        <v>47.528411990746697</v>
      </c>
      <c r="P1402">
        <v>-6.79015893969378E-2</v>
      </c>
      <c r="Q1402">
        <v>0.183022382721961</v>
      </c>
      <c r="R1402">
        <v>0.98620166966926703</v>
      </c>
      <c r="S1402" t="s">
        <v>7263</v>
      </c>
      <c r="T1402" t="s">
        <v>11720</v>
      </c>
      <c r="U1402" t="s">
        <v>11720</v>
      </c>
      <c r="V1402" t="s">
        <v>11720</v>
      </c>
      <c r="W1402" t="s">
        <v>13089</v>
      </c>
      <c r="X1402">
        <v>3</v>
      </c>
      <c r="Y1402" t="s">
        <v>18875</v>
      </c>
      <c r="Z1402" t="s">
        <v>24609</v>
      </c>
      <c r="AA1402">
        <v>0.42729849667604808</v>
      </c>
      <c r="AB1402" t="str">
        <f>HYPERLINK("Melting_Curves/meltCurve_O43819_SCO2.pdf", "Melting_Curves/meltCurve_O43819_SCO2.pdf")</f>
        <v>Melting_Curves/meltCurve_O43819_SCO2.pdf</v>
      </c>
    </row>
    <row r="1403" spans="1:28" x14ac:dyDescent="0.25">
      <c r="A1403" t="s">
        <v>1407</v>
      </c>
      <c r="B1403">
        <v>0.99334974765950101</v>
      </c>
      <c r="C1403">
        <v>0.91863052987595795</v>
      </c>
      <c r="D1403">
        <v>0.80978847560882405</v>
      </c>
      <c r="E1403">
        <v>0.93015282053384096</v>
      </c>
      <c r="F1403">
        <v>1.5967884196752999</v>
      </c>
      <c r="G1403">
        <v>1.4104868322983899</v>
      </c>
      <c r="H1403">
        <v>1.90982145540096</v>
      </c>
      <c r="I1403">
        <v>1.5260210862798</v>
      </c>
      <c r="J1403">
        <v>2.0449379988672201</v>
      </c>
      <c r="K1403">
        <v>1.42192116818957</v>
      </c>
      <c r="L1403">
        <v>6891.6048630979503</v>
      </c>
      <c r="M1403">
        <v>134.05854866079301</v>
      </c>
      <c r="O1403">
        <v>51.395987990812998</v>
      </c>
      <c r="P1403">
        <v>0.32604332607285103</v>
      </c>
      <c r="Q1403">
        <v>1.5</v>
      </c>
      <c r="R1403">
        <v>0.67804775168838904</v>
      </c>
      <c r="S1403" t="s">
        <v>7264</v>
      </c>
      <c r="T1403" t="s">
        <v>11720</v>
      </c>
      <c r="U1403" t="s">
        <v>11720</v>
      </c>
      <c r="V1403" t="s">
        <v>11720</v>
      </c>
      <c r="W1403" t="s">
        <v>13090</v>
      </c>
      <c r="X1403">
        <v>1</v>
      </c>
      <c r="Y1403" t="s">
        <v>18876</v>
      </c>
      <c r="Z1403" t="s">
        <v>24610</v>
      </c>
      <c r="AA1403">
        <v>1.309719276990239</v>
      </c>
      <c r="AB1403" t="str">
        <f>HYPERLINK("Melting_Curves/meltCurve_O43820_4_HYAL3.pdf", "Melting_Curves/meltCurve_O43820_4_HYAL3.pdf")</f>
        <v>Melting_Curves/meltCurve_O43820_4_HYAL3.pdf</v>
      </c>
    </row>
    <row r="1404" spans="1:28" x14ac:dyDescent="0.25">
      <c r="A1404" t="s">
        <v>1408</v>
      </c>
      <c r="B1404">
        <v>0.99334974765950101</v>
      </c>
      <c r="C1404">
        <v>0.95312283212965199</v>
      </c>
      <c r="D1404">
        <v>1.0664318486648601</v>
      </c>
      <c r="E1404">
        <v>0.93283392726967895</v>
      </c>
      <c r="F1404">
        <v>0.65938223177154598</v>
      </c>
      <c r="G1404">
        <v>0.40058685277649703</v>
      </c>
      <c r="H1404">
        <v>0.16971553530258299</v>
      </c>
      <c r="I1404">
        <v>0.118118792852659</v>
      </c>
      <c r="J1404">
        <v>0.10891549907768</v>
      </c>
      <c r="K1404">
        <v>9.0068389976082394E-2</v>
      </c>
      <c r="L1404">
        <v>1181.3065798078901</v>
      </c>
      <c r="M1404">
        <v>21.5329336266831</v>
      </c>
      <c r="N1404">
        <v>55.338528220752899</v>
      </c>
      <c r="O1404">
        <v>54.393887015596398</v>
      </c>
      <c r="P1404">
        <v>-9.0570225323586107E-2</v>
      </c>
      <c r="Q1404">
        <v>8.4872312730112004E-2</v>
      </c>
      <c r="R1404">
        <v>0.99139772426009598</v>
      </c>
      <c r="S1404" t="s">
        <v>7265</v>
      </c>
      <c r="T1404" t="s">
        <v>11720</v>
      </c>
      <c r="U1404" t="s">
        <v>11720</v>
      </c>
      <c r="V1404" t="s">
        <v>11720</v>
      </c>
      <c r="W1404" t="s">
        <v>13091</v>
      </c>
      <c r="X1404">
        <v>12</v>
      </c>
      <c r="Y1404" t="s">
        <v>18877</v>
      </c>
      <c r="Z1404" t="s">
        <v>24611</v>
      </c>
      <c r="AA1404">
        <v>0.54907595030447365</v>
      </c>
      <c r="AB1404" t="str">
        <f>HYPERLINK("Melting_Curves/meltCurve_O43837_IDH3B.pdf", "Melting_Curves/meltCurve_O43837_IDH3B.pdf")</f>
        <v>Melting_Curves/meltCurve_O43837_IDH3B.pdf</v>
      </c>
    </row>
    <row r="1405" spans="1:28" x14ac:dyDescent="0.25">
      <c r="A1405" t="s">
        <v>1409</v>
      </c>
      <c r="B1405">
        <v>0.99334974765950101</v>
      </c>
      <c r="C1405">
        <v>1.00653008635883</v>
      </c>
      <c r="D1405">
        <v>0.97466198544872595</v>
      </c>
      <c r="E1405">
        <v>0.796839905167256</v>
      </c>
      <c r="F1405">
        <v>0.895644598531531</v>
      </c>
      <c r="G1405">
        <v>0.67178415112524004</v>
      </c>
      <c r="H1405">
        <v>0.66236948301937504</v>
      </c>
      <c r="I1405">
        <v>0.90026059419833104</v>
      </c>
      <c r="J1405">
        <v>0.87433869782231399</v>
      </c>
      <c r="K1405">
        <v>0.76028923264857795</v>
      </c>
      <c r="L1405">
        <v>2655.5025495661898</v>
      </c>
      <c r="M1405">
        <v>55.822452837328498</v>
      </c>
      <c r="O1405">
        <v>47.509577290280198</v>
      </c>
      <c r="P1405">
        <v>-6.0916190883545003E-2</v>
      </c>
      <c r="Q1405">
        <v>0.792621016689807</v>
      </c>
      <c r="R1405">
        <v>0.57125075684423399</v>
      </c>
      <c r="S1405" t="s">
        <v>7266</v>
      </c>
      <c r="T1405" t="s">
        <v>11720</v>
      </c>
      <c r="U1405" t="s">
        <v>11720</v>
      </c>
      <c r="V1405" t="s">
        <v>11720</v>
      </c>
      <c r="W1405" t="s">
        <v>13092</v>
      </c>
      <c r="X1405">
        <v>31</v>
      </c>
      <c r="Y1405" t="s">
        <v>18878</v>
      </c>
      <c r="Z1405" t="s">
        <v>24612</v>
      </c>
      <c r="AA1405">
        <v>0.84530200114030807</v>
      </c>
      <c r="AB1405" t="str">
        <f>HYPERLINK("Melting_Curves/meltCurve_O43852_CALU.pdf", "Melting_Curves/meltCurve_O43852_CALU.pdf")</f>
        <v>Melting_Curves/meltCurve_O43852_CALU.pdf</v>
      </c>
    </row>
    <row r="1406" spans="1:28" x14ac:dyDescent="0.25">
      <c r="A1406" t="s">
        <v>1410</v>
      </c>
      <c r="B1406">
        <v>0.99334974765950101</v>
      </c>
      <c r="C1406">
        <v>1.06682547423063</v>
      </c>
      <c r="D1406">
        <v>0.890656910449662</v>
      </c>
      <c r="E1406">
        <v>0.82778706091114596</v>
      </c>
      <c r="F1406">
        <v>0.82511371856294102</v>
      </c>
      <c r="G1406">
        <v>0.87779416079112205</v>
      </c>
      <c r="H1406">
        <v>0.79665417911143299</v>
      </c>
      <c r="I1406">
        <v>1.5845357661856001</v>
      </c>
      <c r="J1406">
        <v>0.91908182556426299</v>
      </c>
      <c r="K1406">
        <v>0.880202519395758</v>
      </c>
      <c r="L1406">
        <v>15000</v>
      </c>
      <c r="M1406">
        <v>224.60591906178999</v>
      </c>
      <c r="O1406">
        <v>66.778364750221002</v>
      </c>
      <c r="P1406">
        <v>-0.100794732305641</v>
      </c>
      <c r="Q1406">
        <v>0.88012951575090503</v>
      </c>
      <c r="R1406">
        <v>1.9553560440050001E-2</v>
      </c>
      <c r="S1406" t="s">
        <v>7267</v>
      </c>
      <c r="T1406" t="s">
        <v>11720</v>
      </c>
      <c r="U1406" t="s">
        <v>11720</v>
      </c>
      <c r="V1406" t="s">
        <v>11720</v>
      </c>
      <c r="W1406" t="s">
        <v>13093</v>
      </c>
      <c r="X1406">
        <v>26</v>
      </c>
      <c r="Y1406" t="s">
        <v>18878</v>
      </c>
      <c r="Z1406" t="s">
        <v>24613</v>
      </c>
      <c r="AA1406">
        <v>0.98716579395136572</v>
      </c>
      <c r="AB1406" t="str">
        <f>HYPERLINK("Melting_Curves/meltCurve_O43852_2_CALU.pdf", "Melting_Curves/meltCurve_O43852_2_CALU.pdf")</f>
        <v>Melting_Curves/meltCurve_O43852_2_CALU.pdf</v>
      </c>
    </row>
    <row r="1407" spans="1:28" x14ac:dyDescent="0.25">
      <c r="A1407" t="s">
        <v>1411</v>
      </c>
      <c r="B1407">
        <v>0.99334974765950101</v>
      </c>
      <c r="C1407">
        <v>0.90064226341586795</v>
      </c>
      <c r="D1407">
        <v>0.86218288644498298</v>
      </c>
      <c r="E1407">
        <v>0.82276624419583499</v>
      </c>
      <c r="F1407">
        <v>0.62858243229341504</v>
      </c>
      <c r="G1407">
        <v>0.47378585872484602</v>
      </c>
      <c r="H1407">
        <v>0.39742683984326199</v>
      </c>
      <c r="I1407">
        <v>0.45100854614833602</v>
      </c>
      <c r="J1407">
        <v>0.47756333349362301</v>
      </c>
      <c r="K1407">
        <v>0.38442473363708901</v>
      </c>
      <c r="L1407">
        <v>703.99880304589499</v>
      </c>
      <c r="M1407">
        <v>13.7080373687005</v>
      </c>
      <c r="N1407">
        <v>57.715598003545303</v>
      </c>
      <c r="O1407">
        <v>50.3006764761721</v>
      </c>
      <c r="P1407">
        <v>-4.1594178509087698E-2</v>
      </c>
      <c r="Q1407">
        <v>0.38957986693165803</v>
      </c>
      <c r="R1407">
        <v>0.95937660334620201</v>
      </c>
      <c r="S1407" t="s">
        <v>7268</v>
      </c>
      <c r="T1407" t="s">
        <v>11720</v>
      </c>
      <c r="U1407" t="s">
        <v>11720</v>
      </c>
      <c r="V1407" t="s">
        <v>11720</v>
      </c>
      <c r="W1407" t="s">
        <v>13094</v>
      </c>
      <c r="X1407">
        <v>13</v>
      </c>
      <c r="Y1407" t="s">
        <v>18879</v>
      </c>
      <c r="Z1407" t="s">
        <v>24614</v>
      </c>
      <c r="AA1407">
        <v>0.63671296888758111</v>
      </c>
      <c r="AB1407" t="str">
        <f>HYPERLINK("Melting_Curves/meltCurve_O43854_2_EDIL3.pdf", "Melting_Curves/meltCurve_O43854_2_EDIL3.pdf")</f>
        <v>Melting_Curves/meltCurve_O43854_2_EDIL3.pdf</v>
      </c>
    </row>
    <row r="1408" spans="1:28" x14ac:dyDescent="0.25">
      <c r="A1408" t="s">
        <v>1412</v>
      </c>
      <c r="B1408">
        <v>0.99334974765950101</v>
      </c>
      <c r="C1408">
        <v>1.0401006125925301</v>
      </c>
      <c r="D1408">
        <v>1.10069799534362</v>
      </c>
      <c r="E1408">
        <v>0.97110484378167405</v>
      </c>
      <c r="F1408">
        <v>0.86459940676047997</v>
      </c>
      <c r="G1408">
        <v>0.43314825686801001</v>
      </c>
      <c r="H1408">
        <v>0.35035953098551598</v>
      </c>
      <c r="I1408">
        <v>0.32358634585301799</v>
      </c>
      <c r="J1408">
        <v>0.14127184637891499</v>
      </c>
      <c r="K1408">
        <v>8.7568232155344802E-2</v>
      </c>
      <c r="L1408">
        <v>1189.93631231154</v>
      </c>
      <c r="M1408">
        <v>21.113168381255399</v>
      </c>
      <c r="N1408">
        <v>57.327294518788101</v>
      </c>
      <c r="O1408">
        <v>55.86161207656</v>
      </c>
      <c r="P1408">
        <v>-8.0330622082358596E-2</v>
      </c>
      <c r="Q1408">
        <v>0.149861343526736</v>
      </c>
      <c r="R1408">
        <v>0.96735985340581099</v>
      </c>
      <c r="S1408" t="s">
        <v>7269</v>
      </c>
      <c r="T1408" t="s">
        <v>11720</v>
      </c>
      <c r="U1408" t="s">
        <v>11720</v>
      </c>
      <c r="V1408" t="s">
        <v>11720</v>
      </c>
      <c r="W1408" t="s">
        <v>13095</v>
      </c>
      <c r="X1408">
        <v>24</v>
      </c>
      <c r="Y1408" t="s">
        <v>18880</v>
      </c>
      <c r="Z1408" t="s">
        <v>24615</v>
      </c>
      <c r="AA1408">
        <v>0.62348829485083479</v>
      </c>
      <c r="AB1408" t="str">
        <f>HYPERLINK("Melting_Curves/meltCurve_O43865_AHCYL1.pdf", "Melting_Curves/meltCurve_O43865_AHCYL1.pdf")</f>
        <v>Melting_Curves/meltCurve_O43865_AHCYL1.pdf</v>
      </c>
    </row>
    <row r="1409" spans="1:28" x14ac:dyDescent="0.25">
      <c r="A1409" t="s">
        <v>1413</v>
      </c>
      <c r="B1409">
        <v>0.99334974765950101</v>
      </c>
      <c r="C1409">
        <v>0.89606915415656996</v>
      </c>
      <c r="D1409">
        <v>0.64606434050108597</v>
      </c>
      <c r="E1409">
        <v>0.303824128275127</v>
      </c>
      <c r="F1409">
        <v>0.26869850190960798</v>
      </c>
      <c r="G1409">
        <v>0.17693008389371201</v>
      </c>
      <c r="H1409">
        <v>0.16100047097593401</v>
      </c>
      <c r="I1409">
        <v>0.15548420625266701</v>
      </c>
      <c r="J1409">
        <v>0.198236048992879</v>
      </c>
      <c r="K1409">
        <v>0.16080708213780701</v>
      </c>
      <c r="L1409">
        <v>1031.34000215631</v>
      </c>
      <c r="M1409">
        <v>22.123075999235802</v>
      </c>
      <c r="N1409">
        <v>47.518303899929698</v>
      </c>
      <c r="O1409">
        <v>46.242409956789402</v>
      </c>
      <c r="P1409">
        <v>-9.9135339127164906E-2</v>
      </c>
      <c r="Q1409">
        <v>0.17115396224340501</v>
      </c>
      <c r="R1409">
        <v>0.99593001417293403</v>
      </c>
      <c r="S1409" t="s">
        <v>7270</v>
      </c>
      <c r="T1409" t="s">
        <v>11720</v>
      </c>
      <c r="U1409" t="s">
        <v>11720</v>
      </c>
      <c r="V1409" t="s">
        <v>11720</v>
      </c>
      <c r="W1409" t="s">
        <v>13096</v>
      </c>
      <c r="X1409">
        <v>7</v>
      </c>
      <c r="Y1409" t="s">
        <v>18881</v>
      </c>
      <c r="Z1409" t="s">
        <v>24616</v>
      </c>
      <c r="AA1409">
        <v>0.36384222012025391</v>
      </c>
      <c r="AB1409" t="str">
        <f>HYPERLINK("Melting_Curves/meltCurve_O43896_KIF1C.pdf", "Melting_Curves/meltCurve_O43896_KIF1C.pdf")</f>
        <v>Melting_Curves/meltCurve_O43896_KIF1C.pdf</v>
      </c>
    </row>
    <row r="1410" spans="1:28" x14ac:dyDescent="0.25">
      <c r="A1410" t="s">
        <v>1414</v>
      </c>
      <c r="B1410">
        <v>0.99334974765950101</v>
      </c>
      <c r="C1410">
        <v>1.1096832609744101</v>
      </c>
      <c r="D1410">
        <v>0.96006858310842702</v>
      </c>
      <c r="E1410">
        <v>0.85879748731777705</v>
      </c>
      <c r="F1410">
        <v>1.4145968553107</v>
      </c>
      <c r="G1410">
        <v>0.82803533694549003</v>
      </c>
      <c r="H1410">
        <v>0.85899320696752302</v>
      </c>
      <c r="I1410">
        <v>0.61603868652155802</v>
      </c>
      <c r="J1410">
        <v>0.68645099791347097</v>
      </c>
      <c r="K1410">
        <v>0.59492053620100105</v>
      </c>
      <c r="L1410">
        <v>1830.05905387436</v>
      </c>
      <c r="M1410">
        <v>30.078955493030499</v>
      </c>
      <c r="O1410">
        <v>60.574838165135397</v>
      </c>
      <c r="P1410">
        <v>-4.8586960109067302E-2</v>
      </c>
      <c r="Q1410">
        <v>0.60861310684676595</v>
      </c>
      <c r="R1410">
        <v>0.56849771641777402</v>
      </c>
      <c r="S1410" t="s">
        <v>7271</v>
      </c>
      <c r="T1410" t="s">
        <v>11720</v>
      </c>
      <c r="U1410" t="s">
        <v>11720</v>
      </c>
      <c r="V1410" t="s">
        <v>11720</v>
      </c>
      <c r="W1410" t="s">
        <v>13097</v>
      </c>
      <c r="X1410">
        <v>3</v>
      </c>
      <c r="Y1410" t="s">
        <v>18882</v>
      </c>
      <c r="Z1410" t="s">
        <v>24617</v>
      </c>
      <c r="AA1410">
        <v>0.88271747591681626</v>
      </c>
      <c r="AB1410" t="str">
        <f>HYPERLINK("Melting_Curves/meltCurve_O43920_NDUFS5.pdf", "Melting_Curves/meltCurve_O43920_NDUFS5.pdf")</f>
        <v>Melting_Curves/meltCurve_O43920_NDUFS5.pdf</v>
      </c>
    </row>
    <row r="1411" spans="1:28" x14ac:dyDescent="0.25">
      <c r="A1411" t="s">
        <v>1415</v>
      </c>
      <c r="B1411">
        <v>0.99334974765950101</v>
      </c>
      <c r="C1411">
        <v>0.97464091528706198</v>
      </c>
      <c r="D1411">
        <v>0.91813030333772605</v>
      </c>
      <c r="E1411">
        <v>0.53820214913156905</v>
      </c>
      <c r="F1411">
        <v>0.27964281830015297</v>
      </c>
      <c r="G1411">
        <v>0.14080631588717399</v>
      </c>
      <c r="H1411">
        <v>0.11025849297698601</v>
      </c>
      <c r="I1411">
        <v>0.110181833884093</v>
      </c>
      <c r="J1411">
        <v>7.0789988024415204E-2</v>
      </c>
      <c r="K1411">
        <v>5.3414815175559599E-2</v>
      </c>
      <c r="L1411">
        <v>1187.8134271285101</v>
      </c>
      <c r="M1411">
        <v>23.722114546030198</v>
      </c>
      <c r="N1411">
        <v>50.4558290557653</v>
      </c>
      <c r="O1411">
        <v>49.720230704537798</v>
      </c>
      <c r="P1411">
        <v>-0.109432354560421</v>
      </c>
      <c r="Q1411">
        <v>8.2558708159575903E-2</v>
      </c>
      <c r="R1411">
        <v>0.99829169400258799</v>
      </c>
      <c r="S1411" t="s">
        <v>7272</v>
      </c>
      <c r="T1411" t="s">
        <v>11720</v>
      </c>
      <c r="U1411" t="s">
        <v>11720</v>
      </c>
      <c r="V1411" t="s">
        <v>11720</v>
      </c>
      <c r="W1411" t="s">
        <v>13098</v>
      </c>
      <c r="X1411">
        <v>1</v>
      </c>
      <c r="Y1411" t="s">
        <v>18883</v>
      </c>
      <c r="Z1411" t="s">
        <v>24618</v>
      </c>
      <c r="AA1411">
        <v>0.39968922010136709</v>
      </c>
      <c r="AB1411" t="str">
        <f>HYPERLINK("Melting_Curves/meltCurve_O43924_PDE6D.pdf", "Melting_Curves/meltCurve_O43924_PDE6D.pdf")</f>
        <v>Melting_Curves/meltCurve_O43924_PDE6D.pdf</v>
      </c>
    </row>
    <row r="1412" spans="1:28" x14ac:dyDescent="0.25">
      <c r="A1412" t="s">
        <v>1416</v>
      </c>
      <c r="B1412">
        <v>0.99334974765950101</v>
      </c>
      <c r="C1412">
        <v>1.0203623292428501</v>
      </c>
      <c r="D1412">
        <v>1.09985434469636</v>
      </c>
      <c r="E1412">
        <v>1.0739947926256099</v>
      </c>
      <c r="F1412">
        <v>0.52839585882930395</v>
      </c>
      <c r="G1412">
        <v>0.29486284613101599</v>
      </c>
      <c r="H1412">
        <v>0.13781354833852799</v>
      </c>
      <c r="I1412">
        <v>9.7493443997078405E-2</v>
      </c>
      <c r="J1412">
        <v>8.2514055209229706E-2</v>
      </c>
      <c r="K1412">
        <v>7.0022306048372507E-2</v>
      </c>
      <c r="L1412">
        <v>13240.1818343007</v>
      </c>
      <c r="M1412">
        <v>250</v>
      </c>
      <c r="N1412">
        <v>53.028379803887397</v>
      </c>
      <c r="O1412">
        <v>52.957331982934001</v>
      </c>
      <c r="P1412">
        <v>-1.0190499596992699</v>
      </c>
      <c r="Q1412">
        <v>0.13654122705801999</v>
      </c>
      <c r="R1412">
        <v>0.97352873473338897</v>
      </c>
      <c r="S1412" t="s">
        <v>7273</v>
      </c>
      <c r="T1412" t="s">
        <v>11720</v>
      </c>
      <c r="U1412" t="s">
        <v>11720</v>
      </c>
      <c r="V1412" t="s">
        <v>11720</v>
      </c>
      <c r="W1412" t="s">
        <v>13099</v>
      </c>
      <c r="X1412">
        <v>2</v>
      </c>
      <c r="Y1412" t="s">
        <v>18884</v>
      </c>
      <c r="Z1412" t="s">
        <v>24619</v>
      </c>
      <c r="AA1412">
        <v>0.50965660555201553</v>
      </c>
      <c r="AB1412" t="str">
        <f>HYPERLINK("Melting_Curves/meltCurve_O60218_AKR1B10.pdf", "Melting_Curves/meltCurve_O60218_AKR1B10.pdf")</f>
        <v>Melting_Curves/meltCurve_O60218_AKR1B10.pdf</v>
      </c>
    </row>
    <row r="1413" spans="1:28" x14ac:dyDescent="0.25">
      <c r="A1413" t="s">
        <v>1417</v>
      </c>
      <c r="B1413">
        <v>0.99334974765950101</v>
      </c>
      <c r="C1413">
        <v>0.96838579182386197</v>
      </c>
      <c r="D1413">
        <v>1.0000163889201401</v>
      </c>
      <c r="E1413">
        <v>0.89872190750742798</v>
      </c>
      <c r="F1413">
        <v>0.87975533909605697</v>
      </c>
      <c r="G1413">
        <v>0.793702955765894</v>
      </c>
      <c r="H1413">
        <v>0.73202249666873798</v>
      </c>
      <c r="I1413">
        <v>0.87969014930398404</v>
      </c>
      <c r="J1413">
        <v>0.90388080450631403</v>
      </c>
      <c r="K1413">
        <v>0.86021830056894599</v>
      </c>
      <c r="L1413">
        <v>1651.578599725</v>
      </c>
      <c r="M1413">
        <v>33.302515951773799</v>
      </c>
      <c r="O1413">
        <v>49.4154109080418</v>
      </c>
      <c r="P1413">
        <v>-2.74288146805041E-2</v>
      </c>
      <c r="Q1413">
        <v>0.83720145482930597</v>
      </c>
      <c r="R1413">
        <v>0.66178529235438299</v>
      </c>
      <c r="S1413" t="s">
        <v>7274</v>
      </c>
      <c r="T1413" t="s">
        <v>11720</v>
      </c>
      <c r="U1413" t="s">
        <v>11720</v>
      </c>
      <c r="V1413" t="s">
        <v>11720</v>
      </c>
      <c r="W1413" t="s">
        <v>13100</v>
      </c>
      <c r="X1413">
        <v>8</v>
      </c>
      <c r="Y1413" t="s">
        <v>18885</v>
      </c>
      <c r="Z1413" t="s">
        <v>24620</v>
      </c>
      <c r="AA1413">
        <v>0.89006932271120476</v>
      </c>
      <c r="AB1413" t="str">
        <f>HYPERLINK("Melting_Curves/meltCurve_O60220_TIMM8A.pdf", "Melting_Curves/meltCurve_O60220_TIMM8A.pdf")</f>
        <v>Melting_Curves/meltCurve_O60220_TIMM8A.pdf</v>
      </c>
    </row>
    <row r="1414" spans="1:28" x14ac:dyDescent="0.25">
      <c r="A1414" t="s">
        <v>1418</v>
      </c>
      <c r="B1414">
        <v>0.99334974765950101</v>
      </c>
      <c r="C1414">
        <v>0.98383942189364704</v>
      </c>
      <c r="D1414">
        <v>0.91602652619746905</v>
      </c>
      <c r="E1414">
        <v>0.80178433563054596</v>
      </c>
      <c r="F1414">
        <v>0.75458525477818805</v>
      </c>
      <c r="G1414">
        <v>0.57904962963394402</v>
      </c>
      <c r="H1414">
        <v>0.52999283285211296</v>
      </c>
      <c r="I1414">
        <v>0.53801367471183803</v>
      </c>
      <c r="J1414">
        <v>0.52744244278436103</v>
      </c>
      <c r="K1414">
        <v>0.403886324878445</v>
      </c>
      <c r="L1414">
        <v>603.654806408588</v>
      </c>
      <c r="M1414">
        <v>11.302895863560099</v>
      </c>
      <c r="N1414">
        <v>64.222507796198997</v>
      </c>
      <c r="O1414">
        <v>51.817255546984697</v>
      </c>
      <c r="P1414">
        <v>-3.1339819940807798E-2</v>
      </c>
      <c r="Q1414">
        <v>0.425474600143112</v>
      </c>
      <c r="R1414">
        <v>0.97591272073866697</v>
      </c>
      <c r="S1414" t="s">
        <v>7275</v>
      </c>
      <c r="T1414" t="s">
        <v>11720</v>
      </c>
      <c r="U1414" t="s">
        <v>11720</v>
      </c>
      <c r="V1414" t="s">
        <v>11720</v>
      </c>
      <c r="W1414" t="s">
        <v>13101</v>
      </c>
      <c r="X1414">
        <v>6</v>
      </c>
      <c r="Y1414" t="s">
        <v>18886</v>
      </c>
      <c r="Z1414" t="s">
        <v>24621</v>
      </c>
      <c r="AA1414">
        <v>0.69903651984709403</v>
      </c>
      <c r="AB1414" t="str">
        <f>HYPERLINK("Melting_Curves/meltCurve_O60234_GMFG.pdf", "Melting_Curves/meltCurve_O60234_GMFG.pdf")</f>
        <v>Melting_Curves/meltCurve_O60234_GMFG.pdf</v>
      </c>
    </row>
    <row r="1415" spans="1:28" x14ac:dyDescent="0.25">
      <c r="A1415" t="s">
        <v>1419</v>
      </c>
      <c r="B1415">
        <v>0.99334974765950101</v>
      </c>
      <c r="C1415">
        <v>0.97319137421594804</v>
      </c>
      <c r="D1415">
        <v>0.86135719204612904</v>
      </c>
      <c r="E1415">
        <v>0.86124341156387096</v>
      </c>
      <c r="F1415">
        <v>0.90572777946088201</v>
      </c>
      <c r="G1415">
        <v>0.43828799562995602</v>
      </c>
      <c r="H1415">
        <v>0.33389310999084898</v>
      </c>
      <c r="I1415">
        <v>0.288946255205906</v>
      </c>
      <c r="J1415">
        <v>0.404128615999854</v>
      </c>
      <c r="K1415">
        <v>0.34638820522316599</v>
      </c>
      <c r="L1415">
        <v>2416.2205385868601</v>
      </c>
      <c r="M1415">
        <v>44.039429581404299</v>
      </c>
      <c r="N1415">
        <v>56.321257358234902</v>
      </c>
      <c r="O1415">
        <v>54.752173751111201</v>
      </c>
      <c r="P1415">
        <v>-0.132738707246357</v>
      </c>
      <c r="Q1415">
        <v>0.33988953918651299</v>
      </c>
      <c r="R1415">
        <v>0.94481692277373397</v>
      </c>
      <c r="S1415" t="s">
        <v>7276</v>
      </c>
      <c r="T1415" t="s">
        <v>11720</v>
      </c>
      <c r="U1415" t="s">
        <v>11720</v>
      </c>
      <c r="V1415" t="s">
        <v>11720</v>
      </c>
      <c r="W1415" t="s">
        <v>13102</v>
      </c>
      <c r="X1415">
        <v>1</v>
      </c>
      <c r="Y1415" t="s">
        <v>18887</v>
      </c>
      <c r="Z1415" t="s">
        <v>24622</v>
      </c>
      <c r="AA1415">
        <v>0.66903203755488483</v>
      </c>
      <c r="AB1415" t="str">
        <f>HYPERLINK("Melting_Curves/meltCurve_O60239_SH3BP5.pdf", "Melting_Curves/meltCurve_O60239_SH3BP5.pdf")</f>
        <v>Melting_Curves/meltCurve_O60239_SH3BP5.pdf</v>
      </c>
    </row>
    <row r="1416" spans="1:28" x14ac:dyDescent="0.25">
      <c r="A1416" t="s">
        <v>1420</v>
      </c>
      <c r="B1416">
        <v>0.99334974765950101</v>
      </c>
      <c r="C1416">
        <v>1.0656961685328701</v>
      </c>
      <c r="D1416">
        <v>1.09052974929126</v>
      </c>
      <c r="E1416">
        <v>1.0888638529358901</v>
      </c>
      <c r="F1416">
        <v>0.98266039783312797</v>
      </c>
      <c r="G1416">
        <v>1.1155366332944201</v>
      </c>
      <c r="H1416">
        <v>0.78503414668592997</v>
      </c>
      <c r="I1416">
        <v>0.49233763824080701</v>
      </c>
      <c r="J1416">
        <v>0.23457341844679699</v>
      </c>
      <c r="K1416">
        <v>0.11233889284026601</v>
      </c>
      <c r="L1416">
        <v>2169.7244001302101</v>
      </c>
      <c r="M1416">
        <v>34.161230807330803</v>
      </c>
      <c r="N1416">
        <v>63.8764092261762</v>
      </c>
      <c r="O1416">
        <v>63.297747137318503</v>
      </c>
      <c r="P1416">
        <v>-0.12304404132685701</v>
      </c>
      <c r="Q1416">
        <v>8.8044246108026594E-2</v>
      </c>
      <c r="R1416">
        <v>0.96892725661760704</v>
      </c>
      <c r="S1416" t="s">
        <v>7277</v>
      </c>
      <c r="T1416" t="s">
        <v>11720</v>
      </c>
      <c r="U1416" t="s">
        <v>11720</v>
      </c>
      <c r="V1416" t="s">
        <v>11720</v>
      </c>
      <c r="W1416" t="s">
        <v>13103</v>
      </c>
      <c r="X1416">
        <v>6</v>
      </c>
      <c r="Y1416" t="s">
        <v>18888</v>
      </c>
      <c r="Z1416" t="s">
        <v>24623</v>
      </c>
      <c r="AA1416">
        <v>0.80530760904459153</v>
      </c>
      <c r="AB1416" t="str">
        <f>HYPERLINK("Melting_Curves/meltCurve_O60256_PRPSAP2.pdf", "Melting_Curves/meltCurve_O60256_PRPSAP2.pdf")</f>
        <v>Melting_Curves/meltCurve_O60256_PRPSAP2.pdf</v>
      </c>
    </row>
    <row r="1417" spans="1:28" x14ac:dyDescent="0.25">
      <c r="A1417" t="s">
        <v>1421</v>
      </c>
      <c r="B1417">
        <v>0.99334974765950101</v>
      </c>
      <c r="C1417">
        <v>1.3204644634630101</v>
      </c>
      <c r="D1417">
        <v>1.2172344795890799</v>
      </c>
      <c r="E1417">
        <v>1.16389195269975</v>
      </c>
      <c r="F1417">
        <v>0.74580848139105105</v>
      </c>
      <c r="G1417">
        <v>0.51033356661011597</v>
      </c>
      <c r="H1417">
        <v>0.41665746124519798</v>
      </c>
      <c r="I1417">
        <v>0.351510399440292</v>
      </c>
      <c r="J1417">
        <v>0.393171989836411</v>
      </c>
      <c r="K1417">
        <v>0.32460116078092599</v>
      </c>
      <c r="L1417">
        <v>2110.9100996073698</v>
      </c>
      <c r="M1417">
        <v>39.0101553773383</v>
      </c>
      <c r="N1417">
        <v>56.146874183828899</v>
      </c>
      <c r="O1417">
        <v>53.970200122367402</v>
      </c>
      <c r="P1417">
        <v>-0.112323342941739</v>
      </c>
      <c r="Q1417">
        <v>0.37840809925751401</v>
      </c>
      <c r="R1417">
        <v>0.85973589376392401</v>
      </c>
      <c r="S1417" t="s">
        <v>7278</v>
      </c>
      <c r="T1417" t="s">
        <v>11720</v>
      </c>
      <c r="U1417" t="s">
        <v>11720</v>
      </c>
      <c r="V1417" t="s">
        <v>11720</v>
      </c>
      <c r="W1417" t="s">
        <v>13104</v>
      </c>
      <c r="X1417">
        <v>42</v>
      </c>
      <c r="Y1417" t="s">
        <v>18889</v>
      </c>
      <c r="Z1417" t="s">
        <v>24624</v>
      </c>
      <c r="AA1417">
        <v>0.67323991682430773</v>
      </c>
      <c r="AB1417" t="str">
        <f>HYPERLINK("Melting_Curves/meltCurve_O60271_4_SPAG9.pdf", "Melting_Curves/meltCurve_O60271_4_SPAG9.pdf")</f>
        <v>Melting_Curves/meltCurve_O60271_4_SPAG9.pdf</v>
      </c>
    </row>
    <row r="1418" spans="1:28" x14ac:dyDescent="0.25">
      <c r="A1418" t="s">
        <v>1422</v>
      </c>
      <c r="B1418">
        <v>0.99334974765950101</v>
      </c>
      <c r="C1418">
        <v>0.97685144489977804</v>
      </c>
      <c r="D1418">
        <v>1.0169408060304299</v>
      </c>
      <c r="E1418">
        <v>1.23298355669279</v>
      </c>
      <c r="F1418">
        <v>0.44410435724705</v>
      </c>
      <c r="G1418">
        <v>0.27535246038537298</v>
      </c>
      <c r="H1418">
        <v>0.21586687636867399</v>
      </c>
      <c r="I1418">
        <v>9.4939871585317095E-2</v>
      </c>
      <c r="J1418">
        <v>0.120156505895974</v>
      </c>
      <c r="K1418">
        <v>6.0189922984280601E-2</v>
      </c>
      <c r="L1418">
        <v>13215.6597104878</v>
      </c>
      <c r="M1418">
        <v>250</v>
      </c>
      <c r="N1418">
        <v>52.940175484474601</v>
      </c>
      <c r="O1418">
        <v>52.859248514269801</v>
      </c>
      <c r="P1418">
        <v>-1.00112426051244</v>
      </c>
      <c r="Q1418">
        <v>0.15330106380088501</v>
      </c>
      <c r="R1418">
        <v>0.95396633142098697</v>
      </c>
      <c r="S1418" t="s">
        <v>7279</v>
      </c>
      <c r="T1418" t="s">
        <v>11720</v>
      </c>
      <c r="U1418" t="s">
        <v>11720</v>
      </c>
      <c r="V1418" t="s">
        <v>11720</v>
      </c>
      <c r="W1418" t="s">
        <v>13105</v>
      </c>
      <c r="X1418">
        <v>33</v>
      </c>
      <c r="Y1418" t="s">
        <v>18889</v>
      </c>
      <c r="Z1418" t="s">
        <v>24625</v>
      </c>
      <c r="AA1418">
        <v>0.51640570216622605</v>
      </c>
      <c r="AB1418" t="str">
        <f>HYPERLINK("Melting_Curves/meltCurve_O60271_9_SPAG9.pdf", "Melting_Curves/meltCurve_O60271_9_SPAG9.pdf")</f>
        <v>Melting_Curves/meltCurve_O60271_9_SPAG9.pdf</v>
      </c>
    </row>
    <row r="1419" spans="1:28" x14ac:dyDescent="0.25">
      <c r="A1419" t="s">
        <v>1423</v>
      </c>
      <c r="B1419">
        <v>0.99334974765950101</v>
      </c>
      <c r="C1419">
        <v>1.0292741735378199</v>
      </c>
      <c r="D1419">
        <v>0.83815300618108801</v>
      </c>
      <c r="E1419">
        <v>0.94596130832963699</v>
      </c>
      <c r="F1419">
        <v>0.97461040028484702</v>
      </c>
      <c r="G1419">
        <v>0.48499793763917198</v>
      </c>
      <c r="H1419">
        <v>0.53054923996038605</v>
      </c>
      <c r="I1419">
        <v>0.49310134677408102</v>
      </c>
      <c r="J1419">
        <v>0.76037240000772699</v>
      </c>
      <c r="K1419">
        <v>0.44862843909801797</v>
      </c>
      <c r="L1419">
        <v>13400.092829940901</v>
      </c>
      <c r="M1419">
        <v>250</v>
      </c>
      <c r="O1419">
        <v>53.5969385214296</v>
      </c>
      <c r="P1419">
        <v>-0.53229501080605701</v>
      </c>
      <c r="Q1419">
        <v>0.54352984975398499</v>
      </c>
      <c r="R1419">
        <v>0.81895205083171696</v>
      </c>
      <c r="S1419" t="s">
        <v>7280</v>
      </c>
      <c r="T1419" t="s">
        <v>11720</v>
      </c>
      <c r="U1419" t="s">
        <v>11720</v>
      </c>
      <c r="V1419" t="s">
        <v>11720</v>
      </c>
      <c r="W1419" t="s">
        <v>13106</v>
      </c>
      <c r="X1419">
        <v>1</v>
      </c>
      <c r="Y1419" t="s">
        <v>18890</v>
      </c>
      <c r="Z1419" t="s">
        <v>24626</v>
      </c>
      <c r="AA1419">
        <v>0.75051157356255704</v>
      </c>
      <c r="AB1419" t="str">
        <f>HYPERLINK("Melting_Curves/meltCurve_O60279_SUSD5.pdf", "Melting_Curves/meltCurve_O60279_SUSD5.pdf")</f>
        <v>Melting_Curves/meltCurve_O60279_SUSD5.pdf</v>
      </c>
    </row>
    <row r="1420" spans="1:28" x14ac:dyDescent="0.25">
      <c r="A1420" t="s">
        <v>1424</v>
      </c>
      <c r="B1420">
        <v>0.99334974765950101</v>
      </c>
      <c r="C1420">
        <v>0.97591040776772398</v>
      </c>
      <c r="D1420">
        <v>0.91516630346246197</v>
      </c>
      <c r="E1420">
        <v>0.71433222753430303</v>
      </c>
      <c r="F1420">
        <v>0.48702622200006401</v>
      </c>
      <c r="G1420">
        <v>0.317364161299662</v>
      </c>
      <c r="H1420">
        <v>0.17216644201185499</v>
      </c>
      <c r="I1420">
        <v>0.19867773605511499</v>
      </c>
      <c r="J1420">
        <v>0.20832201879464299</v>
      </c>
      <c r="K1420">
        <v>0.29516641283686301</v>
      </c>
      <c r="L1420">
        <v>1058.7821359920799</v>
      </c>
      <c r="M1420">
        <v>20.633352413539601</v>
      </c>
      <c r="N1420">
        <v>52.7165304057961</v>
      </c>
      <c r="O1420">
        <v>50.8394008848989</v>
      </c>
      <c r="P1420">
        <v>-8.0035500941883705E-2</v>
      </c>
      <c r="Q1420">
        <v>0.21121104101382701</v>
      </c>
      <c r="R1420">
        <v>0.98782372678394903</v>
      </c>
      <c r="S1420" t="s">
        <v>7281</v>
      </c>
      <c r="T1420" t="s">
        <v>11720</v>
      </c>
      <c r="U1420" t="s">
        <v>11720</v>
      </c>
      <c r="V1420" t="s">
        <v>11720</v>
      </c>
      <c r="W1420" t="s">
        <v>13107</v>
      </c>
      <c r="X1420">
        <v>3</v>
      </c>
      <c r="Y1420" t="s">
        <v>18891</v>
      </c>
      <c r="Z1420" t="s">
        <v>24627</v>
      </c>
      <c r="AA1420">
        <v>0.51901806249179072</v>
      </c>
      <c r="AB1420" t="str">
        <f>HYPERLINK("Melting_Curves/meltCurve_O60292_SIPA1L3.pdf", "Melting_Curves/meltCurve_O60292_SIPA1L3.pdf")</f>
        <v>Melting_Curves/meltCurve_O60292_SIPA1L3.pdf</v>
      </c>
    </row>
    <row r="1421" spans="1:28" x14ac:dyDescent="0.25">
      <c r="A1421" t="s">
        <v>1425</v>
      </c>
      <c r="B1421">
        <v>0.99334974765950101</v>
      </c>
      <c r="C1421">
        <v>1.03706702413991</v>
      </c>
      <c r="D1421">
        <v>0.82652273356573602</v>
      </c>
      <c r="E1421">
        <v>0.20170104815853701</v>
      </c>
      <c r="F1421">
        <v>0.114249958448739</v>
      </c>
      <c r="G1421">
        <v>5.76227146458064E-2</v>
      </c>
      <c r="H1421">
        <v>2.13416304821798E-2</v>
      </c>
      <c r="I1421">
        <v>1.70965626741145E-2</v>
      </c>
      <c r="J1421">
        <v>0</v>
      </c>
      <c r="K1421">
        <v>0</v>
      </c>
      <c r="L1421">
        <v>1690.7583924166599</v>
      </c>
      <c r="M1421">
        <v>35.221425114837103</v>
      </c>
      <c r="N1421">
        <v>48.0772996228389</v>
      </c>
      <c r="O1421">
        <v>47.849748658501397</v>
      </c>
      <c r="P1421">
        <v>-0.17919119482254101</v>
      </c>
      <c r="Q1421">
        <v>2.6249313206335199E-2</v>
      </c>
      <c r="R1421">
        <v>0.99530743739669403</v>
      </c>
      <c r="S1421" t="s">
        <v>7282</v>
      </c>
      <c r="T1421" t="s">
        <v>11720</v>
      </c>
      <c r="U1421" t="s">
        <v>11720</v>
      </c>
      <c r="V1421" t="s">
        <v>11720</v>
      </c>
      <c r="W1421" t="s">
        <v>13108</v>
      </c>
      <c r="X1421">
        <v>2</v>
      </c>
      <c r="Y1421" t="s">
        <v>18892</v>
      </c>
      <c r="Z1421" t="s">
        <v>24628</v>
      </c>
      <c r="AA1421">
        <v>0.29023915174050208</v>
      </c>
      <c r="AB1421" t="str">
        <f>HYPERLINK("Melting_Curves/meltCurve_O60294_LCMT2.pdf", "Melting_Curves/meltCurve_O60294_LCMT2.pdf")</f>
        <v>Melting_Curves/meltCurve_O60294_LCMT2.pdf</v>
      </c>
    </row>
    <row r="1422" spans="1:28" x14ac:dyDescent="0.25">
      <c r="A1422" t="s">
        <v>1426</v>
      </c>
      <c r="B1422">
        <v>0.99334974765950101</v>
      </c>
      <c r="C1422">
        <v>0.95328598461601999</v>
      </c>
      <c r="D1422">
        <v>1.0245045478133501</v>
      </c>
      <c r="E1422">
        <v>0.82741938243074598</v>
      </c>
      <c r="F1422">
        <v>0.30869556921049601</v>
      </c>
      <c r="G1422">
        <v>0.193916964577899</v>
      </c>
      <c r="H1422">
        <v>0.14176895824629601</v>
      </c>
      <c r="I1422">
        <v>0.12974824526619899</v>
      </c>
      <c r="J1422">
        <v>0.13555131367083301</v>
      </c>
      <c r="K1422">
        <v>0.110578223244072</v>
      </c>
      <c r="L1422">
        <v>2419.9692381283899</v>
      </c>
      <c r="M1422">
        <v>47.029605996752601</v>
      </c>
      <c r="N1422">
        <v>51.816973882232503</v>
      </c>
      <c r="O1422">
        <v>51.363515218234902</v>
      </c>
      <c r="P1422">
        <v>-0.196953734119168</v>
      </c>
      <c r="Q1422">
        <v>0.13958665675691601</v>
      </c>
      <c r="R1422">
        <v>0.99598578854950803</v>
      </c>
      <c r="S1422" t="s">
        <v>7283</v>
      </c>
      <c r="T1422" t="s">
        <v>11720</v>
      </c>
      <c r="U1422" t="s">
        <v>11720</v>
      </c>
      <c r="V1422" t="s">
        <v>11720</v>
      </c>
      <c r="W1422" t="s">
        <v>13109</v>
      </c>
      <c r="X1422">
        <v>35</v>
      </c>
      <c r="Y1422" t="s">
        <v>18893</v>
      </c>
      <c r="Z1422" t="s">
        <v>24629</v>
      </c>
      <c r="AA1422">
        <v>0.47036709531184873</v>
      </c>
      <c r="AB1422" t="str">
        <f>HYPERLINK("Melting_Curves/meltCurve_O60313_2_OPA1.pdf", "Melting_Curves/meltCurve_O60313_2_OPA1.pdf")</f>
        <v>Melting_Curves/meltCurve_O60313_2_OPA1.pdf</v>
      </c>
    </row>
    <row r="1423" spans="1:28" x14ac:dyDescent="0.25">
      <c r="A1423" t="s">
        <v>1427</v>
      </c>
      <c r="B1423">
        <v>0.99334974765950101</v>
      </c>
      <c r="C1423">
        <v>0.96815149161631098</v>
      </c>
      <c r="D1423">
        <v>0.82322176957256699</v>
      </c>
      <c r="E1423">
        <v>0.39164505648121101</v>
      </c>
      <c r="F1423">
        <v>0.188400451406355</v>
      </c>
      <c r="G1423">
        <v>0.17236208914882201</v>
      </c>
      <c r="H1423">
        <v>9.7321333804952198E-2</v>
      </c>
      <c r="I1423">
        <v>7.6988982887890994E-2</v>
      </c>
      <c r="J1423">
        <v>5.5879549454994598E-2</v>
      </c>
      <c r="K1423">
        <v>5.2242267370964698E-2</v>
      </c>
      <c r="L1423">
        <v>1139.56013013846</v>
      </c>
      <c r="M1423">
        <v>23.402419658642</v>
      </c>
      <c r="N1423">
        <v>49.054894376868504</v>
      </c>
      <c r="O1423">
        <v>48.342763928953602</v>
      </c>
      <c r="P1423">
        <v>-0.11145741769452901</v>
      </c>
      <c r="Q1423">
        <v>7.9058823326365393E-2</v>
      </c>
      <c r="R1423">
        <v>0.99570131991713096</v>
      </c>
      <c r="S1423" t="s">
        <v>7284</v>
      </c>
      <c r="T1423" t="s">
        <v>11720</v>
      </c>
      <c r="U1423" t="s">
        <v>11720</v>
      </c>
      <c r="V1423" t="s">
        <v>11720</v>
      </c>
      <c r="W1423" t="s">
        <v>13110</v>
      </c>
      <c r="X1423">
        <v>5</v>
      </c>
      <c r="Y1423" t="s">
        <v>18894</v>
      </c>
      <c r="Z1423" t="s">
        <v>24630</v>
      </c>
      <c r="AA1423">
        <v>0.35529734770700228</v>
      </c>
      <c r="AB1423" t="str">
        <f>HYPERLINK("Melting_Curves/meltCurve_O60331_4_PIP5K1C.pdf", "Melting_Curves/meltCurve_O60331_4_PIP5K1C.pdf")</f>
        <v>Melting_Curves/meltCurve_O60331_4_PIP5K1C.pdf</v>
      </c>
    </row>
    <row r="1424" spans="1:28" x14ac:dyDescent="0.25">
      <c r="A1424" t="s">
        <v>1428</v>
      </c>
      <c r="B1424">
        <v>0.99334974765950101</v>
      </c>
      <c r="C1424">
        <v>1.0895979797523201</v>
      </c>
      <c r="D1424">
        <v>1.05341773579877</v>
      </c>
      <c r="E1424">
        <v>0.80371591978080403</v>
      </c>
      <c r="F1424">
        <v>0.50646093594584496</v>
      </c>
      <c r="G1424">
        <v>0.439795739387427</v>
      </c>
      <c r="H1424">
        <v>0.352893555492234</v>
      </c>
      <c r="I1424">
        <v>0.30542542899759001</v>
      </c>
      <c r="J1424">
        <v>0.18522012906569699</v>
      </c>
      <c r="K1424">
        <v>0.22085876995141401</v>
      </c>
      <c r="L1424">
        <v>1122.1787189952199</v>
      </c>
      <c r="M1424">
        <v>21.450881767454302</v>
      </c>
      <c r="N1424">
        <v>54.146655190391201</v>
      </c>
      <c r="O1424">
        <v>51.865592884496401</v>
      </c>
      <c r="P1424">
        <v>-7.6711878488400206E-2</v>
      </c>
      <c r="Q1424">
        <v>0.25809881300574999</v>
      </c>
      <c r="R1424">
        <v>0.96421579244662603</v>
      </c>
      <c r="S1424" t="s">
        <v>7285</v>
      </c>
      <c r="T1424" t="s">
        <v>11720</v>
      </c>
      <c r="U1424" t="s">
        <v>11720</v>
      </c>
      <c r="V1424" t="s">
        <v>11720</v>
      </c>
      <c r="W1424" t="s">
        <v>13111</v>
      </c>
      <c r="X1424">
        <v>6</v>
      </c>
      <c r="Y1424" t="s">
        <v>18895</v>
      </c>
      <c r="Z1424" t="s">
        <v>24631</v>
      </c>
      <c r="AA1424">
        <v>0.5716632570838116</v>
      </c>
      <c r="AB1424" t="str">
        <f>HYPERLINK("Melting_Curves/meltCurve_O60343_2_TBC1D4.pdf", "Melting_Curves/meltCurve_O60343_2_TBC1D4.pdf")</f>
        <v>Melting_Curves/meltCurve_O60343_2_TBC1D4.pdf</v>
      </c>
    </row>
    <row r="1425" spans="1:28" x14ac:dyDescent="0.25">
      <c r="A1425" t="s">
        <v>1429</v>
      </c>
      <c r="B1425">
        <v>0.99334974765950101</v>
      </c>
      <c r="C1425">
        <v>0.89091056237797295</v>
      </c>
      <c r="D1425">
        <v>0.64792535166486998</v>
      </c>
      <c r="E1425">
        <v>0.453835003126491</v>
      </c>
      <c r="F1425">
        <v>0.41989322836915</v>
      </c>
      <c r="G1425">
        <v>0.28042881755327798</v>
      </c>
      <c r="H1425">
        <v>0.26653618684477498</v>
      </c>
      <c r="I1425">
        <v>0.25027381406078097</v>
      </c>
      <c r="J1425">
        <v>0.24323129228068999</v>
      </c>
      <c r="K1425">
        <v>0.27609499692300299</v>
      </c>
      <c r="L1425">
        <v>748.26773766225301</v>
      </c>
      <c r="M1425">
        <v>15.9243194891234</v>
      </c>
      <c r="N1425">
        <v>49.1825505522608</v>
      </c>
      <c r="O1425">
        <v>46.2667204696398</v>
      </c>
      <c r="P1425">
        <v>-6.4175514491299795E-2</v>
      </c>
      <c r="Q1425">
        <v>0.254234349314653</v>
      </c>
      <c r="R1425">
        <v>0.987666458131369</v>
      </c>
      <c r="S1425" t="s">
        <v>7286</v>
      </c>
      <c r="T1425" t="s">
        <v>11720</v>
      </c>
      <c r="U1425" t="s">
        <v>11720</v>
      </c>
      <c r="V1425" t="s">
        <v>11720</v>
      </c>
      <c r="W1425" t="s">
        <v>13112</v>
      </c>
      <c r="X1425">
        <v>2</v>
      </c>
      <c r="Y1425" t="s">
        <v>18896</v>
      </c>
      <c r="Z1425" t="s">
        <v>24632</v>
      </c>
      <c r="AA1425">
        <v>0.44587483469558281</v>
      </c>
      <c r="AB1425" t="str">
        <f>HYPERLINK("Melting_Curves/meltCurve_O60344_4_ECE2.pdf", "Melting_Curves/meltCurve_O60344_4_ECE2.pdf")</f>
        <v>Melting_Curves/meltCurve_O60344_4_ECE2.pdf</v>
      </c>
    </row>
    <row r="1426" spans="1:28" x14ac:dyDescent="0.25">
      <c r="A1426" t="s">
        <v>1430</v>
      </c>
      <c r="B1426">
        <v>0.99334974765950101</v>
      </c>
      <c r="C1426">
        <v>1.0945741611351301</v>
      </c>
      <c r="D1426">
        <v>0.82225974685188297</v>
      </c>
      <c r="E1426">
        <v>0.91505139233416199</v>
      </c>
      <c r="F1426">
        <v>0.63173690277468197</v>
      </c>
      <c r="G1426">
        <v>0.50357876099681897</v>
      </c>
      <c r="H1426">
        <v>0.45304570238247899</v>
      </c>
      <c r="I1426">
        <v>0.62390354407971704</v>
      </c>
      <c r="J1426">
        <v>0.51342443844057495</v>
      </c>
      <c r="K1426">
        <v>0.460752533460834</v>
      </c>
      <c r="L1426">
        <v>2164.1136594868699</v>
      </c>
      <c r="M1426">
        <v>41.888324009596801</v>
      </c>
      <c r="O1426">
        <v>51.546556014169099</v>
      </c>
      <c r="P1426">
        <v>-9.9820416650553398E-2</v>
      </c>
      <c r="Q1426">
        <v>0.50865641520462301</v>
      </c>
      <c r="R1426">
        <v>0.88367463152870895</v>
      </c>
      <c r="S1426" t="s">
        <v>7287</v>
      </c>
      <c r="T1426" t="s">
        <v>11720</v>
      </c>
      <c r="U1426" t="s">
        <v>11720</v>
      </c>
      <c r="V1426" t="s">
        <v>11720</v>
      </c>
      <c r="W1426" t="s">
        <v>13113</v>
      </c>
      <c r="X1426">
        <v>1</v>
      </c>
      <c r="Y1426" t="s">
        <v>18897</v>
      </c>
      <c r="Z1426" t="s">
        <v>24633</v>
      </c>
      <c r="AA1426">
        <v>0.70128757042299006</v>
      </c>
      <c r="AB1426" t="str">
        <f>HYPERLINK("Melting_Curves/meltCurve_O60347_TBC1D12.pdf", "Melting_Curves/meltCurve_O60347_TBC1D12.pdf")</f>
        <v>Melting_Curves/meltCurve_O60347_TBC1D12.pdf</v>
      </c>
    </row>
    <row r="1427" spans="1:28" x14ac:dyDescent="0.25">
      <c r="A1427" t="s">
        <v>1431</v>
      </c>
      <c r="B1427">
        <v>0.99334974765950101</v>
      </c>
      <c r="C1427">
        <v>1.0974839509380201</v>
      </c>
      <c r="D1427">
        <v>1.01561742777626</v>
      </c>
      <c r="E1427">
        <v>0.82720989258574396</v>
      </c>
      <c r="F1427">
        <v>0.91087043229347098</v>
      </c>
      <c r="G1427">
        <v>0.79940169119517102</v>
      </c>
      <c r="H1427">
        <v>0.78870646705159997</v>
      </c>
      <c r="I1427">
        <v>0.80543534927468396</v>
      </c>
      <c r="J1427">
        <v>0.84402221347425299</v>
      </c>
      <c r="K1427">
        <v>0.85418192287172701</v>
      </c>
      <c r="L1427">
        <v>12005.3359985797</v>
      </c>
      <c r="M1427">
        <v>250</v>
      </c>
      <c r="O1427">
        <v>48.018271093443403</v>
      </c>
      <c r="P1427">
        <v>-0.21758457474255299</v>
      </c>
      <c r="Q1427">
        <v>0.83283143917453295</v>
      </c>
      <c r="R1427">
        <v>0.80238785038585403</v>
      </c>
      <c r="S1427" t="s">
        <v>7288</v>
      </c>
      <c r="T1427" t="s">
        <v>11720</v>
      </c>
      <c r="U1427" t="s">
        <v>11720</v>
      </c>
      <c r="V1427" t="s">
        <v>11720</v>
      </c>
      <c r="W1427" t="s">
        <v>13114</v>
      </c>
      <c r="X1427">
        <v>4</v>
      </c>
      <c r="Y1427" t="s">
        <v>18898</v>
      </c>
      <c r="Z1427" t="s">
        <v>24634</v>
      </c>
      <c r="AA1427">
        <v>0.87754274530495358</v>
      </c>
      <c r="AB1427" t="str">
        <f>HYPERLINK("Melting_Curves/meltCurve_O60353_2_FZD6.pdf", "Melting_Curves/meltCurve_O60353_2_FZD6.pdf")</f>
        <v>Melting_Curves/meltCurve_O60353_2_FZD6.pdf</v>
      </c>
    </row>
    <row r="1428" spans="1:28" x14ac:dyDescent="0.25">
      <c r="A1428" t="s">
        <v>1432</v>
      </c>
      <c r="B1428">
        <v>0.99334974765950101</v>
      </c>
      <c r="C1428">
        <v>0.95118651772972995</v>
      </c>
      <c r="D1428">
        <v>0.87727535875289997</v>
      </c>
      <c r="E1428">
        <v>0.75000316002289602</v>
      </c>
      <c r="F1428">
        <v>0.61177252611655697</v>
      </c>
      <c r="G1428">
        <v>0.426306059252059</v>
      </c>
      <c r="H1428">
        <v>0.44944205790060798</v>
      </c>
      <c r="I1428">
        <v>0.37176253537222498</v>
      </c>
      <c r="J1428">
        <v>0.40178443537112501</v>
      </c>
      <c r="K1428">
        <v>0.21442437680943799</v>
      </c>
      <c r="L1428">
        <v>584.627171104799</v>
      </c>
      <c r="M1428">
        <v>11.104847468037599</v>
      </c>
      <c r="N1428">
        <v>56.472431859048598</v>
      </c>
      <c r="O1428">
        <v>51.025390849334897</v>
      </c>
      <c r="P1428">
        <v>-4.0036635963213697E-2</v>
      </c>
      <c r="Q1428">
        <v>0.26438585913193302</v>
      </c>
      <c r="R1428">
        <v>0.96793613338444895</v>
      </c>
      <c r="S1428" t="s">
        <v>7289</v>
      </c>
      <c r="T1428" t="s">
        <v>11720</v>
      </c>
      <c r="U1428" t="s">
        <v>11720</v>
      </c>
      <c r="V1428" t="s">
        <v>11720</v>
      </c>
      <c r="W1428" t="s">
        <v>13115</v>
      </c>
      <c r="X1428">
        <v>3</v>
      </c>
      <c r="Y1428" t="s">
        <v>18899</v>
      </c>
      <c r="Z1428" t="s">
        <v>24635</v>
      </c>
      <c r="AA1428">
        <v>0.59796323253980532</v>
      </c>
      <c r="AB1428" t="str">
        <f>HYPERLINK("Melting_Curves/meltCurve_O60427_FADS1.pdf", "Melting_Curves/meltCurve_O60427_FADS1.pdf")</f>
        <v>Melting_Curves/meltCurve_O60427_FADS1.pdf</v>
      </c>
    </row>
    <row r="1429" spans="1:28" x14ac:dyDescent="0.25">
      <c r="A1429" t="s">
        <v>1433</v>
      </c>
      <c r="B1429">
        <v>0.99334974765950101</v>
      </c>
      <c r="C1429">
        <v>1.0041730458512299</v>
      </c>
      <c r="D1429">
        <v>0.94369399772733997</v>
      </c>
      <c r="E1429">
        <v>0.81835741845397203</v>
      </c>
      <c r="F1429">
        <v>0.51527278999931803</v>
      </c>
      <c r="G1429">
        <v>0.230462309372574</v>
      </c>
      <c r="H1429">
        <v>0.128991786999202</v>
      </c>
      <c r="I1429">
        <v>8.5481402616584407E-2</v>
      </c>
      <c r="J1429">
        <v>8.0784029959051498E-2</v>
      </c>
      <c r="K1429">
        <v>6.6973429800475007E-2</v>
      </c>
      <c r="L1429">
        <v>1171.81341597145</v>
      </c>
      <c r="M1429">
        <v>22.1417815327247</v>
      </c>
      <c r="N1429">
        <v>53.286921298110599</v>
      </c>
      <c r="O1429">
        <v>52.497166707414998</v>
      </c>
      <c r="P1429">
        <v>-9.8049381061680804E-2</v>
      </c>
      <c r="Q1429">
        <v>7.01376947141302E-2</v>
      </c>
      <c r="R1429">
        <v>0.99907728723106903</v>
      </c>
      <c r="S1429" t="s">
        <v>7290</v>
      </c>
      <c r="T1429" t="s">
        <v>11720</v>
      </c>
      <c r="U1429" t="s">
        <v>11720</v>
      </c>
      <c r="V1429" t="s">
        <v>11720</v>
      </c>
      <c r="W1429" t="s">
        <v>13116</v>
      </c>
      <c r="X1429">
        <v>19</v>
      </c>
      <c r="Y1429" t="s">
        <v>18900</v>
      </c>
      <c r="Z1429" t="s">
        <v>24636</v>
      </c>
      <c r="AA1429">
        <v>0.48139858732601698</v>
      </c>
      <c r="AB1429" t="str">
        <f>HYPERLINK("Melting_Curves/meltCurve_O60443_DFNA5.pdf", "Melting_Curves/meltCurve_O60443_DFNA5.pdf")</f>
        <v>Melting_Curves/meltCurve_O60443_DFNA5.pdf</v>
      </c>
    </row>
    <row r="1430" spans="1:28" x14ac:dyDescent="0.25">
      <c r="A1430" t="s">
        <v>1434</v>
      </c>
      <c r="B1430">
        <v>0.99334974765950101</v>
      </c>
      <c r="C1430">
        <v>0.97583170338564396</v>
      </c>
      <c r="D1430">
        <v>0.90816374185584203</v>
      </c>
      <c r="E1430">
        <v>0.86395566583304295</v>
      </c>
      <c r="F1430">
        <v>1.05056922265678</v>
      </c>
      <c r="G1430">
        <v>0.81636051094231199</v>
      </c>
      <c r="H1430">
        <v>0.679774544786242</v>
      </c>
      <c r="I1430">
        <v>0.67607216001574799</v>
      </c>
      <c r="J1430">
        <v>0.63593177534910295</v>
      </c>
      <c r="K1430">
        <v>0.46984606943684598</v>
      </c>
      <c r="L1430">
        <v>487.50958111316601</v>
      </c>
      <c r="M1430">
        <v>6.9448477011855898</v>
      </c>
      <c r="O1430">
        <v>65.070655415574606</v>
      </c>
      <c r="P1430">
        <v>-2.6732873241926001E-2</v>
      </c>
      <c r="Q1430">
        <v>0</v>
      </c>
      <c r="R1430">
        <v>0.87102401488040104</v>
      </c>
      <c r="S1430" t="s">
        <v>7291</v>
      </c>
      <c r="T1430" t="s">
        <v>11720</v>
      </c>
      <c r="U1430" t="s">
        <v>11720</v>
      </c>
      <c r="V1430" t="s">
        <v>11720</v>
      </c>
      <c r="W1430" t="s">
        <v>13117</v>
      </c>
      <c r="X1430">
        <v>2</v>
      </c>
      <c r="Y1430" t="s">
        <v>18901</v>
      </c>
      <c r="Z1430" t="s">
        <v>24637</v>
      </c>
      <c r="AA1430">
        <v>0.82580673084496503</v>
      </c>
      <c r="AB1430" t="str">
        <f>HYPERLINK("Melting_Curves/meltCurve_O60449_3_LY75.pdf", "Melting_Curves/meltCurve_O60449_3_LY75.pdf")</f>
        <v>Melting_Curves/meltCurve_O60449_3_LY75.pdf</v>
      </c>
    </row>
    <row r="1431" spans="1:28" x14ac:dyDescent="0.25">
      <c r="A1431" t="s">
        <v>1435</v>
      </c>
      <c r="B1431">
        <v>0.99334974765950101</v>
      </c>
      <c r="C1431">
        <v>0.91774655764128898</v>
      </c>
      <c r="D1431">
        <v>0.96180943364948701</v>
      </c>
      <c r="E1431">
        <v>1.1064618895737801</v>
      </c>
      <c r="F1431">
        <v>0.87796864811958897</v>
      </c>
      <c r="G1431">
        <v>0.20326820210230101</v>
      </c>
      <c r="H1431">
        <v>0.15172844285805001</v>
      </c>
      <c r="I1431">
        <v>9.4677615092279302E-2</v>
      </c>
      <c r="J1431">
        <v>9.8665576342965397E-2</v>
      </c>
      <c r="K1431">
        <v>3.36822522226565E-2</v>
      </c>
      <c r="L1431">
        <v>2957.4483354662598</v>
      </c>
      <c r="M1431">
        <v>53.867877735805898</v>
      </c>
      <c r="N1431">
        <v>55.113469247677202</v>
      </c>
      <c r="O1431">
        <v>54.826378808424103</v>
      </c>
      <c r="P1431">
        <v>-0.22268588665254599</v>
      </c>
      <c r="Q1431">
        <v>9.3407461845029502E-2</v>
      </c>
      <c r="R1431">
        <v>0.98549865764871603</v>
      </c>
      <c r="S1431" t="s">
        <v>7292</v>
      </c>
      <c r="T1431" t="s">
        <v>11720</v>
      </c>
      <c r="U1431" t="s">
        <v>11720</v>
      </c>
      <c r="V1431" t="s">
        <v>11720</v>
      </c>
      <c r="W1431" t="s">
        <v>13118</v>
      </c>
      <c r="X1431">
        <v>5</v>
      </c>
      <c r="Y1431" t="s">
        <v>18902</v>
      </c>
      <c r="Z1431" t="s">
        <v>24638</v>
      </c>
      <c r="AA1431">
        <v>0.54562850936987095</v>
      </c>
      <c r="AB1431" t="str">
        <f>HYPERLINK("Melting_Curves/meltCurve_O60476_MAN1A2.pdf", "Melting_Curves/meltCurve_O60476_MAN1A2.pdf")</f>
        <v>Melting_Curves/meltCurve_O60476_MAN1A2.pdf</v>
      </c>
    </row>
    <row r="1432" spans="1:28" x14ac:dyDescent="0.25">
      <c r="A1432" t="s">
        <v>1436</v>
      </c>
      <c r="B1432">
        <v>0.99334974765950101</v>
      </c>
      <c r="C1432">
        <v>0.78753413335908595</v>
      </c>
      <c r="D1432">
        <v>0.48750224345549797</v>
      </c>
      <c r="E1432">
        <v>0.21162619961704701</v>
      </c>
      <c r="F1432">
        <v>0.116414078609344</v>
      </c>
      <c r="G1432">
        <v>7.1890604635495695E-2</v>
      </c>
      <c r="H1432">
        <v>5.4006636080933201E-2</v>
      </c>
      <c r="I1432">
        <v>4.7099707911054299E-2</v>
      </c>
      <c r="J1432">
        <v>4.6147477071531502E-2</v>
      </c>
      <c r="K1432">
        <v>3.2082186346309903E-2</v>
      </c>
      <c r="L1432">
        <v>900.63062346992695</v>
      </c>
      <c r="M1432">
        <v>19.677575412984002</v>
      </c>
      <c r="N1432">
        <v>45.997152737344798</v>
      </c>
      <c r="O1432">
        <v>45.304557361379501</v>
      </c>
      <c r="P1432">
        <v>-0.103547973946108</v>
      </c>
      <c r="Q1432">
        <v>4.6420682302064503E-2</v>
      </c>
      <c r="R1432">
        <v>0.99733984940501197</v>
      </c>
      <c r="S1432" t="s">
        <v>7293</v>
      </c>
      <c r="T1432" t="s">
        <v>11720</v>
      </c>
      <c r="U1432" t="s">
        <v>11720</v>
      </c>
      <c r="V1432" t="s">
        <v>11720</v>
      </c>
      <c r="W1432" t="s">
        <v>13119</v>
      </c>
      <c r="X1432">
        <v>34</v>
      </c>
      <c r="Y1432" t="s">
        <v>18903</v>
      </c>
      <c r="Z1432" t="s">
        <v>24639</v>
      </c>
      <c r="AA1432">
        <v>0.24537609944600941</v>
      </c>
      <c r="AB1432" t="str">
        <f>HYPERLINK("Melting_Curves/meltCurve_O60488_2_ACSL4.pdf", "Melting_Curves/meltCurve_O60488_2_ACSL4.pdf")</f>
        <v>Melting_Curves/meltCurve_O60488_2_ACSL4.pdf</v>
      </c>
    </row>
    <row r="1433" spans="1:28" x14ac:dyDescent="0.25">
      <c r="A1433" t="s">
        <v>1437</v>
      </c>
      <c r="B1433">
        <v>0.99334974765950101</v>
      </c>
      <c r="C1433">
        <v>0.92596881219306804</v>
      </c>
      <c r="D1433">
        <v>0.61982834792008401</v>
      </c>
      <c r="E1433">
        <v>0.25571819470472101</v>
      </c>
      <c r="F1433">
        <v>0.16057108408023699</v>
      </c>
      <c r="G1433">
        <v>0.10386622688703601</v>
      </c>
      <c r="H1433">
        <v>8.3416803299081799E-2</v>
      </c>
      <c r="I1433">
        <v>7.5254377092755897E-2</v>
      </c>
      <c r="J1433">
        <v>8.3778982491006404E-2</v>
      </c>
      <c r="K1433">
        <v>8.7063834108631499E-2</v>
      </c>
      <c r="L1433">
        <v>1098.9754530540599</v>
      </c>
      <c r="M1433">
        <v>23.478899505708501</v>
      </c>
      <c r="N1433">
        <v>47.186156058929903</v>
      </c>
      <c r="O1433">
        <v>46.471354763243802</v>
      </c>
      <c r="P1433">
        <v>-0.11545067200384899</v>
      </c>
      <c r="Q1433">
        <v>8.5978184560348697E-2</v>
      </c>
      <c r="R1433">
        <v>0.99879524665405095</v>
      </c>
      <c r="S1433" t="s">
        <v>7294</v>
      </c>
      <c r="T1433" t="s">
        <v>11720</v>
      </c>
      <c r="U1433" t="s">
        <v>11720</v>
      </c>
      <c r="V1433" t="s">
        <v>11720</v>
      </c>
      <c r="W1433" t="s">
        <v>13120</v>
      </c>
      <c r="X1433">
        <v>15</v>
      </c>
      <c r="Y1433" t="s">
        <v>18904</v>
      </c>
      <c r="Z1433" t="s">
        <v>24640</v>
      </c>
      <c r="AA1433">
        <v>0.30279485376662368</v>
      </c>
      <c r="AB1433" t="str">
        <f>HYPERLINK("Melting_Curves/meltCurve_O60493_SNX3.pdf", "Melting_Curves/meltCurve_O60493_SNX3.pdf")</f>
        <v>Melting_Curves/meltCurve_O60493_SNX3.pdf</v>
      </c>
    </row>
    <row r="1434" spans="1:28" x14ac:dyDescent="0.25">
      <c r="A1434" t="s">
        <v>1438</v>
      </c>
      <c r="B1434">
        <v>0.99334974765950101</v>
      </c>
      <c r="C1434">
        <v>1.0022133545772101</v>
      </c>
      <c r="D1434">
        <v>1.06166333016835</v>
      </c>
      <c r="E1434">
        <v>1.0586942475855801</v>
      </c>
      <c r="F1434">
        <v>0.69068107570503201</v>
      </c>
      <c r="G1434">
        <v>0.20263966898306199</v>
      </c>
      <c r="H1434">
        <v>9.1354461140306001E-2</v>
      </c>
      <c r="I1434">
        <v>6.9081954580623106E-2</v>
      </c>
      <c r="J1434">
        <v>6.8112264264658995E-2</v>
      </c>
      <c r="K1434">
        <v>5.8966724158406703E-2</v>
      </c>
      <c r="L1434">
        <v>2200.4464949940102</v>
      </c>
      <c r="M1434">
        <v>40.691020764401202</v>
      </c>
      <c r="N1434">
        <v>54.289752825974702</v>
      </c>
      <c r="O1434">
        <v>53.946839654388903</v>
      </c>
      <c r="P1434">
        <v>-0.17466965973877699</v>
      </c>
      <c r="Q1434">
        <v>7.3716257012132094E-2</v>
      </c>
      <c r="R1434">
        <v>0.99286804612650303</v>
      </c>
      <c r="S1434" t="s">
        <v>7295</v>
      </c>
      <c r="T1434" t="s">
        <v>11720</v>
      </c>
      <c r="U1434" t="s">
        <v>11720</v>
      </c>
      <c r="V1434" t="s">
        <v>11720</v>
      </c>
      <c r="W1434" t="s">
        <v>13121</v>
      </c>
      <c r="X1434">
        <v>23</v>
      </c>
      <c r="Y1434" t="s">
        <v>18905</v>
      </c>
      <c r="Z1434" t="s">
        <v>24641</v>
      </c>
      <c r="AA1434">
        <v>0.51169682175418729</v>
      </c>
      <c r="AB1434" t="str">
        <f>HYPERLINK("Melting_Curves/meltCurve_O60502_MGEA5.pdf", "Melting_Curves/meltCurve_O60502_MGEA5.pdf")</f>
        <v>Melting_Curves/meltCurve_O60502_MGEA5.pdf</v>
      </c>
    </row>
    <row r="1435" spans="1:28" x14ac:dyDescent="0.25">
      <c r="A1435" t="s">
        <v>1439</v>
      </c>
      <c r="B1435">
        <v>0.99334974765950101</v>
      </c>
      <c r="C1435">
        <v>0.85679580393705701</v>
      </c>
      <c r="D1435">
        <v>0.91211773199768198</v>
      </c>
      <c r="E1435">
        <v>0.82298766950247204</v>
      </c>
      <c r="F1435">
        <v>0.26269454420428401</v>
      </c>
      <c r="G1435">
        <v>0.21692377078097899</v>
      </c>
      <c r="H1435">
        <v>0.131569101835285</v>
      </c>
      <c r="I1435">
        <v>0.101310355826961</v>
      </c>
      <c r="J1435">
        <v>7.2727015619742999E-2</v>
      </c>
      <c r="K1435">
        <v>5.0461843396673603E-2</v>
      </c>
      <c r="L1435">
        <v>2445.5092418711802</v>
      </c>
      <c r="M1435">
        <v>47.596570995603997</v>
      </c>
      <c r="N1435">
        <v>51.650917820208598</v>
      </c>
      <c r="O1435">
        <v>51.289491840015899</v>
      </c>
      <c r="P1435">
        <v>-0.20636626401106101</v>
      </c>
      <c r="Q1435">
        <v>0.110489710171433</v>
      </c>
      <c r="R1435">
        <v>0.96967534599794702</v>
      </c>
      <c r="S1435" t="s">
        <v>7296</v>
      </c>
      <c r="T1435" t="s">
        <v>11720</v>
      </c>
      <c r="U1435" t="s">
        <v>11720</v>
      </c>
      <c r="V1435" t="s">
        <v>11720</v>
      </c>
      <c r="W1435" t="s">
        <v>13122</v>
      </c>
      <c r="X1435">
        <v>1</v>
      </c>
      <c r="Y1435" t="s">
        <v>18906</v>
      </c>
      <c r="Z1435" t="s">
        <v>24642</v>
      </c>
      <c r="AA1435">
        <v>0.45013485065512088</v>
      </c>
      <c r="AB1435" t="str">
        <f>HYPERLINK("Melting_Curves/meltCurve_O60503_ADCY9.pdf", "Melting_Curves/meltCurve_O60503_ADCY9.pdf")</f>
        <v>Melting_Curves/meltCurve_O60503_ADCY9.pdf</v>
      </c>
    </row>
    <row r="1436" spans="1:28" x14ac:dyDescent="0.25">
      <c r="A1436" t="s">
        <v>1440</v>
      </c>
      <c r="B1436">
        <v>0.99334974765950101</v>
      </c>
      <c r="C1436">
        <v>0.94200204464939896</v>
      </c>
      <c r="D1436">
        <v>0.81605724152646297</v>
      </c>
      <c r="E1436">
        <v>0.58817521197693701</v>
      </c>
      <c r="F1436">
        <v>0.30261417311170702</v>
      </c>
      <c r="G1436">
        <v>0.18977756071624699</v>
      </c>
      <c r="H1436">
        <v>0.12928455839733599</v>
      </c>
      <c r="I1436">
        <v>0.118177404687255</v>
      </c>
      <c r="J1436">
        <v>0.12420719868774099</v>
      </c>
      <c r="K1436">
        <v>0.11518778438243001</v>
      </c>
      <c r="L1436">
        <v>895.604980207484</v>
      </c>
      <c r="M1436">
        <v>17.9432297124273</v>
      </c>
      <c r="N1436">
        <v>50.566800655020003</v>
      </c>
      <c r="O1436">
        <v>49.305670541403799</v>
      </c>
      <c r="P1436">
        <v>-8.1568194662713894E-2</v>
      </c>
      <c r="Q1436">
        <v>0.103489342267039</v>
      </c>
      <c r="R1436">
        <v>0.99666214667334896</v>
      </c>
      <c r="S1436" t="s">
        <v>7297</v>
      </c>
      <c r="T1436" t="s">
        <v>11720</v>
      </c>
      <c r="U1436" t="s">
        <v>11720</v>
      </c>
      <c r="V1436" t="s">
        <v>11720</v>
      </c>
      <c r="W1436" t="s">
        <v>13123</v>
      </c>
      <c r="X1436">
        <v>13</v>
      </c>
      <c r="Y1436" t="s">
        <v>18907</v>
      </c>
      <c r="Z1436" t="s">
        <v>24643</v>
      </c>
      <c r="AA1436">
        <v>0.4151326146546111</v>
      </c>
      <c r="AB1436" t="str">
        <f>HYPERLINK("Melting_Curves/meltCurve_O60504_2_SORBS3.pdf", "Melting_Curves/meltCurve_O60504_2_SORBS3.pdf")</f>
        <v>Melting_Curves/meltCurve_O60504_2_SORBS3.pdf</v>
      </c>
    </row>
    <row r="1437" spans="1:28" x14ac:dyDescent="0.25">
      <c r="A1437" t="s">
        <v>1441</v>
      </c>
      <c r="B1437">
        <v>0.99334974765950101</v>
      </c>
      <c r="C1437">
        <v>1.06873588816274</v>
      </c>
      <c r="D1437">
        <v>1.30855424782064</v>
      </c>
      <c r="E1437">
        <v>1.3356364405303101</v>
      </c>
      <c r="F1437">
        <v>0.62426780553526595</v>
      </c>
      <c r="G1437">
        <v>0.27010413433966202</v>
      </c>
      <c r="H1437">
        <v>0.17665416178344301</v>
      </c>
      <c r="I1437">
        <v>0.123390992391327</v>
      </c>
      <c r="J1437">
        <v>0.109893911720118</v>
      </c>
      <c r="K1437">
        <v>7.4735018424205296E-2</v>
      </c>
      <c r="L1437">
        <v>13262.2366531931</v>
      </c>
      <c r="M1437">
        <v>250</v>
      </c>
      <c r="N1437">
        <v>53.125320594593902</v>
      </c>
      <c r="O1437">
        <v>53.045551844846301</v>
      </c>
      <c r="P1437">
        <v>-1.0003717902195599</v>
      </c>
      <c r="Q1437">
        <v>0.15095562260451501</v>
      </c>
      <c r="R1437">
        <v>0.90373392185658097</v>
      </c>
      <c r="S1437" t="s">
        <v>7298</v>
      </c>
      <c r="T1437" t="s">
        <v>11720</v>
      </c>
      <c r="U1437" t="s">
        <v>11720</v>
      </c>
      <c r="V1437" t="s">
        <v>11720</v>
      </c>
      <c r="W1437" t="s">
        <v>13124</v>
      </c>
      <c r="X1437">
        <v>9</v>
      </c>
      <c r="Y1437" t="s">
        <v>18908</v>
      </c>
      <c r="Z1437" t="s">
        <v>24644</v>
      </c>
      <c r="AA1437">
        <v>0.52033916045058259</v>
      </c>
      <c r="AB1437" t="str">
        <f>HYPERLINK("Melting_Curves/meltCurve_O60506_4_SYNCRIP.pdf", "Melting_Curves/meltCurve_O60506_4_SYNCRIP.pdf")</f>
        <v>Melting_Curves/meltCurve_O60506_4_SYNCRIP.pdf</v>
      </c>
    </row>
    <row r="1438" spans="1:28" x14ac:dyDescent="0.25">
      <c r="A1438" t="s">
        <v>1442</v>
      </c>
      <c r="B1438">
        <v>0.99334974765950101</v>
      </c>
      <c r="C1438">
        <v>0.98779166270037899</v>
      </c>
      <c r="D1438">
        <v>0.95195604589441896</v>
      </c>
      <c r="E1438">
        <v>0.93779731385879905</v>
      </c>
      <c r="F1438">
        <v>0.58765608198028196</v>
      </c>
      <c r="G1438">
        <v>0.33217325315333701</v>
      </c>
      <c r="H1438">
        <v>0.22622572436336</v>
      </c>
      <c r="I1438">
        <v>0.265354557251684</v>
      </c>
      <c r="J1438">
        <v>0.19684667246215301</v>
      </c>
      <c r="K1438">
        <v>0.17075142949748201</v>
      </c>
      <c r="L1438">
        <v>1600.66327243366</v>
      </c>
      <c r="M1438">
        <v>30.141386038829399</v>
      </c>
      <c r="N1438">
        <v>54.104062273820198</v>
      </c>
      <c r="O1438">
        <v>52.873074154480904</v>
      </c>
      <c r="P1438">
        <v>-0.112106568066524</v>
      </c>
      <c r="Q1438">
        <v>0.21339005117522</v>
      </c>
      <c r="R1438">
        <v>0.99173465419302198</v>
      </c>
      <c r="S1438" t="s">
        <v>7299</v>
      </c>
      <c r="T1438" t="s">
        <v>11720</v>
      </c>
      <c r="U1438" t="s">
        <v>11720</v>
      </c>
      <c r="V1438" t="s">
        <v>11720</v>
      </c>
      <c r="W1438" t="s">
        <v>13125</v>
      </c>
      <c r="X1438">
        <v>5</v>
      </c>
      <c r="Y1438" t="s">
        <v>18909</v>
      </c>
      <c r="Z1438" t="s">
        <v>24645</v>
      </c>
      <c r="AA1438">
        <v>0.5620736546164038</v>
      </c>
      <c r="AB1438" t="str">
        <f>HYPERLINK("Melting_Curves/meltCurve_O60507_TPST1.pdf", "Melting_Curves/meltCurve_O60507_TPST1.pdf")</f>
        <v>Melting_Curves/meltCurve_O60507_TPST1.pdf</v>
      </c>
    </row>
    <row r="1439" spans="1:28" x14ac:dyDescent="0.25">
      <c r="A1439" t="s">
        <v>1443</v>
      </c>
      <c r="B1439">
        <v>0.99334974765950101</v>
      </c>
      <c r="C1439">
        <v>0.77432476485532198</v>
      </c>
      <c r="D1439">
        <v>0.74368976069179005</v>
      </c>
      <c r="E1439">
        <v>0.56177062936702404</v>
      </c>
      <c r="F1439">
        <v>0.16520154625389</v>
      </c>
      <c r="G1439">
        <v>6.2220540183487501E-2</v>
      </c>
      <c r="H1439">
        <v>0</v>
      </c>
      <c r="I1439">
        <v>5.5899836838980803E-2</v>
      </c>
      <c r="J1439">
        <v>5.1679422530208997E-2</v>
      </c>
      <c r="K1439">
        <v>0</v>
      </c>
      <c r="L1439">
        <v>745.54557066051098</v>
      </c>
      <c r="M1439">
        <v>15.170528106532</v>
      </c>
      <c r="N1439">
        <v>49.144338129789702</v>
      </c>
      <c r="O1439">
        <v>48.314137190202899</v>
      </c>
      <c r="P1439">
        <v>-7.8507011998237106E-2</v>
      </c>
      <c r="Q1439">
        <v>0</v>
      </c>
      <c r="R1439">
        <v>0.96510916685125703</v>
      </c>
      <c r="S1439" t="s">
        <v>7300</v>
      </c>
      <c r="T1439" t="s">
        <v>11720</v>
      </c>
      <c r="U1439" t="s">
        <v>11720</v>
      </c>
      <c r="V1439" t="s">
        <v>11720</v>
      </c>
      <c r="W1439" t="s">
        <v>13126</v>
      </c>
      <c r="X1439">
        <v>2</v>
      </c>
      <c r="Y1439" t="s">
        <v>18910</v>
      </c>
      <c r="Z1439" t="s">
        <v>24646</v>
      </c>
      <c r="AA1439">
        <v>0.32884765427028578</v>
      </c>
      <c r="AB1439" t="str">
        <f>HYPERLINK("Melting_Curves/meltCurve_O60513_B4GALT4.pdf", "Melting_Curves/meltCurve_O60513_B4GALT4.pdf")</f>
        <v>Melting_Curves/meltCurve_O60513_B4GALT4.pdf</v>
      </c>
    </row>
    <row r="1440" spans="1:28" x14ac:dyDescent="0.25">
      <c r="A1440" t="s">
        <v>1444</v>
      </c>
      <c r="B1440">
        <v>0.99334974765950101</v>
      </c>
      <c r="C1440">
        <v>0.90303956313251899</v>
      </c>
      <c r="D1440">
        <v>0.78765409811994602</v>
      </c>
      <c r="E1440">
        <v>0.60405566209526396</v>
      </c>
      <c r="F1440">
        <v>0.22555497885023801</v>
      </c>
      <c r="G1440">
        <v>0.20892823465031399</v>
      </c>
      <c r="H1440">
        <v>0.18444356119677999</v>
      </c>
      <c r="I1440">
        <v>0.15367515445621199</v>
      </c>
      <c r="J1440">
        <v>0.116047458632368</v>
      </c>
      <c r="K1440">
        <v>0.120866661796139</v>
      </c>
      <c r="L1440">
        <v>866.44778565096897</v>
      </c>
      <c r="M1440">
        <v>17.543130934581299</v>
      </c>
      <c r="N1440">
        <v>50.190682938899599</v>
      </c>
      <c r="O1440">
        <v>48.761222229905798</v>
      </c>
      <c r="P1440">
        <v>-7.8965133557671194E-2</v>
      </c>
      <c r="Q1440">
        <v>0.12211196349579501</v>
      </c>
      <c r="R1440">
        <v>0.98041079136841203</v>
      </c>
      <c r="S1440" t="s">
        <v>7301</v>
      </c>
      <c r="T1440" t="s">
        <v>11720</v>
      </c>
      <c r="U1440" t="s">
        <v>11720</v>
      </c>
      <c r="V1440" t="s">
        <v>11720</v>
      </c>
      <c r="W1440" t="s">
        <v>13127</v>
      </c>
      <c r="X1440">
        <v>4</v>
      </c>
      <c r="Y1440" t="s">
        <v>18911</v>
      </c>
      <c r="Z1440" t="s">
        <v>24647</v>
      </c>
      <c r="AA1440">
        <v>0.41275828694912498</v>
      </c>
      <c r="AB1440" t="str">
        <f>HYPERLINK("Melting_Curves/meltCurve_O60518_RANBP6.pdf", "Melting_Curves/meltCurve_O60518_RANBP6.pdf")</f>
        <v>Melting_Curves/meltCurve_O60518_RANBP6.pdf</v>
      </c>
    </row>
    <row r="1441" spans="1:28" x14ac:dyDescent="0.25">
      <c r="A1441" t="s">
        <v>1445</v>
      </c>
      <c r="B1441">
        <v>0.99334974765950101</v>
      </c>
      <c r="C1441">
        <v>1.09448004656884</v>
      </c>
      <c r="D1441">
        <v>1.26506812825196</v>
      </c>
      <c r="E1441">
        <v>1.22212051213782</v>
      </c>
      <c r="F1441">
        <v>0.82324721473088602</v>
      </c>
      <c r="G1441">
        <v>0.27322582809364498</v>
      </c>
      <c r="H1441">
        <v>0.14851489180454</v>
      </c>
      <c r="I1441">
        <v>0.115431233740381</v>
      </c>
      <c r="J1441">
        <v>0.10172032712008899</v>
      </c>
      <c r="K1441">
        <v>7.7814976907409905E-2</v>
      </c>
      <c r="L1441">
        <v>2457.48077805719</v>
      </c>
      <c r="M1441">
        <v>44.697661924207502</v>
      </c>
      <c r="N1441">
        <v>55.2855186250111</v>
      </c>
      <c r="O1441">
        <v>54.870364149364804</v>
      </c>
      <c r="P1441">
        <v>-0.181368779129056</v>
      </c>
      <c r="Q1441">
        <v>0.10941582341959299</v>
      </c>
      <c r="R1441">
        <v>0.94170104581035297</v>
      </c>
      <c r="S1441" t="s">
        <v>7302</v>
      </c>
      <c r="T1441" t="s">
        <v>11720</v>
      </c>
      <c r="U1441" t="s">
        <v>11720</v>
      </c>
      <c r="V1441" t="s">
        <v>11720</v>
      </c>
      <c r="W1441" t="s">
        <v>13128</v>
      </c>
      <c r="X1441">
        <v>15</v>
      </c>
      <c r="Y1441" t="s">
        <v>18912</v>
      </c>
      <c r="Z1441" t="s">
        <v>24648</v>
      </c>
      <c r="AA1441">
        <v>0.55681860698185914</v>
      </c>
      <c r="AB1441" t="str">
        <f>HYPERLINK("Melting_Curves/meltCurve_O60547_2_GMDS.pdf", "Melting_Curves/meltCurve_O60547_2_GMDS.pdf")</f>
        <v>Melting_Curves/meltCurve_O60547_2_GMDS.pdf</v>
      </c>
    </row>
    <row r="1442" spans="1:28" x14ac:dyDescent="0.25">
      <c r="A1442" t="s">
        <v>1446</v>
      </c>
      <c r="B1442">
        <v>0.99334974765950101</v>
      </c>
      <c r="C1442">
        <v>1.11565416671999</v>
      </c>
      <c r="D1442">
        <v>1.0449824880517999</v>
      </c>
      <c r="E1442">
        <v>0.75790103850212398</v>
      </c>
      <c r="F1442">
        <v>0.36967225961212702</v>
      </c>
      <c r="G1442">
        <v>0.21816788818896701</v>
      </c>
      <c r="H1442">
        <v>0.183707077559878</v>
      </c>
      <c r="I1442">
        <v>0.28125407471869801</v>
      </c>
      <c r="J1442">
        <v>0.20233152075316499</v>
      </c>
      <c r="K1442">
        <v>0.19426844513762401</v>
      </c>
      <c r="L1442">
        <v>2068.7035371082702</v>
      </c>
      <c r="M1442">
        <v>40.509969093028801</v>
      </c>
      <c r="N1442">
        <v>51.782892181278697</v>
      </c>
      <c r="O1442">
        <v>50.942560755232499</v>
      </c>
      <c r="P1442">
        <v>-0.15615673781450401</v>
      </c>
      <c r="Q1442">
        <v>0.21451350275586001</v>
      </c>
      <c r="R1442">
        <v>0.98381771533189699</v>
      </c>
      <c r="S1442" t="s">
        <v>7303</v>
      </c>
      <c r="T1442" t="s">
        <v>11720</v>
      </c>
      <c r="U1442" t="s">
        <v>11720</v>
      </c>
      <c r="V1442" t="s">
        <v>11720</v>
      </c>
      <c r="W1442" t="s">
        <v>13129</v>
      </c>
      <c r="X1442">
        <v>10</v>
      </c>
      <c r="Y1442" t="s">
        <v>18913</v>
      </c>
      <c r="Z1442" t="s">
        <v>24649</v>
      </c>
      <c r="AA1442">
        <v>0.50696972653711014</v>
      </c>
      <c r="AB1442" t="str">
        <f>HYPERLINK("Melting_Curves/meltCurve_O60551_NMT2.pdf", "Melting_Curves/meltCurve_O60551_NMT2.pdf")</f>
        <v>Melting_Curves/meltCurve_O60551_NMT2.pdf</v>
      </c>
    </row>
    <row r="1443" spans="1:28" x14ac:dyDescent="0.25">
      <c r="A1443" t="s">
        <v>1447</v>
      </c>
      <c r="B1443">
        <v>0.99334974765950101</v>
      </c>
      <c r="C1443">
        <v>0.99058791480048503</v>
      </c>
      <c r="D1443">
        <v>1.21007668270365</v>
      </c>
      <c r="E1443">
        <v>1.3327413895277</v>
      </c>
      <c r="F1443">
        <v>0.89195044755030695</v>
      </c>
      <c r="G1443">
        <v>0.34047811318868598</v>
      </c>
      <c r="H1443">
        <v>0.22504337842000099</v>
      </c>
      <c r="I1443">
        <v>0.21096208601593799</v>
      </c>
      <c r="J1443">
        <v>0.157883241174163</v>
      </c>
      <c r="K1443">
        <v>0.126173306609146</v>
      </c>
      <c r="L1443">
        <v>2770.1951661297398</v>
      </c>
      <c r="M1443">
        <v>50.028502651871399</v>
      </c>
      <c r="N1443">
        <v>55.8638103729172</v>
      </c>
      <c r="O1443">
        <v>55.284077524174698</v>
      </c>
      <c r="P1443">
        <v>-0.185958660227903</v>
      </c>
      <c r="Q1443">
        <v>0.178025015816309</v>
      </c>
      <c r="R1443">
        <v>0.92029804775865698</v>
      </c>
      <c r="S1443" t="s">
        <v>7304</v>
      </c>
      <c r="T1443" t="s">
        <v>11720</v>
      </c>
      <c r="U1443" t="s">
        <v>11720</v>
      </c>
      <c r="V1443" t="s">
        <v>11720</v>
      </c>
      <c r="W1443" t="s">
        <v>13130</v>
      </c>
      <c r="X1443">
        <v>26</v>
      </c>
      <c r="Y1443" t="s">
        <v>18914</v>
      </c>
      <c r="Z1443" t="s">
        <v>24650</v>
      </c>
      <c r="AA1443">
        <v>0.60121816226065283</v>
      </c>
      <c r="AB1443" t="str">
        <f>HYPERLINK("Melting_Curves/meltCurve_O60568_PLOD3.pdf", "Melting_Curves/meltCurve_O60568_PLOD3.pdf")</f>
        <v>Melting_Curves/meltCurve_O60568_PLOD3.pdf</v>
      </c>
    </row>
    <row r="1444" spans="1:28" x14ac:dyDescent="0.25">
      <c r="A1444" t="s">
        <v>1448</v>
      </c>
      <c r="B1444">
        <v>0.99334974765950101</v>
      </c>
      <c r="C1444">
        <v>0.98990920445712705</v>
      </c>
      <c r="D1444">
        <v>1.1487232046615601</v>
      </c>
      <c r="E1444">
        <v>1.28306308444104</v>
      </c>
      <c r="F1444">
        <v>0.55275810308834294</v>
      </c>
      <c r="G1444">
        <v>0.22735382719455599</v>
      </c>
      <c r="H1444">
        <v>0.19064376623969501</v>
      </c>
      <c r="I1444">
        <v>0.30856258912977602</v>
      </c>
      <c r="J1444">
        <v>0.30907659822619798</v>
      </c>
      <c r="K1444">
        <v>0.29396307651585002</v>
      </c>
      <c r="L1444">
        <v>13226.4585736607</v>
      </c>
      <c r="M1444">
        <v>250</v>
      </c>
      <c r="N1444">
        <v>53.066935888039602</v>
      </c>
      <c r="O1444">
        <v>52.902454199329703</v>
      </c>
      <c r="P1444">
        <v>-0.86725673609237097</v>
      </c>
      <c r="Q1444">
        <v>0.26591992126823399</v>
      </c>
      <c r="R1444">
        <v>0.93037432724888702</v>
      </c>
      <c r="S1444" t="s">
        <v>7305</v>
      </c>
      <c r="T1444" t="s">
        <v>11720</v>
      </c>
      <c r="U1444" t="s">
        <v>11720</v>
      </c>
      <c r="V1444" t="s">
        <v>11720</v>
      </c>
      <c r="W1444" t="s">
        <v>13131</v>
      </c>
      <c r="X1444">
        <v>6</v>
      </c>
      <c r="Y1444" t="s">
        <v>18915</v>
      </c>
      <c r="Z1444" t="s">
        <v>24651</v>
      </c>
      <c r="AA1444">
        <v>0.58178527497799926</v>
      </c>
      <c r="AB1444" t="str">
        <f>HYPERLINK("Melting_Curves/meltCurve_O60613_SEP15.pdf", "Melting_Curves/meltCurve_O60613_SEP15.pdf")</f>
        <v>Melting_Curves/meltCurve_O60613_SEP15.pdf</v>
      </c>
    </row>
    <row r="1445" spans="1:28" x14ac:dyDescent="0.25">
      <c r="A1445" t="s">
        <v>1449</v>
      </c>
      <c r="B1445">
        <v>0.99334974765950101</v>
      </c>
      <c r="C1445">
        <v>1.10387455768105</v>
      </c>
      <c r="D1445">
        <v>0.82414180759943501</v>
      </c>
      <c r="E1445">
        <v>0.91320713775092299</v>
      </c>
      <c r="F1445">
        <v>0.75790173185115595</v>
      </c>
      <c r="G1445">
        <v>0.80301207171420497</v>
      </c>
      <c r="H1445">
        <v>0.761776450400099</v>
      </c>
      <c r="I1445">
        <v>0.96750769512275703</v>
      </c>
      <c r="J1445">
        <v>1.1093130427130999</v>
      </c>
      <c r="K1445">
        <v>0.90881803853396304</v>
      </c>
      <c r="L1445">
        <v>11113.8356094234</v>
      </c>
      <c r="M1445">
        <v>250</v>
      </c>
      <c r="O1445">
        <v>44.452497570123199</v>
      </c>
      <c r="P1445">
        <v>-0.16772190658917599</v>
      </c>
      <c r="Q1445">
        <v>0.88070947776296904</v>
      </c>
      <c r="R1445">
        <v>0.26681545269003698</v>
      </c>
      <c r="S1445" t="s">
        <v>7306</v>
      </c>
      <c r="T1445" t="s">
        <v>11720</v>
      </c>
      <c r="U1445" t="s">
        <v>11720</v>
      </c>
      <c r="V1445" t="s">
        <v>11720</v>
      </c>
      <c r="W1445" t="s">
        <v>13132</v>
      </c>
      <c r="X1445">
        <v>2</v>
      </c>
      <c r="Y1445" t="s">
        <v>18916</v>
      </c>
      <c r="Z1445" t="s">
        <v>24652</v>
      </c>
      <c r="AA1445">
        <v>0.89843478882729333</v>
      </c>
      <c r="AB1445" t="str">
        <f>HYPERLINK("Melting_Curves/meltCurve_O60637_3_TSPAN3.pdf", "Melting_Curves/meltCurve_O60637_3_TSPAN3.pdf")</f>
        <v>Melting_Curves/meltCurve_O60637_3_TSPAN3.pdf</v>
      </c>
    </row>
    <row r="1446" spans="1:28" x14ac:dyDescent="0.25">
      <c r="A1446" t="s">
        <v>1450</v>
      </c>
      <c r="B1446">
        <v>0.99334974765950101</v>
      </c>
      <c r="C1446">
        <v>0.99520266524487799</v>
      </c>
      <c r="D1446">
        <v>1.2864519226089699</v>
      </c>
      <c r="E1446">
        <v>0.93760793518042895</v>
      </c>
      <c r="F1446">
        <v>0.28756151558497201</v>
      </c>
      <c r="G1446">
        <v>0.214652793171446</v>
      </c>
      <c r="H1446">
        <v>0.126507438794215</v>
      </c>
      <c r="I1446">
        <v>0.165081613477571</v>
      </c>
      <c r="J1446">
        <v>8.9238683508398906E-2</v>
      </c>
      <c r="K1446">
        <v>5.64529917509718E-2</v>
      </c>
      <c r="L1446">
        <v>3562.7520754883499</v>
      </c>
      <c r="M1446">
        <v>68.713820083306103</v>
      </c>
      <c r="N1446">
        <v>52.0767540929128</v>
      </c>
      <c r="O1446">
        <v>51.805270978477502</v>
      </c>
      <c r="P1446">
        <v>-0.28858624067083699</v>
      </c>
      <c r="Q1446">
        <v>0.12970725292065299</v>
      </c>
      <c r="R1446">
        <v>0.95225729994547603</v>
      </c>
      <c r="S1446" t="s">
        <v>7307</v>
      </c>
      <c r="T1446" t="s">
        <v>11720</v>
      </c>
      <c r="U1446" t="s">
        <v>11720</v>
      </c>
      <c r="V1446" t="s">
        <v>11720</v>
      </c>
      <c r="W1446" t="s">
        <v>13133</v>
      </c>
      <c r="X1446">
        <v>2</v>
      </c>
      <c r="Y1446" t="s">
        <v>18917</v>
      </c>
      <c r="Z1446" t="s">
        <v>24653</v>
      </c>
      <c r="AA1446">
        <v>0.47449889205497031</v>
      </c>
      <c r="AB1446" t="str">
        <f>HYPERLINK("Melting_Curves/meltCurve_O60645_2_EXOC3.pdf", "Melting_Curves/meltCurve_O60645_2_EXOC3.pdf")</f>
        <v>Melting_Curves/meltCurve_O60645_2_EXOC3.pdf</v>
      </c>
    </row>
    <row r="1447" spans="1:28" x14ac:dyDescent="0.25">
      <c r="A1447" t="s">
        <v>1451</v>
      </c>
      <c r="B1447">
        <v>0.99334974765950101</v>
      </c>
      <c r="C1447">
        <v>0.93909124231484697</v>
      </c>
      <c r="D1447">
        <v>1.11474291879493</v>
      </c>
      <c r="E1447">
        <v>0.93043076689177895</v>
      </c>
      <c r="F1447">
        <v>0.88622293048260603</v>
      </c>
      <c r="G1447">
        <v>0.71972566093294699</v>
      </c>
      <c r="H1447">
        <v>0.53512935511356297</v>
      </c>
      <c r="I1447">
        <v>0.58458867064269404</v>
      </c>
      <c r="J1447">
        <v>0.32634485699263799</v>
      </c>
      <c r="K1447">
        <v>0.24251583637579199</v>
      </c>
      <c r="L1447">
        <v>658.58127552135795</v>
      </c>
      <c r="M1447">
        <v>10.4242320937553</v>
      </c>
      <c r="N1447">
        <v>63.177931370542296</v>
      </c>
      <c r="O1447">
        <v>60.985605551201303</v>
      </c>
      <c r="P1447">
        <v>-4.2750072377522298E-2</v>
      </c>
      <c r="Q1447">
        <v>0</v>
      </c>
      <c r="R1447">
        <v>0.94776229291763103</v>
      </c>
      <c r="S1447" t="s">
        <v>7308</v>
      </c>
      <c r="T1447" t="s">
        <v>11720</v>
      </c>
      <c r="U1447" t="s">
        <v>11720</v>
      </c>
      <c r="V1447" t="s">
        <v>11720</v>
      </c>
      <c r="W1447" t="s">
        <v>13134</v>
      </c>
      <c r="X1447">
        <v>19</v>
      </c>
      <c r="Y1447" t="s">
        <v>18918</v>
      </c>
      <c r="Z1447" t="s">
        <v>24654</v>
      </c>
      <c r="AA1447">
        <v>0.74239939136211208</v>
      </c>
      <c r="AB1447" t="str">
        <f>HYPERLINK("Melting_Curves/meltCurve_O60664_2_PLIN3.pdf", "Melting_Curves/meltCurve_O60664_2_PLIN3.pdf")</f>
        <v>Melting_Curves/meltCurve_O60664_2_PLIN3.pdf</v>
      </c>
    </row>
    <row r="1448" spans="1:28" x14ac:dyDescent="0.25">
      <c r="A1448" t="s">
        <v>1452</v>
      </c>
      <c r="B1448">
        <v>0.99334974765950101</v>
      </c>
      <c r="C1448">
        <v>1.0797975488206</v>
      </c>
      <c r="D1448">
        <v>0.83142377124462497</v>
      </c>
      <c r="E1448">
        <v>0.84683392839946603</v>
      </c>
      <c r="F1448">
        <v>1.0435767622038801</v>
      </c>
      <c r="G1448">
        <v>0.50707941565742998</v>
      </c>
      <c r="H1448">
        <v>0.36934871367039601</v>
      </c>
      <c r="I1448">
        <v>0.30239475315526398</v>
      </c>
      <c r="J1448">
        <v>0.28894592448188899</v>
      </c>
      <c r="K1448">
        <v>0.17716953078396999</v>
      </c>
      <c r="L1448">
        <v>6112.6298590269498</v>
      </c>
      <c r="M1448">
        <v>108.031538505192</v>
      </c>
      <c r="N1448">
        <v>57.025783897329497</v>
      </c>
      <c r="O1448">
        <v>56.562520030534202</v>
      </c>
      <c r="P1448">
        <v>-0.34171832187948498</v>
      </c>
      <c r="Q1448">
        <v>0.28434052223748701</v>
      </c>
      <c r="R1448">
        <v>0.928142973387859</v>
      </c>
      <c r="S1448" t="s">
        <v>7309</v>
      </c>
      <c r="T1448" t="s">
        <v>11720</v>
      </c>
      <c r="U1448" t="s">
        <v>11720</v>
      </c>
      <c r="V1448" t="s">
        <v>11720</v>
      </c>
      <c r="W1448" t="s">
        <v>13135</v>
      </c>
      <c r="X1448">
        <v>33</v>
      </c>
      <c r="Y1448" t="s">
        <v>18918</v>
      </c>
      <c r="Z1448" t="s">
        <v>24655</v>
      </c>
      <c r="AA1448">
        <v>0.68028795749579329</v>
      </c>
      <c r="AB1448" t="str">
        <f>HYPERLINK("Melting_Curves/meltCurve_O60664_3_PLIN3.pdf", "Melting_Curves/meltCurve_O60664_3_PLIN3.pdf")</f>
        <v>Melting_Curves/meltCurve_O60664_3_PLIN3.pdf</v>
      </c>
    </row>
    <row r="1449" spans="1:28" x14ac:dyDescent="0.25">
      <c r="A1449" t="s">
        <v>1453</v>
      </c>
      <c r="B1449">
        <v>0.99334974765950101</v>
      </c>
      <c r="C1449">
        <v>1.08380819821978</v>
      </c>
      <c r="D1449">
        <v>0.87450924344550796</v>
      </c>
      <c r="E1449">
        <v>0.746605449304797</v>
      </c>
      <c r="F1449">
        <v>0.33474977113222398</v>
      </c>
      <c r="G1449">
        <v>0.20254651166906401</v>
      </c>
      <c r="H1449">
        <v>0.107747017475151</v>
      </c>
      <c r="I1449">
        <v>6.5231367260562001E-2</v>
      </c>
      <c r="J1449">
        <v>3.5806220009340299E-2</v>
      </c>
      <c r="K1449">
        <v>2.87591726671582E-2</v>
      </c>
      <c r="L1449">
        <v>1128.0416915011001</v>
      </c>
      <c r="M1449">
        <v>21.829669021449899</v>
      </c>
      <c r="N1449">
        <v>51.9186953487851</v>
      </c>
      <c r="O1449">
        <v>51.246922939299601</v>
      </c>
      <c r="P1449">
        <v>-0.10130335860029099</v>
      </c>
      <c r="Q1449">
        <v>4.8750430358160998E-2</v>
      </c>
      <c r="R1449">
        <v>0.98556908319673697</v>
      </c>
      <c r="S1449" t="s">
        <v>7310</v>
      </c>
      <c r="T1449" t="s">
        <v>11720</v>
      </c>
      <c r="U1449" t="s">
        <v>11720</v>
      </c>
      <c r="V1449" t="s">
        <v>11720</v>
      </c>
      <c r="W1449" t="s">
        <v>13136</v>
      </c>
      <c r="X1449">
        <v>2</v>
      </c>
      <c r="Y1449" t="s">
        <v>18919</v>
      </c>
      <c r="Z1449" t="s">
        <v>24656</v>
      </c>
      <c r="AA1449">
        <v>0.43014806826774682</v>
      </c>
      <c r="AB1449" t="str">
        <f>HYPERLINK("Melting_Curves/meltCurve_O60671_RAD1.pdf", "Melting_Curves/meltCurve_O60671_RAD1.pdf")</f>
        <v>Melting_Curves/meltCurve_O60671_RAD1.pdf</v>
      </c>
    </row>
    <row r="1450" spans="1:28" x14ac:dyDescent="0.25">
      <c r="A1450" t="s">
        <v>1454</v>
      </c>
      <c r="B1450">
        <v>0.99334974765950101</v>
      </c>
      <c r="C1450">
        <v>1.0030668837349499</v>
      </c>
      <c r="D1450">
        <v>1.0060509284608701</v>
      </c>
      <c r="E1450">
        <v>0.83496015580014304</v>
      </c>
      <c r="F1450">
        <v>0.191542516904155</v>
      </c>
      <c r="G1450">
        <v>0.138142518802857</v>
      </c>
      <c r="H1450">
        <v>0.133644645327616</v>
      </c>
      <c r="I1450">
        <v>0.20534577251712199</v>
      </c>
      <c r="J1450">
        <v>0.13562306963967899</v>
      </c>
      <c r="K1450">
        <v>0.21034083270138601</v>
      </c>
      <c r="L1450">
        <v>4253.7513415973099</v>
      </c>
      <c r="M1450">
        <v>83.673184760738806</v>
      </c>
      <c r="N1450">
        <v>51.081524118390803</v>
      </c>
      <c r="O1450">
        <v>50.808672121374798</v>
      </c>
      <c r="P1450">
        <v>-0.34391923278430703</v>
      </c>
      <c r="Q1450">
        <v>0.16465101872702001</v>
      </c>
      <c r="R1450">
        <v>0.99584144478395697</v>
      </c>
      <c r="S1450" t="s">
        <v>7311</v>
      </c>
      <c r="T1450" t="s">
        <v>11720</v>
      </c>
      <c r="U1450" t="s">
        <v>11720</v>
      </c>
      <c r="V1450" t="s">
        <v>11720</v>
      </c>
      <c r="W1450" t="s">
        <v>13137</v>
      </c>
      <c r="X1450">
        <v>3</v>
      </c>
      <c r="Y1450" t="s">
        <v>18920</v>
      </c>
      <c r="Z1450" t="s">
        <v>24657</v>
      </c>
      <c r="AA1450">
        <v>0.46709259740399373</v>
      </c>
      <c r="AB1450" t="str">
        <f>HYPERLINK("Melting_Curves/meltCurve_O60678_PRMT3.pdf", "Melting_Curves/meltCurve_O60678_PRMT3.pdf")</f>
        <v>Melting_Curves/meltCurve_O60678_PRMT3.pdf</v>
      </c>
    </row>
    <row r="1451" spans="1:28" x14ac:dyDescent="0.25">
      <c r="A1451" t="s">
        <v>1455</v>
      </c>
      <c r="B1451">
        <v>0.99334974765950101</v>
      </c>
      <c r="C1451">
        <v>1.1323568354067699</v>
      </c>
      <c r="D1451">
        <v>1.37448618456919</v>
      </c>
      <c r="E1451">
        <v>1.84203493366164</v>
      </c>
      <c r="F1451">
        <v>1.4390147122538799</v>
      </c>
      <c r="G1451">
        <v>0.62715406566701604</v>
      </c>
      <c r="H1451">
        <v>0.25679122187235498</v>
      </c>
      <c r="I1451">
        <v>0.22774791357789101</v>
      </c>
      <c r="J1451">
        <v>0.19474166651403499</v>
      </c>
      <c r="K1451">
        <v>0.17131793244827101</v>
      </c>
      <c r="L1451">
        <v>12581.3648013901</v>
      </c>
      <c r="M1451">
        <v>220.61978371147401</v>
      </c>
      <c r="N1451">
        <v>57.170902112497899</v>
      </c>
      <c r="O1451">
        <v>57.022679701621001</v>
      </c>
      <c r="P1451">
        <v>-0.76156133293402195</v>
      </c>
      <c r="Q1451">
        <v>0.21264963261838801</v>
      </c>
      <c r="R1451">
        <v>0.68521629502075099</v>
      </c>
      <c r="S1451" t="s">
        <v>7312</v>
      </c>
      <c r="T1451" t="s">
        <v>11720</v>
      </c>
      <c r="U1451" t="s">
        <v>11720</v>
      </c>
      <c r="V1451" t="s">
        <v>11720</v>
      </c>
      <c r="W1451" t="s">
        <v>13138</v>
      </c>
      <c r="X1451">
        <v>26</v>
      </c>
      <c r="Y1451" t="s">
        <v>18921</v>
      </c>
      <c r="Z1451" t="s">
        <v>24658</v>
      </c>
      <c r="AA1451">
        <v>0.65963421129374333</v>
      </c>
      <c r="AB1451" t="str">
        <f>HYPERLINK("Melting_Curves/meltCurve_O60701_UGDH.pdf", "Melting_Curves/meltCurve_O60701_UGDH.pdf")</f>
        <v>Melting_Curves/meltCurve_O60701_UGDH.pdf</v>
      </c>
    </row>
    <row r="1452" spans="1:28" x14ac:dyDescent="0.25">
      <c r="A1452" t="s">
        <v>1456</v>
      </c>
      <c r="B1452">
        <v>0.99334974765950101</v>
      </c>
      <c r="C1452">
        <v>0.96935763993169599</v>
      </c>
      <c r="D1452">
        <v>0.92400108891560795</v>
      </c>
      <c r="E1452">
        <v>0.79175493090559401</v>
      </c>
      <c r="F1452">
        <v>0.26050787087022897</v>
      </c>
      <c r="G1452">
        <v>0.146952504950219</v>
      </c>
      <c r="H1452">
        <v>0.104380678070081</v>
      </c>
      <c r="I1452">
        <v>9.1374779097199196E-2</v>
      </c>
      <c r="J1452">
        <v>9.7765127739071103E-2</v>
      </c>
      <c r="K1452">
        <v>8.9553643482709194E-2</v>
      </c>
      <c r="L1452">
        <v>2316.5809657889199</v>
      </c>
      <c r="M1452">
        <v>45.183729091678401</v>
      </c>
      <c r="N1452">
        <v>51.532372451580301</v>
      </c>
      <c r="O1452">
        <v>51.170129690861103</v>
      </c>
      <c r="P1452">
        <v>-0.19808815922560299</v>
      </c>
      <c r="Q1452">
        <v>0.102669702483349</v>
      </c>
      <c r="R1452">
        <v>0.99498789672883703</v>
      </c>
      <c r="S1452" t="s">
        <v>7313</v>
      </c>
      <c r="T1452" t="s">
        <v>11720</v>
      </c>
      <c r="U1452" t="s">
        <v>11720</v>
      </c>
      <c r="V1452" t="s">
        <v>11720</v>
      </c>
      <c r="W1452" t="s">
        <v>13139</v>
      </c>
      <c r="X1452">
        <v>2</v>
      </c>
      <c r="Y1452" t="s">
        <v>18922</v>
      </c>
      <c r="Z1452" t="s">
        <v>24659</v>
      </c>
      <c r="AA1452">
        <v>0.44226206741733781</v>
      </c>
      <c r="AB1452" t="str">
        <f>HYPERLINK("Melting_Curves/meltCurve_O60704_TPST2.pdf", "Melting_Curves/meltCurve_O60704_TPST2.pdf")</f>
        <v>Melting_Curves/meltCurve_O60704_TPST2.pdf</v>
      </c>
    </row>
    <row r="1453" spans="1:28" x14ac:dyDescent="0.25">
      <c r="A1453" t="s">
        <v>1457</v>
      </c>
      <c r="B1453">
        <v>0.99334974765950101</v>
      </c>
      <c r="C1453">
        <v>0.69734627482153799</v>
      </c>
      <c r="D1453">
        <v>0.24463279334871399</v>
      </c>
      <c r="E1453">
        <v>0.225044427789898</v>
      </c>
      <c r="F1453">
        <v>0.14443785422128999</v>
      </c>
      <c r="G1453">
        <v>6.41315911347968E-2</v>
      </c>
      <c r="H1453">
        <v>3.76424308015968E-2</v>
      </c>
      <c r="I1453">
        <v>3.3453002847662297E-2</v>
      </c>
      <c r="J1453">
        <v>5.4391373375756197E-2</v>
      </c>
      <c r="K1453">
        <v>2.8080004934651299E-2</v>
      </c>
      <c r="L1453">
        <v>1242.79365131136</v>
      </c>
      <c r="M1453">
        <v>28.247584237825802</v>
      </c>
      <c r="N1453">
        <v>44.246178618997</v>
      </c>
      <c r="O1453">
        <v>43.7777292204104</v>
      </c>
      <c r="P1453">
        <v>-0.14942734002247399</v>
      </c>
      <c r="Q1453">
        <v>7.3685678709397406E-2</v>
      </c>
      <c r="R1453">
        <v>0.97163558180598797</v>
      </c>
      <c r="S1453" t="s">
        <v>7314</v>
      </c>
      <c r="T1453" t="s">
        <v>11720</v>
      </c>
      <c r="U1453" t="s">
        <v>11720</v>
      </c>
      <c r="V1453" t="s">
        <v>11720</v>
      </c>
      <c r="W1453" t="s">
        <v>13140</v>
      </c>
      <c r="X1453">
        <v>2</v>
      </c>
      <c r="Y1453" t="s">
        <v>18923</v>
      </c>
      <c r="Z1453" t="s">
        <v>24660</v>
      </c>
      <c r="AA1453">
        <v>0.20494266584033979</v>
      </c>
      <c r="AB1453" t="str">
        <f>HYPERLINK("Melting_Curves/meltCurve_O60711_LPXN.pdf", "Melting_Curves/meltCurve_O60711_LPXN.pdf")</f>
        <v>Melting_Curves/meltCurve_O60711_LPXN.pdf</v>
      </c>
    </row>
    <row r="1454" spans="1:28" x14ac:dyDescent="0.25">
      <c r="A1454" t="s">
        <v>1458</v>
      </c>
      <c r="B1454">
        <v>0.99334974765950101</v>
      </c>
      <c r="C1454">
        <v>0.86903901274666595</v>
      </c>
      <c r="D1454">
        <v>0.69992213857528296</v>
      </c>
      <c r="E1454">
        <v>0.63037491139332003</v>
      </c>
      <c r="F1454">
        <v>0.132183219883033</v>
      </c>
      <c r="G1454">
        <v>8.9047773090618398E-2</v>
      </c>
      <c r="H1454">
        <v>5.6304642545624797E-2</v>
      </c>
      <c r="I1454">
        <v>5.79621955332126E-2</v>
      </c>
      <c r="J1454">
        <v>4.0175811622776302E-2</v>
      </c>
      <c r="K1454">
        <v>3.4590074806501801E-2</v>
      </c>
      <c r="L1454">
        <v>779.35488461642001</v>
      </c>
      <c r="M1454">
        <v>15.769242546096701</v>
      </c>
      <c r="N1454">
        <v>49.484516596238997</v>
      </c>
      <c r="O1454">
        <v>48.6481545414766</v>
      </c>
      <c r="P1454">
        <v>-8.0250548399889196E-2</v>
      </c>
      <c r="Q1454">
        <v>9.7896676243353405E-3</v>
      </c>
      <c r="R1454">
        <v>0.959635809572427</v>
      </c>
      <c r="S1454" t="s">
        <v>7315</v>
      </c>
      <c r="T1454" t="s">
        <v>11720</v>
      </c>
      <c r="U1454" t="s">
        <v>11720</v>
      </c>
      <c r="V1454" t="s">
        <v>11720</v>
      </c>
      <c r="W1454" t="s">
        <v>13141</v>
      </c>
      <c r="X1454">
        <v>39</v>
      </c>
      <c r="Y1454" t="s">
        <v>18924</v>
      </c>
      <c r="Z1454" t="s">
        <v>24661</v>
      </c>
      <c r="AA1454">
        <v>0.34273617127748779</v>
      </c>
      <c r="AB1454" t="str">
        <f>HYPERLINK("Melting_Curves/meltCurve_O60716_5_CTNND1.pdf", "Melting_Curves/meltCurve_O60716_5_CTNND1.pdf")</f>
        <v>Melting_Curves/meltCurve_O60716_5_CTNND1.pdf</v>
      </c>
    </row>
    <row r="1455" spans="1:28" x14ac:dyDescent="0.25">
      <c r="A1455" t="s">
        <v>1459</v>
      </c>
      <c r="B1455">
        <v>0.99334974765950101</v>
      </c>
      <c r="C1455">
        <v>0.985596887448564</v>
      </c>
      <c r="D1455">
        <v>1.01697167078095</v>
      </c>
      <c r="E1455">
        <v>0.77326446523050696</v>
      </c>
      <c r="F1455">
        <v>0.17414153021152301</v>
      </c>
      <c r="G1455">
        <v>0.117692682406559</v>
      </c>
      <c r="H1455">
        <v>8.08160700276329E-2</v>
      </c>
      <c r="I1455">
        <v>4.98889680548723E-2</v>
      </c>
      <c r="J1455">
        <v>2.7286798600606399E-2</v>
      </c>
      <c r="K1455">
        <v>2.3746934297706999E-2</v>
      </c>
      <c r="L1455">
        <v>2715.7058187020102</v>
      </c>
      <c r="M1455">
        <v>53.169890839542397</v>
      </c>
      <c r="N1455">
        <v>51.1957453999145</v>
      </c>
      <c r="O1455">
        <v>51.003911163523902</v>
      </c>
      <c r="P1455">
        <v>-0.24538014032682401</v>
      </c>
      <c r="Q1455">
        <v>5.8464231327832697E-2</v>
      </c>
      <c r="R1455">
        <v>0.99649109169308603</v>
      </c>
      <c r="S1455" t="s">
        <v>7316</v>
      </c>
      <c r="T1455" t="s">
        <v>11720</v>
      </c>
      <c r="U1455" t="s">
        <v>11720</v>
      </c>
      <c r="V1455" t="s">
        <v>11720</v>
      </c>
      <c r="W1455" t="s">
        <v>13142</v>
      </c>
      <c r="X1455">
        <v>1</v>
      </c>
      <c r="Y1455" t="s">
        <v>18925</v>
      </c>
      <c r="Z1455" t="s">
        <v>24662</v>
      </c>
      <c r="AA1455">
        <v>0.40795414256384088</v>
      </c>
      <c r="AB1455" t="str">
        <f>HYPERLINK("Melting_Curves/meltCurve_O60725_ICMT.pdf", "Melting_Curves/meltCurve_O60725_ICMT.pdf")</f>
        <v>Melting_Curves/meltCurve_O60725_ICMT.pdf</v>
      </c>
    </row>
    <row r="1456" spans="1:28" x14ac:dyDescent="0.25">
      <c r="A1456" t="s">
        <v>1460</v>
      </c>
      <c r="B1456">
        <v>0.99334974765950101</v>
      </c>
      <c r="C1456">
        <v>1.00133535501857</v>
      </c>
      <c r="D1456">
        <v>0.94860132177697398</v>
      </c>
      <c r="E1456">
        <v>0.74003922962312696</v>
      </c>
      <c r="F1456">
        <v>0.23357491908636199</v>
      </c>
      <c r="G1456">
        <v>0.203707803825245</v>
      </c>
      <c r="H1456">
        <v>0.152451457566636</v>
      </c>
      <c r="I1456">
        <v>0.118241158329733</v>
      </c>
      <c r="J1456">
        <v>8.6395399655456701E-2</v>
      </c>
      <c r="K1456">
        <v>5.8380546646033503E-2</v>
      </c>
      <c r="L1456">
        <v>2281.9438567208199</v>
      </c>
      <c r="M1456">
        <v>44.812516588372503</v>
      </c>
      <c r="N1456">
        <v>51.235254941316697</v>
      </c>
      <c r="O1456">
        <v>50.82092515323</v>
      </c>
      <c r="P1456">
        <v>-0.194028604776733</v>
      </c>
      <c r="Q1456">
        <v>0.119826248060349</v>
      </c>
      <c r="R1456">
        <v>0.99074660479288501</v>
      </c>
      <c r="S1456" t="s">
        <v>7317</v>
      </c>
      <c r="T1456" t="s">
        <v>11720</v>
      </c>
      <c r="U1456" t="s">
        <v>11720</v>
      </c>
      <c r="V1456" t="s">
        <v>11720</v>
      </c>
      <c r="W1456" t="s">
        <v>13143</v>
      </c>
      <c r="X1456">
        <v>28</v>
      </c>
      <c r="Y1456" t="s">
        <v>18926</v>
      </c>
      <c r="Z1456" t="s">
        <v>24663</v>
      </c>
      <c r="AA1456">
        <v>0.44273318142465989</v>
      </c>
      <c r="AB1456" t="str">
        <f>HYPERLINK("Melting_Curves/meltCurve_O60749_SNX2.pdf", "Melting_Curves/meltCurve_O60749_SNX2.pdf")</f>
        <v>Melting_Curves/meltCurve_O60749_SNX2.pdf</v>
      </c>
    </row>
    <row r="1457" spans="1:28" x14ac:dyDescent="0.25">
      <c r="A1457" t="s">
        <v>1461</v>
      </c>
      <c r="B1457">
        <v>0.99334974765950101</v>
      </c>
      <c r="C1457">
        <v>1.0069562566808601</v>
      </c>
      <c r="D1457">
        <v>1.0806985837943199</v>
      </c>
      <c r="E1457">
        <v>1.0030108653197001</v>
      </c>
      <c r="F1457">
        <v>0.22120489295865201</v>
      </c>
      <c r="G1457">
        <v>0.13271252409249101</v>
      </c>
      <c r="H1457">
        <v>9.8093164829152799E-2</v>
      </c>
      <c r="I1457">
        <v>9.2871887922297697E-2</v>
      </c>
      <c r="J1457">
        <v>8.6994128013705402E-2</v>
      </c>
      <c r="K1457">
        <v>7.2586606327611602E-2</v>
      </c>
      <c r="L1457">
        <v>13152.850248107099</v>
      </c>
      <c r="M1457">
        <v>250</v>
      </c>
      <c r="N1457">
        <v>52.656648771264301</v>
      </c>
      <c r="O1457">
        <v>52.608034202008497</v>
      </c>
      <c r="P1457">
        <v>-1.07320626267618</v>
      </c>
      <c r="Q1457">
        <v>9.6651652529091803E-2</v>
      </c>
      <c r="R1457">
        <v>0.99565350909279504</v>
      </c>
      <c r="S1457" t="s">
        <v>7318</v>
      </c>
      <c r="T1457" t="s">
        <v>11720</v>
      </c>
      <c r="U1457" t="s">
        <v>11720</v>
      </c>
      <c r="V1457" t="s">
        <v>11720</v>
      </c>
      <c r="W1457" t="s">
        <v>13144</v>
      </c>
      <c r="X1457">
        <v>42</v>
      </c>
      <c r="Y1457" t="s">
        <v>18927</v>
      </c>
      <c r="Z1457" t="s">
        <v>24664</v>
      </c>
      <c r="AA1457">
        <v>0.47648466885371987</v>
      </c>
      <c r="AB1457" t="str">
        <f>HYPERLINK("Melting_Curves/meltCurve_O60763_USO1.pdf", "Melting_Curves/meltCurve_O60763_USO1.pdf")</f>
        <v>Melting_Curves/meltCurve_O60763_USO1.pdf</v>
      </c>
    </row>
    <row r="1458" spans="1:28" x14ac:dyDescent="0.25">
      <c r="A1458" t="s">
        <v>1462</v>
      </c>
      <c r="B1458">
        <v>0.99334974765950101</v>
      </c>
      <c r="C1458">
        <v>0.96962804758072996</v>
      </c>
      <c r="D1458">
        <v>0.98389364570193605</v>
      </c>
      <c r="E1458">
        <v>1.0405265313215699</v>
      </c>
      <c r="F1458">
        <v>0.41958264703679499</v>
      </c>
      <c r="G1458">
        <v>0.27665760778233101</v>
      </c>
      <c r="H1458">
        <v>0.20288849003984699</v>
      </c>
      <c r="I1458">
        <v>0.13821608819709399</v>
      </c>
      <c r="J1458">
        <v>9.6229808517826601E-2</v>
      </c>
      <c r="K1458">
        <v>9.55336619283257E-2</v>
      </c>
      <c r="L1458">
        <v>13206.962005089201</v>
      </c>
      <c r="M1458">
        <v>250</v>
      </c>
      <c r="N1458">
        <v>52.910646909287202</v>
      </c>
      <c r="O1458">
        <v>52.8244813979734</v>
      </c>
      <c r="P1458">
        <v>-0.99160356817107398</v>
      </c>
      <c r="Q1458">
        <v>0.16190511447602501</v>
      </c>
      <c r="R1458">
        <v>0.98299700051225902</v>
      </c>
      <c r="S1458" t="s">
        <v>7319</v>
      </c>
      <c r="T1458" t="s">
        <v>11720</v>
      </c>
      <c r="U1458" t="s">
        <v>11720</v>
      </c>
      <c r="V1458" t="s">
        <v>11720</v>
      </c>
      <c r="W1458" t="s">
        <v>13145</v>
      </c>
      <c r="X1458">
        <v>3</v>
      </c>
      <c r="Y1458" t="s">
        <v>18928</v>
      </c>
      <c r="Z1458" t="s">
        <v>24665</v>
      </c>
      <c r="AA1458">
        <v>0.52034794324320166</v>
      </c>
      <c r="AB1458" t="str">
        <f>HYPERLINK("Melting_Curves/meltCurve_O60826_CCDC22.pdf", "Melting_Curves/meltCurve_O60826_CCDC22.pdf")</f>
        <v>Melting_Curves/meltCurve_O60826_CCDC22.pdf</v>
      </c>
    </row>
    <row r="1459" spans="1:28" x14ac:dyDescent="0.25">
      <c r="A1459" t="s">
        <v>1463</v>
      </c>
      <c r="B1459">
        <v>0.99334974765950101</v>
      </c>
      <c r="C1459">
        <v>1.0028904483357699</v>
      </c>
      <c r="D1459">
        <v>0.87491481846867902</v>
      </c>
      <c r="E1459">
        <v>0.91087477461906097</v>
      </c>
      <c r="F1459">
        <v>0.87594150190889497</v>
      </c>
      <c r="G1459">
        <v>0.81339106906755099</v>
      </c>
      <c r="H1459">
        <v>0.69029072499092003</v>
      </c>
      <c r="I1459">
        <v>0.820415798917696</v>
      </c>
      <c r="J1459">
        <v>0.94360554478289904</v>
      </c>
      <c r="K1459">
        <v>1.0108233484503599</v>
      </c>
      <c r="L1459">
        <v>11375.9686850461</v>
      </c>
      <c r="M1459">
        <v>250</v>
      </c>
      <c r="O1459">
        <v>45.500961610035198</v>
      </c>
      <c r="P1459">
        <v>-0.183406097562517</v>
      </c>
      <c r="Q1459">
        <v>0.86647753581285203</v>
      </c>
      <c r="R1459">
        <v>0.29646964818529398</v>
      </c>
      <c r="S1459" t="s">
        <v>7320</v>
      </c>
      <c r="T1459" t="s">
        <v>11720</v>
      </c>
      <c r="U1459" t="s">
        <v>11720</v>
      </c>
      <c r="V1459" t="s">
        <v>11720</v>
      </c>
      <c r="W1459" t="s">
        <v>13146</v>
      </c>
      <c r="X1459">
        <v>6</v>
      </c>
      <c r="Y1459" t="s">
        <v>18929</v>
      </c>
      <c r="Z1459" t="s">
        <v>24666</v>
      </c>
      <c r="AA1459">
        <v>0.89098456265839832</v>
      </c>
      <c r="AB1459" t="str">
        <f>HYPERLINK("Melting_Curves/meltCurve_O60828_PQBP1.pdf", "Melting_Curves/meltCurve_O60828_PQBP1.pdf")</f>
        <v>Melting_Curves/meltCurve_O60828_PQBP1.pdf</v>
      </c>
    </row>
    <row r="1460" spans="1:28" x14ac:dyDescent="0.25">
      <c r="A1460" t="s">
        <v>1464</v>
      </c>
      <c r="B1460">
        <v>0.99334974765950101</v>
      </c>
      <c r="C1460">
        <v>0.83419635723152596</v>
      </c>
      <c r="D1460">
        <v>0.67676428385939003</v>
      </c>
      <c r="E1460">
        <v>0.88969311063269596</v>
      </c>
      <c r="F1460">
        <v>0.99292148928443902</v>
      </c>
      <c r="G1460">
        <v>0.79757550493219298</v>
      </c>
      <c r="H1460">
        <v>0.83471833823027097</v>
      </c>
      <c r="I1460">
        <v>0.65908363338811804</v>
      </c>
      <c r="J1460">
        <v>0.32059133533461698</v>
      </c>
      <c r="K1460">
        <v>5.2196306955076599E-2</v>
      </c>
      <c r="L1460">
        <v>1759.71657638441</v>
      </c>
      <c r="M1460">
        <v>27.064103596542701</v>
      </c>
      <c r="N1460">
        <v>65.020313700574505</v>
      </c>
      <c r="O1460">
        <v>64.668438381345894</v>
      </c>
      <c r="P1460">
        <v>-0.104627426847099</v>
      </c>
      <c r="Q1460">
        <v>0</v>
      </c>
      <c r="R1460">
        <v>0.77316698500933601</v>
      </c>
      <c r="S1460" t="s">
        <v>7321</v>
      </c>
      <c r="T1460" t="s">
        <v>11720</v>
      </c>
      <c r="U1460" t="s">
        <v>11720</v>
      </c>
      <c r="V1460" t="s">
        <v>11720</v>
      </c>
      <c r="W1460" t="s">
        <v>13147</v>
      </c>
      <c r="X1460">
        <v>1</v>
      </c>
      <c r="Y1460" t="s">
        <v>18930</v>
      </c>
      <c r="Z1460" t="s">
        <v>24667</v>
      </c>
      <c r="AA1460">
        <v>0.83010992156187957</v>
      </c>
      <c r="AB1460" t="str">
        <f>HYPERLINK("Melting_Curves/meltCurve_O60830_TIMM17B.pdf", "Melting_Curves/meltCurve_O60830_TIMM17B.pdf")</f>
        <v>Melting_Curves/meltCurve_O60830_TIMM17B.pdf</v>
      </c>
    </row>
    <row r="1461" spans="1:28" x14ac:dyDescent="0.25">
      <c r="A1461" t="s">
        <v>1465</v>
      </c>
      <c r="B1461">
        <v>0.99334974765950101</v>
      </c>
      <c r="C1461">
        <v>0.93994720466592097</v>
      </c>
      <c r="D1461">
        <v>0.96378296439295397</v>
      </c>
      <c r="E1461">
        <v>0.74695266860924303</v>
      </c>
      <c r="F1461">
        <v>0.74129903776855299</v>
      </c>
      <c r="G1461">
        <v>0.69574643648828005</v>
      </c>
      <c r="H1461">
        <v>0.62301727370286397</v>
      </c>
      <c r="I1461">
        <v>0.64317301467834598</v>
      </c>
      <c r="J1461">
        <v>0.67119373091854795</v>
      </c>
      <c r="K1461">
        <v>0.47121923407459698</v>
      </c>
      <c r="L1461">
        <v>511.09481980494297</v>
      </c>
      <c r="M1461">
        <v>9.8382913571503092</v>
      </c>
      <c r="O1461">
        <v>49.9397469017349</v>
      </c>
      <c r="P1461">
        <v>-2.2520956764609901E-2</v>
      </c>
      <c r="Q1461">
        <v>0.54296576226735505</v>
      </c>
      <c r="R1461">
        <v>0.88695251676997</v>
      </c>
      <c r="S1461" t="s">
        <v>7322</v>
      </c>
      <c r="T1461" t="s">
        <v>11720</v>
      </c>
      <c r="U1461" t="s">
        <v>11720</v>
      </c>
      <c r="V1461" t="s">
        <v>11720</v>
      </c>
      <c r="W1461" t="s">
        <v>13148</v>
      </c>
      <c r="X1461">
        <v>9</v>
      </c>
      <c r="Y1461" t="s">
        <v>18931</v>
      </c>
      <c r="Z1461" t="s">
        <v>24668</v>
      </c>
      <c r="AA1461">
        <v>0.74275790717387935</v>
      </c>
      <c r="AB1461" t="str">
        <f>HYPERLINK("Melting_Curves/meltCurve_O60831_PRAF2.pdf", "Melting_Curves/meltCurve_O60831_PRAF2.pdf")</f>
        <v>Melting_Curves/meltCurve_O60831_PRAF2.pdf</v>
      </c>
    </row>
    <row r="1462" spans="1:28" x14ac:dyDescent="0.25">
      <c r="A1462" t="s">
        <v>1466</v>
      </c>
      <c r="B1462">
        <v>0.99334974765950101</v>
      </c>
      <c r="C1462">
        <v>1.1033702763087401</v>
      </c>
      <c r="D1462">
        <v>0.91035318443558799</v>
      </c>
      <c r="E1462">
        <v>0.73813313834461602</v>
      </c>
      <c r="F1462">
        <v>0.36679258193229902</v>
      </c>
      <c r="G1462">
        <v>0.23140550642159</v>
      </c>
      <c r="H1462">
        <v>0.186109455893259</v>
      </c>
      <c r="I1462">
        <v>0.19053509524200599</v>
      </c>
      <c r="J1462">
        <v>0.16255893387777601</v>
      </c>
      <c r="K1462">
        <v>0.13813534005401801</v>
      </c>
      <c r="L1462">
        <v>1466.1421196246299</v>
      </c>
      <c r="M1462">
        <v>28.672696615547501</v>
      </c>
      <c r="N1462">
        <v>51.877933103692499</v>
      </c>
      <c r="O1462">
        <v>50.8869474421966</v>
      </c>
      <c r="P1462">
        <v>-0.11711418727113</v>
      </c>
      <c r="Q1462">
        <v>0.16861158496716699</v>
      </c>
      <c r="R1462">
        <v>0.98697874326256696</v>
      </c>
      <c r="S1462" t="s">
        <v>7323</v>
      </c>
      <c r="T1462" t="s">
        <v>11720</v>
      </c>
      <c r="U1462" t="s">
        <v>11720</v>
      </c>
      <c r="V1462" t="s">
        <v>11720</v>
      </c>
      <c r="W1462" t="s">
        <v>13149</v>
      </c>
      <c r="X1462">
        <v>28</v>
      </c>
      <c r="Y1462" t="s">
        <v>18932</v>
      </c>
      <c r="Z1462" t="s">
        <v>24669</v>
      </c>
      <c r="AA1462">
        <v>0.48289452487769158</v>
      </c>
      <c r="AB1462" t="str">
        <f>HYPERLINK("Melting_Curves/meltCurve_O60841_EIF5B.pdf", "Melting_Curves/meltCurve_O60841_EIF5B.pdf")</f>
        <v>Melting_Curves/meltCurve_O60841_EIF5B.pdf</v>
      </c>
    </row>
    <row r="1463" spans="1:28" x14ac:dyDescent="0.25">
      <c r="A1463" t="s">
        <v>1467</v>
      </c>
      <c r="B1463">
        <v>0.99334974765950101</v>
      </c>
      <c r="C1463">
        <v>1.03170830262839</v>
      </c>
      <c r="D1463">
        <v>0.84886448068577902</v>
      </c>
      <c r="E1463">
        <v>0.80835172743356898</v>
      </c>
      <c r="F1463">
        <v>0.71463231282973605</v>
      </c>
      <c r="G1463">
        <v>0.58503765306932698</v>
      </c>
      <c r="H1463">
        <v>0.63340305080530401</v>
      </c>
      <c r="I1463">
        <v>0.90170251713832095</v>
      </c>
      <c r="J1463">
        <v>1.2648292062082001</v>
      </c>
      <c r="K1463">
        <v>1.12217561378868</v>
      </c>
      <c r="L1463">
        <v>11123.751349419899</v>
      </c>
      <c r="M1463">
        <v>250</v>
      </c>
      <c r="O1463">
        <v>44.492158206003197</v>
      </c>
      <c r="P1463">
        <v>-0.19684590896814699</v>
      </c>
      <c r="Q1463">
        <v>0.85987041158952904</v>
      </c>
      <c r="R1463">
        <v>8.7346013971937295E-2</v>
      </c>
      <c r="S1463" t="s">
        <v>7324</v>
      </c>
      <c r="T1463" t="s">
        <v>11720</v>
      </c>
      <c r="U1463" t="s">
        <v>11720</v>
      </c>
      <c r="V1463" t="s">
        <v>11720</v>
      </c>
      <c r="W1463" t="s">
        <v>13150</v>
      </c>
      <c r="X1463">
        <v>12</v>
      </c>
      <c r="Y1463" t="s">
        <v>18933</v>
      </c>
      <c r="Z1463" t="s">
        <v>24670</v>
      </c>
      <c r="AA1463">
        <v>0.88087746257736788</v>
      </c>
      <c r="AB1463" t="str">
        <f>HYPERLINK("Melting_Curves/meltCurve_O60869_EDF1.pdf", "Melting_Curves/meltCurve_O60869_EDF1.pdf")</f>
        <v>Melting_Curves/meltCurve_O60869_EDF1.pdf</v>
      </c>
    </row>
    <row r="1464" spans="1:28" x14ac:dyDescent="0.25">
      <c r="A1464" t="s">
        <v>1468</v>
      </c>
      <c r="B1464">
        <v>0.99334974765950101</v>
      </c>
      <c r="C1464">
        <v>1.17411508544605</v>
      </c>
      <c r="D1464">
        <v>1.3360781379726401</v>
      </c>
      <c r="E1464">
        <v>2.2798375237921999</v>
      </c>
      <c r="F1464">
        <v>1.5446853307096999</v>
      </c>
      <c r="G1464">
        <v>0.82559503507049503</v>
      </c>
      <c r="H1464">
        <v>0.30543164982868998</v>
      </c>
      <c r="I1464">
        <v>0.186355830196658</v>
      </c>
      <c r="J1464">
        <v>0.21674426060393201</v>
      </c>
      <c r="K1464">
        <v>0.17888115653127001</v>
      </c>
      <c r="L1464">
        <v>3220.3005706477402</v>
      </c>
      <c r="M1464">
        <v>55.001929574669397</v>
      </c>
      <c r="N1464">
        <v>59.092470789625303</v>
      </c>
      <c r="O1464">
        <v>58.471611558894097</v>
      </c>
      <c r="P1464">
        <v>-0.18847362664838899</v>
      </c>
      <c r="Q1464">
        <v>0.19854796738932501</v>
      </c>
      <c r="R1464">
        <v>0.53165171839820402</v>
      </c>
      <c r="S1464" t="s">
        <v>7325</v>
      </c>
      <c r="T1464" t="s">
        <v>11720</v>
      </c>
      <c r="U1464" t="s">
        <v>11720</v>
      </c>
      <c r="V1464" t="s">
        <v>11720</v>
      </c>
      <c r="W1464" t="s">
        <v>13151</v>
      </c>
      <c r="X1464">
        <v>5</v>
      </c>
      <c r="Y1464" t="s">
        <v>18934</v>
      </c>
      <c r="Z1464" t="s">
        <v>24671</v>
      </c>
      <c r="AA1464">
        <v>0.69578572429697116</v>
      </c>
      <c r="AB1464" t="str">
        <f>HYPERLINK("Melting_Curves/meltCurve_O60884_DNAJA2.pdf", "Melting_Curves/meltCurve_O60884_DNAJA2.pdf")</f>
        <v>Melting_Curves/meltCurve_O60884_DNAJA2.pdf</v>
      </c>
    </row>
    <row r="1465" spans="1:28" x14ac:dyDescent="0.25">
      <c r="A1465" t="s">
        <v>1469</v>
      </c>
      <c r="B1465">
        <v>0.99334974765950101</v>
      </c>
      <c r="C1465">
        <v>0.90013330261743296</v>
      </c>
      <c r="D1465">
        <v>0.55459427206851697</v>
      </c>
      <c r="E1465">
        <v>0.27325687445728802</v>
      </c>
      <c r="F1465">
        <v>0.21726699774316899</v>
      </c>
      <c r="G1465">
        <v>0.13604209575384901</v>
      </c>
      <c r="H1465">
        <v>0.13245776149319699</v>
      </c>
      <c r="I1465">
        <v>0.155079433117539</v>
      </c>
      <c r="J1465">
        <v>0.122136325890024</v>
      </c>
      <c r="K1465">
        <v>0.105734507578643</v>
      </c>
      <c r="L1465">
        <v>1059.68681309162</v>
      </c>
      <c r="M1465">
        <v>22.958618537163598</v>
      </c>
      <c r="N1465">
        <v>46.796675064474101</v>
      </c>
      <c r="O1465">
        <v>45.810492989442402</v>
      </c>
      <c r="P1465">
        <v>-0.108405621442488</v>
      </c>
      <c r="Q1465">
        <v>0.13478762336351999</v>
      </c>
      <c r="R1465">
        <v>0.99481283644405805</v>
      </c>
      <c r="S1465" t="s">
        <v>7326</v>
      </c>
      <c r="T1465" t="s">
        <v>11720</v>
      </c>
      <c r="U1465" t="s">
        <v>11720</v>
      </c>
      <c r="V1465" t="s">
        <v>11720</v>
      </c>
      <c r="W1465" t="s">
        <v>13152</v>
      </c>
      <c r="X1465">
        <v>7</v>
      </c>
      <c r="Y1465" t="s">
        <v>18935</v>
      </c>
      <c r="Z1465" t="s">
        <v>24672</v>
      </c>
      <c r="AA1465">
        <v>0.32198605062712282</v>
      </c>
      <c r="AB1465" t="str">
        <f>HYPERLINK("Melting_Curves/meltCurve_O60885_BRD4.pdf", "Melting_Curves/meltCurve_O60885_BRD4.pdf")</f>
        <v>Melting_Curves/meltCurve_O60885_BRD4.pdf</v>
      </c>
    </row>
    <row r="1466" spans="1:28" x14ac:dyDescent="0.25">
      <c r="A1466" t="s">
        <v>1470</v>
      </c>
      <c r="B1466">
        <v>0.99334974765950101</v>
      </c>
      <c r="C1466">
        <v>0.83245334940509197</v>
      </c>
      <c r="D1466">
        <v>0.65212473287359296</v>
      </c>
      <c r="E1466">
        <v>0.62450438449474399</v>
      </c>
      <c r="F1466">
        <v>0.36296848294770301</v>
      </c>
      <c r="G1466">
        <v>0.22834477895677499</v>
      </c>
      <c r="H1466">
        <v>0.19711945065696601</v>
      </c>
      <c r="I1466">
        <v>0.28316692641461599</v>
      </c>
      <c r="J1466">
        <v>0.21477429079579499</v>
      </c>
      <c r="K1466">
        <v>0.202724814813004</v>
      </c>
      <c r="L1466">
        <v>593.25485646202196</v>
      </c>
      <c r="M1466">
        <v>12.2603918968952</v>
      </c>
      <c r="N1466">
        <v>50.226880848477599</v>
      </c>
      <c r="O1466">
        <v>47.154638953809098</v>
      </c>
      <c r="P1466">
        <v>-5.3258533638863403E-2</v>
      </c>
      <c r="Q1466">
        <v>0.180832083472828</v>
      </c>
      <c r="R1466">
        <v>0.95974530673843095</v>
      </c>
      <c r="S1466" t="s">
        <v>7327</v>
      </c>
      <c r="T1466" t="s">
        <v>11720</v>
      </c>
      <c r="U1466" t="s">
        <v>11720</v>
      </c>
      <c r="V1466" t="s">
        <v>11720</v>
      </c>
      <c r="W1466" t="s">
        <v>13153</v>
      </c>
      <c r="X1466">
        <v>6</v>
      </c>
      <c r="Y1466" t="s">
        <v>18936</v>
      </c>
      <c r="Z1466" t="s">
        <v>24673</v>
      </c>
      <c r="AA1466">
        <v>0.4399799251698589</v>
      </c>
      <c r="AB1466" t="str">
        <f>HYPERLINK("Melting_Curves/meltCurve_O60888_3_CUTA.pdf", "Melting_Curves/meltCurve_O60888_3_CUTA.pdf")</f>
        <v>Melting_Curves/meltCurve_O60888_3_CUTA.pdf</v>
      </c>
    </row>
    <row r="1467" spans="1:28" x14ac:dyDescent="0.25">
      <c r="A1467" t="s">
        <v>1471</v>
      </c>
      <c r="B1467">
        <v>0.99334974765950101</v>
      </c>
      <c r="C1467">
        <v>1.01052514767708</v>
      </c>
      <c r="D1467">
        <v>1.0664027961528799</v>
      </c>
      <c r="E1467">
        <v>1.2060990120253501</v>
      </c>
      <c r="F1467">
        <v>1.0949510025233899</v>
      </c>
      <c r="G1467">
        <v>0.91669941881010097</v>
      </c>
      <c r="H1467">
        <v>0.73097386469773895</v>
      </c>
      <c r="I1467">
        <v>0.68753647210062796</v>
      </c>
      <c r="J1467">
        <v>0.441608392531468</v>
      </c>
      <c r="K1467">
        <v>0.26123176770925299</v>
      </c>
      <c r="L1467">
        <v>1139.8205840298299</v>
      </c>
      <c r="M1467">
        <v>17.259449267675201</v>
      </c>
      <c r="N1467">
        <v>66.040400383741698</v>
      </c>
      <c r="O1467">
        <v>65.172949192354295</v>
      </c>
      <c r="P1467">
        <v>-6.6210194009259593E-2</v>
      </c>
      <c r="Q1467">
        <v>0</v>
      </c>
      <c r="R1467">
        <v>0.91662748219369505</v>
      </c>
      <c r="S1467" t="s">
        <v>7328</v>
      </c>
      <c r="T1467" t="s">
        <v>11720</v>
      </c>
      <c r="U1467" t="s">
        <v>11720</v>
      </c>
      <c r="V1467" t="s">
        <v>11720</v>
      </c>
      <c r="W1467" t="s">
        <v>13154</v>
      </c>
      <c r="X1467">
        <v>1</v>
      </c>
      <c r="Y1467" t="s">
        <v>18937</v>
      </c>
      <c r="Z1467" t="s">
        <v>24674</v>
      </c>
      <c r="AA1467">
        <v>0.84008099593303787</v>
      </c>
      <c r="AB1467" t="str">
        <f>HYPERLINK("Melting_Curves/meltCurve_O60906_SMPD2.pdf", "Melting_Curves/meltCurve_O60906_SMPD2.pdf")</f>
        <v>Melting_Curves/meltCurve_O60906_SMPD2.pdf</v>
      </c>
    </row>
    <row r="1468" spans="1:28" x14ac:dyDescent="0.25">
      <c r="A1468" t="s">
        <v>1472</v>
      </c>
      <c r="B1468">
        <v>0.99334974765950101</v>
      </c>
      <c r="C1468">
        <v>1.0415187436059099</v>
      </c>
      <c r="D1468">
        <v>1.1577902223733001</v>
      </c>
      <c r="E1468">
        <v>1.1274469489697501</v>
      </c>
      <c r="F1468">
        <v>1.1091324573857999</v>
      </c>
      <c r="G1468">
        <v>0.97582333596290305</v>
      </c>
      <c r="H1468">
        <v>0.65139100562887597</v>
      </c>
      <c r="I1468">
        <v>0.47549392911730598</v>
      </c>
      <c r="J1468">
        <v>0.59443417264212395</v>
      </c>
      <c r="K1468">
        <v>0.519107548330205</v>
      </c>
      <c r="L1468">
        <v>15000</v>
      </c>
      <c r="M1468">
        <v>246.953937915523</v>
      </c>
      <c r="O1468">
        <v>60.736069409373499</v>
      </c>
      <c r="P1468">
        <v>-0.47808393130214499</v>
      </c>
      <c r="Q1468">
        <v>0.52967831478328697</v>
      </c>
      <c r="R1468">
        <v>0.90570032010694002</v>
      </c>
      <c r="S1468" t="s">
        <v>7329</v>
      </c>
      <c r="T1468" t="s">
        <v>11720</v>
      </c>
      <c r="U1468" t="s">
        <v>11720</v>
      </c>
      <c r="V1468" t="s">
        <v>11720</v>
      </c>
      <c r="W1468" t="s">
        <v>13155</v>
      </c>
      <c r="X1468">
        <v>10</v>
      </c>
      <c r="Y1468" t="s">
        <v>18938</v>
      </c>
      <c r="Z1468" t="s">
        <v>24675</v>
      </c>
      <c r="AA1468">
        <v>0.85487988385652436</v>
      </c>
      <c r="AB1468" t="str">
        <f>HYPERLINK("Melting_Curves/meltCurve_O60925_PFDN1.pdf", "Melting_Curves/meltCurve_O60925_PFDN1.pdf")</f>
        <v>Melting_Curves/meltCurve_O60925_PFDN1.pdf</v>
      </c>
    </row>
    <row r="1469" spans="1:28" x14ac:dyDescent="0.25">
      <c r="A1469" t="s">
        <v>1473</v>
      </c>
      <c r="B1469">
        <v>0.99334974765950101</v>
      </c>
      <c r="C1469">
        <v>0.95066097214592404</v>
      </c>
      <c r="D1469">
        <v>0.82079535414525695</v>
      </c>
      <c r="E1469">
        <v>0.88901529381904798</v>
      </c>
      <c r="F1469">
        <v>0.72754302007266702</v>
      </c>
      <c r="G1469">
        <v>0.63258753710455495</v>
      </c>
      <c r="H1469">
        <v>0.59689577556029605</v>
      </c>
      <c r="I1469">
        <v>0.76082289078958998</v>
      </c>
      <c r="J1469">
        <v>0.93843865050973196</v>
      </c>
      <c r="K1469">
        <v>0.80079853037104898</v>
      </c>
      <c r="L1469">
        <v>901.82458454036896</v>
      </c>
      <c r="M1469">
        <v>19.8451626519435</v>
      </c>
      <c r="O1469">
        <v>44.9891582686761</v>
      </c>
      <c r="P1469">
        <v>-2.7402964437639999E-2</v>
      </c>
      <c r="Q1469">
        <v>0.75151729823255198</v>
      </c>
      <c r="R1469">
        <v>0.44242181335872499</v>
      </c>
      <c r="S1469" t="s">
        <v>7330</v>
      </c>
      <c r="T1469" t="s">
        <v>11720</v>
      </c>
      <c r="U1469" t="s">
        <v>11720</v>
      </c>
      <c r="V1469" t="s">
        <v>11720</v>
      </c>
      <c r="W1469" t="s">
        <v>13156</v>
      </c>
      <c r="X1469">
        <v>5</v>
      </c>
      <c r="Y1469" t="s">
        <v>18939</v>
      </c>
      <c r="Z1469" t="s">
        <v>24676</v>
      </c>
      <c r="AA1469">
        <v>0.80069317924445249</v>
      </c>
      <c r="AB1469" t="str">
        <f>HYPERLINK("Melting_Curves/meltCurve_O60927_PPP1R11.pdf", "Melting_Curves/meltCurve_O60927_PPP1R11.pdf")</f>
        <v>Melting_Curves/meltCurve_O60927_PPP1R11.pdf</v>
      </c>
    </row>
    <row r="1470" spans="1:28" x14ac:dyDescent="0.25">
      <c r="A1470" t="s">
        <v>1474</v>
      </c>
      <c r="B1470">
        <v>0.99334974765950101</v>
      </c>
      <c r="C1470">
        <v>0.86866240013995299</v>
      </c>
      <c r="D1470">
        <v>0.63552403711392602</v>
      </c>
      <c r="E1470">
        <v>0.21567953738443599</v>
      </c>
      <c r="F1470">
        <v>0.138147726790223</v>
      </c>
      <c r="G1470">
        <v>0.11008202036206</v>
      </c>
      <c r="H1470">
        <v>0.107336751537893</v>
      </c>
      <c r="I1470">
        <v>6.3413160489171894E-2</v>
      </c>
      <c r="J1470">
        <v>4.9078632985426598E-2</v>
      </c>
      <c r="K1470">
        <v>1.6583584309113102E-2</v>
      </c>
      <c r="L1470">
        <v>1038.30313361598</v>
      </c>
      <c r="M1470">
        <v>22.202650157033901</v>
      </c>
      <c r="N1470">
        <v>47.048909204804303</v>
      </c>
      <c r="O1470">
        <v>46.390426483048799</v>
      </c>
      <c r="P1470">
        <v>-0.11214766413108999</v>
      </c>
      <c r="Q1470">
        <v>6.2730788616121802E-2</v>
      </c>
      <c r="R1470">
        <v>0.99451374628836697</v>
      </c>
      <c r="S1470" t="s">
        <v>7331</v>
      </c>
      <c r="T1470" t="s">
        <v>11720</v>
      </c>
      <c r="U1470" t="s">
        <v>11720</v>
      </c>
      <c r="V1470" t="s">
        <v>11720</v>
      </c>
      <c r="W1470" t="s">
        <v>13157</v>
      </c>
      <c r="X1470">
        <v>2</v>
      </c>
      <c r="Y1470" t="s">
        <v>18940</v>
      </c>
      <c r="Z1470" t="s">
        <v>24677</v>
      </c>
      <c r="AA1470">
        <v>0.28505042849315793</v>
      </c>
      <c r="AB1470" t="str">
        <f>HYPERLINK("Melting_Curves/meltCurve_O60934_NBN.pdf", "Melting_Curves/meltCurve_O60934_NBN.pdf")</f>
        <v>Melting_Curves/meltCurve_O60934_NBN.pdf</v>
      </c>
    </row>
    <row r="1471" spans="1:28" x14ac:dyDescent="0.25">
      <c r="A1471" t="s">
        <v>1475</v>
      </c>
      <c r="B1471">
        <v>0.99334974765950101</v>
      </c>
      <c r="C1471">
        <v>0.98231842184853302</v>
      </c>
      <c r="D1471">
        <v>0.95095449613334904</v>
      </c>
      <c r="E1471">
        <v>0.87105192981371504</v>
      </c>
      <c r="F1471">
        <v>0.31892696480704402</v>
      </c>
      <c r="G1471">
        <v>0.24277900166942101</v>
      </c>
      <c r="H1471">
        <v>0.16309979022660401</v>
      </c>
      <c r="I1471">
        <v>0.18320142843096099</v>
      </c>
      <c r="J1471">
        <v>0.14961581957446099</v>
      </c>
      <c r="K1471">
        <v>0.122200121039218</v>
      </c>
      <c r="L1471">
        <v>2754.1759856088001</v>
      </c>
      <c r="M1471">
        <v>53.434715042032899</v>
      </c>
      <c r="N1471">
        <v>51.947233447113597</v>
      </c>
      <c r="O1471">
        <v>51.470782458312598</v>
      </c>
      <c r="P1471">
        <v>-0.21537824797540001</v>
      </c>
      <c r="Q1471">
        <v>0.17015148607198499</v>
      </c>
      <c r="R1471">
        <v>0.992673364111189</v>
      </c>
      <c r="S1471" t="s">
        <v>7332</v>
      </c>
      <c r="T1471" t="s">
        <v>11720</v>
      </c>
      <c r="U1471" t="s">
        <v>11720</v>
      </c>
      <c r="V1471" t="s">
        <v>11720</v>
      </c>
      <c r="W1471" t="s">
        <v>13158</v>
      </c>
      <c r="X1471">
        <v>8</v>
      </c>
      <c r="Y1471" t="s">
        <v>18941</v>
      </c>
      <c r="Z1471" t="s">
        <v>24678</v>
      </c>
      <c r="AA1471">
        <v>0.4910953723088613</v>
      </c>
      <c r="AB1471" t="str">
        <f>HYPERLINK("Melting_Curves/meltCurve_O75027_ABCB7.pdf", "Melting_Curves/meltCurve_O75027_ABCB7.pdf")</f>
        <v>Melting_Curves/meltCurve_O75027_ABCB7.pdf</v>
      </c>
    </row>
    <row r="1472" spans="1:28" x14ac:dyDescent="0.25">
      <c r="A1472" t="s">
        <v>1476</v>
      </c>
      <c r="B1472">
        <v>0.99334974765950101</v>
      </c>
      <c r="C1472">
        <v>0.96751531704802196</v>
      </c>
      <c r="D1472">
        <v>0.77376593648202197</v>
      </c>
      <c r="E1472">
        <v>0.60836850500613404</v>
      </c>
      <c r="F1472">
        <v>0.411330154293507</v>
      </c>
      <c r="G1472">
        <v>0.2207376880395</v>
      </c>
      <c r="H1472">
        <v>0.17049833338909701</v>
      </c>
      <c r="I1472">
        <v>0.17178368995761401</v>
      </c>
      <c r="J1472">
        <v>0.16662059632346901</v>
      </c>
      <c r="K1472">
        <v>0.13757069086844001</v>
      </c>
      <c r="L1472">
        <v>755.39833973053203</v>
      </c>
      <c r="M1472">
        <v>15.0432311538154</v>
      </c>
      <c r="N1472">
        <v>51.221967724364603</v>
      </c>
      <c r="O1472">
        <v>49.3528589164439</v>
      </c>
      <c r="P1472">
        <v>-6.6456001407602994E-2</v>
      </c>
      <c r="Q1472">
        <v>0.12798878649920101</v>
      </c>
      <c r="R1472">
        <v>0.994108397865197</v>
      </c>
      <c r="S1472" t="s">
        <v>7333</v>
      </c>
      <c r="T1472" t="s">
        <v>11720</v>
      </c>
      <c r="U1472" t="s">
        <v>11720</v>
      </c>
      <c r="V1472" t="s">
        <v>11720</v>
      </c>
      <c r="W1472" t="s">
        <v>13159</v>
      </c>
      <c r="X1472">
        <v>7</v>
      </c>
      <c r="Y1472" t="s">
        <v>18942</v>
      </c>
      <c r="Z1472" t="s">
        <v>24679</v>
      </c>
      <c r="AA1472">
        <v>0.44546133205150829</v>
      </c>
      <c r="AB1472" t="str">
        <f>HYPERLINK("Melting_Curves/meltCurve_O75044_SRGAP2.pdf", "Melting_Curves/meltCurve_O75044_SRGAP2.pdf")</f>
        <v>Melting_Curves/meltCurve_O75044_SRGAP2.pdf</v>
      </c>
    </row>
    <row r="1473" spans="1:28" x14ac:dyDescent="0.25">
      <c r="A1473" t="s">
        <v>1477</v>
      </c>
      <c r="B1473">
        <v>0.99334974765950101</v>
      </c>
      <c r="C1473">
        <v>0.90489562023070902</v>
      </c>
      <c r="D1473">
        <v>0.69817512905797197</v>
      </c>
      <c r="E1473">
        <v>0.68825940878782099</v>
      </c>
      <c r="F1473">
        <v>0.178820876785202</v>
      </c>
      <c r="G1473">
        <v>0.11427028349203899</v>
      </c>
      <c r="H1473">
        <v>9.7226404350455098E-2</v>
      </c>
      <c r="I1473">
        <v>7.5735178751507606E-2</v>
      </c>
      <c r="J1473">
        <v>9.0638149545755498E-2</v>
      </c>
      <c r="K1473">
        <v>6.8113242414273106E-2</v>
      </c>
      <c r="L1473">
        <v>799.81030400495899</v>
      </c>
      <c r="M1473">
        <v>16.076099875224799</v>
      </c>
      <c r="N1473">
        <v>50.045224183520403</v>
      </c>
      <c r="O1473">
        <v>49.000775203086597</v>
      </c>
      <c r="P1473">
        <v>-7.8333329716481298E-2</v>
      </c>
      <c r="Q1473">
        <v>4.5017435929297703E-2</v>
      </c>
      <c r="R1473">
        <v>0.95159707676323102</v>
      </c>
      <c r="S1473" t="s">
        <v>7334</v>
      </c>
      <c r="T1473" t="s">
        <v>11720</v>
      </c>
      <c r="U1473" t="s">
        <v>11720</v>
      </c>
      <c r="V1473" t="s">
        <v>11720</v>
      </c>
      <c r="W1473" t="s">
        <v>13160</v>
      </c>
      <c r="X1473">
        <v>7</v>
      </c>
      <c r="Y1473" t="s">
        <v>18943</v>
      </c>
      <c r="Z1473" t="s">
        <v>24680</v>
      </c>
      <c r="AA1473">
        <v>0.37566481586589479</v>
      </c>
      <c r="AB1473" t="str">
        <f>HYPERLINK("Melting_Curves/meltCurve_O75063_FAM20B.pdf", "Melting_Curves/meltCurve_O75063_FAM20B.pdf")</f>
        <v>Melting_Curves/meltCurve_O75063_FAM20B.pdf</v>
      </c>
    </row>
    <row r="1474" spans="1:28" x14ac:dyDescent="0.25">
      <c r="A1474" t="s">
        <v>1478</v>
      </c>
      <c r="B1474">
        <v>0.99334974765950101</v>
      </c>
      <c r="C1474">
        <v>0.95069165521235</v>
      </c>
      <c r="D1474">
        <v>0.89616962410905598</v>
      </c>
      <c r="E1474">
        <v>0.89998554171075495</v>
      </c>
      <c r="F1474">
        <v>0.918952839854277</v>
      </c>
      <c r="G1474">
        <v>0.78979416306040495</v>
      </c>
      <c r="H1474">
        <v>0.65767448169033504</v>
      </c>
      <c r="I1474">
        <v>0.76073800230692001</v>
      </c>
      <c r="J1474">
        <v>0.74713308352804497</v>
      </c>
      <c r="K1474">
        <v>0.70803039959514402</v>
      </c>
      <c r="L1474">
        <v>459.88405005644302</v>
      </c>
      <c r="M1474">
        <v>8.4668912535287006</v>
      </c>
      <c r="O1474">
        <v>51.539652581532003</v>
      </c>
      <c r="P1474">
        <v>-1.3960792733279199E-2</v>
      </c>
      <c r="Q1474">
        <v>0.66038203915362104</v>
      </c>
      <c r="R1474">
        <v>0.83787132775403195</v>
      </c>
      <c r="S1474" t="s">
        <v>7335</v>
      </c>
      <c r="T1474" t="s">
        <v>11720</v>
      </c>
      <c r="U1474" t="s">
        <v>11720</v>
      </c>
      <c r="V1474" t="s">
        <v>11720</v>
      </c>
      <c r="W1474" t="s">
        <v>13161</v>
      </c>
      <c r="X1474">
        <v>4</v>
      </c>
      <c r="Y1474" t="s">
        <v>18944</v>
      </c>
      <c r="Z1474" t="s">
        <v>24681</v>
      </c>
      <c r="AA1474">
        <v>0.83308023105357065</v>
      </c>
      <c r="AB1474" t="str">
        <f>HYPERLINK("Melting_Curves/meltCurve_O75071_EFCAB14.pdf", "Melting_Curves/meltCurve_O75071_EFCAB14.pdf")</f>
        <v>Melting_Curves/meltCurve_O75071_EFCAB14.pdf</v>
      </c>
    </row>
    <row r="1475" spans="1:28" x14ac:dyDescent="0.25">
      <c r="A1475" t="s">
        <v>1479</v>
      </c>
      <c r="B1475">
        <v>0.99334974765950101</v>
      </c>
      <c r="C1475">
        <v>0.92177538395213898</v>
      </c>
      <c r="D1475">
        <v>1.02029867897299</v>
      </c>
      <c r="E1475">
        <v>0.85904467105339499</v>
      </c>
      <c r="F1475">
        <v>0.43431087046068101</v>
      </c>
      <c r="G1475">
        <v>0.11477348838529799</v>
      </c>
      <c r="H1475">
        <v>7.9846675898132297E-2</v>
      </c>
      <c r="I1475">
        <v>6.5631247504742099E-2</v>
      </c>
      <c r="J1475">
        <v>6.0335025575397598E-2</v>
      </c>
      <c r="K1475">
        <v>4.6581634441099702E-2</v>
      </c>
      <c r="L1475">
        <v>1887.3766218902199</v>
      </c>
      <c r="M1475">
        <v>36.019630818287901</v>
      </c>
      <c r="N1475">
        <v>52.591600302421298</v>
      </c>
      <c r="O1475">
        <v>52.237841158669497</v>
      </c>
      <c r="P1475">
        <v>-0.16170849872842</v>
      </c>
      <c r="Q1475">
        <v>6.1925424322901698E-2</v>
      </c>
      <c r="R1475">
        <v>0.99579775760449796</v>
      </c>
      <c r="S1475" t="s">
        <v>7336</v>
      </c>
      <c r="T1475" t="s">
        <v>11720</v>
      </c>
      <c r="U1475" t="s">
        <v>11720</v>
      </c>
      <c r="V1475" t="s">
        <v>11720</v>
      </c>
      <c r="W1475" t="s">
        <v>13162</v>
      </c>
      <c r="X1475">
        <v>39</v>
      </c>
      <c r="Y1475" t="s">
        <v>18945</v>
      </c>
      <c r="Z1475" t="s">
        <v>24682</v>
      </c>
      <c r="AA1475">
        <v>0.453807870348092</v>
      </c>
      <c r="AB1475" t="str">
        <f>HYPERLINK("Melting_Curves/meltCurve_O75083_WDR1.pdf", "Melting_Curves/meltCurve_O75083_WDR1.pdf")</f>
        <v>Melting_Curves/meltCurve_O75083_WDR1.pdf</v>
      </c>
    </row>
    <row r="1476" spans="1:28" x14ac:dyDescent="0.25">
      <c r="A1476" t="s">
        <v>1480</v>
      </c>
      <c r="B1476">
        <v>0.99334974765950101</v>
      </c>
      <c r="C1476">
        <v>0.91185009596812405</v>
      </c>
      <c r="D1476">
        <v>0.89738018040780299</v>
      </c>
      <c r="E1476">
        <v>0.93929407532356302</v>
      </c>
      <c r="F1476">
        <v>0.78968272486717705</v>
      </c>
      <c r="G1476">
        <v>0.800076028379338</v>
      </c>
      <c r="H1476">
        <v>0.67697323122678899</v>
      </c>
      <c r="I1476">
        <v>0.73616229031108804</v>
      </c>
      <c r="J1476">
        <v>0.49788735003386397</v>
      </c>
      <c r="K1476">
        <v>0.35721262215857402</v>
      </c>
      <c r="L1476">
        <v>442.07272251732599</v>
      </c>
      <c r="M1476">
        <v>6.5174681883427397</v>
      </c>
      <c r="N1476">
        <v>67.828903759156503</v>
      </c>
      <c r="O1476">
        <v>62.292016645826401</v>
      </c>
      <c r="P1476">
        <v>-2.6219827879917602E-2</v>
      </c>
      <c r="Q1476">
        <v>0</v>
      </c>
      <c r="R1476">
        <v>0.88359563451632805</v>
      </c>
      <c r="S1476" t="s">
        <v>7337</v>
      </c>
      <c r="T1476" t="s">
        <v>11720</v>
      </c>
      <c r="U1476" t="s">
        <v>11720</v>
      </c>
      <c r="V1476" t="s">
        <v>11720</v>
      </c>
      <c r="W1476" t="s">
        <v>13163</v>
      </c>
      <c r="X1476">
        <v>10</v>
      </c>
      <c r="Y1476" t="s">
        <v>18946</v>
      </c>
      <c r="Z1476" t="s">
        <v>24683</v>
      </c>
      <c r="AA1476">
        <v>0.78246355440166548</v>
      </c>
      <c r="AB1476" t="str">
        <f>HYPERLINK("Melting_Curves/meltCurve_O75084_FZD7.pdf", "Melting_Curves/meltCurve_O75084_FZD7.pdf")</f>
        <v>Melting_Curves/meltCurve_O75084_FZD7.pdf</v>
      </c>
    </row>
    <row r="1477" spans="1:28" x14ac:dyDescent="0.25">
      <c r="A1477" t="s">
        <v>1481</v>
      </c>
      <c r="B1477">
        <v>0.99334974765950101</v>
      </c>
      <c r="C1477">
        <v>1.5819190564913901</v>
      </c>
      <c r="D1477">
        <v>1.672998341068</v>
      </c>
      <c r="E1477">
        <v>1.36491445911801</v>
      </c>
      <c r="F1477">
        <v>1.3272955949123999</v>
      </c>
      <c r="G1477">
        <v>1.13207757973139</v>
      </c>
      <c r="H1477">
        <v>1.0883732915667199</v>
      </c>
      <c r="I1477">
        <v>0.80017744149779202</v>
      </c>
      <c r="J1477">
        <v>0.97746256974881995</v>
      </c>
      <c r="K1477">
        <v>0.63268320799687905</v>
      </c>
      <c r="L1477">
        <v>3211.69157786194</v>
      </c>
      <c r="M1477">
        <v>45.310527420583099</v>
      </c>
      <c r="Q1477">
        <v>0</v>
      </c>
      <c r="R1477">
        <v>-0.11227297477278</v>
      </c>
      <c r="S1477" t="s">
        <v>7338</v>
      </c>
      <c r="T1477" t="s">
        <v>11720</v>
      </c>
      <c r="U1477" t="s">
        <v>11720</v>
      </c>
      <c r="V1477" t="s">
        <v>11720</v>
      </c>
      <c r="W1477" t="s">
        <v>13164</v>
      </c>
      <c r="X1477">
        <v>2</v>
      </c>
      <c r="Y1477" t="s">
        <v>18947</v>
      </c>
      <c r="Z1477" t="s">
        <v>24684</v>
      </c>
      <c r="AA1477">
        <v>0.97825871245337692</v>
      </c>
      <c r="AB1477" t="str">
        <f>HYPERLINK("Melting_Curves/meltCurve_O75095_2_MEGF6.pdf", "Melting_Curves/meltCurve_O75095_2_MEGF6.pdf")</f>
        <v>Melting_Curves/meltCurve_O75095_2_MEGF6.pdf</v>
      </c>
    </row>
    <row r="1478" spans="1:28" x14ac:dyDescent="0.25">
      <c r="A1478" t="s">
        <v>1482</v>
      </c>
      <c r="B1478">
        <v>0.99334974765950101</v>
      </c>
      <c r="C1478">
        <v>1.0409118991903701</v>
      </c>
      <c r="D1478">
        <v>0.96147007482546698</v>
      </c>
      <c r="E1478">
        <v>1.2214070449287699</v>
      </c>
      <c r="F1478">
        <v>1.43775026134608</v>
      </c>
      <c r="G1478">
        <v>1.4135047902296101</v>
      </c>
      <c r="H1478">
        <v>1.23553614003086</v>
      </c>
      <c r="I1478">
        <v>1.16659854452809</v>
      </c>
      <c r="J1478">
        <v>0.73008070252800805</v>
      </c>
      <c r="K1478">
        <v>0.299870369727048</v>
      </c>
      <c r="L1478">
        <v>15000</v>
      </c>
      <c r="M1478">
        <v>223.41419131202301</v>
      </c>
      <c r="N1478">
        <v>67.416027833164904</v>
      </c>
      <c r="O1478">
        <v>67.134490866566594</v>
      </c>
      <c r="P1478">
        <v>-0.58254808456095397</v>
      </c>
      <c r="Q1478">
        <v>0.29979256874622701</v>
      </c>
      <c r="R1478">
        <v>0.51926261216789404</v>
      </c>
      <c r="S1478" t="s">
        <v>7339</v>
      </c>
      <c r="T1478" t="s">
        <v>11720</v>
      </c>
      <c r="U1478" t="s">
        <v>11720</v>
      </c>
      <c r="V1478" t="s">
        <v>11720</v>
      </c>
      <c r="W1478" t="s">
        <v>13165</v>
      </c>
      <c r="X1478">
        <v>7</v>
      </c>
      <c r="Y1478" t="s">
        <v>18948</v>
      </c>
      <c r="Z1478" t="s">
        <v>24685</v>
      </c>
      <c r="AA1478">
        <v>0.93334636199046905</v>
      </c>
      <c r="AB1478" t="str">
        <f>HYPERLINK("Melting_Curves/meltCurve_O75110_ATP9A.pdf", "Melting_Curves/meltCurve_O75110_ATP9A.pdf")</f>
        <v>Melting_Curves/meltCurve_O75110_ATP9A.pdf</v>
      </c>
    </row>
    <row r="1479" spans="1:28" x14ac:dyDescent="0.25">
      <c r="A1479" t="s">
        <v>1483</v>
      </c>
      <c r="B1479">
        <v>0.99334974765950101</v>
      </c>
      <c r="C1479">
        <v>1.0003117985755401</v>
      </c>
      <c r="D1479">
        <v>0.84613966925210904</v>
      </c>
      <c r="E1479">
        <v>0.54143775399441996</v>
      </c>
      <c r="F1479">
        <v>0.26851045610862001</v>
      </c>
      <c r="G1479">
        <v>0.19087161021499399</v>
      </c>
      <c r="H1479">
        <v>0.15287541137025801</v>
      </c>
      <c r="I1479">
        <v>0.13392789848356801</v>
      </c>
      <c r="J1479">
        <v>0.114164579432112</v>
      </c>
      <c r="K1479">
        <v>9.4057650676379903E-2</v>
      </c>
      <c r="L1479">
        <v>1072.4507982386001</v>
      </c>
      <c r="M1479">
        <v>21.610661210936598</v>
      </c>
      <c r="N1479">
        <v>50.254577593581402</v>
      </c>
      <c r="O1479">
        <v>49.206950269192198</v>
      </c>
      <c r="P1479">
        <v>-9.6794811198819997E-2</v>
      </c>
      <c r="Q1479">
        <v>0.118423723349834</v>
      </c>
      <c r="R1479">
        <v>0.99697003208400903</v>
      </c>
      <c r="S1479" t="s">
        <v>7340</v>
      </c>
      <c r="T1479" t="s">
        <v>11720</v>
      </c>
      <c r="U1479" t="s">
        <v>11720</v>
      </c>
      <c r="V1479" t="s">
        <v>11720</v>
      </c>
      <c r="W1479" t="s">
        <v>13166</v>
      </c>
      <c r="X1479">
        <v>12</v>
      </c>
      <c r="Y1479" t="s">
        <v>18949</v>
      </c>
      <c r="Z1479" t="s">
        <v>24686</v>
      </c>
      <c r="AA1479">
        <v>0.41182707684292019</v>
      </c>
      <c r="AB1479" t="str">
        <f>HYPERLINK("Melting_Curves/meltCurve_O75113_N4BP1.pdf", "Melting_Curves/meltCurve_O75113_N4BP1.pdf")</f>
        <v>Melting_Curves/meltCurve_O75113_N4BP1.pdf</v>
      </c>
    </row>
    <row r="1480" spans="1:28" x14ac:dyDescent="0.25">
      <c r="A1480" t="s">
        <v>1484</v>
      </c>
      <c r="B1480">
        <v>0.99334974765950101</v>
      </c>
      <c r="C1480">
        <v>0.98055762825874304</v>
      </c>
      <c r="D1480">
        <v>1.21499294647054</v>
      </c>
      <c r="E1480">
        <v>0.77576470069339298</v>
      </c>
      <c r="F1480">
        <v>0.33594838831366203</v>
      </c>
      <c r="G1480">
        <v>0.18674664721329001</v>
      </c>
      <c r="H1480">
        <v>0.14649532852670699</v>
      </c>
      <c r="I1480">
        <v>0.128651350964675</v>
      </c>
      <c r="J1480">
        <v>0.116040994767828</v>
      </c>
      <c r="K1480">
        <v>8.9340660074943803E-2</v>
      </c>
      <c r="L1480">
        <v>2105.9568735498801</v>
      </c>
      <c r="M1480">
        <v>40.9424541360818</v>
      </c>
      <c r="N1480">
        <v>51.818491875440102</v>
      </c>
      <c r="O1480">
        <v>51.314743225008002</v>
      </c>
      <c r="P1480">
        <v>-0.173514703777399</v>
      </c>
      <c r="Q1480">
        <v>0.13011121151585101</v>
      </c>
      <c r="R1480">
        <v>0.96953479100006201</v>
      </c>
      <c r="S1480" t="s">
        <v>7341</v>
      </c>
      <c r="T1480" t="s">
        <v>11720</v>
      </c>
      <c r="U1480" t="s">
        <v>11720</v>
      </c>
      <c r="V1480" t="s">
        <v>11720</v>
      </c>
      <c r="W1480" t="s">
        <v>13167</v>
      </c>
      <c r="X1480">
        <v>40</v>
      </c>
      <c r="Y1480" t="s">
        <v>18950</v>
      </c>
      <c r="Z1480" t="s">
        <v>24687</v>
      </c>
      <c r="AA1480">
        <v>0.46469226381235151</v>
      </c>
      <c r="AB1480" t="str">
        <f>HYPERLINK("Melting_Curves/meltCurve_O75116_ROCK2.pdf", "Melting_Curves/meltCurve_O75116_ROCK2.pdf")</f>
        <v>Melting_Curves/meltCurve_O75116_ROCK2.pdf</v>
      </c>
    </row>
    <row r="1481" spans="1:28" x14ac:dyDescent="0.25">
      <c r="A1481" t="s">
        <v>1485</v>
      </c>
      <c r="B1481">
        <v>0.99334974765950101</v>
      </c>
      <c r="C1481">
        <v>0.971896062060985</v>
      </c>
      <c r="D1481">
        <v>0.92823151967027195</v>
      </c>
      <c r="E1481">
        <v>0.72497172929678799</v>
      </c>
      <c r="F1481">
        <v>0.16296711248749801</v>
      </c>
      <c r="G1481">
        <v>0.100421115421263</v>
      </c>
      <c r="H1481">
        <v>7.1051371107011693E-2</v>
      </c>
      <c r="I1481">
        <v>6.3749217073999595E-2</v>
      </c>
      <c r="J1481">
        <v>5.2292888377158897E-2</v>
      </c>
      <c r="K1481">
        <v>4.2165906465987599E-2</v>
      </c>
      <c r="L1481">
        <v>2558.85237387691</v>
      </c>
      <c r="M1481">
        <v>50.324807780719198</v>
      </c>
      <c r="N1481">
        <v>50.9850954024432</v>
      </c>
      <c r="O1481">
        <v>50.766641915220497</v>
      </c>
      <c r="P1481">
        <v>-0.23200741340174999</v>
      </c>
      <c r="Q1481">
        <v>6.3823347799154106E-2</v>
      </c>
      <c r="R1481">
        <v>0.99574979011958797</v>
      </c>
      <c r="S1481" t="s">
        <v>7342</v>
      </c>
      <c r="T1481" t="s">
        <v>11720</v>
      </c>
      <c r="U1481" t="s">
        <v>11720</v>
      </c>
      <c r="V1481" t="s">
        <v>11720</v>
      </c>
      <c r="W1481" t="s">
        <v>13168</v>
      </c>
      <c r="X1481">
        <v>35</v>
      </c>
      <c r="Y1481" t="s">
        <v>18951</v>
      </c>
      <c r="Z1481" t="s">
        <v>24688</v>
      </c>
      <c r="AA1481">
        <v>0.40437799305219901</v>
      </c>
      <c r="AB1481" t="str">
        <f>HYPERLINK("Melting_Curves/meltCurve_O75131_CPNE3.pdf", "Melting_Curves/meltCurve_O75131_CPNE3.pdf")</f>
        <v>Melting_Curves/meltCurve_O75131_CPNE3.pdf</v>
      </c>
    </row>
    <row r="1482" spans="1:28" x14ac:dyDescent="0.25">
      <c r="A1482" t="s">
        <v>1486</v>
      </c>
      <c r="B1482">
        <v>0.99334974765950101</v>
      </c>
      <c r="C1482">
        <v>1.0377335086235799</v>
      </c>
      <c r="D1482">
        <v>0.92367185791724604</v>
      </c>
      <c r="E1482">
        <v>0.80031231795401803</v>
      </c>
      <c r="F1482">
        <v>0.81439578049292505</v>
      </c>
      <c r="G1482">
        <v>0.65525016339517295</v>
      </c>
      <c r="H1482">
        <v>0.71828430864126203</v>
      </c>
      <c r="I1482">
        <v>1.0051421875917499</v>
      </c>
      <c r="J1482">
        <v>0.86575041142958198</v>
      </c>
      <c r="K1482">
        <v>0.53252957839416903</v>
      </c>
      <c r="L1482">
        <v>1547.24142521469</v>
      </c>
      <c r="M1482">
        <v>32.655320217708002</v>
      </c>
      <c r="O1482">
        <v>47.204383321777101</v>
      </c>
      <c r="P1482">
        <v>-4.0907476409041202E-2</v>
      </c>
      <c r="Q1482">
        <v>0.763468556997422</v>
      </c>
      <c r="R1482">
        <v>0.42262079453300999</v>
      </c>
      <c r="S1482" t="s">
        <v>7343</v>
      </c>
      <c r="T1482" t="s">
        <v>11720</v>
      </c>
      <c r="U1482" t="s">
        <v>11720</v>
      </c>
      <c r="V1482" t="s">
        <v>11720</v>
      </c>
      <c r="W1482" t="s">
        <v>13169</v>
      </c>
      <c r="X1482">
        <v>10</v>
      </c>
      <c r="Y1482" t="s">
        <v>18952</v>
      </c>
      <c r="Z1482" t="s">
        <v>24689</v>
      </c>
      <c r="AA1482">
        <v>0.82284900853114118</v>
      </c>
      <c r="AB1482" t="str">
        <f>HYPERLINK("Melting_Curves/meltCurve_O75143_2_ATG13.pdf", "Melting_Curves/meltCurve_O75143_2_ATG13.pdf")</f>
        <v>Melting_Curves/meltCurve_O75143_2_ATG13.pdf</v>
      </c>
    </row>
    <row r="1483" spans="1:28" x14ac:dyDescent="0.25">
      <c r="A1483" t="s">
        <v>1487</v>
      </c>
      <c r="B1483">
        <v>0.99334974765950101</v>
      </c>
      <c r="C1483">
        <v>1.0753973704273401</v>
      </c>
      <c r="D1483">
        <v>1.07897819210906</v>
      </c>
      <c r="E1483">
        <v>0.90750348732396902</v>
      </c>
      <c r="F1483">
        <v>0.374379563643081</v>
      </c>
      <c r="G1483">
        <v>0.183812882739011</v>
      </c>
      <c r="H1483">
        <v>0.170757444803395</v>
      </c>
      <c r="I1483">
        <v>0.13391597105620401</v>
      </c>
      <c r="J1483">
        <v>0.159957595633371</v>
      </c>
      <c r="K1483">
        <v>0.112541180656013</v>
      </c>
      <c r="L1483">
        <v>2743.5157847352302</v>
      </c>
      <c r="M1483">
        <v>52.777821846859297</v>
      </c>
      <c r="N1483">
        <v>52.336550967241202</v>
      </c>
      <c r="O1483">
        <v>51.907892502370302</v>
      </c>
      <c r="P1483">
        <v>-0.21601687404292899</v>
      </c>
      <c r="Q1483">
        <v>0.15017539636638599</v>
      </c>
      <c r="R1483">
        <v>0.99118256733054</v>
      </c>
      <c r="S1483" t="s">
        <v>7344</v>
      </c>
      <c r="T1483" t="s">
        <v>11720</v>
      </c>
      <c r="U1483" t="s">
        <v>11720</v>
      </c>
      <c r="V1483" t="s">
        <v>11720</v>
      </c>
      <c r="W1483" t="s">
        <v>13170</v>
      </c>
      <c r="X1483">
        <v>4</v>
      </c>
      <c r="Y1483" t="s">
        <v>18953</v>
      </c>
      <c r="Z1483" t="s">
        <v>24690</v>
      </c>
      <c r="AA1483">
        <v>0.49135338854668231</v>
      </c>
      <c r="AB1483" t="str">
        <f>HYPERLINK("Melting_Curves/meltCurve_O75146_HIP1R.pdf", "Melting_Curves/meltCurve_O75146_HIP1R.pdf")</f>
        <v>Melting_Curves/meltCurve_O75146_HIP1R.pdf</v>
      </c>
    </row>
    <row r="1484" spans="1:28" x14ac:dyDescent="0.25">
      <c r="A1484" t="s">
        <v>1488</v>
      </c>
      <c r="B1484">
        <v>0.99334974765950101</v>
      </c>
      <c r="C1484">
        <v>1.04308356680839</v>
      </c>
      <c r="D1484">
        <v>1.03284394138737</v>
      </c>
      <c r="E1484">
        <v>0.65775746112390998</v>
      </c>
      <c r="F1484">
        <v>0.32076033734515302</v>
      </c>
      <c r="G1484">
        <v>0.215729629291779</v>
      </c>
      <c r="H1484">
        <v>0.19249375208726599</v>
      </c>
      <c r="I1484">
        <v>0.264126572209059</v>
      </c>
      <c r="J1484">
        <v>0.173980211422776</v>
      </c>
      <c r="K1484">
        <v>0.25380200959538202</v>
      </c>
      <c r="L1484">
        <v>2132.65316675653</v>
      </c>
      <c r="M1484">
        <v>42.3598701744246</v>
      </c>
      <c r="N1484">
        <v>51.049557895395999</v>
      </c>
      <c r="O1484">
        <v>50.234257498619598</v>
      </c>
      <c r="P1484">
        <v>-0.16420257048850301</v>
      </c>
      <c r="Q1484">
        <v>0.22109481624626501</v>
      </c>
      <c r="R1484">
        <v>0.99169459425686302</v>
      </c>
      <c r="S1484" t="s">
        <v>7345</v>
      </c>
      <c r="T1484" t="s">
        <v>11720</v>
      </c>
      <c r="U1484" t="s">
        <v>11720</v>
      </c>
      <c r="V1484" t="s">
        <v>11720</v>
      </c>
      <c r="W1484" t="s">
        <v>13171</v>
      </c>
      <c r="X1484">
        <v>7</v>
      </c>
      <c r="Y1484" t="s">
        <v>18954</v>
      </c>
      <c r="Z1484" t="s">
        <v>24691</v>
      </c>
      <c r="AA1484">
        <v>0.49213046866510168</v>
      </c>
      <c r="AB1484" t="str">
        <f>HYPERLINK("Melting_Curves/meltCurve_O75155_CAND2.pdf", "Melting_Curves/meltCurve_O75155_CAND2.pdf")</f>
        <v>Melting_Curves/meltCurve_O75155_CAND2.pdf</v>
      </c>
    </row>
    <row r="1485" spans="1:28" x14ac:dyDescent="0.25">
      <c r="A1485" t="s">
        <v>1489</v>
      </c>
      <c r="B1485">
        <v>0.99334974765950101</v>
      </c>
      <c r="C1485">
        <v>1.0661136925999299</v>
      </c>
      <c r="D1485">
        <v>1.00800614614892</v>
      </c>
      <c r="E1485">
        <v>0.93146243250882399</v>
      </c>
      <c r="F1485">
        <v>0.84375289283697796</v>
      </c>
      <c r="G1485">
        <v>0.58544882618293403</v>
      </c>
      <c r="H1485">
        <v>0.59368380267249499</v>
      </c>
      <c r="I1485">
        <v>0.69146641764891703</v>
      </c>
      <c r="J1485">
        <v>0.89200151158777896</v>
      </c>
      <c r="K1485">
        <v>0.84927153295955804</v>
      </c>
      <c r="L1485">
        <v>2375.3626337903802</v>
      </c>
      <c r="M1485">
        <v>45.5746951885613</v>
      </c>
      <c r="O1485">
        <v>52.020156784973899</v>
      </c>
      <c r="P1485">
        <v>-6.0198151001643101E-2</v>
      </c>
      <c r="Q1485">
        <v>0.72515332299850099</v>
      </c>
      <c r="R1485">
        <v>0.65779729317608204</v>
      </c>
      <c r="S1485" t="s">
        <v>7346</v>
      </c>
      <c r="T1485" t="s">
        <v>11720</v>
      </c>
      <c r="U1485" t="s">
        <v>11720</v>
      </c>
      <c r="V1485" t="s">
        <v>11720</v>
      </c>
      <c r="W1485" t="s">
        <v>13172</v>
      </c>
      <c r="X1485">
        <v>17</v>
      </c>
      <c r="Y1485" t="s">
        <v>18955</v>
      </c>
      <c r="Z1485" t="s">
        <v>24692</v>
      </c>
      <c r="AA1485">
        <v>0.83695455375454653</v>
      </c>
      <c r="AB1485" t="str">
        <f>HYPERLINK("Melting_Curves/meltCurve_O75157_2_TSC22D2.pdf", "Melting_Curves/meltCurve_O75157_2_TSC22D2.pdf")</f>
        <v>Melting_Curves/meltCurve_O75157_2_TSC22D2.pdf</v>
      </c>
    </row>
    <row r="1486" spans="1:28" x14ac:dyDescent="0.25">
      <c r="A1486" t="s">
        <v>1490</v>
      </c>
      <c r="B1486">
        <v>0.99334974765950101</v>
      </c>
      <c r="C1486">
        <v>1.01810926275375</v>
      </c>
      <c r="D1486">
        <v>0.964010102003799</v>
      </c>
      <c r="E1486">
        <v>0.789837798762969</v>
      </c>
      <c r="F1486">
        <v>0.335285945263607</v>
      </c>
      <c r="G1486">
        <v>0.29852038049676699</v>
      </c>
      <c r="H1486">
        <v>0.19083224902724999</v>
      </c>
      <c r="I1486">
        <v>0.15939524022457299</v>
      </c>
      <c r="J1486">
        <v>8.0942489753899102E-2</v>
      </c>
      <c r="K1486">
        <v>4.5280935508822E-2</v>
      </c>
      <c r="L1486">
        <v>1406.6360500220801</v>
      </c>
      <c r="M1486">
        <v>27.261803843750801</v>
      </c>
      <c r="N1486">
        <v>52.170116223515102</v>
      </c>
      <c r="O1486">
        <v>51.322102996473298</v>
      </c>
      <c r="P1486">
        <v>-0.115622937568731</v>
      </c>
      <c r="Q1486">
        <v>0.12933806567672801</v>
      </c>
      <c r="R1486">
        <v>0.97735149395674403</v>
      </c>
      <c r="S1486" t="s">
        <v>7347</v>
      </c>
      <c r="T1486" t="s">
        <v>11720</v>
      </c>
      <c r="U1486" t="s">
        <v>11720</v>
      </c>
      <c r="V1486" t="s">
        <v>11720</v>
      </c>
      <c r="W1486" t="s">
        <v>13173</v>
      </c>
      <c r="X1486">
        <v>5</v>
      </c>
      <c r="Y1486" t="s">
        <v>18956</v>
      </c>
      <c r="Z1486" t="s">
        <v>24693</v>
      </c>
      <c r="AA1486">
        <v>0.47259811212430008</v>
      </c>
      <c r="AB1486" t="str">
        <f>HYPERLINK("Melting_Curves/meltCurve_O75165_DNAJC13.pdf", "Melting_Curves/meltCurve_O75165_DNAJC13.pdf")</f>
        <v>Melting_Curves/meltCurve_O75165_DNAJC13.pdf</v>
      </c>
    </row>
    <row r="1487" spans="1:28" x14ac:dyDescent="0.25">
      <c r="A1487" t="s">
        <v>1491</v>
      </c>
      <c r="B1487">
        <v>0.99334974765950101</v>
      </c>
      <c r="C1487">
        <v>0.96174828745826901</v>
      </c>
      <c r="D1487">
        <v>0.94821832841976195</v>
      </c>
      <c r="E1487">
        <v>0.90660778944381903</v>
      </c>
      <c r="F1487">
        <v>0.94406906923979095</v>
      </c>
      <c r="G1487">
        <v>0.473614123390946</v>
      </c>
      <c r="H1487">
        <v>0.21261882264724799</v>
      </c>
      <c r="I1487">
        <v>0.19974582898184801</v>
      </c>
      <c r="J1487">
        <v>0.18912389355314099</v>
      </c>
      <c r="K1487">
        <v>0.168342569441921</v>
      </c>
      <c r="L1487">
        <v>2198.5768482502399</v>
      </c>
      <c r="M1487">
        <v>39.147094404246701</v>
      </c>
      <c r="N1487">
        <v>56.815848180036397</v>
      </c>
      <c r="O1487">
        <v>56.015987552880702</v>
      </c>
      <c r="P1487">
        <v>-0.14302853787691699</v>
      </c>
      <c r="Q1487">
        <v>0.181357721346215</v>
      </c>
      <c r="R1487">
        <v>0.99049603079214898</v>
      </c>
      <c r="S1487" t="s">
        <v>7348</v>
      </c>
      <c r="T1487" t="s">
        <v>11720</v>
      </c>
      <c r="U1487" t="s">
        <v>11720</v>
      </c>
      <c r="V1487" t="s">
        <v>11720</v>
      </c>
      <c r="W1487" t="s">
        <v>13174</v>
      </c>
      <c r="X1487">
        <v>12</v>
      </c>
      <c r="Y1487" t="s">
        <v>18957</v>
      </c>
      <c r="Z1487" t="s">
        <v>24694</v>
      </c>
      <c r="AA1487">
        <v>0.625677950680539</v>
      </c>
      <c r="AB1487" t="str">
        <f>HYPERLINK("Melting_Curves/meltCurve_O75170_4_PPP6R2.pdf", "Melting_Curves/meltCurve_O75170_4_PPP6R2.pdf")</f>
        <v>Melting_Curves/meltCurve_O75170_4_PPP6R2.pdf</v>
      </c>
    </row>
    <row r="1488" spans="1:28" x14ac:dyDescent="0.25">
      <c r="A1488" t="s">
        <v>1492</v>
      </c>
      <c r="B1488">
        <v>0.99334974765950101</v>
      </c>
      <c r="C1488">
        <v>1.0168466064614099</v>
      </c>
      <c r="D1488">
        <v>0.90240659901342501</v>
      </c>
      <c r="E1488">
        <v>0.80587353297161901</v>
      </c>
      <c r="F1488">
        <v>0.57411509990260201</v>
      </c>
      <c r="G1488">
        <v>0.38857697861760898</v>
      </c>
      <c r="H1488">
        <v>0.29488181104067801</v>
      </c>
      <c r="I1488">
        <v>0.28551410839956798</v>
      </c>
      <c r="J1488">
        <v>0.28127247449361698</v>
      </c>
      <c r="K1488">
        <v>0.21966294472855699</v>
      </c>
      <c r="L1488">
        <v>930.95078421188202</v>
      </c>
      <c r="M1488">
        <v>17.734896276593801</v>
      </c>
      <c r="N1488">
        <v>54.512363450655698</v>
      </c>
      <c r="O1488">
        <v>51.8388321507082</v>
      </c>
      <c r="P1488">
        <v>-6.4934874576441703E-2</v>
      </c>
      <c r="Q1488">
        <v>0.24082506448791599</v>
      </c>
      <c r="R1488">
        <v>0.99435817194577503</v>
      </c>
      <c r="S1488" t="s">
        <v>7349</v>
      </c>
      <c r="T1488" t="s">
        <v>11720</v>
      </c>
      <c r="U1488" t="s">
        <v>11720</v>
      </c>
      <c r="V1488" t="s">
        <v>11720</v>
      </c>
      <c r="W1488" t="s">
        <v>13175</v>
      </c>
      <c r="X1488">
        <v>6</v>
      </c>
      <c r="Y1488" t="s">
        <v>18958</v>
      </c>
      <c r="Z1488" t="s">
        <v>24695</v>
      </c>
      <c r="AA1488">
        <v>0.56981249163483128</v>
      </c>
      <c r="AB1488" t="str">
        <f>HYPERLINK("Melting_Curves/meltCurve_O75175_2_CNOT3.pdf", "Melting_Curves/meltCurve_O75175_2_CNOT3.pdf")</f>
        <v>Melting_Curves/meltCurve_O75175_2_CNOT3.pdf</v>
      </c>
    </row>
    <row r="1489" spans="1:28" x14ac:dyDescent="0.25">
      <c r="A1489" t="s">
        <v>1493</v>
      </c>
      <c r="B1489">
        <v>0.99334974765950101</v>
      </c>
      <c r="C1489">
        <v>0.96482098497024804</v>
      </c>
      <c r="D1489">
        <v>0.91918114638260795</v>
      </c>
      <c r="E1489">
        <v>0.53359614357642504</v>
      </c>
      <c r="F1489">
        <v>0.29267010586599501</v>
      </c>
      <c r="G1489">
        <v>0.24946856114816901</v>
      </c>
      <c r="H1489">
        <v>0.212545117581106</v>
      </c>
      <c r="I1489">
        <v>0.181037061224849</v>
      </c>
      <c r="J1489">
        <v>0.192485459277358</v>
      </c>
      <c r="K1489">
        <v>0.186909644331749</v>
      </c>
      <c r="L1489">
        <v>1374.15961163566</v>
      </c>
      <c r="M1489">
        <v>27.807685325661399</v>
      </c>
      <c r="N1489">
        <v>50.325299273937603</v>
      </c>
      <c r="O1489">
        <v>49.163098188960902</v>
      </c>
      <c r="P1489">
        <v>-0.113495453928146</v>
      </c>
      <c r="Q1489">
        <v>0.19738174172456399</v>
      </c>
      <c r="R1489">
        <v>0.99779539520064198</v>
      </c>
      <c r="S1489" t="s">
        <v>7350</v>
      </c>
      <c r="T1489" t="s">
        <v>11720</v>
      </c>
      <c r="U1489" t="s">
        <v>11720</v>
      </c>
      <c r="V1489" t="s">
        <v>11720</v>
      </c>
      <c r="W1489" t="s">
        <v>13176</v>
      </c>
      <c r="X1489">
        <v>10</v>
      </c>
      <c r="Y1489" t="s">
        <v>18959</v>
      </c>
      <c r="Z1489" t="s">
        <v>24696</v>
      </c>
      <c r="AA1489">
        <v>0.45505325911128369</v>
      </c>
      <c r="AB1489" t="str">
        <f>HYPERLINK("Melting_Curves/meltCurve_O75179_2_ANKRD17.pdf", "Melting_Curves/meltCurve_O75179_2_ANKRD17.pdf")</f>
        <v>Melting_Curves/meltCurve_O75179_2_ANKRD17.pdf</v>
      </c>
    </row>
    <row r="1490" spans="1:28" x14ac:dyDescent="0.25">
      <c r="A1490" t="s">
        <v>1494</v>
      </c>
      <c r="B1490">
        <v>0.99334974765950101</v>
      </c>
      <c r="C1490">
        <v>0.98342687590209998</v>
      </c>
      <c r="D1490">
        <v>0.80316217589407002</v>
      </c>
      <c r="E1490">
        <v>0.32289251993324702</v>
      </c>
      <c r="F1490">
        <v>0.26062436998052901</v>
      </c>
      <c r="G1490">
        <v>0.18397226416182699</v>
      </c>
      <c r="H1490">
        <v>0.14291737288419401</v>
      </c>
      <c r="I1490">
        <v>0.116140530748274</v>
      </c>
      <c r="J1490">
        <v>0.12710372885489499</v>
      </c>
      <c r="K1490">
        <v>0.102539596481764</v>
      </c>
      <c r="L1490">
        <v>1266.24641782501</v>
      </c>
      <c r="M1490">
        <v>26.374080102830099</v>
      </c>
      <c r="N1490">
        <v>48.598452276623</v>
      </c>
      <c r="O1490">
        <v>47.737558729378897</v>
      </c>
      <c r="P1490">
        <v>-0.119269677878236</v>
      </c>
      <c r="Q1490">
        <v>0.13648855681244401</v>
      </c>
      <c r="R1490">
        <v>0.99343609935090205</v>
      </c>
      <c r="S1490" t="s">
        <v>7351</v>
      </c>
      <c r="T1490" t="s">
        <v>11720</v>
      </c>
      <c r="U1490" t="s">
        <v>11720</v>
      </c>
      <c r="V1490" t="s">
        <v>11720</v>
      </c>
      <c r="W1490" t="s">
        <v>13177</v>
      </c>
      <c r="X1490">
        <v>8</v>
      </c>
      <c r="Y1490" t="s">
        <v>18960</v>
      </c>
      <c r="Z1490" t="s">
        <v>24697</v>
      </c>
      <c r="AA1490">
        <v>0.37388939865653059</v>
      </c>
      <c r="AB1490" t="str">
        <f>HYPERLINK("Melting_Curves/meltCurve_O75191_XYLB.pdf", "Melting_Curves/meltCurve_O75191_XYLB.pdf")</f>
        <v>Melting_Curves/meltCurve_O75191_XYLB.pdf</v>
      </c>
    </row>
    <row r="1491" spans="1:28" x14ac:dyDescent="0.25">
      <c r="A1491" t="s">
        <v>1495</v>
      </c>
      <c r="B1491">
        <v>0.99334974765950101</v>
      </c>
      <c r="C1491">
        <v>0.95627905813451497</v>
      </c>
      <c r="D1491">
        <v>0.81595632818119601</v>
      </c>
      <c r="E1491">
        <v>0.73353367999788499</v>
      </c>
      <c r="F1491">
        <v>0.375478162487833</v>
      </c>
      <c r="G1491">
        <v>0.26583734689336402</v>
      </c>
      <c r="H1491">
        <v>0.193864306734439</v>
      </c>
      <c r="I1491">
        <v>0.16913143094255101</v>
      </c>
      <c r="J1491">
        <v>0.144693035396908</v>
      </c>
      <c r="K1491">
        <v>0.10292819459144401</v>
      </c>
      <c r="L1491">
        <v>803.81196034299398</v>
      </c>
      <c r="M1491">
        <v>15.682754174634701</v>
      </c>
      <c r="N1491">
        <v>52.112787667851102</v>
      </c>
      <c r="O1491">
        <v>50.442847557053099</v>
      </c>
      <c r="P1491">
        <v>-6.8885148023151904E-2</v>
      </c>
      <c r="Q1491">
        <v>0.113811735833641</v>
      </c>
      <c r="R1491">
        <v>0.98486822227739601</v>
      </c>
      <c r="S1491" t="s">
        <v>7352</v>
      </c>
      <c r="T1491" t="s">
        <v>11720</v>
      </c>
      <c r="U1491" t="s">
        <v>11720</v>
      </c>
      <c r="V1491" t="s">
        <v>11720</v>
      </c>
      <c r="W1491" t="s">
        <v>13178</v>
      </c>
      <c r="X1491">
        <v>5</v>
      </c>
      <c r="Y1491" t="s">
        <v>18961</v>
      </c>
      <c r="Z1491" t="s">
        <v>24698</v>
      </c>
      <c r="AA1491">
        <v>0.46514325280584867</v>
      </c>
      <c r="AB1491" t="str">
        <f>HYPERLINK("Melting_Curves/meltCurve_O75208_COQ9.pdf", "Melting_Curves/meltCurve_O75208_COQ9.pdf")</f>
        <v>Melting_Curves/meltCurve_O75208_COQ9.pdf</v>
      </c>
    </row>
    <row r="1492" spans="1:28" x14ac:dyDescent="0.25">
      <c r="A1492" t="s">
        <v>1496</v>
      </c>
      <c r="B1492">
        <v>0.99334974765950101</v>
      </c>
      <c r="C1492">
        <v>0.97548346185061496</v>
      </c>
      <c r="D1492">
        <v>0.82775560300331397</v>
      </c>
      <c r="E1492">
        <v>0.788900202764652</v>
      </c>
      <c r="F1492">
        <v>0.67496757480473701</v>
      </c>
      <c r="G1492">
        <v>0.385266131407349</v>
      </c>
      <c r="H1492">
        <v>0.15082483323822399</v>
      </c>
      <c r="I1492">
        <v>0.118369252954901</v>
      </c>
      <c r="J1492">
        <v>0.117172046146076</v>
      </c>
      <c r="K1492">
        <v>9.1192837816559499E-2</v>
      </c>
      <c r="L1492">
        <v>727.50298574155295</v>
      </c>
      <c r="M1492">
        <v>13.2793224447084</v>
      </c>
      <c r="N1492">
        <v>54.8826797826937</v>
      </c>
      <c r="O1492">
        <v>53.586973133395702</v>
      </c>
      <c r="P1492">
        <v>-6.1236048705149801E-2</v>
      </c>
      <c r="Q1492">
        <v>1.1720436560725101E-2</v>
      </c>
      <c r="R1492">
        <v>0.98480553124537695</v>
      </c>
      <c r="S1492" t="s">
        <v>7353</v>
      </c>
      <c r="T1492" t="s">
        <v>11720</v>
      </c>
      <c r="U1492" t="s">
        <v>11720</v>
      </c>
      <c r="V1492" t="s">
        <v>11720</v>
      </c>
      <c r="W1492" t="s">
        <v>13179</v>
      </c>
      <c r="X1492">
        <v>20</v>
      </c>
      <c r="Y1492" t="s">
        <v>18962</v>
      </c>
      <c r="Z1492" t="s">
        <v>24699</v>
      </c>
      <c r="AA1492">
        <v>0.52063129498498184</v>
      </c>
      <c r="AB1492" t="str">
        <f>HYPERLINK("Melting_Curves/meltCurve_O75223_GGCT.pdf", "Melting_Curves/meltCurve_O75223_GGCT.pdf")</f>
        <v>Melting_Curves/meltCurve_O75223_GGCT.pdf</v>
      </c>
    </row>
    <row r="1493" spans="1:28" x14ac:dyDescent="0.25">
      <c r="A1493" t="s">
        <v>1497</v>
      </c>
      <c r="B1493">
        <v>0.99334974765950101</v>
      </c>
      <c r="C1493">
        <v>1.03888463049576</v>
      </c>
      <c r="D1493">
        <v>0.91128268321871397</v>
      </c>
      <c r="E1493">
        <v>0.86233910155521698</v>
      </c>
      <c r="F1493">
        <v>0.55692652236093498</v>
      </c>
      <c r="G1493">
        <v>0.43782273067240401</v>
      </c>
      <c r="H1493">
        <v>0.37059437911152998</v>
      </c>
      <c r="I1493">
        <v>0.38432770759596502</v>
      </c>
      <c r="J1493">
        <v>0.26093351985125601</v>
      </c>
      <c r="K1493">
        <v>0.19936137669154499</v>
      </c>
      <c r="L1493">
        <v>849.91071342426301</v>
      </c>
      <c r="M1493">
        <v>16.027793360994</v>
      </c>
      <c r="N1493">
        <v>55.505043486166997</v>
      </c>
      <c r="O1493">
        <v>52.222432823734202</v>
      </c>
      <c r="P1493">
        <v>-5.7127204847605598E-2</v>
      </c>
      <c r="Q1493">
        <v>0.25552091447834901</v>
      </c>
      <c r="R1493">
        <v>0.97018817469708096</v>
      </c>
      <c r="S1493" t="s">
        <v>7354</v>
      </c>
      <c r="T1493" t="s">
        <v>11720</v>
      </c>
      <c r="U1493" t="s">
        <v>11720</v>
      </c>
      <c r="V1493" t="s">
        <v>11720</v>
      </c>
      <c r="W1493" t="s">
        <v>13180</v>
      </c>
      <c r="X1493">
        <v>1</v>
      </c>
      <c r="Y1493" t="s">
        <v>18963</v>
      </c>
      <c r="Z1493" t="s">
        <v>24700</v>
      </c>
      <c r="AA1493">
        <v>0.59336315882069879</v>
      </c>
      <c r="AB1493" t="str">
        <f>HYPERLINK("Melting_Curves/meltCurve_O75298_2_RTN2.pdf", "Melting_Curves/meltCurve_O75298_2_RTN2.pdf")</f>
        <v>Melting_Curves/meltCurve_O75298_2_RTN2.pdf</v>
      </c>
    </row>
    <row r="1494" spans="1:28" x14ac:dyDescent="0.25">
      <c r="A1494" t="s">
        <v>1498</v>
      </c>
      <c r="B1494">
        <v>0.99334974765950101</v>
      </c>
      <c r="C1494">
        <v>0.90954722280025102</v>
      </c>
      <c r="D1494">
        <v>0.936084859818202</v>
      </c>
      <c r="E1494">
        <v>1.07560625855738</v>
      </c>
      <c r="F1494">
        <v>0.87396390289933201</v>
      </c>
      <c r="G1494">
        <v>0.53020539778272302</v>
      </c>
      <c r="H1494">
        <v>0.22804756812297999</v>
      </c>
      <c r="I1494">
        <v>0.10559809900233701</v>
      </c>
      <c r="J1494">
        <v>7.6796561836079899E-2</v>
      </c>
      <c r="K1494">
        <v>7.7830371017479402E-2</v>
      </c>
      <c r="L1494">
        <v>1536.2238672072799</v>
      </c>
      <c r="M1494">
        <v>26.932240718136502</v>
      </c>
      <c r="N1494">
        <v>57.3526247442257</v>
      </c>
      <c r="O1494">
        <v>56.728634502974103</v>
      </c>
      <c r="P1494">
        <v>-0.110595049621268</v>
      </c>
      <c r="Q1494">
        <v>6.8203284035639605E-2</v>
      </c>
      <c r="R1494">
        <v>0.98591566507210804</v>
      </c>
      <c r="S1494" t="s">
        <v>7355</v>
      </c>
      <c r="T1494" t="s">
        <v>11720</v>
      </c>
      <c r="U1494" t="s">
        <v>11720</v>
      </c>
      <c r="V1494" t="s">
        <v>11720</v>
      </c>
      <c r="W1494" t="s">
        <v>13181</v>
      </c>
      <c r="X1494">
        <v>5</v>
      </c>
      <c r="Y1494" t="s">
        <v>18964</v>
      </c>
      <c r="Z1494" t="s">
        <v>24701</v>
      </c>
      <c r="AA1494">
        <v>0.60492361276384787</v>
      </c>
      <c r="AB1494" t="str">
        <f>HYPERLINK("Melting_Curves/meltCurve_O75306_2_NDUFS2.pdf", "Melting_Curves/meltCurve_O75306_2_NDUFS2.pdf")</f>
        <v>Melting_Curves/meltCurve_O75306_2_NDUFS2.pdf</v>
      </c>
    </row>
    <row r="1495" spans="1:28" x14ac:dyDescent="0.25">
      <c r="A1495" t="s">
        <v>1499</v>
      </c>
      <c r="B1495">
        <v>0.99334974765950101</v>
      </c>
      <c r="C1495">
        <v>1.0092473226245</v>
      </c>
      <c r="D1495">
        <v>0.99498195458468397</v>
      </c>
      <c r="E1495">
        <v>0.83333836206036405</v>
      </c>
      <c r="F1495">
        <v>0.40791336134658501</v>
      </c>
      <c r="G1495">
        <v>0.199845856251227</v>
      </c>
      <c r="H1495">
        <v>0.15650856950849301</v>
      </c>
      <c r="I1495">
        <v>0.13261171131883501</v>
      </c>
      <c r="J1495">
        <v>0.134514408374696</v>
      </c>
      <c r="K1495">
        <v>0.11246854580611</v>
      </c>
      <c r="L1495">
        <v>1853.74204491817</v>
      </c>
      <c r="M1495">
        <v>35.702647628548704</v>
      </c>
      <c r="N1495">
        <v>52.394843107640099</v>
      </c>
      <c r="O1495">
        <v>51.759611588519</v>
      </c>
      <c r="P1495">
        <v>-0.148682104229409</v>
      </c>
      <c r="Q1495">
        <v>0.13780032001355999</v>
      </c>
      <c r="R1495">
        <v>0.99865955856690303</v>
      </c>
      <c r="S1495" t="s">
        <v>7356</v>
      </c>
      <c r="T1495" t="s">
        <v>11720</v>
      </c>
      <c r="U1495" t="s">
        <v>11720</v>
      </c>
      <c r="V1495" t="s">
        <v>11720</v>
      </c>
      <c r="W1495" t="s">
        <v>13182</v>
      </c>
      <c r="X1495">
        <v>23</v>
      </c>
      <c r="Y1495" t="s">
        <v>18965</v>
      </c>
      <c r="Z1495" t="s">
        <v>24702</v>
      </c>
      <c r="AA1495">
        <v>0.48431633597312168</v>
      </c>
      <c r="AB1495" t="str">
        <f>HYPERLINK("Melting_Curves/meltCurve_O75312_ZNF259.pdf", "Melting_Curves/meltCurve_O75312_ZNF259.pdf")</f>
        <v>Melting_Curves/meltCurve_O75312_ZNF259.pdf</v>
      </c>
    </row>
    <row r="1496" spans="1:28" x14ac:dyDescent="0.25">
      <c r="A1496" t="s">
        <v>1500</v>
      </c>
      <c r="B1496">
        <v>0.99334974765950101</v>
      </c>
      <c r="C1496">
        <v>1.0217425936983899</v>
      </c>
      <c r="D1496">
        <v>1.1621061619039701</v>
      </c>
      <c r="E1496">
        <v>1.07032221468837</v>
      </c>
      <c r="F1496">
        <v>0.80789504592602002</v>
      </c>
      <c r="G1496">
        <v>0.19569543038375101</v>
      </c>
      <c r="H1496">
        <v>0.11934284050583401</v>
      </c>
      <c r="I1496">
        <v>0.106962254862862</v>
      </c>
      <c r="J1496">
        <v>0.133715624255973</v>
      </c>
      <c r="K1496">
        <v>7.7255489090409205E-2</v>
      </c>
      <c r="L1496">
        <v>2808.0263585204202</v>
      </c>
      <c r="M1496">
        <v>51.626305929490798</v>
      </c>
      <c r="N1496">
        <v>54.654816341309001</v>
      </c>
      <c r="O1496">
        <v>54.309968804802601</v>
      </c>
      <c r="P1496">
        <v>-0.21147120521594101</v>
      </c>
      <c r="Q1496">
        <v>0.110144800401212</v>
      </c>
      <c r="R1496">
        <v>0.98275206311927399</v>
      </c>
      <c r="S1496" t="s">
        <v>7357</v>
      </c>
      <c r="T1496" t="s">
        <v>11720</v>
      </c>
      <c r="U1496" t="s">
        <v>11720</v>
      </c>
      <c r="V1496" t="s">
        <v>11720</v>
      </c>
      <c r="W1496" t="s">
        <v>13183</v>
      </c>
      <c r="X1496">
        <v>12</v>
      </c>
      <c r="Y1496" t="s">
        <v>18966</v>
      </c>
      <c r="Z1496" t="s">
        <v>24703</v>
      </c>
      <c r="AA1496">
        <v>0.53902113298151377</v>
      </c>
      <c r="AB1496" t="str">
        <f>HYPERLINK("Melting_Curves/meltCurve_O75323_GBAS.pdf", "Melting_Curves/meltCurve_O75323_GBAS.pdf")</f>
        <v>Melting_Curves/meltCurve_O75323_GBAS.pdf</v>
      </c>
    </row>
    <row r="1497" spans="1:28" x14ac:dyDescent="0.25">
      <c r="A1497" t="s">
        <v>1501</v>
      </c>
      <c r="B1497">
        <v>0.99334974765950101</v>
      </c>
      <c r="C1497">
        <v>0.96462335229445395</v>
      </c>
      <c r="D1497">
        <v>0.825404278016587</v>
      </c>
      <c r="E1497">
        <v>0.90787363200896498</v>
      </c>
      <c r="F1497">
        <v>0.78002362030290295</v>
      </c>
      <c r="G1497">
        <v>0.436264474775024</v>
      </c>
      <c r="H1497">
        <v>0.44001599763173699</v>
      </c>
      <c r="I1497">
        <v>0.39709808567106802</v>
      </c>
      <c r="J1497">
        <v>0.26490097878793201</v>
      </c>
      <c r="K1497">
        <v>0.21424871538882101</v>
      </c>
      <c r="L1497">
        <v>573.91125834047295</v>
      </c>
      <c r="M1497">
        <v>10.0606924000333</v>
      </c>
      <c r="N1497">
        <v>58.552200421543603</v>
      </c>
      <c r="O1497">
        <v>54.928609675897803</v>
      </c>
      <c r="P1497">
        <v>-4.0585215499483997E-2</v>
      </c>
      <c r="Q1497">
        <v>0.114084530966012</v>
      </c>
      <c r="R1497">
        <v>0.95051969519299495</v>
      </c>
      <c r="S1497" t="s">
        <v>7358</v>
      </c>
      <c r="T1497" t="s">
        <v>11720</v>
      </c>
      <c r="U1497" t="s">
        <v>11720</v>
      </c>
      <c r="V1497" t="s">
        <v>11720</v>
      </c>
      <c r="W1497" t="s">
        <v>13184</v>
      </c>
      <c r="X1497">
        <v>1</v>
      </c>
      <c r="Y1497" t="s">
        <v>18967</v>
      </c>
      <c r="Z1497" t="s">
        <v>24704</v>
      </c>
      <c r="AA1497">
        <v>0.63126980102368302</v>
      </c>
      <c r="AB1497" t="str">
        <f>HYPERLINK("Melting_Curves/meltCurve_O75324_SNN.pdf", "Melting_Curves/meltCurve_O75324_SNN.pdf")</f>
        <v>Melting_Curves/meltCurve_O75324_SNN.pdf</v>
      </c>
    </row>
    <row r="1498" spans="1:28" x14ac:dyDescent="0.25">
      <c r="A1498" t="s">
        <v>1502</v>
      </c>
      <c r="B1498">
        <v>0.99334974765950101</v>
      </c>
      <c r="C1498">
        <v>0.99248536590959402</v>
      </c>
      <c r="D1498">
        <v>0.96174452269579902</v>
      </c>
      <c r="E1498">
        <v>0.87544473374659804</v>
      </c>
      <c r="F1498">
        <v>1.0006124270953201</v>
      </c>
      <c r="G1498">
        <v>0.32376228337368901</v>
      </c>
      <c r="H1498">
        <v>0.26831387930087203</v>
      </c>
      <c r="I1498">
        <v>0.25727751784303099</v>
      </c>
      <c r="J1498">
        <v>0.24775757552515101</v>
      </c>
      <c r="K1498">
        <v>0.18612769271980401</v>
      </c>
      <c r="L1498">
        <v>6810.2079527159403</v>
      </c>
      <c r="M1498">
        <v>121.563785951504</v>
      </c>
      <c r="N1498">
        <v>56.324404567802901</v>
      </c>
      <c r="O1498">
        <v>56.006527098022701</v>
      </c>
      <c r="P1498">
        <v>-0.41247988616988701</v>
      </c>
      <c r="Q1498">
        <v>0.239853711740384</v>
      </c>
      <c r="R1498">
        <v>0.98340622853755399</v>
      </c>
      <c r="S1498" t="s">
        <v>7359</v>
      </c>
      <c r="T1498" t="s">
        <v>11720</v>
      </c>
      <c r="U1498" t="s">
        <v>11720</v>
      </c>
      <c r="V1498" t="s">
        <v>11720</v>
      </c>
      <c r="W1498" t="s">
        <v>13185</v>
      </c>
      <c r="X1498">
        <v>12</v>
      </c>
      <c r="Y1498" t="s">
        <v>18968</v>
      </c>
      <c r="Z1498" t="s">
        <v>24705</v>
      </c>
      <c r="AA1498">
        <v>0.64613079591187828</v>
      </c>
      <c r="AB1498" t="str">
        <f>HYPERLINK("Melting_Curves/meltCurve_O75326_SEMA7A.pdf", "Melting_Curves/meltCurve_O75326_SEMA7A.pdf")</f>
        <v>Melting_Curves/meltCurve_O75326_SEMA7A.pdf</v>
      </c>
    </row>
    <row r="1499" spans="1:28" x14ac:dyDescent="0.25">
      <c r="A1499" t="s">
        <v>1503</v>
      </c>
      <c r="B1499">
        <v>0.99334974765950101</v>
      </c>
      <c r="C1499">
        <v>1.0201397779414501</v>
      </c>
      <c r="D1499">
        <v>0.81292704506993396</v>
      </c>
      <c r="E1499">
        <v>0.90251806693369996</v>
      </c>
      <c r="F1499">
        <v>0.95649897281349305</v>
      </c>
      <c r="G1499">
        <v>0.78882379570719696</v>
      </c>
      <c r="H1499">
        <v>0.73897993781397298</v>
      </c>
      <c r="I1499">
        <v>0.77244206130775495</v>
      </c>
      <c r="J1499">
        <v>0.88046040632230604</v>
      </c>
      <c r="K1499">
        <v>0.70996207256043098</v>
      </c>
      <c r="L1499">
        <v>387.71910917855701</v>
      </c>
      <c r="M1499">
        <v>7.3240466678812002</v>
      </c>
      <c r="O1499">
        <v>49.419952540674103</v>
      </c>
      <c r="P1499">
        <v>-1.02558825505767E-2</v>
      </c>
      <c r="Q1499">
        <v>0.72362224770704897</v>
      </c>
      <c r="R1499">
        <v>0.559609193972186</v>
      </c>
      <c r="S1499" t="s">
        <v>7360</v>
      </c>
      <c r="T1499" t="s">
        <v>11720</v>
      </c>
      <c r="U1499" t="s">
        <v>11720</v>
      </c>
      <c r="V1499" t="s">
        <v>11720</v>
      </c>
      <c r="W1499" t="s">
        <v>13186</v>
      </c>
      <c r="X1499">
        <v>17</v>
      </c>
      <c r="Y1499" t="s">
        <v>18969</v>
      </c>
      <c r="Z1499" t="s">
        <v>24706</v>
      </c>
      <c r="AA1499">
        <v>0.85484170083140398</v>
      </c>
      <c r="AB1499" t="str">
        <f>HYPERLINK("Melting_Curves/meltCurve_O75347_TBCA.pdf", "Melting_Curves/meltCurve_O75347_TBCA.pdf")</f>
        <v>Melting_Curves/meltCurve_O75347_TBCA.pdf</v>
      </c>
    </row>
    <row r="1500" spans="1:28" x14ac:dyDescent="0.25">
      <c r="A1500" t="s">
        <v>1504</v>
      </c>
      <c r="B1500">
        <v>0.99334974765950101</v>
      </c>
      <c r="C1500">
        <v>1.0253494750875201</v>
      </c>
      <c r="D1500">
        <v>1.0056717766966099</v>
      </c>
      <c r="E1500">
        <v>1.0397717563572999</v>
      </c>
      <c r="F1500">
        <v>1.1225665383696299</v>
      </c>
      <c r="G1500">
        <v>0.81644919109274805</v>
      </c>
      <c r="H1500">
        <v>0.69489516650903904</v>
      </c>
      <c r="I1500">
        <v>0.60322243228504902</v>
      </c>
      <c r="J1500">
        <v>0.86812701533639702</v>
      </c>
      <c r="K1500">
        <v>0.78425902796435898</v>
      </c>
      <c r="L1500">
        <v>14201.818866785499</v>
      </c>
      <c r="M1500">
        <v>250</v>
      </c>
      <c r="O1500">
        <v>56.803631970979801</v>
      </c>
      <c r="P1500">
        <v>-0.28868538485082301</v>
      </c>
      <c r="Q1500">
        <v>0.737625908608881</v>
      </c>
      <c r="R1500">
        <v>0.77960396431011003</v>
      </c>
      <c r="S1500" t="s">
        <v>7361</v>
      </c>
      <c r="T1500" t="s">
        <v>11720</v>
      </c>
      <c r="U1500" t="s">
        <v>11720</v>
      </c>
      <c r="V1500" t="s">
        <v>11720</v>
      </c>
      <c r="W1500" t="s">
        <v>13187</v>
      </c>
      <c r="X1500">
        <v>8</v>
      </c>
      <c r="Y1500" t="s">
        <v>18970</v>
      </c>
      <c r="Z1500" t="s">
        <v>24707</v>
      </c>
      <c r="AA1500">
        <v>0.88464518720766805</v>
      </c>
      <c r="AB1500" t="str">
        <f>HYPERLINK("Melting_Curves/meltCurve_O75348_ATP6V1G1.pdf", "Melting_Curves/meltCurve_O75348_ATP6V1G1.pdf")</f>
        <v>Melting_Curves/meltCurve_O75348_ATP6V1G1.pdf</v>
      </c>
    </row>
    <row r="1501" spans="1:28" x14ac:dyDescent="0.25">
      <c r="A1501" t="s">
        <v>1505</v>
      </c>
      <c r="B1501">
        <v>0.99334974765950101</v>
      </c>
      <c r="C1501">
        <v>0.98318941157046102</v>
      </c>
      <c r="D1501">
        <v>0.82219016321785399</v>
      </c>
      <c r="E1501">
        <v>0.61132091487354401</v>
      </c>
      <c r="F1501">
        <v>0.21885632839845001</v>
      </c>
      <c r="G1501">
        <v>0.163470111097473</v>
      </c>
      <c r="H1501">
        <v>0.13279819211319899</v>
      </c>
      <c r="I1501">
        <v>0.11104188286120301</v>
      </c>
      <c r="J1501">
        <v>9.3877848600580197E-2</v>
      </c>
      <c r="K1501">
        <v>8.0850713104919203E-2</v>
      </c>
      <c r="L1501">
        <v>1090.7518977728</v>
      </c>
      <c r="M1501">
        <v>21.8437989624198</v>
      </c>
      <c r="N1501">
        <v>50.409699726526704</v>
      </c>
      <c r="O1501">
        <v>49.521341379723403</v>
      </c>
      <c r="P1501">
        <v>-0.10000961643266799</v>
      </c>
      <c r="Q1501">
        <v>9.3107464992068706E-2</v>
      </c>
      <c r="R1501">
        <v>0.98899751283638804</v>
      </c>
      <c r="S1501" t="s">
        <v>7362</v>
      </c>
      <c r="T1501" t="s">
        <v>11720</v>
      </c>
      <c r="U1501" t="s">
        <v>11720</v>
      </c>
      <c r="V1501" t="s">
        <v>11720</v>
      </c>
      <c r="W1501" t="s">
        <v>13188</v>
      </c>
      <c r="X1501">
        <v>19</v>
      </c>
      <c r="Y1501" t="s">
        <v>18971</v>
      </c>
      <c r="Z1501" t="s">
        <v>24708</v>
      </c>
      <c r="AA1501">
        <v>0.40402750884006949</v>
      </c>
      <c r="AB1501" t="str">
        <f>HYPERLINK("Melting_Curves/meltCurve_O75351_VPS4B.pdf", "Melting_Curves/meltCurve_O75351_VPS4B.pdf")</f>
        <v>Melting_Curves/meltCurve_O75351_VPS4B.pdf</v>
      </c>
    </row>
    <row r="1502" spans="1:28" x14ac:dyDescent="0.25">
      <c r="A1502" t="s">
        <v>1506</v>
      </c>
      <c r="B1502">
        <v>0.99334974765950101</v>
      </c>
      <c r="C1502">
        <v>1.0093293308234901</v>
      </c>
      <c r="D1502">
        <v>0.85580470031803202</v>
      </c>
      <c r="E1502">
        <v>0.72891621517149596</v>
      </c>
      <c r="F1502">
        <v>0.30396955089616601</v>
      </c>
      <c r="G1502">
        <v>0.19162873135307301</v>
      </c>
      <c r="H1502">
        <v>0.109301987724416</v>
      </c>
      <c r="I1502">
        <v>9.6810757419783594E-2</v>
      </c>
      <c r="J1502">
        <v>7.9215021478775197E-2</v>
      </c>
      <c r="K1502">
        <v>6.6060048877827293E-2</v>
      </c>
      <c r="L1502">
        <v>1179.20891216153</v>
      </c>
      <c r="M1502">
        <v>23.042666902459501</v>
      </c>
      <c r="N1502">
        <v>51.565049387051097</v>
      </c>
      <c r="O1502">
        <v>50.794273804322202</v>
      </c>
      <c r="P1502">
        <v>-0.10434370495023799</v>
      </c>
      <c r="Q1502">
        <v>7.9973965031401903E-2</v>
      </c>
      <c r="R1502">
        <v>0.98859457403619999</v>
      </c>
      <c r="S1502" t="s">
        <v>7363</v>
      </c>
      <c r="T1502" t="s">
        <v>11720</v>
      </c>
      <c r="U1502" t="s">
        <v>11720</v>
      </c>
      <c r="V1502" t="s">
        <v>11720</v>
      </c>
      <c r="W1502" t="s">
        <v>13189</v>
      </c>
      <c r="X1502">
        <v>7</v>
      </c>
      <c r="Y1502" t="s">
        <v>18972</v>
      </c>
      <c r="Z1502" t="s">
        <v>24709</v>
      </c>
      <c r="AA1502">
        <v>0.4324432804685166</v>
      </c>
      <c r="AB1502" t="str">
        <f>HYPERLINK("Melting_Curves/meltCurve_O75356_ENTPD5.pdf", "Melting_Curves/meltCurve_O75356_ENTPD5.pdf")</f>
        <v>Melting_Curves/meltCurve_O75356_ENTPD5.pdf</v>
      </c>
    </row>
    <row r="1503" spans="1:28" x14ac:dyDescent="0.25">
      <c r="A1503" t="s">
        <v>1507</v>
      </c>
      <c r="B1503">
        <v>0.99334974765950101</v>
      </c>
      <c r="C1503">
        <v>0.94416588012069402</v>
      </c>
      <c r="D1503">
        <v>0.76978690784755499</v>
      </c>
      <c r="E1503">
        <v>0.71866075557960096</v>
      </c>
      <c r="F1503">
        <v>0.492730359912465</v>
      </c>
      <c r="G1503">
        <v>0.29753689852468301</v>
      </c>
      <c r="H1503">
        <v>0.21025074538274699</v>
      </c>
      <c r="I1503">
        <v>0.24036509840769901</v>
      </c>
      <c r="J1503">
        <v>0.28629804744204401</v>
      </c>
      <c r="K1503">
        <v>0.27090919815769898</v>
      </c>
      <c r="L1503">
        <v>741.08139905394398</v>
      </c>
      <c r="M1503">
        <v>14.6623244623043</v>
      </c>
      <c r="N1503">
        <v>52.605791642814602</v>
      </c>
      <c r="O1503">
        <v>49.630989329695403</v>
      </c>
      <c r="P1503">
        <v>-5.7717071985269597E-2</v>
      </c>
      <c r="Q1503">
        <v>0.21861256482011901</v>
      </c>
      <c r="R1503">
        <v>0.972280298937375</v>
      </c>
      <c r="S1503" t="s">
        <v>7364</v>
      </c>
      <c r="T1503" t="s">
        <v>11720</v>
      </c>
      <c r="U1503" t="s">
        <v>11720</v>
      </c>
      <c r="V1503" t="s">
        <v>11720</v>
      </c>
      <c r="W1503" t="s">
        <v>13190</v>
      </c>
      <c r="X1503">
        <v>13</v>
      </c>
      <c r="Y1503" t="s">
        <v>18973</v>
      </c>
      <c r="Z1503" t="s">
        <v>24710</v>
      </c>
      <c r="AA1503">
        <v>0.51226130531192759</v>
      </c>
      <c r="AB1503" t="str">
        <f>HYPERLINK("Melting_Curves/meltCurve_O75368_SH3BGRL.pdf", "Melting_Curves/meltCurve_O75368_SH3BGRL.pdf")</f>
        <v>Melting_Curves/meltCurve_O75368_SH3BGRL.pdf</v>
      </c>
    </row>
    <row r="1504" spans="1:28" x14ac:dyDescent="0.25">
      <c r="A1504" t="s">
        <v>1508</v>
      </c>
      <c r="B1504">
        <v>0.99334974765950101</v>
      </c>
      <c r="C1504">
        <v>0.94482063056392895</v>
      </c>
      <c r="D1504">
        <v>1.11490210251209</v>
      </c>
      <c r="E1504">
        <v>1.0859900881590501</v>
      </c>
      <c r="F1504">
        <v>0.62124767006326898</v>
      </c>
      <c r="G1504">
        <v>0.27046351971962401</v>
      </c>
      <c r="H1504">
        <v>0.17639938833143801</v>
      </c>
      <c r="I1504">
        <v>0.146525151543131</v>
      </c>
      <c r="J1504">
        <v>0.123216312518385</v>
      </c>
      <c r="K1504">
        <v>0.10407516590377</v>
      </c>
      <c r="S1504" t="s">
        <v>7365</v>
      </c>
      <c r="T1504" t="s">
        <v>11720</v>
      </c>
      <c r="U1504" t="s">
        <v>11721</v>
      </c>
      <c r="V1504" t="s">
        <v>11720</v>
      </c>
      <c r="W1504" t="s">
        <v>13191</v>
      </c>
      <c r="X1504">
        <v>96</v>
      </c>
      <c r="Y1504" t="s">
        <v>18974</v>
      </c>
      <c r="Z1504" t="s">
        <v>24711</v>
      </c>
      <c r="AB1504" t="str">
        <f>HYPERLINK("Melting_Curves/meltCurve_O75369_8_FLNB.pdf", "Melting_Curves/meltCurve_O75369_8_FLNB.pdf")</f>
        <v>Melting_Curves/meltCurve_O75369_8_FLNB.pdf</v>
      </c>
    </row>
    <row r="1505" spans="1:28" x14ac:dyDescent="0.25">
      <c r="A1505" t="s">
        <v>1509</v>
      </c>
      <c r="B1505">
        <v>0.99334974765950101</v>
      </c>
      <c r="C1505">
        <v>0.86536775572811797</v>
      </c>
      <c r="D1505">
        <v>0.74804553336201196</v>
      </c>
      <c r="E1505">
        <v>0.60884785006770503</v>
      </c>
      <c r="F1505">
        <v>0.56050964008752402</v>
      </c>
      <c r="G1505">
        <v>0.32979555877792199</v>
      </c>
      <c r="H1505">
        <v>0.32705508227749702</v>
      </c>
      <c r="I1505">
        <v>0.36399554731223599</v>
      </c>
      <c r="J1505">
        <v>0.39324261350196998</v>
      </c>
      <c r="K1505">
        <v>0.58009777315758704</v>
      </c>
      <c r="L1505">
        <v>732.41634700645204</v>
      </c>
      <c r="M1505">
        <v>15.501681107093001</v>
      </c>
      <c r="N1505">
        <v>52.683355325000598</v>
      </c>
      <c r="O1505">
        <v>46.482236564170002</v>
      </c>
      <c r="P1505">
        <v>-5.0112718970206097E-2</v>
      </c>
      <c r="Q1505">
        <v>0.398995887132571</v>
      </c>
      <c r="R1505">
        <v>0.87579433591308598</v>
      </c>
      <c r="S1505" t="s">
        <v>7366</v>
      </c>
      <c r="T1505" t="s">
        <v>11720</v>
      </c>
      <c r="U1505" t="s">
        <v>11720</v>
      </c>
      <c r="V1505" t="s">
        <v>11720</v>
      </c>
      <c r="W1505" t="s">
        <v>13192</v>
      </c>
      <c r="X1505">
        <v>5</v>
      </c>
      <c r="Y1505" t="s">
        <v>18975</v>
      </c>
      <c r="Z1505" t="s">
        <v>24712</v>
      </c>
      <c r="AA1505">
        <v>0.55922566377759619</v>
      </c>
      <c r="AB1505" t="str">
        <f>HYPERLINK("Melting_Curves/meltCurve_O75376_2_NCOR1.pdf", "Melting_Curves/meltCurve_O75376_2_NCOR1.pdf")</f>
        <v>Melting_Curves/meltCurve_O75376_2_NCOR1.pdf</v>
      </c>
    </row>
    <row r="1506" spans="1:28" x14ac:dyDescent="0.25">
      <c r="A1506" t="s">
        <v>1510</v>
      </c>
      <c r="B1506">
        <v>0.99334974765950101</v>
      </c>
      <c r="C1506">
        <v>0.96945449409544304</v>
      </c>
      <c r="D1506">
        <v>0.872161142051463</v>
      </c>
      <c r="E1506">
        <v>0.78402695805775102</v>
      </c>
      <c r="F1506">
        <v>1.02076907744913</v>
      </c>
      <c r="G1506">
        <v>0.69939978197238695</v>
      </c>
      <c r="H1506">
        <v>0.63472026091802403</v>
      </c>
      <c r="I1506">
        <v>0.67680468100815905</v>
      </c>
      <c r="J1506">
        <v>0.799602763816183</v>
      </c>
      <c r="K1506">
        <v>0.58783586751648298</v>
      </c>
      <c r="L1506">
        <v>389.95630495440997</v>
      </c>
      <c r="M1506">
        <v>6.94462335088821</v>
      </c>
      <c r="O1506">
        <v>52.051116772851003</v>
      </c>
      <c r="P1506">
        <v>-1.4755077232982699E-2</v>
      </c>
      <c r="Q1506">
        <v>0.558475660356193</v>
      </c>
      <c r="R1506">
        <v>0.62296787372226503</v>
      </c>
      <c r="S1506" t="s">
        <v>7367</v>
      </c>
      <c r="T1506" t="s">
        <v>11720</v>
      </c>
      <c r="U1506" t="s">
        <v>11720</v>
      </c>
      <c r="V1506" t="s">
        <v>11720</v>
      </c>
      <c r="W1506" t="s">
        <v>13193</v>
      </c>
      <c r="X1506">
        <v>7</v>
      </c>
      <c r="Y1506" t="s">
        <v>18976</v>
      </c>
      <c r="Z1506" t="s">
        <v>24713</v>
      </c>
      <c r="AA1506">
        <v>0.80342850965077672</v>
      </c>
      <c r="AB1506" t="str">
        <f>HYPERLINK("Melting_Curves/meltCurve_O75379_VAMP4.pdf", "Melting_Curves/meltCurve_O75379_VAMP4.pdf")</f>
        <v>Melting_Curves/meltCurve_O75379_VAMP4.pdf</v>
      </c>
    </row>
    <row r="1507" spans="1:28" x14ac:dyDescent="0.25">
      <c r="A1507" t="s">
        <v>1511</v>
      </c>
      <c r="B1507">
        <v>0.99334974765950101</v>
      </c>
      <c r="C1507">
        <v>0.89616674847432698</v>
      </c>
      <c r="D1507">
        <v>0.84622260726918697</v>
      </c>
      <c r="E1507">
        <v>0.89366189960611897</v>
      </c>
      <c r="F1507">
        <v>1.25767138636994</v>
      </c>
      <c r="G1507">
        <v>1.0774273018806899</v>
      </c>
      <c r="H1507">
        <v>1.0919699242056</v>
      </c>
      <c r="I1507">
        <v>1.1947251117368201</v>
      </c>
      <c r="J1507">
        <v>1.49239631691425</v>
      </c>
      <c r="K1507">
        <v>1.3028498107452899</v>
      </c>
      <c r="L1507">
        <v>852.77351093401296</v>
      </c>
      <c r="M1507">
        <v>13.3408128661427</v>
      </c>
      <c r="O1507">
        <v>62.537114572514703</v>
      </c>
      <c r="P1507">
        <v>2.6670050872778302E-2</v>
      </c>
      <c r="Q1507">
        <v>1.5</v>
      </c>
      <c r="R1507">
        <v>0.62646763778707903</v>
      </c>
      <c r="S1507" t="s">
        <v>7368</v>
      </c>
      <c r="T1507" t="s">
        <v>11720</v>
      </c>
      <c r="U1507" t="s">
        <v>11720</v>
      </c>
      <c r="V1507" t="s">
        <v>11720</v>
      </c>
      <c r="W1507" t="s">
        <v>13194</v>
      </c>
      <c r="X1507">
        <v>7</v>
      </c>
      <c r="Y1507" t="s">
        <v>18977</v>
      </c>
      <c r="Z1507" t="s">
        <v>24714</v>
      </c>
      <c r="AA1507">
        <v>1.112329884118443</v>
      </c>
      <c r="AB1507" t="str">
        <f>HYPERLINK("Melting_Curves/meltCurve_O75380_NDUFS6.pdf", "Melting_Curves/meltCurve_O75380_NDUFS6.pdf")</f>
        <v>Melting_Curves/meltCurve_O75380_NDUFS6.pdf</v>
      </c>
    </row>
    <row r="1508" spans="1:28" x14ac:dyDescent="0.25">
      <c r="A1508" t="s">
        <v>1512</v>
      </c>
      <c r="B1508">
        <v>0.99334974765950101</v>
      </c>
      <c r="C1508">
        <v>0.84822057114298499</v>
      </c>
      <c r="D1508">
        <v>0.71153738644051201</v>
      </c>
      <c r="E1508">
        <v>0.52221866274273299</v>
      </c>
      <c r="F1508">
        <v>0.42106785177981998</v>
      </c>
      <c r="G1508">
        <v>0.35741480176860801</v>
      </c>
      <c r="H1508">
        <v>0.312656061804721</v>
      </c>
      <c r="I1508">
        <v>0.30092750618020597</v>
      </c>
      <c r="J1508">
        <v>0.32299387687340703</v>
      </c>
      <c r="K1508">
        <v>0.27130625540250702</v>
      </c>
      <c r="L1508">
        <v>667.40593778223104</v>
      </c>
      <c r="M1508">
        <v>14.0851512658858</v>
      </c>
      <c r="N1508">
        <v>50.455411810024202</v>
      </c>
      <c r="O1508">
        <v>46.459214107527501</v>
      </c>
      <c r="P1508">
        <v>-5.3979918648403902E-2</v>
      </c>
      <c r="Q1508">
        <v>0.28789115784319402</v>
      </c>
      <c r="R1508">
        <v>0.99410438495113396</v>
      </c>
      <c r="S1508" t="s">
        <v>7369</v>
      </c>
      <c r="T1508" t="s">
        <v>11720</v>
      </c>
      <c r="U1508" t="s">
        <v>11720</v>
      </c>
      <c r="V1508" t="s">
        <v>11720</v>
      </c>
      <c r="W1508" t="s">
        <v>13195</v>
      </c>
      <c r="X1508">
        <v>4</v>
      </c>
      <c r="Y1508" t="s">
        <v>18978</v>
      </c>
      <c r="Z1508" t="s">
        <v>24715</v>
      </c>
      <c r="AA1508">
        <v>0.48461288988260143</v>
      </c>
      <c r="AB1508" t="str">
        <f>HYPERLINK("Melting_Curves/meltCurve_O75381_2_PEX14.pdf", "Melting_Curves/meltCurve_O75381_2_PEX14.pdf")</f>
        <v>Melting_Curves/meltCurve_O75381_2_PEX14.pdf</v>
      </c>
    </row>
    <row r="1509" spans="1:28" x14ac:dyDescent="0.25">
      <c r="A1509" t="s">
        <v>1513</v>
      </c>
      <c r="B1509">
        <v>0.99334974765950101</v>
      </c>
      <c r="C1509">
        <v>1.0065383752249299</v>
      </c>
      <c r="D1509">
        <v>0.81011898583942099</v>
      </c>
      <c r="E1509">
        <v>0.76552795399134699</v>
      </c>
      <c r="F1509">
        <v>0.66340170556780498</v>
      </c>
      <c r="G1509">
        <v>0.43037552606130802</v>
      </c>
      <c r="H1509">
        <v>0.35967455957177802</v>
      </c>
      <c r="I1509">
        <v>0.37283939132880201</v>
      </c>
      <c r="J1509">
        <v>0.40221851588850599</v>
      </c>
      <c r="K1509">
        <v>0.360832489420291</v>
      </c>
      <c r="L1509">
        <v>711.06716632607402</v>
      </c>
      <c r="M1509">
        <v>13.771915939576401</v>
      </c>
      <c r="N1509">
        <v>56.112795463682502</v>
      </c>
      <c r="O1509">
        <v>50.579569063426703</v>
      </c>
      <c r="P1509">
        <v>-4.5373190291592397E-2</v>
      </c>
      <c r="Q1509">
        <v>0.333532755703772</v>
      </c>
      <c r="R1509">
        <v>0.96954199032981703</v>
      </c>
      <c r="S1509" t="s">
        <v>7370</v>
      </c>
      <c r="T1509" t="s">
        <v>11720</v>
      </c>
      <c r="U1509" t="s">
        <v>11720</v>
      </c>
      <c r="V1509" t="s">
        <v>11720</v>
      </c>
      <c r="W1509" t="s">
        <v>13196</v>
      </c>
      <c r="X1509">
        <v>10</v>
      </c>
      <c r="Y1509" t="s">
        <v>18979</v>
      </c>
      <c r="Z1509" t="s">
        <v>24716</v>
      </c>
      <c r="AA1509">
        <v>0.60913442381998495</v>
      </c>
      <c r="AB1509" t="str">
        <f>HYPERLINK("Melting_Curves/meltCurve_O75391_SPAG7.pdf", "Melting_Curves/meltCurve_O75391_SPAG7.pdf")</f>
        <v>Melting_Curves/meltCurve_O75391_SPAG7.pdf</v>
      </c>
    </row>
    <row r="1510" spans="1:28" x14ac:dyDescent="0.25">
      <c r="A1510" t="s">
        <v>1514</v>
      </c>
      <c r="B1510">
        <v>0.99334974765950101</v>
      </c>
      <c r="C1510">
        <v>0.93276216581138005</v>
      </c>
      <c r="D1510">
        <v>0.82497713501161096</v>
      </c>
      <c r="E1510">
        <v>0.69181277742945202</v>
      </c>
      <c r="F1510">
        <v>0.273532194286702</v>
      </c>
      <c r="G1510">
        <v>0.100186529414471</v>
      </c>
      <c r="H1510">
        <v>6.1345769276837103E-2</v>
      </c>
      <c r="I1510">
        <v>4.93610962406799E-2</v>
      </c>
      <c r="J1510">
        <v>4.7837135795503999E-2</v>
      </c>
      <c r="K1510">
        <v>3.0805998413882499E-2</v>
      </c>
      <c r="L1510">
        <v>1064.5158802436199</v>
      </c>
      <c r="M1510">
        <v>20.901329117897198</v>
      </c>
      <c r="N1510">
        <v>51.064211167629502</v>
      </c>
      <c r="O1510">
        <v>50.471201894654101</v>
      </c>
      <c r="P1510">
        <v>-0.10077744418891001</v>
      </c>
      <c r="Q1510">
        <v>2.66227321338296E-2</v>
      </c>
      <c r="R1510">
        <v>0.98696657297430601</v>
      </c>
      <c r="S1510" t="s">
        <v>7371</v>
      </c>
      <c r="T1510" t="s">
        <v>11720</v>
      </c>
      <c r="U1510" t="s">
        <v>11720</v>
      </c>
      <c r="V1510" t="s">
        <v>11720</v>
      </c>
      <c r="W1510" t="s">
        <v>13197</v>
      </c>
      <c r="X1510">
        <v>16</v>
      </c>
      <c r="Y1510" t="s">
        <v>18980</v>
      </c>
      <c r="Z1510" t="s">
        <v>24717</v>
      </c>
      <c r="AA1510">
        <v>0.39370828224015858</v>
      </c>
      <c r="AB1510" t="str">
        <f>HYPERLINK("Melting_Curves/meltCurve_O75396_SEC22B.pdf", "Melting_Curves/meltCurve_O75396_SEC22B.pdf")</f>
        <v>Melting_Curves/meltCurve_O75396_SEC22B.pdf</v>
      </c>
    </row>
    <row r="1511" spans="1:28" x14ac:dyDescent="0.25">
      <c r="A1511" t="s">
        <v>1515</v>
      </c>
      <c r="B1511">
        <v>0.99334974765950101</v>
      </c>
      <c r="C1511">
        <v>0.93546513997470304</v>
      </c>
      <c r="D1511">
        <v>0.80013224196624499</v>
      </c>
      <c r="E1511">
        <v>0.54942800251197399</v>
      </c>
      <c r="F1511">
        <v>0.35426078391340698</v>
      </c>
      <c r="G1511">
        <v>0.296070900033922</v>
      </c>
      <c r="H1511">
        <v>0.25609116560498302</v>
      </c>
      <c r="I1511">
        <v>0.28350199621435301</v>
      </c>
      <c r="J1511">
        <v>0.33182855165015801</v>
      </c>
      <c r="K1511">
        <v>0.343467949060488</v>
      </c>
      <c r="L1511">
        <v>1024.1071713087699</v>
      </c>
      <c r="M1511">
        <v>21.2613462459937</v>
      </c>
      <c r="N1511">
        <v>50.257593361609302</v>
      </c>
      <c r="O1511">
        <v>47.747521154273699</v>
      </c>
      <c r="P1511">
        <v>-7.8653671803365299E-2</v>
      </c>
      <c r="Q1511">
        <v>0.29347429339810099</v>
      </c>
      <c r="R1511">
        <v>0.98819569119687201</v>
      </c>
      <c r="S1511" t="s">
        <v>7372</v>
      </c>
      <c r="T1511" t="s">
        <v>11720</v>
      </c>
      <c r="U1511" t="s">
        <v>11720</v>
      </c>
      <c r="V1511" t="s">
        <v>11720</v>
      </c>
      <c r="W1511" t="s">
        <v>13198</v>
      </c>
      <c r="X1511">
        <v>4</v>
      </c>
      <c r="Y1511" t="s">
        <v>18981</v>
      </c>
      <c r="Z1511" t="s">
        <v>24718</v>
      </c>
      <c r="AA1511">
        <v>0.49462336016809988</v>
      </c>
      <c r="AB1511" t="str">
        <f>HYPERLINK("Melting_Curves/meltCurve_O75400_2_PRPF40A.pdf", "Melting_Curves/meltCurve_O75400_2_PRPF40A.pdf")</f>
        <v>Melting_Curves/meltCurve_O75400_2_PRPF40A.pdf</v>
      </c>
    </row>
    <row r="1512" spans="1:28" x14ac:dyDescent="0.25">
      <c r="A1512" t="s">
        <v>1516</v>
      </c>
      <c r="B1512">
        <v>0.99334974765950101</v>
      </c>
      <c r="C1512">
        <v>1.06600190758424</v>
      </c>
      <c r="D1512">
        <v>0.90528908104629002</v>
      </c>
      <c r="E1512">
        <v>0.66461967214172901</v>
      </c>
      <c r="F1512">
        <v>0.448231831741425</v>
      </c>
      <c r="G1512">
        <v>0.37210738810834498</v>
      </c>
      <c r="H1512">
        <v>0.23765353142975401</v>
      </c>
      <c r="I1512">
        <v>0.25458685739950798</v>
      </c>
      <c r="J1512">
        <v>0.231075508187916</v>
      </c>
      <c r="K1512">
        <v>0.181534220432119</v>
      </c>
      <c r="L1512">
        <v>955.38274662451499</v>
      </c>
      <c r="M1512">
        <v>18.7609982083207</v>
      </c>
      <c r="N1512">
        <v>52.537369867903401</v>
      </c>
      <c r="O1512">
        <v>50.3558880798413</v>
      </c>
      <c r="P1512">
        <v>-7.2749017959138504E-2</v>
      </c>
      <c r="Q1512">
        <v>0.21897812993377799</v>
      </c>
      <c r="R1512">
        <v>0.98631464719877404</v>
      </c>
      <c r="S1512" t="s">
        <v>7373</v>
      </c>
      <c r="T1512" t="s">
        <v>11720</v>
      </c>
      <c r="U1512" t="s">
        <v>11720</v>
      </c>
      <c r="V1512" t="s">
        <v>11720</v>
      </c>
      <c r="W1512" t="s">
        <v>13199</v>
      </c>
      <c r="X1512">
        <v>4</v>
      </c>
      <c r="Y1512" t="s">
        <v>18982</v>
      </c>
      <c r="Z1512" t="s">
        <v>24719</v>
      </c>
      <c r="AA1512">
        <v>0.51558364601394868</v>
      </c>
      <c r="AB1512" t="str">
        <f>HYPERLINK("Melting_Curves/meltCurve_O75427_LRCH4.pdf", "Melting_Curves/meltCurve_O75427_LRCH4.pdf")</f>
        <v>Melting_Curves/meltCurve_O75427_LRCH4.pdf</v>
      </c>
    </row>
    <row r="1513" spans="1:28" x14ac:dyDescent="0.25">
      <c r="A1513" t="s">
        <v>1517</v>
      </c>
      <c r="B1513">
        <v>0.99334974765950101</v>
      </c>
      <c r="C1513">
        <v>1.0348486765395599</v>
      </c>
      <c r="D1513">
        <v>1.17678289131368</v>
      </c>
      <c r="E1513">
        <v>1.08840356734069</v>
      </c>
      <c r="F1513">
        <v>1.0794964964528599</v>
      </c>
      <c r="G1513">
        <v>0.49490693679546499</v>
      </c>
      <c r="H1513">
        <v>0.179088432323709</v>
      </c>
      <c r="I1513">
        <v>0.149979874735472</v>
      </c>
      <c r="J1513">
        <v>0.112232076642132</v>
      </c>
      <c r="K1513">
        <v>8.7927304368911399E-2</v>
      </c>
      <c r="L1513">
        <v>7683.0925137181102</v>
      </c>
      <c r="M1513">
        <v>135.12228561168601</v>
      </c>
      <c r="N1513">
        <v>56.989900395697298</v>
      </c>
      <c r="O1513">
        <v>56.847838893561701</v>
      </c>
      <c r="P1513">
        <v>-0.51562422550673903</v>
      </c>
      <c r="Q1513">
        <v>0.13227866969434399</v>
      </c>
      <c r="R1513">
        <v>0.97449671453188202</v>
      </c>
      <c r="S1513" t="s">
        <v>7374</v>
      </c>
      <c r="T1513" t="s">
        <v>11720</v>
      </c>
      <c r="U1513" t="s">
        <v>11720</v>
      </c>
      <c r="V1513" t="s">
        <v>11720</v>
      </c>
      <c r="W1513" t="s">
        <v>13200</v>
      </c>
      <c r="X1513">
        <v>13</v>
      </c>
      <c r="Y1513" t="s">
        <v>18983</v>
      </c>
      <c r="Z1513" t="s">
        <v>24720</v>
      </c>
      <c r="AA1513">
        <v>0.6202430475946179</v>
      </c>
      <c r="AB1513" t="str">
        <f>HYPERLINK("Melting_Curves/meltCurve_O75436_VPS26A.pdf", "Melting_Curves/meltCurve_O75436_VPS26A.pdf")</f>
        <v>Melting_Curves/meltCurve_O75436_VPS26A.pdf</v>
      </c>
    </row>
    <row r="1514" spans="1:28" x14ac:dyDescent="0.25">
      <c r="A1514" t="s">
        <v>1518</v>
      </c>
      <c r="B1514">
        <v>0.99334974765950101</v>
      </c>
      <c r="C1514">
        <v>0.87388825129505299</v>
      </c>
      <c r="D1514">
        <v>0.79658474971896398</v>
      </c>
      <c r="E1514">
        <v>0.70898444885136802</v>
      </c>
      <c r="F1514">
        <v>0.47941265914921299</v>
      </c>
      <c r="G1514">
        <v>0.33746019290599399</v>
      </c>
      <c r="H1514">
        <v>0.37686413753605302</v>
      </c>
      <c r="I1514">
        <v>0.95718225268754298</v>
      </c>
      <c r="J1514">
        <v>1.21519297240103</v>
      </c>
      <c r="K1514">
        <v>0.96583546426657996</v>
      </c>
      <c r="L1514">
        <v>1384.3161771191101</v>
      </c>
      <c r="M1514">
        <v>31.8743562109264</v>
      </c>
      <c r="O1514">
        <v>43.260540745091397</v>
      </c>
      <c r="P1514">
        <v>-5.1034564749495297E-2</v>
      </c>
      <c r="Q1514">
        <v>0.72294080032750696</v>
      </c>
      <c r="R1514">
        <v>0.10042894856935</v>
      </c>
      <c r="S1514" t="s">
        <v>7375</v>
      </c>
      <c r="T1514" t="s">
        <v>11720</v>
      </c>
      <c r="U1514" t="s">
        <v>11720</v>
      </c>
      <c r="V1514" t="s">
        <v>11720</v>
      </c>
      <c r="W1514" t="s">
        <v>13201</v>
      </c>
      <c r="X1514">
        <v>4</v>
      </c>
      <c r="Y1514" t="s">
        <v>18984</v>
      </c>
      <c r="Z1514" t="s">
        <v>24721</v>
      </c>
      <c r="AA1514">
        <v>0.75657419801246728</v>
      </c>
      <c r="AB1514" t="str">
        <f>HYPERLINK("Melting_Curves/meltCurve_O75438_NDUFB1.pdf", "Melting_Curves/meltCurve_O75438_NDUFB1.pdf")</f>
        <v>Melting_Curves/meltCurve_O75438_NDUFB1.pdf</v>
      </c>
    </row>
    <row r="1515" spans="1:28" x14ac:dyDescent="0.25">
      <c r="A1515" t="s">
        <v>1519</v>
      </c>
      <c r="B1515">
        <v>0.99334974765950101</v>
      </c>
      <c r="C1515">
        <v>0.90601287248821305</v>
      </c>
      <c r="D1515">
        <v>1.01196586377548</v>
      </c>
      <c r="E1515">
        <v>0.82899432333304302</v>
      </c>
      <c r="F1515">
        <v>0.33410205489926698</v>
      </c>
      <c r="G1515">
        <v>0.148269723467992</v>
      </c>
      <c r="H1515">
        <v>0.10246852264147201</v>
      </c>
      <c r="I1515">
        <v>9.5843387056933696E-2</v>
      </c>
      <c r="J1515">
        <v>7.9516593775227198E-2</v>
      </c>
      <c r="K1515">
        <v>8.1368978152923099E-2</v>
      </c>
      <c r="L1515">
        <v>2132.81717495675</v>
      </c>
      <c r="M1515">
        <v>41.230381034667701</v>
      </c>
      <c r="N1515">
        <v>51.9985940736549</v>
      </c>
      <c r="O1515">
        <v>51.608017372869902</v>
      </c>
      <c r="P1515">
        <v>-0.18052581072594201</v>
      </c>
      <c r="Q1515">
        <v>9.6145919807132593E-2</v>
      </c>
      <c r="R1515">
        <v>0.99319566027908601</v>
      </c>
      <c r="S1515" t="s">
        <v>7376</v>
      </c>
      <c r="T1515" t="s">
        <v>11720</v>
      </c>
      <c r="U1515" t="s">
        <v>11720</v>
      </c>
      <c r="V1515" t="s">
        <v>11720</v>
      </c>
      <c r="W1515" t="s">
        <v>13202</v>
      </c>
      <c r="X1515">
        <v>16</v>
      </c>
      <c r="Y1515" t="s">
        <v>18985</v>
      </c>
      <c r="Z1515" t="s">
        <v>24722</v>
      </c>
      <c r="AA1515">
        <v>0.45257033367283589</v>
      </c>
      <c r="AB1515" t="str">
        <f>HYPERLINK("Melting_Curves/meltCurve_O75439_PMPCB.pdf", "Melting_Curves/meltCurve_O75439_PMPCB.pdf")</f>
        <v>Melting_Curves/meltCurve_O75439_PMPCB.pdf</v>
      </c>
    </row>
    <row r="1516" spans="1:28" x14ac:dyDescent="0.25">
      <c r="A1516" t="s">
        <v>1520</v>
      </c>
      <c r="B1516">
        <v>0.99334974765950101</v>
      </c>
      <c r="C1516">
        <v>0.91003760873658202</v>
      </c>
      <c r="D1516">
        <v>0.84356829766116803</v>
      </c>
      <c r="E1516">
        <v>0.57007503156954298</v>
      </c>
      <c r="F1516">
        <v>0.38076515517728299</v>
      </c>
      <c r="G1516">
        <v>0.23407845609786401</v>
      </c>
      <c r="H1516">
        <v>0.16530705531402001</v>
      </c>
      <c r="I1516">
        <v>0.1546547664074</v>
      </c>
      <c r="J1516">
        <v>0.25412978396712799</v>
      </c>
      <c r="K1516">
        <v>0.12278310554041499</v>
      </c>
      <c r="L1516">
        <v>842.52965207063801</v>
      </c>
      <c r="M1516">
        <v>16.917275122322899</v>
      </c>
      <c r="N1516">
        <v>50.920495301115302</v>
      </c>
      <c r="O1516">
        <v>49.122648115563599</v>
      </c>
      <c r="P1516">
        <v>-7.2749968045240601E-2</v>
      </c>
      <c r="Q1516">
        <v>0.155077841285929</v>
      </c>
      <c r="R1516">
        <v>0.98837305880986503</v>
      </c>
      <c r="S1516" t="s">
        <v>7377</v>
      </c>
      <c r="T1516" t="s">
        <v>11720</v>
      </c>
      <c r="U1516" t="s">
        <v>11720</v>
      </c>
      <c r="V1516" t="s">
        <v>11720</v>
      </c>
      <c r="W1516" t="s">
        <v>13203</v>
      </c>
      <c r="X1516">
        <v>5</v>
      </c>
      <c r="Y1516" t="s">
        <v>18986</v>
      </c>
      <c r="Z1516" t="s">
        <v>24723</v>
      </c>
      <c r="AA1516">
        <v>0.447421992413576</v>
      </c>
      <c r="AB1516" t="str">
        <f>HYPERLINK("Melting_Curves/meltCurve_O75449_KATNA1.pdf", "Melting_Curves/meltCurve_O75449_KATNA1.pdf")</f>
        <v>Melting_Curves/meltCurve_O75449_KATNA1.pdf</v>
      </c>
    </row>
    <row r="1517" spans="1:28" x14ac:dyDescent="0.25">
      <c r="A1517" t="s">
        <v>1521</v>
      </c>
      <c r="B1517">
        <v>0.99334974765950101</v>
      </c>
      <c r="C1517">
        <v>1.0526769496255901</v>
      </c>
      <c r="D1517">
        <v>0.90813684149920304</v>
      </c>
      <c r="E1517">
        <v>0.78385954985000805</v>
      </c>
      <c r="F1517">
        <v>0.70999232117133704</v>
      </c>
      <c r="G1517">
        <v>0.48744856759670202</v>
      </c>
      <c r="H1517">
        <v>0.43098593556982501</v>
      </c>
      <c r="I1517">
        <v>0.41190919178860103</v>
      </c>
      <c r="J1517">
        <v>0.47576801546251102</v>
      </c>
      <c r="K1517">
        <v>0.48131646916660598</v>
      </c>
      <c r="L1517">
        <v>974.83933278096299</v>
      </c>
      <c r="M1517">
        <v>18.849539665524699</v>
      </c>
      <c r="N1517">
        <v>58.023219899501598</v>
      </c>
      <c r="O1517">
        <v>51.1453460153093</v>
      </c>
      <c r="P1517">
        <v>-5.2009104245414398E-2</v>
      </c>
      <c r="Q1517">
        <v>0.43554818349956498</v>
      </c>
      <c r="R1517">
        <v>0.97100596171148601</v>
      </c>
      <c r="S1517" t="s">
        <v>7378</v>
      </c>
      <c r="T1517" t="s">
        <v>11720</v>
      </c>
      <c r="U1517" t="s">
        <v>11720</v>
      </c>
      <c r="V1517" t="s">
        <v>11720</v>
      </c>
      <c r="W1517" t="s">
        <v>13204</v>
      </c>
      <c r="X1517">
        <v>7</v>
      </c>
      <c r="Y1517" t="s">
        <v>18987</v>
      </c>
      <c r="Z1517" t="s">
        <v>24724</v>
      </c>
      <c r="AA1517">
        <v>0.66469821562854703</v>
      </c>
      <c r="AB1517" t="str">
        <f>HYPERLINK("Melting_Curves/meltCurve_O75475_PSIP1.pdf", "Melting_Curves/meltCurve_O75475_PSIP1.pdf")</f>
        <v>Melting_Curves/meltCurve_O75475_PSIP1.pdf</v>
      </c>
    </row>
    <row r="1518" spans="1:28" x14ac:dyDescent="0.25">
      <c r="A1518" t="s">
        <v>1522</v>
      </c>
      <c r="B1518">
        <v>0.99334974765950101</v>
      </c>
      <c r="C1518">
        <v>0.98365473365340095</v>
      </c>
      <c r="D1518">
        <v>0.76791982439052897</v>
      </c>
      <c r="E1518">
        <v>0.79301620553136198</v>
      </c>
      <c r="F1518">
        <v>0.70089539310361204</v>
      </c>
      <c r="G1518">
        <v>0.38451824190386102</v>
      </c>
      <c r="H1518">
        <v>0.34698264416142</v>
      </c>
      <c r="I1518">
        <v>0.35815666220155101</v>
      </c>
      <c r="J1518">
        <v>0.34847226652670898</v>
      </c>
      <c r="K1518">
        <v>0.28959953283984702</v>
      </c>
      <c r="L1518">
        <v>616.13141998810204</v>
      </c>
      <c r="M1518">
        <v>11.680457967544999</v>
      </c>
      <c r="N1518">
        <v>56.161950474111897</v>
      </c>
      <c r="O1518">
        <v>51.273949178053201</v>
      </c>
      <c r="P1518">
        <v>-4.2489121030548999E-2</v>
      </c>
      <c r="Q1518">
        <v>0.25413805434637199</v>
      </c>
      <c r="R1518">
        <v>0.94949008233012999</v>
      </c>
      <c r="S1518" t="s">
        <v>7379</v>
      </c>
      <c r="T1518" t="s">
        <v>11720</v>
      </c>
      <c r="U1518" t="s">
        <v>11720</v>
      </c>
      <c r="V1518" t="s">
        <v>11720</v>
      </c>
      <c r="W1518" t="s">
        <v>13205</v>
      </c>
      <c r="X1518">
        <v>3</v>
      </c>
      <c r="Y1518" t="s">
        <v>18988</v>
      </c>
      <c r="Z1518" t="s">
        <v>24725</v>
      </c>
      <c r="AA1518">
        <v>0.59342895859194345</v>
      </c>
      <c r="AB1518" t="str">
        <f>HYPERLINK("Melting_Curves/meltCurve_O75477_ERLIN1.pdf", "Melting_Curves/meltCurve_O75477_ERLIN1.pdf")</f>
        <v>Melting_Curves/meltCurve_O75477_ERLIN1.pdf</v>
      </c>
    </row>
    <row r="1519" spans="1:28" x14ac:dyDescent="0.25">
      <c r="A1519" t="s">
        <v>1523</v>
      </c>
      <c r="B1519">
        <v>0.99334974765950101</v>
      </c>
      <c r="C1519">
        <v>0.918038636993455</v>
      </c>
      <c r="D1519">
        <v>0.926568505290287</v>
      </c>
      <c r="E1519">
        <v>1.12717779257441</v>
      </c>
      <c r="F1519">
        <v>0.94966730810529698</v>
      </c>
      <c r="G1519">
        <v>0.63411386060786501</v>
      </c>
      <c r="H1519">
        <v>0.34091202070408</v>
      </c>
      <c r="I1519">
        <v>0.19212244617278701</v>
      </c>
      <c r="J1519">
        <v>0.16740496054294601</v>
      </c>
      <c r="K1519">
        <v>0.148320136210433</v>
      </c>
      <c r="L1519">
        <v>1644.26171876493</v>
      </c>
      <c r="M1519">
        <v>28.4381992138578</v>
      </c>
      <c r="N1519">
        <v>58.558632781379202</v>
      </c>
      <c r="O1519">
        <v>57.535134410694397</v>
      </c>
      <c r="P1519">
        <v>-0.10492072792734899</v>
      </c>
      <c r="Q1519">
        <v>0.15091959825308099</v>
      </c>
      <c r="R1519">
        <v>0.97603279335801696</v>
      </c>
      <c r="S1519" t="s">
        <v>7380</v>
      </c>
      <c r="T1519" t="s">
        <v>11720</v>
      </c>
      <c r="U1519" t="s">
        <v>11720</v>
      </c>
      <c r="V1519" t="s">
        <v>11720</v>
      </c>
      <c r="W1519" t="s">
        <v>13206</v>
      </c>
      <c r="X1519">
        <v>6</v>
      </c>
      <c r="Y1519" t="s">
        <v>18989</v>
      </c>
      <c r="Z1519" t="s">
        <v>24726</v>
      </c>
      <c r="AA1519">
        <v>0.66135914834964094</v>
      </c>
      <c r="AB1519" t="str">
        <f>HYPERLINK("Melting_Curves/meltCurve_O75489_NDUFS3.pdf", "Melting_Curves/meltCurve_O75489_NDUFS3.pdf")</f>
        <v>Melting_Curves/meltCurve_O75489_NDUFS3.pdf</v>
      </c>
    </row>
    <row r="1520" spans="1:28" x14ac:dyDescent="0.25">
      <c r="A1520" t="s">
        <v>1524</v>
      </c>
      <c r="B1520">
        <v>0.99334974765950101</v>
      </c>
      <c r="C1520">
        <v>0.958325608961619</v>
      </c>
      <c r="D1520">
        <v>0.94773214365218905</v>
      </c>
      <c r="E1520">
        <v>0.79088023084540304</v>
      </c>
      <c r="F1520">
        <v>0.59941237955638604</v>
      </c>
      <c r="G1520">
        <v>0.375890961351805</v>
      </c>
      <c r="H1520">
        <v>0.141991111899303</v>
      </c>
      <c r="I1520">
        <v>0.13596742374523499</v>
      </c>
      <c r="J1520">
        <v>0.112118856846876</v>
      </c>
      <c r="K1520">
        <v>0.105052254989531</v>
      </c>
      <c r="L1520">
        <v>869.32817151448899</v>
      </c>
      <c r="M1520">
        <v>16.111064840082999</v>
      </c>
      <c r="N1520">
        <v>54.439039354204503</v>
      </c>
      <c r="O1520">
        <v>53.147682500426299</v>
      </c>
      <c r="P1520">
        <v>-7.0766387525142804E-2</v>
      </c>
      <c r="Q1520">
        <v>6.6285816970731506E-2</v>
      </c>
      <c r="R1520">
        <v>0.99652228776617002</v>
      </c>
      <c r="S1520" t="s">
        <v>7381</v>
      </c>
      <c r="T1520" t="s">
        <v>11720</v>
      </c>
      <c r="U1520" t="s">
        <v>11720</v>
      </c>
      <c r="V1520" t="s">
        <v>11720</v>
      </c>
      <c r="W1520" t="s">
        <v>13207</v>
      </c>
      <c r="X1520">
        <v>8</v>
      </c>
      <c r="Y1520" t="s">
        <v>18990</v>
      </c>
      <c r="Z1520" t="s">
        <v>24727</v>
      </c>
      <c r="AA1520">
        <v>0.51822848900889051</v>
      </c>
      <c r="AB1520" t="str">
        <f>HYPERLINK("Melting_Curves/meltCurve_O75503_CLN5.pdf", "Melting_Curves/meltCurve_O75503_CLN5.pdf")</f>
        <v>Melting_Curves/meltCurve_O75503_CLN5.pdf</v>
      </c>
    </row>
    <row r="1521" spans="1:28" x14ac:dyDescent="0.25">
      <c r="A1521" t="s">
        <v>1525</v>
      </c>
      <c r="B1521">
        <v>0.99334974765950101</v>
      </c>
      <c r="C1521">
        <v>0.98318788237326005</v>
      </c>
      <c r="D1521">
        <v>0.87099867414588505</v>
      </c>
      <c r="E1521">
        <v>0.73926588205926003</v>
      </c>
      <c r="F1521">
        <v>0.86301306579274495</v>
      </c>
      <c r="G1521">
        <v>0.59640554970029103</v>
      </c>
      <c r="H1521">
        <v>0.63948543793663604</v>
      </c>
      <c r="I1521">
        <v>0.66860427054482197</v>
      </c>
      <c r="J1521">
        <v>0.84337116071186002</v>
      </c>
      <c r="K1521">
        <v>0.73851427581342899</v>
      </c>
      <c r="L1521">
        <v>996.20452890207605</v>
      </c>
      <c r="M1521">
        <v>21.292984198542602</v>
      </c>
      <c r="O1521">
        <v>46.378782606600097</v>
      </c>
      <c r="P1521">
        <v>-3.2846779362980402E-2</v>
      </c>
      <c r="Q1521">
        <v>0.71382969458300205</v>
      </c>
      <c r="R1521">
        <v>0.66372396134843803</v>
      </c>
      <c r="S1521" t="s">
        <v>7382</v>
      </c>
      <c r="T1521" t="s">
        <v>11720</v>
      </c>
      <c r="U1521" t="s">
        <v>11720</v>
      </c>
      <c r="V1521" t="s">
        <v>11720</v>
      </c>
      <c r="W1521" t="s">
        <v>13208</v>
      </c>
      <c r="X1521">
        <v>5</v>
      </c>
      <c r="Y1521" t="s">
        <v>18991</v>
      </c>
      <c r="Z1521" t="s">
        <v>24728</v>
      </c>
      <c r="AA1521">
        <v>0.78223321108302646</v>
      </c>
      <c r="AB1521" t="str">
        <f>HYPERLINK("Melting_Curves/meltCurve_O75506_HSBP1.pdf", "Melting_Curves/meltCurve_O75506_HSBP1.pdf")</f>
        <v>Melting_Curves/meltCurve_O75506_HSBP1.pdf</v>
      </c>
    </row>
    <row r="1522" spans="1:28" x14ac:dyDescent="0.25">
      <c r="A1522" t="s">
        <v>1526</v>
      </c>
      <c r="B1522">
        <v>0.99334974765950101</v>
      </c>
      <c r="C1522">
        <v>0.91834872747515095</v>
      </c>
      <c r="D1522">
        <v>0.82308985197791396</v>
      </c>
      <c r="E1522">
        <v>0.64099861141852699</v>
      </c>
      <c r="F1522">
        <v>0.33413487580453399</v>
      </c>
      <c r="G1522">
        <v>0.17898943562587999</v>
      </c>
      <c r="H1522">
        <v>0.101435507823745</v>
      </c>
      <c r="I1522">
        <v>7.5761203978317995E-2</v>
      </c>
      <c r="J1522">
        <v>6.9765487604122198E-2</v>
      </c>
      <c r="K1522">
        <v>5.7714005324468597E-2</v>
      </c>
      <c r="L1522">
        <v>809.41624364282097</v>
      </c>
      <c r="M1522">
        <v>15.9202216025902</v>
      </c>
      <c r="N1522">
        <v>51.114937439004301</v>
      </c>
      <c r="O1522">
        <v>50.060118875976102</v>
      </c>
      <c r="P1522">
        <v>-7.6272280846853405E-2</v>
      </c>
      <c r="Q1522">
        <v>4.0743487885176802E-2</v>
      </c>
      <c r="R1522">
        <v>0.99509292774758396</v>
      </c>
      <c r="S1522" t="s">
        <v>7383</v>
      </c>
      <c r="T1522" t="s">
        <v>11720</v>
      </c>
      <c r="U1522" t="s">
        <v>11720</v>
      </c>
      <c r="V1522" t="s">
        <v>11720</v>
      </c>
      <c r="W1522" t="s">
        <v>13209</v>
      </c>
      <c r="X1522">
        <v>20</v>
      </c>
      <c r="Y1522" t="s">
        <v>18992</v>
      </c>
      <c r="Z1522" t="s">
        <v>24729</v>
      </c>
      <c r="AA1522">
        <v>0.40755059624854389</v>
      </c>
      <c r="AB1522" t="str">
        <f>HYPERLINK("Melting_Curves/meltCurve_O75521_2_ECI2.pdf", "Melting_Curves/meltCurve_O75521_2_ECI2.pdf")</f>
        <v>Melting_Curves/meltCurve_O75521_2_ECI2.pdf</v>
      </c>
    </row>
    <row r="1523" spans="1:28" x14ac:dyDescent="0.25">
      <c r="A1523" t="s">
        <v>1527</v>
      </c>
      <c r="B1523">
        <v>0.99334974765950101</v>
      </c>
      <c r="C1523">
        <v>1.2098366167563099</v>
      </c>
      <c r="D1523">
        <v>2.9120761442236098</v>
      </c>
      <c r="E1523">
        <v>5.0202177586326302</v>
      </c>
      <c r="F1523">
        <v>2.8695971289310598</v>
      </c>
      <c r="G1523">
        <v>2.8377298310893502</v>
      </c>
      <c r="H1523">
        <v>2.2365771741299101</v>
      </c>
      <c r="I1523">
        <v>2.7672178271966499</v>
      </c>
      <c r="J1523">
        <v>2.99908064014173</v>
      </c>
      <c r="K1523">
        <v>2.6155891557484399</v>
      </c>
      <c r="L1523">
        <v>10738.9044068608</v>
      </c>
      <c r="M1523">
        <v>250</v>
      </c>
      <c r="O1523">
        <v>42.952868697726601</v>
      </c>
      <c r="P1523">
        <v>0.72754162746270201</v>
      </c>
      <c r="Q1523">
        <v>1.5</v>
      </c>
      <c r="R1523">
        <v>-1.17428461967144</v>
      </c>
      <c r="S1523" t="s">
        <v>7384</v>
      </c>
      <c r="T1523" t="s">
        <v>11720</v>
      </c>
      <c r="U1523" t="s">
        <v>11720</v>
      </c>
      <c r="V1523" t="s">
        <v>11720</v>
      </c>
      <c r="W1523" t="s">
        <v>13210</v>
      </c>
      <c r="X1523">
        <v>4</v>
      </c>
      <c r="Y1523" t="s">
        <v>18993</v>
      </c>
      <c r="Z1523" t="s">
        <v>24730</v>
      </c>
      <c r="AA1523">
        <v>1.4507020129656789</v>
      </c>
      <c r="AB1523" t="str">
        <f>HYPERLINK("Melting_Curves/meltCurve_O75531_BANF1.pdf", "Melting_Curves/meltCurve_O75531_BANF1.pdf")</f>
        <v>Melting_Curves/meltCurve_O75531_BANF1.pdf</v>
      </c>
    </row>
    <row r="1524" spans="1:28" x14ac:dyDescent="0.25">
      <c r="A1524" t="s">
        <v>1528</v>
      </c>
      <c r="B1524">
        <v>0.99334974765950101</v>
      </c>
      <c r="C1524">
        <v>1.18284766352781</v>
      </c>
      <c r="D1524">
        <v>0.993679491697394</v>
      </c>
      <c r="E1524">
        <v>0.87680129469884305</v>
      </c>
      <c r="F1524">
        <v>1.04641097217491</v>
      </c>
      <c r="G1524">
        <v>0.65148415414592697</v>
      </c>
      <c r="H1524">
        <v>0.610819481537344</v>
      </c>
      <c r="I1524">
        <v>0.62899893131101203</v>
      </c>
      <c r="J1524">
        <v>0.86555661894398195</v>
      </c>
      <c r="K1524">
        <v>0.89227454128309502</v>
      </c>
      <c r="L1524">
        <v>5344.3761432736901</v>
      </c>
      <c r="M1524">
        <v>97.494084237099301</v>
      </c>
      <c r="O1524">
        <v>54.7943767770969</v>
      </c>
      <c r="P1524">
        <v>-0.120312548537946</v>
      </c>
      <c r="Q1524">
        <v>0.72952401745069495</v>
      </c>
      <c r="R1524">
        <v>0.61521297914640405</v>
      </c>
      <c r="S1524" t="s">
        <v>7385</v>
      </c>
      <c r="T1524" t="s">
        <v>11720</v>
      </c>
      <c r="U1524" t="s">
        <v>11720</v>
      </c>
      <c r="V1524" t="s">
        <v>11720</v>
      </c>
      <c r="W1524" t="s">
        <v>13211</v>
      </c>
      <c r="X1524">
        <v>13</v>
      </c>
      <c r="Y1524" t="s">
        <v>18994</v>
      </c>
      <c r="Z1524" t="s">
        <v>24731</v>
      </c>
      <c r="AA1524">
        <v>0.86328738437575514</v>
      </c>
      <c r="AB1524" t="str">
        <f>HYPERLINK("Melting_Curves/meltCurve_O75533_SF3B1.pdf", "Melting_Curves/meltCurve_O75533_SF3B1.pdf")</f>
        <v>Melting_Curves/meltCurve_O75533_SF3B1.pdf</v>
      </c>
    </row>
    <row r="1525" spans="1:28" x14ac:dyDescent="0.25">
      <c r="A1525" t="s">
        <v>1529</v>
      </c>
      <c r="B1525">
        <v>0.99334974765950101</v>
      </c>
      <c r="C1525">
        <v>0.96624685923958298</v>
      </c>
      <c r="D1525">
        <v>0.71957330247672202</v>
      </c>
      <c r="E1525">
        <v>0.33337128113459402</v>
      </c>
      <c r="F1525">
        <v>0.270508898997875</v>
      </c>
      <c r="G1525">
        <v>0.167259146960652</v>
      </c>
      <c r="H1525">
        <v>0.14772801612276901</v>
      </c>
      <c r="I1525">
        <v>0.132123735829592</v>
      </c>
      <c r="J1525">
        <v>0.148227645343425</v>
      </c>
      <c r="K1525">
        <v>0.11959429580787601</v>
      </c>
      <c r="L1525">
        <v>1073.19184092712</v>
      </c>
      <c r="M1525">
        <v>22.555547873286098</v>
      </c>
      <c r="N1525">
        <v>48.297127196631301</v>
      </c>
      <c r="O1525">
        <v>47.210689546932201</v>
      </c>
      <c r="P1525">
        <v>-0.102446037419943</v>
      </c>
      <c r="Q1525">
        <v>0.14230411794042599</v>
      </c>
      <c r="R1525">
        <v>0.99541931511764004</v>
      </c>
      <c r="S1525" t="s">
        <v>7386</v>
      </c>
      <c r="T1525" t="s">
        <v>11720</v>
      </c>
      <c r="U1525" t="s">
        <v>11720</v>
      </c>
      <c r="V1525" t="s">
        <v>11720</v>
      </c>
      <c r="W1525" t="s">
        <v>13212</v>
      </c>
      <c r="X1525">
        <v>23</v>
      </c>
      <c r="Y1525" t="s">
        <v>18995</v>
      </c>
      <c r="Z1525" t="s">
        <v>24732</v>
      </c>
      <c r="AA1525">
        <v>0.36850456020791561</v>
      </c>
      <c r="AB1525" t="str">
        <f>HYPERLINK("Melting_Curves/meltCurve_O75534_CSDE1.pdf", "Melting_Curves/meltCurve_O75534_CSDE1.pdf")</f>
        <v>Melting_Curves/meltCurve_O75534_CSDE1.pdf</v>
      </c>
    </row>
    <row r="1526" spans="1:28" x14ac:dyDescent="0.25">
      <c r="A1526" t="s">
        <v>1530</v>
      </c>
      <c r="B1526">
        <v>0.99334974765950101</v>
      </c>
      <c r="C1526">
        <v>0.99465905283781098</v>
      </c>
      <c r="D1526">
        <v>1.0272733034893999</v>
      </c>
      <c r="E1526">
        <v>0.93641866265217599</v>
      </c>
      <c r="F1526">
        <v>0.631401212953005</v>
      </c>
      <c r="G1526">
        <v>0.50226132269721002</v>
      </c>
      <c r="H1526">
        <v>0.27612760252940799</v>
      </c>
      <c r="I1526">
        <v>0.14308726806762601</v>
      </c>
      <c r="J1526">
        <v>8.2349661310855304E-2</v>
      </c>
      <c r="K1526">
        <v>6.9563310970399306E-2</v>
      </c>
      <c r="L1526">
        <v>846.79364855062704</v>
      </c>
      <c r="M1526">
        <v>15.015303710414999</v>
      </c>
      <c r="N1526">
        <v>56.498618533132898</v>
      </c>
      <c r="O1526">
        <v>55.423443810260501</v>
      </c>
      <c r="P1526">
        <v>-6.6819999588073803E-2</v>
      </c>
      <c r="Q1526">
        <v>1.35339406679448E-2</v>
      </c>
      <c r="R1526">
        <v>0.98722371159602595</v>
      </c>
      <c r="S1526" t="s">
        <v>7387</v>
      </c>
      <c r="T1526" t="s">
        <v>11720</v>
      </c>
      <c r="U1526" t="s">
        <v>11720</v>
      </c>
      <c r="V1526" t="s">
        <v>11720</v>
      </c>
      <c r="W1526" t="s">
        <v>13213</v>
      </c>
      <c r="X1526">
        <v>10</v>
      </c>
      <c r="Y1526" t="s">
        <v>18996</v>
      </c>
      <c r="Z1526" t="s">
        <v>24733</v>
      </c>
      <c r="AA1526">
        <v>0.56943878969075767</v>
      </c>
      <c r="AB1526" t="str">
        <f>HYPERLINK("Melting_Curves/meltCurve_O75600_GCAT.pdf", "Melting_Curves/meltCurve_O75600_GCAT.pdf")</f>
        <v>Melting_Curves/meltCurve_O75600_GCAT.pdf</v>
      </c>
    </row>
    <row r="1527" spans="1:28" x14ac:dyDescent="0.25">
      <c r="A1527" t="s">
        <v>1531</v>
      </c>
      <c r="B1527">
        <v>0.99334974765950101</v>
      </c>
      <c r="C1527">
        <v>0.96044757374742795</v>
      </c>
      <c r="D1527">
        <v>0.92458299231473295</v>
      </c>
      <c r="E1527">
        <v>0.84114762194619896</v>
      </c>
      <c r="F1527">
        <v>0.632575983304552</v>
      </c>
      <c r="G1527">
        <v>0.32352743815118301</v>
      </c>
      <c r="H1527">
        <v>0.32241915244274599</v>
      </c>
      <c r="I1527">
        <v>0.31250954661026598</v>
      </c>
      <c r="J1527">
        <v>0.31167091049406798</v>
      </c>
      <c r="K1527">
        <v>0.26034941804584499</v>
      </c>
      <c r="L1527">
        <v>1308.4862075228</v>
      </c>
      <c r="M1527">
        <v>24.8995937055778</v>
      </c>
      <c r="N1527">
        <v>54.3936150589942</v>
      </c>
      <c r="O1527">
        <v>52.215064388014</v>
      </c>
      <c r="P1527">
        <v>-8.5247519043396294E-2</v>
      </c>
      <c r="Q1527">
        <v>0.284945139597373</v>
      </c>
      <c r="R1527">
        <v>0.989031998726701</v>
      </c>
      <c r="S1527" t="s">
        <v>7388</v>
      </c>
      <c r="T1527" t="s">
        <v>11720</v>
      </c>
      <c r="U1527" t="s">
        <v>11720</v>
      </c>
      <c r="V1527" t="s">
        <v>11720</v>
      </c>
      <c r="W1527" t="s">
        <v>13214</v>
      </c>
      <c r="X1527">
        <v>2</v>
      </c>
      <c r="Y1527" t="s">
        <v>18997</v>
      </c>
      <c r="Z1527" t="s">
        <v>24734</v>
      </c>
      <c r="AA1527">
        <v>0.59069943792167345</v>
      </c>
      <c r="AB1527" t="str">
        <f>HYPERLINK("Melting_Curves/meltCurve_O75607_NPM3.pdf", "Melting_Curves/meltCurve_O75607_NPM3.pdf")</f>
        <v>Melting_Curves/meltCurve_O75607_NPM3.pdf</v>
      </c>
    </row>
    <row r="1528" spans="1:28" x14ac:dyDescent="0.25">
      <c r="A1528" t="s">
        <v>1532</v>
      </c>
      <c r="B1528">
        <v>0.99334974765950101</v>
      </c>
      <c r="C1528">
        <v>0.93642822442923701</v>
      </c>
      <c r="D1528">
        <v>0.87820929930146896</v>
      </c>
      <c r="E1528">
        <v>0.72651406539584096</v>
      </c>
      <c r="F1528">
        <v>0.60055370341405101</v>
      </c>
      <c r="G1528">
        <v>0.320994401006096</v>
      </c>
      <c r="H1528">
        <v>0.121133686314565</v>
      </c>
      <c r="I1528">
        <v>8.2200285163681303E-2</v>
      </c>
      <c r="J1528">
        <v>7.8973209742710507E-2</v>
      </c>
      <c r="K1528">
        <v>4.8664446935503702E-2</v>
      </c>
      <c r="L1528">
        <v>737.26981386716295</v>
      </c>
      <c r="M1528">
        <v>13.7015525619477</v>
      </c>
      <c r="N1528">
        <v>53.809217798650103</v>
      </c>
      <c r="O1528">
        <v>52.701810863329897</v>
      </c>
      <c r="P1528">
        <v>-6.5004979737000604E-2</v>
      </c>
      <c r="Q1528">
        <v>0</v>
      </c>
      <c r="R1528">
        <v>0.994543836933235</v>
      </c>
      <c r="S1528" t="s">
        <v>7389</v>
      </c>
      <c r="T1528" t="s">
        <v>11720</v>
      </c>
      <c r="U1528" t="s">
        <v>11720</v>
      </c>
      <c r="V1528" t="s">
        <v>11720</v>
      </c>
      <c r="W1528" t="s">
        <v>13215</v>
      </c>
      <c r="X1528">
        <v>8</v>
      </c>
      <c r="Y1528" t="s">
        <v>18998</v>
      </c>
      <c r="Z1528" t="s">
        <v>24735</v>
      </c>
      <c r="AA1528">
        <v>0.48342716991040052</v>
      </c>
      <c r="AB1528" t="str">
        <f>HYPERLINK("Melting_Curves/meltCurve_O75608_2_LYPLA1.pdf", "Melting_Curves/meltCurve_O75608_2_LYPLA1.pdf")</f>
        <v>Melting_Curves/meltCurve_O75608_2_LYPLA1.pdf</v>
      </c>
    </row>
    <row r="1529" spans="1:28" x14ac:dyDescent="0.25">
      <c r="A1529" t="s">
        <v>1533</v>
      </c>
      <c r="B1529">
        <v>0.99334974765950101</v>
      </c>
      <c r="C1529">
        <v>1.0998548059502</v>
      </c>
      <c r="D1529">
        <v>1.64051852612516</v>
      </c>
      <c r="E1529">
        <v>1.9441537049842199</v>
      </c>
      <c r="F1529">
        <v>1.2661001584602101</v>
      </c>
      <c r="G1529">
        <v>0.47372769016191701</v>
      </c>
      <c r="H1529">
        <v>0.32481752606561598</v>
      </c>
      <c r="I1529">
        <v>0.354852235089618</v>
      </c>
      <c r="J1529">
        <v>0.13390583054770899</v>
      </c>
      <c r="K1529">
        <v>5.1298765819217197E-2</v>
      </c>
      <c r="L1529">
        <v>13436.6309057708</v>
      </c>
      <c r="M1529">
        <v>236.44512996196599</v>
      </c>
      <c r="N1529">
        <v>56.964169960738197</v>
      </c>
      <c r="O1529">
        <v>56.823624798861999</v>
      </c>
      <c r="P1529">
        <v>-0.81533560692073603</v>
      </c>
      <c r="Q1529">
        <v>0.21621856905425599</v>
      </c>
      <c r="R1529">
        <v>0.62758178978467805</v>
      </c>
      <c r="S1529" t="s">
        <v>7390</v>
      </c>
      <c r="T1529" t="s">
        <v>11720</v>
      </c>
      <c r="U1529" t="s">
        <v>11720</v>
      </c>
      <c r="V1529" t="s">
        <v>11720</v>
      </c>
      <c r="W1529" t="s">
        <v>13216</v>
      </c>
      <c r="X1529">
        <v>1</v>
      </c>
      <c r="Y1529" t="s">
        <v>18999</v>
      </c>
      <c r="Z1529" t="s">
        <v>24736</v>
      </c>
      <c r="AA1529">
        <v>0.65594702965330953</v>
      </c>
      <c r="AB1529" t="str">
        <f>HYPERLINK("Melting_Curves/meltCurve_O75635_2_SERPINB7.pdf", "Melting_Curves/meltCurve_O75635_2_SERPINB7.pdf")</f>
        <v>Melting_Curves/meltCurve_O75635_2_SERPINB7.pdf</v>
      </c>
    </row>
    <row r="1530" spans="1:28" x14ac:dyDescent="0.25">
      <c r="A1530" t="s">
        <v>1534</v>
      </c>
      <c r="B1530">
        <v>0.99334974765950101</v>
      </c>
      <c r="C1530">
        <v>0.99305741678125703</v>
      </c>
      <c r="D1530">
        <v>1.05339557411787</v>
      </c>
      <c r="E1530">
        <v>0.71726862192969698</v>
      </c>
      <c r="F1530">
        <v>0.48569946882495801</v>
      </c>
      <c r="G1530">
        <v>0.30321848185674999</v>
      </c>
      <c r="H1530">
        <v>0.18023788026165999</v>
      </c>
      <c r="I1530">
        <v>0.15866577559224801</v>
      </c>
      <c r="J1530">
        <v>0.17793575958324201</v>
      </c>
      <c r="K1530">
        <v>0.17041003976751601</v>
      </c>
      <c r="L1530">
        <v>1200.53040310248</v>
      </c>
      <c r="M1530">
        <v>23.137065369620402</v>
      </c>
      <c r="N1530">
        <v>52.829708975879399</v>
      </c>
      <c r="O1530">
        <v>51.504805712844799</v>
      </c>
      <c r="P1530">
        <v>-9.3325833659194099E-2</v>
      </c>
      <c r="Q1530">
        <v>0.169014581938397</v>
      </c>
      <c r="R1530">
        <v>0.99023634951575901</v>
      </c>
      <c r="S1530" t="s">
        <v>7391</v>
      </c>
      <c r="T1530" t="s">
        <v>11720</v>
      </c>
      <c r="U1530" t="s">
        <v>11720</v>
      </c>
      <c r="V1530" t="s">
        <v>11720</v>
      </c>
      <c r="W1530" t="s">
        <v>13217</v>
      </c>
      <c r="X1530">
        <v>4</v>
      </c>
      <c r="Y1530" t="s">
        <v>19000</v>
      </c>
      <c r="Z1530" t="s">
        <v>24737</v>
      </c>
      <c r="AA1530">
        <v>0.50708669968430797</v>
      </c>
      <c r="AB1530" t="str">
        <f>HYPERLINK("Melting_Curves/meltCurve_O75648_TRMU.pdf", "Melting_Curves/meltCurve_O75648_TRMU.pdf")</f>
        <v>Melting_Curves/meltCurve_O75648_TRMU.pdf</v>
      </c>
    </row>
    <row r="1531" spans="1:28" x14ac:dyDescent="0.25">
      <c r="A1531" t="s">
        <v>1535</v>
      </c>
      <c r="B1531">
        <v>0.99334974765950101</v>
      </c>
      <c r="C1531">
        <v>0.94409783060967101</v>
      </c>
      <c r="D1531">
        <v>0.86647082563022104</v>
      </c>
      <c r="E1531">
        <v>0.69371552795899605</v>
      </c>
      <c r="F1531">
        <v>0.22194287411025701</v>
      </c>
      <c r="G1531">
        <v>9.4472795402552295E-2</v>
      </c>
      <c r="H1531">
        <v>6.9120006377835205E-2</v>
      </c>
      <c r="I1531">
        <v>5.2529433438675797E-2</v>
      </c>
      <c r="J1531">
        <v>5.1762157087453499E-2</v>
      </c>
      <c r="K1531">
        <v>3.5991117201474902E-2</v>
      </c>
      <c r="L1531">
        <v>1572.54154422238</v>
      </c>
      <c r="M1531">
        <v>30.909401459529299</v>
      </c>
      <c r="N1531">
        <v>51.044792413361698</v>
      </c>
      <c r="O1531">
        <v>50.664304942548</v>
      </c>
      <c r="P1531">
        <v>-0.14510541116758799</v>
      </c>
      <c r="Q1531">
        <v>4.8623199481179699E-2</v>
      </c>
      <c r="R1531">
        <v>0.98928914255031397</v>
      </c>
      <c r="S1531" t="s">
        <v>7392</v>
      </c>
      <c r="T1531" t="s">
        <v>11720</v>
      </c>
      <c r="U1531" t="s">
        <v>11720</v>
      </c>
      <c r="V1531" t="s">
        <v>11720</v>
      </c>
      <c r="W1531" t="s">
        <v>13218</v>
      </c>
      <c r="X1531">
        <v>13</v>
      </c>
      <c r="Y1531" t="s">
        <v>19001</v>
      </c>
      <c r="Z1531" t="s">
        <v>24738</v>
      </c>
      <c r="AA1531">
        <v>0.39914599813596841</v>
      </c>
      <c r="AB1531" t="str">
        <f>HYPERLINK("Melting_Curves/meltCurve_O75663_TIPRL.pdf", "Melting_Curves/meltCurve_O75663_TIPRL.pdf")</f>
        <v>Melting_Curves/meltCurve_O75663_TIPRL.pdf</v>
      </c>
    </row>
    <row r="1532" spans="1:28" x14ac:dyDescent="0.25">
      <c r="A1532" t="s">
        <v>1536</v>
      </c>
      <c r="B1532">
        <v>0.99334974765950101</v>
      </c>
      <c r="C1532">
        <v>0.95500411301714205</v>
      </c>
      <c r="D1532">
        <v>0.93382946940834</v>
      </c>
      <c r="E1532">
        <v>0.72494135352462796</v>
      </c>
      <c r="F1532">
        <v>0.19761669926337</v>
      </c>
      <c r="G1532">
        <v>0.120165009607935</v>
      </c>
      <c r="H1532">
        <v>8.4096110549872802E-2</v>
      </c>
      <c r="I1532">
        <v>7.9214570633418302E-2</v>
      </c>
      <c r="J1532">
        <v>7.1570587870656899E-2</v>
      </c>
      <c r="K1532">
        <v>6.6094544736665206E-2</v>
      </c>
      <c r="L1532">
        <v>2342.0652003723899</v>
      </c>
      <c r="M1532">
        <v>46.025574496041898</v>
      </c>
      <c r="N1532">
        <v>51.083230090259399</v>
      </c>
      <c r="O1532">
        <v>50.790385000108003</v>
      </c>
      <c r="P1532">
        <v>-0.20811925046591101</v>
      </c>
      <c r="Q1532">
        <v>8.1341672454389793E-2</v>
      </c>
      <c r="R1532">
        <v>0.99552774844263603</v>
      </c>
      <c r="S1532" t="s">
        <v>7393</v>
      </c>
      <c r="T1532" t="s">
        <v>11720</v>
      </c>
      <c r="U1532" t="s">
        <v>11720</v>
      </c>
      <c r="V1532" t="s">
        <v>11720</v>
      </c>
      <c r="W1532" t="s">
        <v>13219</v>
      </c>
      <c r="X1532">
        <v>14</v>
      </c>
      <c r="Y1532" t="s">
        <v>19002</v>
      </c>
      <c r="Z1532" t="s">
        <v>24739</v>
      </c>
      <c r="AA1532">
        <v>0.41713320225094319</v>
      </c>
      <c r="AB1532" t="str">
        <f>HYPERLINK("Melting_Curves/meltCurve_O75688_PPM1B.pdf", "Melting_Curves/meltCurve_O75688_PPM1B.pdf")</f>
        <v>Melting_Curves/meltCurve_O75688_PPM1B.pdf</v>
      </c>
    </row>
    <row r="1533" spans="1:28" x14ac:dyDescent="0.25">
      <c r="A1533" t="s">
        <v>1537</v>
      </c>
      <c r="B1533">
        <v>0.99334974765950101</v>
      </c>
      <c r="C1533">
        <v>1.0433973210568901</v>
      </c>
      <c r="D1533">
        <v>0.89098530492317396</v>
      </c>
      <c r="E1533">
        <v>0.76564770298898399</v>
      </c>
      <c r="F1533">
        <v>0.407426156241321</v>
      </c>
      <c r="G1533">
        <v>0.32296449889467399</v>
      </c>
      <c r="H1533">
        <v>0.25094729464441601</v>
      </c>
      <c r="I1533">
        <v>0.16841598093915799</v>
      </c>
      <c r="J1533">
        <v>0.20364973385592999</v>
      </c>
      <c r="K1533">
        <v>0.12760540232043599</v>
      </c>
      <c r="L1533">
        <v>1037.4763289765499</v>
      </c>
      <c r="M1533">
        <v>20.123960330215901</v>
      </c>
      <c r="N1533">
        <v>52.674729947185</v>
      </c>
      <c r="O1533">
        <v>51.053297330429999</v>
      </c>
      <c r="P1533">
        <v>-8.1388669403156103E-2</v>
      </c>
      <c r="Q1533">
        <v>0.174113260070659</v>
      </c>
      <c r="R1533">
        <v>0.983411037372244</v>
      </c>
      <c r="S1533" t="s">
        <v>7394</v>
      </c>
      <c r="T1533" t="s">
        <v>11720</v>
      </c>
      <c r="U1533" t="s">
        <v>11720</v>
      </c>
      <c r="V1533" t="s">
        <v>11720</v>
      </c>
      <c r="W1533" t="s">
        <v>13220</v>
      </c>
      <c r="X1533">
        <v>1</v>
      </c>
      <c r="Y1533" t="s">
        <v>19003</v>
      </c>
      <c r="Z1533" t="s">
        <v>24740</v>
      </c>
      <c r="AA1533">
        <v>0.50351631722040036</v>
      </c>
      <c r="AB1533" t="str">
        <f>HYPERLINK("Melting_Curves/meltCurve_O75689_ADAP1.pdf", "Melting_Curves/meltCurve_O75689_ADAP1.pdf")</f>
        <v>Melting_Curves/meltCurve_O75689_ADAP1.pdf</v>
      </c>
    </row>
    <row r="1534" spans="1:28" x14ac:dyDescent="0.25">
      <c r="A1534" t="s">
        <v>1538</v>
      </c>
      <c r="B1534">
        <v>0.99334974765950101</v>
      </c>
      <c r="C1534">
        <v>0.90572828458520205</v>
      </c>
      <c r="D1534">
        <v>0.82033743423224104</v>
      </c>
      <c r="E1534">
        <v>0.82955637752848699</v>
      </c>
      <c r="F1534">
        <v>0.30927012672200799</v>
      </c>
      <c r="G1534">
        <v>0.148458456373467</v>
      </c>
      <c r="H1534">
        <v>9.8544194520819306E-2</v>
      </c>
      <c r="I1534">
        <v>8.1354372463407307E-2</v>
      </c>
      <c r="J1534">
        <v>7.6864570889552605E-2</v>
      </c>
      <c r="K1534">
        <v>7.1981394927997405E-2</v>
      </c>
      <c r="L1534">
        <v>2026.61015100092</v>
      </c>
      <c r="M1534">
        <v>39.251181803670399</v>
      </c>
      <c r="N1534">
        <v>51.887805051089202</v>
      </c>
      <c r="O1534">
        <v>51.498353259678503</v>
      </c>
      <c r="P1534">
        <v>-0.173773866015833</v>
      </c>
      <c r="Q1534">
        <v>8.8022618867451899E-2</v>
      </c>
      <c r="R1534">
        <v>0.97086918171589198</v>
      </c>
      <c r="S1534" t="s">
        <v>7395</v>
      </c>
      <c r="T1534" t="s">
        <v>11720</v>
      </c>
      <c r="U1534" t="s">
        <v>11720</v>
      </c>
      <c r="V1534" t="s">
        <v>11720</v>
      </c>
      <c r="W1534" t="s">
        <v>13221</v>
      </c>
      <c r="X1534">
        <v>12</v>
      </c>
      <c r="Y1534" t="s">
        <v>19004</v>
      </c>
      <c r="Z1534" t="s">
        <v>24741</v>
      </c>
      <c r="AA1534">
        <v>0.44500122098562822</v>
      </c>
      <c r="AB1534" t="str">
        <f>HYPERLINK("Melting_Curves/meltCurve_O75695_RP2.pdf", "Melting_Curves/meltCurve_O75695_RP2.pdf")</f>
        <v>Melting_Curves/meltCurve_O75695_RP2.pdf</v>
      </c>
    </row>
    <row r="1535" spans="1:28" x14ac:dyDescent="0.25">
      <c r="A1535" t="s">
        <v>1539</v>
      </c>
      <c r="B1535">
        <v>0.99334974765950101</v>
      </c>
      <c r="C1535">
        <v>0.99260134236994202</v>
      </c>
      <c r="D1535">
        <v>1.1658607901131901</v>
      </c>
      <c r="E1535">
        <v>0.81469919576927996</v>
      </c>
      <c r="F1535">
        <v>0.242565777776443</v>
      </c>
      <c r="G1535">
        <v>0.193744484876127</v>
      </c>
      <c r="H1535">
        <v>0.14726027419284701</v>
      </c>
      <c r="I1535">
        <v>0.14925890750298301</v>
      </c>
      <c r="J1535">
        <v>0.128076032855932</v>
      </c>
      <c r="K1535">
        <v>0.10892865123027</v>
      </c>
      <c r="L1535">
        <v>2980.03383351299</v>
      </c>
      <c r="M1535">
        <v>58.295022358012602</v>
      </c>
      <c r="N1535">
        <v>51.4224086750542</v>
      </c>
      <c r="O1535">
        <v>51.059814273516203</v>
      </c>
      <c r="P1535">
        <v>-0.24398862595898299</v>
      </c>
      <c r="Q1535">
        <v>0.14517516161327099</v>
      </c>
      <c r="R1535">
        <v>0.98156155081475205</v>
      </c>
      <c r="S1535" t="s">
        <v>7396</v>
      </c>
      <c r="T1535" t="s">
        <v>11720</v>
      </c>
      <c r="U1535" t="s">
        <v>11720</v>
      </c>
      <c r="V1535" t="s">
        <v>11720</v>
      </c>
      <c r="W1535" t="s">
        <v>13222</v>
      </c>
      <c r="X1535">
        <v>7</v>
      </c>
      <c r="Y1535" t="s">
        <v>19005</v>
      </c>
      <c r="Z1535" t="s">
        <v>24742</v>
      </c>
      <c r="AA1535">
        <v>0.46344238441534052</v>
      </c>
      <c r="AB1535" t="str">
        <f>HYPERLINK("Melting_Curves/meltCurve_O75718_CRTAP.pdf", "Melting_Curves/meltCurve_O75718_CRTAP.pdf")</f>
        <v>Melting_Curves/meltCurve_O75718_CRTAP.pdf</v>
      </c>
    </row>
    <row r="1536" spans="1:28" x14ac:dyDescent="0.25">
      <c r="A1536" t="s">
        <v>1540</v>
      </c>
      <c r="B1536">
        <v>0.99334974765950101</v>
      </c>
      <c r="C1536">
        <v>0.90696679296184501</v>
      </c>
      <c r="D1536">
        <v>0.912536245630308</v>
      </c>
      <c r="E1536">
        <v>1.0683805626362599</v>
      </c>
      <c r="F1536">
        <v>1.82872891978957</v>
      </c>
      <c r="G1536">
        <v>1.49037942042315</v>
      </c>
      <c r="H1536">
        <v>1.49516025262979</v>
      </c>
      <c r="I1536">
        <v>1.1408923282404799</v>
      </c>
      <c r="J1536">
        <v>0.54063336208038704</v>
      </c>
      <c r="K1536">
        <v>0.27976663615373198</v>
      </c>
      <c r="L1536">
        <v>15000</v>
      </c>
      <c r="M1536">
        <v>224.44610422028001</v>
      </c>
      <c r="N1536">
        <v>67.076176289994194</v>
      </c>
      <c r="O1536">
        <v>66.825883068822804</v>
      </c>
      <c r="P1536">
        <v>-0.60479013364399903</v>
      </c>
      <c r="Q1536">
        <v>0.27972668883573398</v>
      </c>
      <c r="R1536">
        <v>0.36138318867354402</v>
      </c>
      <c r="S1536" t="s">
        <v>7397</v>
      </c>
      <c r="T1536" t="s">
        <v>11720</v>
      </c>
      <c r="U1536" t="s">
        <v>11720</v>
      </c>
      <c r="V1536" t="s">
        <v>11720</v>
      </c>
      <c r="W1536" t="s">
        <v>13223</v>
      </c>
      <c r="X1536">
        <v>4</v>
      </c>
      <c r="Y1536" t="s">
        <v>19006</v>
      </c>
      <c r="Z1536" t="s">
        <v>24743</v>
      </c>
      <c r="AA1536">
        <v>0.92402417584582919</v>
      </c>
      <c r="AB1536" t="str">
        <f>HYPERLINK("Melting_Curves/meltCurve_O75746_SLC25A12.pdf", "Melting_Curves/meltCurve_O75746_SLC25A12.pdf")</f>
        <v>Melting_Curves/meltCurve_O75746_SLC25A12.pdf</v>
      </c>
    </row>
    <row r="1537" spans="1:28" x14ac:dyDescent="0.25">
      <c r="A1537" t="s">
        <v>1541</v>
      </c>
      <c r="B1537">
        <v>0.99334974765950101</v>
      </c>
      <c r="C1537">
        <v>0.920337989883805</v>
      </c>
      <c r="D1537">
        <v>0.82823754176968101</v>
      </c>
      <c r="E1537">
        <v>0.83883266702771397</v>
      </c>
      <c r="F1537">
        <v>0.65479212277542398</v>
      </c>
      <c r="G1537">
        <v>0.54669861329384195</v>
      </c>
      <c r="H1537">
        <v>0.49853826534679901</v>
      </c>
      <c r="I1537">
        <v>0.57058791418588695</v>
      </c>
      <c r="J1537">
        <v>0.612945195653542</v>
      </c>
      <c r="K1537">
        <v>0.50807887002054397</v>
      </c>
      <c r="L1537">
        <v>642.11896220067899</v>
      </c>
      <c r="M1537">
        <v>12.9173900415067</v>
      </c>
      <c r="O1537">
        <v>48.5635327858772</v>
      </c>
      <c r="P1537">
        <v>-3.1952707489025602E-2</v>
      </c>
      <c r="Q1537">
        <v>0.51957635524507495</v>
      </c>
      <c r="R1537">
        <v>0.91854884647855395</v>
      </c>
      <c r="S1537" t="s">
        <v>7398</v>
      </c>
      <c r="T1537" t="s">
        <v>11720</v>
      </c>
      <c r="U1537" t="s">
        <v>11720</v>
      </c>
      <c r="V1537" t="s">
        <v>11720</v>
      </c>
      <c r="W1537" t="s">
        <v>13224</v>
      </c>
      <c r="X1537">
        <v>10</v>
      </c>
      <c r="Y1537" t="s">
        <v>19007</v>
      </c>
      <c r="Z1537" t="s">
        <v>24744</v>
      </c>
      <c r="AA1537">
        <v>0.69006742707053093</v>
      </c>
      <c r="AB1537" t="str">
        <f>HYPERLINK("Melting_Curves/meltCurve_O75781_PALM.pdf", "Melting_Curves/meltCurve_O75781_PALM.pdf")</f>
        <v>Melting_Curves/meltCurve_O75781_PALM.pdf</v>
      </c>
    </row>
    <row r="1538" spans="1:28" x14ac:dyDescent="0.25">
      <c r="A1538" t="s">
        <v>1542</v>
      </c>
      <c r="B1538">
        <v>0.99334974765950101</v>
      </c>
      <c r="C1538">
        <v>0.99383850522011596</v>
      </c>
      <c r="D1538">
        <v>0.94374331255657595</v>
      </c>
      <c r="E1538">
        <v>0.61417836259088299</v>
      </c>
      <c r="F1538">
        <v>0.31786186611758499</v>
      </c>
      <c r="G1538">
        <v>0.17280024230916299</v>
      </c>
      <c r="H1538">
        <v>5.99078255477139E-2</v>
      </c>
      <c r="I1538">
        <v>5.0308363639739402E-2</v>
      </c>
      <c r="J1538">
        <v>3.2987116143149003E-2</v>
      </c>
      <c r="K1538">
        <v>1.3327374441072E-2</v>
      </c>
      <c r="L1538">
        <v>1086.6572374444099</v>
      </c>
      <c r="M1538">
        <v>21.283060059048601</v>
      </c>
      <c r="N1538">
        <v>51.2216890703845</v>
      </c>
      <c r="O1538">
        <v>50.613031196827997</v>
      </c>
      <c r="P1538">
        <v>-0.10166015110047601</v>
      </c>
      <c r="Q1538">
        <v>3.2996625069867003E-2</v>
      </c>
      <c r="R1538">
        <v>0.99753562333378099</v>
      </c>
      <c r="S1538" t="s">
        <v>7399</v>
      </c>
      <c r="T1538" t="s">
        <v>11720</v>
      </c>
      <c r="U1538" t="s">
        <v>11720</v>
      </c>
      <c r="V1538" t="s">
        <v>11720</v>
      </c>
      <c r="W1538" t="s">
        <v>13225</v>
      </c>
      <c r="X1538">
        <v>2</v>
      </c>
      <c r="Y1538" t="s">
        <v>19008</v>
      </c>
      <c r="Z1538" t="s">
        <v>24745</v>
      </c>
      <c r="AA1538">
        <v>0.40135142517892708</v>
      </c>
      <c r="AB1538" t="str">
        <f>HYPERLINK("Melting_Curves/meltCurve_O75792_RNASEH2A.pdf", "Melting_Curves/meltCurve_O75792_RNASEH2A.pdf")</f>
        <v>Melting_Curves/meltCurve_O75792_RNASEH2A.pdf</v>
      </c>
    </row>
    <row r="1539" spans="1:28" x14ac:dyDescent="0.25">
      <c r="A1539" t="s">
        <v>1543</v>
      </c>
      <c r="B1539">
        <v>0.99334974765950101</v>
      </c>
      <c r="C1539">
        <v>0.903146957382299</v>
      </c>
      <c r="D1539">
        <v>0.77206388983871199</v>
      </c>
      <c r="E1539">
        <v>0.45149437136479198</v>
      </c>
      <c r="F1539">
        <v>0.2447723394461</v>
      </c>
      <c r="G1539">
        <v>0.138342052288557</v>
      </c>
      <c r="H1539">
        <v>0.107067804687242</v>
      </c>
      <c r="I1539">
        <v>0.10683987340401099</v>
      </c>
      <c r="J1539">
        <v>9.3478433635289501E-2</v>
      </c>
      <c r="K1539">
        <v>6.2293086694146203E-2</v>
      </c>
      <c r="L1539">
        <v>864.22378882699695</v>
      </c>
      <c r="M1539">
        <v>17.7115394237819</v>
      </c>
      <c r="N1539">
        <v>49.259519388370698</v>
      </c>
      <c r="O1539">
        <v>48.1851143676463</v>
      </c>
      <c r="P1539">
        <v>-8.4821757452447494E-2</v>
      </c>
      <c r="Q1539">
        <v>7.7001432861011396E-2</v>
      </c>
      <c r="R1539">
        <v>0.99856949468692102</v>
      </c>
      <c r="S1539" t="s">
        <v>7400</v>
      </c>
      <c r="T1539" t="s">
        <v>11720</v>
      </c>
      <c r="U1539" t="s">
        <v>11720</v>
      </c>
      <c r="V1539" t="s">
        <v>11720</v>
      </c>
      <c r="W1539" t="s">
        <v>13226</v>
      </c>
      <c r="X1539">
        <v>3</v>
      </c>
      <c r="Y1539" t="s">
        <v>19009</v>
      </c>
      <c r="Z1539" t="s">
        <v>24746</v>
      </c>
      <c r="AA1539">
        <v>0.36415703628965868</v>
      </c>
      <c r="AB1539" t="str">
        <f>HYPERLINK("Melting_Curves/meltCurve_O75794_CDC123.pdf", "Melting_Curves/meltCurve_O75794_CDC123.pdf")</f>
        <v>Melting_Curves/meltCurve_O75794_CDC123.pdf</v>
      </c>
    </row>
    <row r="1540" spans="1:28" x14ac:dyDescent="0.25">
      <c r="A1540" t="s">
        <v>1544</v>
      </c>
      <c r="B1540">
        <v>0.99334974765950101</v>
      </c>
      <c r="C1540">
        <v>0.86139760552036704</v>
      </c>
      <c r="D1540">
        <v>0.605957396492252</v>
      </c>
      <c r="E1540">
        <v>0.42460956575364101</v>
      </c>
      <c r="F1540">
        <v>0.25834006490135197</v>
      </c>
      <c r="G1540">
        <v>0.17044073434468299</v>
      </c>
      <c r="H1540">
        <v>0.141539649037323</v>
      </c>
      <c r="I1540">
        <v>0.12699956682357599</v>
      </c>
      <c r="J1540">
        <v>0.111341377841761</v>
      </c>
      <c r="K1540">
        <v>0.10359896228592901</v>
      </c>
      <c r="L1540">
        <v>705.67260862414196</v>
      </c>
      <c r="M1540">
        <v>14.872296280168801</v>
      </c>
      <c r="N1540">
        <v>48.211371009579999</v>
      </c>
      <c r="O1540">
        <v>46.615727042340602</v>
      </c>
      <c r="P1540">
        <v>-7.1407985356626597E-2</v>
      </c>
      <c r="Q1540">
        <v>0.10480897724129799</v>
      </c>
      <c r="R1540">
        <v>0.99381969643855395</v>
      </c>
      <c r="S1540" t="s">
        <v>7401</v>
      </c>
      <c r="T1540" t="s">
        <v>11720</v>
      </c>
      <c r="U1540" t="s">
        <v>11720</v>
      </c>
      <c r="V1540" t="s">
        <v>11720</v>
      </c>
      <c r="W1540" t="s">
        <v>13227</v>
      </c>
      <c r="X1540">
        <v>7</v>
      </c>
      <c r="Y1540" t="s">
        <v>19010</v>
      </c>
      <c r="Z1540" t="s">
        <v>24747</v>
      </c>
      <c r="AA1540">
        <v>0.35118346576393811</v>
      </c>
      <c r="AB1540" t="str">
        <f>HYPERLINK("Melting_Curves/meltCurve_O75815_3_BCAR3.pdf", "Melting_Curves/meltCurve_O75815_3_BCAR3.pdf")</f>
        <v>Melting_Curves/meltCurve_O75815_3_BCAR3.pdf</v>
      </c>
    </row>
    <row r="1541" spans="1:28" x14ac:dyDescent="0.25">
      <c r="A1541" t="s">
        <v>1545</v>
      </c>
      <c r="B1541">
        <v>0.99334974765950101</v>
      </c>
      <c r="C1541">
        <v>1.0887845278274899</v>
      </c>
      <c r="D1541">
        <v>1.17795269719365</v>
      </c>
      <c r="E1541">
        <v>1.3736553066428101</v>
      </c>
      <c r="F1541">
        <v>1.3674159107056401</v>
      </c>
      <c r="G1541">
        <v>1.28861204717699</v>
      </c>
      <c r="H1541">
        <v>1.2432242281019401</v>
      </c>
      <c r="I1541">
        <v>0.84073041496866296</v>
      </c>
      <c r="J1541">
        <v>0.64900029865164199</v>
      </c>
      <c r="K1541">
        <v>0.27949971290563502</v>
      </c>
      <c r="L1541">
        <v>2866.5355079854799</v>
      </c>
      <c r="M1541">
        <v>42.471088969084903</v>
      </c>
      <c r="N1541">
        <v>67.961223831253207</v>
      </c>
      <c r="O1541">
        <v>67.344687996995702</v>
      </c>
      <c r="P1541">
        <v>-0.137694083915299</v>
      </c>
      <c r="Q1541">
        <v>0.12665767002134201</v>
      </c>
      <c r="R1541">
        <v>0.57996721278476004</v>
      </c>
      <c r="S1541" t="s">
        <v>7402</v>
      </c>
      <c r="T1541" t="s">
        <v>11720</v>
      </c>
      <c r="U1541" t="s">
        <v>11720</v>
      </c>
      <c r="V1541" t="s">
        <v>11720</v>
      </c>
      <c r="W1541" t="s">
        <v>13228</v>
      </c>
      <c r="X1541">
        <v>1</v>
      </c>
      <c r="Y1541" t="s">
        <v>19011</v>
      </c>
      <c r="Z1541" t="s">
        <v>24748</v>
      </c>
      <c r="AA1541">
        <v>0.9202682498653203</v>
      </c>
      <c r="AB1541" t="str">
        <f>HYPERLINK("Melting_Curves/meltCurve_O75818_2_RPP40.pdf", "Melting_Curves/meltCurve_O75818_2_RPP40.pdf")</f>
        <v>Melting_Curves/meltCurve_O75818_2_RPP40.pdf</v>
      </c>
    </row>
    <row r="1542" spans="1:28" x14ac:dyDescent="0.25">
      <c r="A1542" t="s">
        <v>1546</v>
      </c>
      <c r="B1542">
        <v>0.99334974765950101</v>
      </c>
      <c r="C1542">
        <v>0.99070604353109304</v>
      </c>
      <c r="D1542">
        <v>0.82339323025625399</v>
      </c>
      <c r="E1542">
        <v>1.1914156714597199</v>
      </c>
      <c r="F1542">
        <v>0.50741711225869401</v>
      </c>
      <c r="G1542">
        <v>0.306904616649117</v>
      </c>
      <c r="H1542">
        <v>0.21051631220469699</v>
      </c>
      <c r="I1542">
        <v>0.20189246887671999</v>
      </c>
      <c r="J1542">
        <v>0.20685340818975301</v>
      </c>
      <c r="K1542">
        <v>0.189090062523213</v>
      </c>
      <c r="L1542">
        <v>13220.881869205399</v>
      </c>
      <c r="M1542">
        <v>250</v>
      </c>
      <c r="N1542">
        <v>53.008804747187</v>
      </c>
      <c r="O1542">
        <v>52.880143320959696</v>
      </c>
      <c r="P1542">
        <v>-0.91828971729791398</v>
      </c>
      <c r="Q1542">
        <v>0.22305133171154301</v>
      </c>
      <c r="R1542">
        <v>0.94579644905527405</v>
      </c>
      <c r="S1542" t="s">
        <v>7403</v>
      </c>
      <c r="T1542" t="s">
        <v>11720</v>
      </c>
      <c r="U1542" t="s">
        <v>11720</v>
      </c>
      <c r="V1542" t="s">
        <v>11720</v>
      </c>
      <c r="W1542" t="s">
        <v>13229</v>
      </c>
      <c r="X1542">
        <v>11</v>
      </c>
      <c r="Y1542" t="s">
        <v>19012</v>
      </c>
      <c r="Z1542" t="s">
        <v>24749</v>
      </c>
      <c r="AA1542">
        <v>0.5567847573360829</v>
      </c>
      <c r="AB1542" t="str">
        <f>HYPERLINK("Melting_Curves/meltCurve_O75821_EIF3G.pdf", "Melting_Curves/meltCurve_O75821_EIF3G.pdf")</f>
        <v>Melting_Curves/meltCurve_O75821_EIF3G.pdf</v>
      </c>
    </row>
    <row r="1543" spans="1:28" x14ac:dyDescent="0.25">
      <c r="A1543" t="s">
        <v>1547</v>
      </c>
      <c r="B1543">
        <v>0.99334974765950101</v>
      </c>
      <c r="C1543">
        <v>1.35019056831352</v>
      </c>
      <c r="D1543">
        <v>1.2943605703480701</v>
      </c>
      <c r="E1543">
        <v>2.1758834877081301</v>
      </c>
      <c r="F1543">
        <v>1.16788094096747</v>
      </c>
      <c r="G1543">
        <v>0.44328160466349997</v>
      </c>
      <c r="H1543">
        <v>0.33765670829491501</v>
      </c>
      <c r="I1543">
        <v>0.38261450766213401</v>
      </c>
      <c r="J1543">
        <v>0.41554515664750402</v>
      </c>
      <c r="K1543">
        <v>0.36034965863827201</v>
      </c>
      <c r="L1543">
        <v>14131.1847857209</v>
      </c>
      <c r="M1543">
        <v>250</v>
      </c>
      <c r="N1543">
        <v>56.838175581553998</v>
      </c>
      <c r="O1543">
        <v>56.521121953302703</v>
      </c>
      <c r="P1543">
        <v>-0.69217321731416503</v>
      </c>
      <c r="Q1543">
        <v>0.37404149168397599</v>
      </c>
      <c r="R1543">
        <v>0.52028639983156799</v>
      </c>
      <c r="S1543" t="s">
        <v>7404</v>
      </c>
      <c r="T1543" t="s">
        <v>11720</v>
      </c>
      <c r="U1543" t="s">
        <v>11720</v>
      </c>
      <c r="V1543" t="s">
        <v>11720</v>
      </c>
      <c r="W1543" t="s">
        <v>13230</v>
      </c>
      <c r="X1543">
        <v>16</v>
      </c>
      <c r="Y1543" t="s">
        <v>19013</v>
      </c>
      <c r="Z1543" t="s">
        <v>24750</v>
      </c>
      <c r="AA1543">
        <v>0.71889695559782063</v>
      </c>
      <c r="AB1543" t="str">
        <f>HYPERLINK("Melting_Curves/meltCurve_O75822_EIF3J.pdf", "Melting_Curves/meltCurve_O75822_EIF3J.pdf")</f>
        <v>Melting_Curves/meltCurve_O75822_EIF3J.pdf</v>
      </c>
    </row>
    <row r="1544" spans="1:28" x14ac:dyDescent="0.25">
      <c r="A1544" t="s">
        <v>1548</v>
      </c>
      <c r="B1544">
        <v>0.99334974765950101</v>
      </c>
      <c r="C1544">
        <v>0.97852148610358103</v>
      </c>
      <c r="D1544">
        <v>0.86168403959429496</v>
      </c>
      <c r="E1544">
        <v>0.67280477096837399</v>
      </c>
      <c r="F1544">
        <v>0.27157890881688901</v>
      </c>
      <c r="G1544">
        <v>0.128329783865828</v>
      </c>
      <c r="H1544">
        <v>9.0516823908268901E-2</v>
      </c>
      <c r="I1544">
        <v>8.3874153242997906E-2</v>
      </c>
      <c r="J1544">
        <v>7.8522860423977894E-2</v>
      </c>
      <c r="K1544">
        <v>5.9714184051382901E-2</v>
      </c>
      <c r="L1544">
        <v>1232.23820758801</v>
      </c>
      <c r="M1544">
        <v>24.275153518496101</v>
      </c>
      <c r="N1544">
        <v>51.068540495303303</v>
      </c>
      <c r="O1544">
        <v>50.420593808667803</v>
      </c>
      <c r="P1544">
        <v>-0.112187317802397</v>
      </c>
      <c r="Q1544">
        <v>6.7941787960445602E-2</v>
      </c>
      <c r="R1544">
        <v>0.99335206664947295</v>
      </c>
      <c r="S1544" t="s">
        <v>7405</v>
      </c>
      <c r="T1544" t="s">
        <v>11720</v>
      </c>
      <c r="U1544" t="s">
        <v>11720</v>
      </c>
      <c r="V1544" t="s">
        <v>11720</v>
      </c>
      <c r="W1544" t="s">
        <v>13231</v>
      </c>
      <c r="X1544">
        <v>21</v>
      </c>
      <c r="Y1544" t="s">
        <v>19014</v>
      </c>
      <c r="Z1544" t="s">
        <v>24751</v>
      </c>
      <c r="AA1544">
        <v>0.41118059831378467</v>
      </c>
      <c r="AB1544" t="str">
        <f>HYPERLINK("Melting_Curves/meltCurve_O75828_CBR3.pdf", "Melting_Curves/meltCurve_O75828_CBR3.pdf")</f>
        <v>Melting_Curves/meltCurve_O75828_CBR3.pdf</v>
      </c>
    </row>
    <row r="1545" spans="1:28" x14ac:dyDescent="0.25">
      <c r="A1545" t="s">
        <v>1549</v>
      </c>
      <c r="B1545">
        <v>0.99334974765950101</v>
      </c>
      <c r="C1545">
        <v>0.93610567247161702</v>
      </c>
      <c r="D1545">
        <v>0.75060272056278199</v>
      </c>
      <c r="E1545">
        <v>0.48910181057720697</v>
      </c>
      <c r="F1545">
        <v>0.13191663796753</v>
      </c>
      <c r="G1545">
        <v>8.34826914315695E-2</v>
      </c>
      <c r="H1545">
        <v>6.3998027492928794E-2</v>
      </c>
      <c r="I1545">
        <v>6.8727446754046004E-2</v>
      </c>
      <c r="J1545">
        <v>6.3729281868743395E-2</v>
      </c>
      <c r="K1545">
        <v>4.7273493119033498E-2</v>
      </c>
      <c r="L1545">
        <v>985.09802682409702</v>
      </c>
      <c r="M1545">
        <v>20.1633994093322</v>
      </c>
      <c r="N1545">
        <v>49.080324858889803</v>
      </c>
      <c r="O1545">
        <v>48.382816860724802</v>
      </c>
      <c r="P1545">
        <v>-9.9598814632788996E-2</v>
      </c>
      <c r="Q1545">
        <v>4.4066106298790798E-2</v>
      </c>
      <c r="R1545">
        <v>0.99023546323865397</v>
      </c>
      <c r="S1545" t="s">
        <v>7406</v>
      </c>
      <c r="T1545" t="s">
        <v>11720</v>
      </c>
      <c r="U1545" t="s">
        <v>11720</v>
      </c>
      <c r="V1545" t="s">
        <v>11720</v>
      </c>
      <c r="W1545" t="s">
        <v>13232</v>
      </c>
      <c r="X1545">
        <v>8</v>
      </c>
      <c r="Y1545" t="s">
        <v>19015</v>
      </c>
      <c r="Z1545" t="s">
        <v>24752</v>
      </c>
      <c r="AA1545">
        <v>0.33943811627359011</v>
      </c>
      <c r="AB1545" t="str">
        <f>HYPERLINK("Melting_Curves/meltCurve_O75832_PSMD10.pdf", "Melting_Curves/meltCurve_O75832_PSMD10.pdf")</f>
        <v>Melting_Curves/meltCurve_O75832_PSMD10.pdf</v>
      </c>
    </row>
    <row r="1546" spans="1:28" x14ac:dyDescent="0.25">
      <c r="A1546" t="s">
        <v>1550</v>
      </c>
      <c r="B1546">
        <v>0.99334974765950101</v>
      </c>
      <c r="C1546">
        <v>0.99915544657343902</v>
      </c>
      <c r="D1546">
        <v>0.78405953906427195</v>
      </c>
      <c r="E1546">
        <v>0.83720719081538697</v>
      </c>
      <c r="F1546">
        <v>0.59122546094294604</v>
      </c>
      <c r="G1546">
        <v>0.46481663380421101</v>
      </c>
      <c r="H1546">
        <v>0.25228439608644199</v>
      </c>
      <c r="I1546">
        <v>0.177933517668316</v>
      </c>
      <c r="J1546">
        <v>0.14324391731161701</v>
      </c>
      <c r="K1546">
        <v>0.109879063789752</v>
      </c>
      <c r="L1546">
        <v>586.13421166691796</v>
      </c>
      <c r="M1546">
        <v>10.5647335019524</v>
      </c>
      <c r="N1546">
        <v>55.480264744453997</v>
      </c>
      <c r="O1546">
        <v>53.603116180477102</v>
      </c>
      <c r="P1546">
        <v>-4.9292362573845699E-2</v>
      </c>
      <c r="Q1546">
        <v>0</v>
      </c>
      <c r="R1546">
        <v>0.97879279347263803</v>
      </c>
      <c r="S1546" t="s">
        <v>7407</v>
      </c>
      <c r="T1546" t="s">
        <v>11720</v>
      </c>
      <c r="U1546" t="s">
        <v>11720</v>
      </c>
      <c r="V1546" t="s">
        <v>11720</v>
      </c>
      <c r="W1546" t="s">
        <v>13233</v>
      </c>
      <c r="X1546">
        <v>10</v>
      </c>
      <c r="Y1546" t="s">
        <v>19016</v>
      </c>
      <c r="Z1546" t="s">
        <v>24753</v>
      </c>
      <c r="AA1546">
        <v>0.53930410816417129</v>
      </c>
      <c r="AB1546" t="str">
        <f>HYPERLINK("Melting_Curves/meltCurve_O75844_ZMPSTE24.pdf", "Melting_Curves/meltCurve_O75844_ZMPSTE24.pdf")</f>
        <v>Melting_Curves/meltCurve_O75844_ZMPSTE24.pdf</v>
      </c>
    </row>
    <row r="1547" spans="1:28" x14ac:dyDescent="0.25">
      <c r="A1547" t="s">
        <v>1551</v>
      </c>
      <c r="B1547">
        <v>0.99334974765950101</v>
      </c>
      <c r="C1547">
        <v>0.95904893443357997</v>
      </c>
      <c r="D1547">
        <v>1.0095245113370299</v>
      </c>
      <c r="E1547">
        <v>0.85979805096850404</v>
      </c>
      <c r="F1547">
        <v>0.58246493641115904</v>
      </c>
      <c r="G1547">
        <v>0.181948163207999</v>
      </c>
      <c r="H1547">
        <v>7.9772360383384699E-2</v>
      </c>
      <c r="I1547">
        <v>5.8953587124094001E-2</v>
      </c>
      <c r="J1547">
        <v>5.8308503353439602E-2</v>
      </c>
      <c r="K1547">
        <v>4.5161509316428802E-2</v>
      </c>
      <c r="L1547">
        <v>1468.7684816937799</v>
      </c>
      <c r="M1547">
        <v>27.506053950905802</v>
      </c>
      <c r="N1547">
        <v>53.595449462737697</v>
      </c>
      <c r="O1547">
        <v>53.118142611595999</v>
      </c>
      <c r="P1547">
        <v>-0.12322045824943199</v>
      </c>
      <c r="Q1547">
        <v>4.8182821449051498E-2</v>
      </c>
      <c r="R1547">
        <v>0.99857173215233497</v>
      </c>
      <c r="S1547" t="s">
        <v>7408</v>
      </c>
      <c r="T1547" t="s">
        <v>11720</v>
      </c>
      <c r="U1547" t="s">
        <v>11720</v>
      </c>
      <c r="V1547" t="s">
        <v>11720</v>
      </c>
      <c r="W1547" t="s">
        <v>13234</v>
      </c>
      <c r="X1547">
        <v>37</v>
      </c>
      <c r="Y1547" t="s">
        <v>19017</v>
      </c>
      <c r="Z1547" t="s">
        <v>24754</v>
      </c>
      <c r="AA1547">
        <v>0.48060249617772283</v>
      </c>
      <c r="AB1547" t="str">
        <f>HYPERLINK("Melting_Curves/meltCurve_O75874_IDH1.pdf", "Melting_Curves/meltCurve_O75874_IDH1.pdf")</f>
        <v>Melting_Curves/meltCurve_O75874_IDH1.pdf</v>
      </c>
    </row>
    <row r="1548" spans="1:28" x14ac:dyDescent="0.25">
      <c r="A1548" t="s">
        <v>1552</v>
      </c>
      <c r="B1548">
        <v>0.99334974765950101</v>
      </c>
      <c r="C1548">
        <v>1.0504975113217601</v>
      </c>
      <c r="D1548">
        <v>1.0314284786105199</v>
      </c>
      <c r="E1548">
        <v>1.23728605672514</v>
      </c>
      <c r="F1548">
        <v>1.1561932534447801</v>
      </c>
      <c r="G1548">
        <v>1.02863503474526</v>
      </c>
      <c r="H1548">
        <v>0.92724189025372805</v>
      </c>
      <c r="I1548">
        <v>1.27781936014514</v>
      </c>
      <c r="J1548">
        <v>1.15803838936874</v>
      </c>
      <c r="K1548">
        <v>0.71594504562262695</v>
      </c>
      <c r="L1548">
        <v>15000</v>
      </c>
      <c r="M1548">
        <v>213.361175372319</v>
      </c>
      <c r="Q1548">
        <v>0</v>
      </c>
      <c r="R1548">
        <v>0.19769927588980801</v>
      </c>
      <c r="S1548" t="s">
        <v>7409</v>
      </c>
      <c r="T1548" t="s">
        <v>11720</v>
      </c>
      <c r="U1548" t="s">
        <v>11720</v>
      </c>
      <c r="V1548" t="s">
        <v>11720</v>
      </c>
      <c r="W1548" t="s">
        <v>13235</v>
      </c>
      <c r="X1548">
        <v>12</v>
      </c>
      <c r="Y1548" t="s">
        <v>19018</v>
      </c>
      <c r="Z1548" t="s">
        <v>24755</v>
      </c>
      <c r="AA1548">
        <v>0.99639814583805741</v>
      </c>
      <c r="AB1548" t="str">
        <f>HYPERLINK("Melting_Curves/meltCurve_O75882_ATRN.pdf", "Melting_Curves/meltCurve_O75882_ATRN.pdf")</f>
        <v>Melting_Curves/meltCurve_O75882_ATRN.pdf</v>
      </c>
    </row>
    <row r="1549" spans="1:28" x14ac:dyDescent="0.25">
      <c r="A1549" t="s">
        <v>1553</v>
      </c>
      <c r="B1549">
        <v>0.99334974765950101</v>
      </c>
      <c r="C1549">
        <v>0.97936722476214</v>
      </c>
      <c r="D1549">
        <v>0.865782822946916</v>
      </c>
      <c r="E1549">
        <v>0.76281665765614404</v>
      </c>
      <c r="F1549">
        <v>0.645279303456335</v>
      </c>
      <c r="G1549">
        <v>0.29678385454395001</v>
      </c>
      <c r="H1549">
        <v>0.17551717177699699</v>
      </c>
      <c r="I1549">
        <v>0.14667582339768601</v>
      </c>
      <c r="J1549">
        <v>0.138015355983272</v>
      </c>
      <c r="K1549">
        <v>0.120970357861361</v>
      </c>
      <c r="L1549">
        <v>830.20224070041502</v>
      </c>
      <c r="M1549">
        <v>15.503989303557301</v>
      </c>
      <c r="N1549">
        <v>54.170943616912197</v>
      </c>
      <c r="O1549">
        <v>52.680514034545901</v>
      </c>
      <c r="P1549">
        <v>-6.7571024636193605E-2</v>
      </c>
      <c r="Q1549">
        <v>8.1691455231995599E-2</v>
      </c>
      <c r="R1549">
        <v>0.99010547404953297</v>
      </c>
      <c r="S1549" t="s">
        <v>7410</v>
      </c>
      <c r="T1549" t="s">
        <v>11720</v>
      </c>
      <c r="U1549" t="s">
        <v>11720</v>
      </c>
      <c r="V1549" t="s">
        <v>11720</v>
      </c>
      <c r="W1549" t="s">
        <v>13236</v>
      </c>
      <c r="X1549">
        <v>7</v>
      </c>
      <c r="Y1549" t="s">
        <v>19019</v>
      </c>
      <c r="Z1549" t="s">
        <v>24756</v>
      </c>
      <c r="AA1549">
        <v>0.51483846364326502</v>
      </c>
      <c r="AB1549" t="str">
        <f>HYPERLINK("Melting_Curves/meltCurve_O75884_RBBP9.pdf", "Melting_Curves/meltCurve_O75884_RBBP9.pdf")</f>
        <v>Melting_Curves/meltCurve_O75884_RBBP9.pdf</v>
      </c>
    </row>
    <row r="1550" spans="1:28" x14ac:dyDescent="0.25">
      <c r="A1550" t="s">
        <v>1554</v>
      </c>
      <c r="B1550">
        <v>0.99334974765950101</v>
      </c>
      <c r="C1550">
        <v>0.97220448540353999</v>
      </c>
      <c r="D1550">
        <v>1.00725175206882</v>
      </c>
      <c r="E1550">
        <v>0.78119475555707296</v>
      </c>
      <c r="F1550">
        <v>0.22055001224017201</v>
      </c>
      <c r="G1550">
        <v>0.11143740708069901</v>
      </c>
      <c r="H1550">
        <v>7.2254441243798498E-2</v>
      </c>
      <c r="I1550">
        <v>6.6012371012270601E-2</v>
      </c>
      <c r="J1550">
        <v>6.5412870838976594E-2</v>
      </c>
      <c r="K1550">
        <v>5.8989067589576998E-2</v>
      </c>
      <c r="L1550">
        <v>2480.2571858177398</v>
      </c>
      <c r="M1550">
        <v>48.435644673958102</v>
      </c>
      <c r="N1550">
        <v>51.374345875768398</v>
      </c>
      <c r="O1550">
        <v>51.1202071769276</v>
      </c>
      <c r="P1550">
        <v>-0.21961181654961801</v>
      </c>
      <c r="Q1550">
        <v>7.2865351709370599E-2</v>
      </c>
      <c r="R1550">
        <v>0.99870482468146704</v>
      </c>
      <c r="S1550" t="s">
        <v>7411</v>
      </c>
      <c r="T1550" t="s">
        <v>11720</v>
      </c>
      <c r="U1550" t="s">
        <v>11720</v>
      </c>
      <c r="V1550" t="s">
        <v>11720</v>
      </c>
      <c r="W1550" t="s">
        <v>13237</v>
      </c>
      <c r="X1550">
        <v>14</v>
      </c>
      <c r="Y1550" t="s">
        <v>19020</v>
      </c>
      <c r="Z1550" t="s">
        <v>24757</v>
      </c>
      <c r="AA1550">
        <v>0.42145268235977829</v>
      </c>
      <c r="AB1550" t="str">
        <f>HYPERLINK("Melting_Curves/meltCurve_O75886_STAM2.pdf", "Melting_Curves/meltCurve_O75886_STAM2.pdf")</f>
        <v>Melting_Curves/meltCurve_O75886_STAM2.pdf</v>
      </c>
    </row>
    <row r="1551" spans="1:28" x14ac:dyDescent="0.25">
      <c r="A1551" t="s">
        <v>1555</v>
      </c>
      <c r="B1551">
        <v>0.99334974765950101</v>
      </c>
      <c r="C1551">
        <v>0.96914346636232995</v>
      </c>
      <c r="D1551">
        <v>0.85083166286433598</v>
      </c>
      <c r="E1551">
        <v>0.68084105395190897</v>
      </c>
      <c r="F1551">
        <v>0.20567869236281999</v>
      </c>
      <c r="G1551">
        <v>7.8401519970380695E-2</v>
      </c>
      <c r="H1551">
        <v>5.99976827142151E-2</v>
      </c>
      <c r="I1551">
        <v>4.05754525640196E-2</v>
      </c>
      <c r="J1551">
        <v>6.2118315898997897E-2</v>
      </c>
      <c r="K1551">
        <v>2.54918033907502E-2</v>
      </c>
      <c r="L1551">
        <v>1547.53090025458</v>
      </c>
      <c r="M1551">
        <v>30.478552039624201</v>
      </c>
      <c r="N1551">
        <v>50.917210615217201</v>
      </c>
      <c r="O1551">
        <v>50.557340857571702</v>
      </c>
      <c r="P1551">
        <v>-0.14454070887732501</v>
      </c>
      <c r="Q1551">
        <v>4.0958385107137001E-2</v>
      </c>
      <c r="R1551">
        <v>0.98863373248394404</v>
      </c>
      <c r="S1551" t="s">
        <v>7412</v>
      </c>
      <c r="T1551" t="s">
        <v>11720</v>
      </c>
      <c r="U1551" t="s">
        <v>11720</v>
      </c>
      <c r="V1551" t="s">
        <v>11720</v>
      </c>
      <c r="W1551" t="s">
        <v>13238</v>
      </c>
      <c r="X1551">
        <v>4</v>
      </c>
      <c r="Y1551" t="s">
        <v>19021</v>
      </c>
      <c r="Z1551" t="s">
        <v>24758</v>
      </c>
      <c r="AA1551">
        <v>0.39121540517896958</v>
      </c>
      <c r="AB1551" t="str">
        <f>HYPERLINK("Melting_Curves/meltCurve_O75891_ALDH1L1.pdf", "Melting_Curves/meltCurve_O75891_ALDH1L1.pdf")</f>
        <v>Melting_Curves/meltCurve_O75891_ALDH1L1.pdf</v>
      </c>
    </row>
    <row r="1552" spans="1:28" x14ac:dyDescent="0.25">
      <c r="A1552" t="s">
        <v>1556</v>
      </c>
      <c r="B1552">
        <v>0.99334974765950101</v>
      </c>
      <c r="C1552">
        <v>0.99895874761183501</v>
      </c>
      <c r="D1552">
        <v>1.09661709468865</v>
      </c>
      <c r="E1552">
        <v>1.0496705378401401</v>
      </c>
      <c r="F1552">
        <v>0.51606506352284998</v>
      </c>
      <c r="G1552">
        <v>0.37411093537144402</v>
      </c>
      <c r="H1552">
        <v>0.14740781364101299</v>
      </c>
      <c r="I1552">
        <v>0.12139467177764</v>
      </c>
      <c r="J1552">
        <v>8.9099252973317805E-2</v>
      </c>
      <c r="K1552">
        <v>8.6651050071042998E-2</v>
      </c>
      <c r="L1552">
        <v>1467.4100369899299</v>
      </c>
      <c r="M1552">
        <v>27.2772326833059</v>
      </c>
      <c r="N1552">
        <v>54.298277801256603</v>
      </c>
      <c r="O1552">
        <v>53.5095069990548</v>
      </c>
      <c r="P1552">
        <v>-0.113235693528978</v>
      </c>
      <c r="Q1552">
        <v>0.111474646121117</v>
      </c>
      <c r="R1552">
        <v>0.96429993212494902</v>
      </c>
      <c r="S1552" t="s">
        <v>7413</v>
      </c>
      <c r="T1552" t="s">
        <v>11720</v>
      </c>
      <c r="U1552" t="s">
        <v>11720</v>
      </c>
      <c r="V1552" t="s">
        <v>11720</v>
      </c>
      <c r="W1552" t="s">
        <v>13239</v>
      </c>
      <c r="X1552">
        <v>2</v>
      </c>
      <c r="Y1552" t="s">
        <v>19022</v>
      </c>
      <c r="Z1552" t="s">
        <v>24759</v>
      </c>
      <c r="AA1552">
        <v>0.52706744604966815</v>
      </c>
      <c r="AB1552" t="str">
        <f>HYPERLINK("Melting_Curves/meltCurve_O75896_TUSC2.pdf", "Melting_Curves/meltCurve_O75896_TUSC2.pdf")</f>
        <v>Melting_Curves/meltCurve_O75896_TUSC2.pdf</v>
      </c>
    </row>
    <row r="1553" spans="1:28" x14ac:dyDescent="0.25">
      <c r="A1553" t="s">
        <v>1557</v>
      </c>
      <c r="B1553">
        <v>0.99334974765950101</v>
      </c>
      <c r="C1553">
        <v>1.00060788926241</v>
      </c>
      <c r="D1553">
        <v>0.90029777744831296</v>
      </c>
      <c r="E1553">
        <v>0.76729219959176398</v>
      </c>
      <c r="F1553">
        <v>0.45605850420356903</v>
      </c>
      <c r="G1553">
        <v>0.19743487312322699</v>
      </c>
      <c r="H1553">
        <v>0.12787628116740599</v>
      </c>
      <c r="I1553">
        <v>0.11083798500667499</v>
      </c>
      <c r="J1553">
        <v>8.3723095813008602E-2</v>
      </c>
      <c r="K1553">
        <v>5.5064673466375898E-2</v>
      </c>
      <c r="L1553">
        <v>1085.15522569358</v>
      </c>
      <c r="M1553">
        <v>20.771213163203502</v>
      </c>
      <c r="N1553">
        <v>52.633556464850002</v>
      </c>
      <c r="O1553">
        <v>51.766226357447501</v>
      </c>
      <c r="P1553">
        <v>-9.3154840755730203E-2</v>
      </c>
      <c r="Q1553">
        <v>7.13803479788334E-2</v>
      </c>
      <c r="R1553">
        <v>0.99691392104838705</v>
      </c>
      <c r="S1553" t="s">
        <v>7414</v>
      </c>
      <c r="T1553" t="s">
        <v>11720</v>
      </c>
      <c r="U1553" t="s">
        <v>11720</v>
      </c>
      <c r="V1553" t="s">
        <v>11720</v>
      </c>
      <c r="W1553" t="s">
        <v>13240</v>
      </c>
      <c r="X1553">
        <v>8</v>
      </c>
      <c r="Y1553" t="s">
        <v>19023</v>
      </c>
      <c r="Z1553" t="s">
        <v>24760</v>
      </c>
      <c r="AA1553">
        <v>0.46235459719036159</v>
      </c>
      <c r="AB1553" t="str">
        <f>HYPERLINK("Melting_Curves/meltCurve_O75911_DHRS3.pdf", "Melting_Curves/meltCurve_O75911_DHRS3.pdf")</f>
        <v>Melting_Curves/meltCurve_O75911_DHRS3.pdf</v>
      </c>
    </row>
    <row r="1554" spans="1:28" x14ac:dyDescent="0.25">
      <c r="A1554" t="s">
        <v>1558</v>
      </c>
      <c r="B1554">
        <v>0.99334974765950101</v>
      </c>
      <c r="C1554">
        <v>1.0194007366692801</v>
      </c>
      <c r="D1554">
        <v>0.85857290523185203</v>
      </c>
      <c r="E1554">
        <v>1.1193718229529801</v>
      </c>
      <c r="F1554">
        <v>1.13198299532727</v>
      </c>
      <c r="G1554">
        <v>0.883119712641114</v>
      </c>
      <c r="H1554">
        <v>0.36425141430237701</v>
      </c>
      <c r="I1554">
        <v>0.25851502143730298</v>
      </c>
      <c r="J1554">
        <v>0.21796319484263199</v>
      </c>
      <c r="K1554">
        <v>0.21392470166657299</v>
      </c>
      <c r="L1554">
        <v>2875.0914123883599</v>
      </c>
      <c r="M1554">
        <v>48.6340143923981</v>
      </c>
      <c r="N1554">
        <v>59.8420516037243</v>
      </c>
      <c r="O1554">
        <v>59.0171924621011</v>
      </c>
      <c r="P1554">
        <v>-0.16014578887294301</v>
      </c>
      <c r="Q1554">
        <v>0.222655529387603</v>
      </c>
      <c r="R1554">
        <v>0.96147775550487702</v>
      </c>
      <c r="S1554" t="s">
        <v>7415</v>
      </c>
      <c r="T1554" t="s">
        <v>11720</v>
      </c>
      <c r="U1554" t="s">
        <v>11720</v>
      </c>
      <c r="V1554" t="s">
        <v>11720</v>
      </c>
      <c r="W1554" t="s">
        <v>13241</v>
      </c>
      <c r="X1554">
        <v>16</v>
      </c>
      <c r="Y1554" t="s">
        <v>19024</v>
      </c>
      <c r="Z1554" t="s">
        <v>24761</v>
      </c>
      <c r="AA1554">
        <v>0.72012138460351738</v>
      </c>
      <c r="AB1554" t="str">
        <f>HYPERLINK("Melting_Curves/meltCurve_O75914_2_PAK3.pdf", "Melting_Curves/meltCurve_O75914_2_PAK3.pdf")</f>
        <v>Melting_Curves/meltCurve_O75914_2_PAK3.pdf</v>
      </c>
    </row>
    <row r="1555" spans="1:28" x14ac:dyDescent="0.25">
      <c r="A1555" t="s">
        <v>1559</v>
      </c>
      <c r="B1555">
        <v>0.99334974765950101</v>
      </c>
      <c r="C1555">
        <v>0.98992081025911804</v>
      </c>
      <c r="D1555">
        <v>0.95952388902777397</v>
      </c>
      <c r="E1555">
        <v>0.82266472306080596</v>
      </c>
      <c r="F1555">
        <v>0.76866649931964304</v>
      </c>
      <c r="G1555">
        <v>0.66038147071712405</v>
      </c>
      <c r="H1555">
        <v>0.45033342732762299</v>
      </c>
      <c r="I1555">
        <v>0.37597701414981299</v>
      </c>
      <c r="J1555">
        <v>0.27366195679100502</v>
      </c>
      <c r="K1555">
        <v>0.21243344041171899</v>
      </c>
      <c r="L1555">
        <v>548.86624938169905</v>
      </c>
      <c r="M1555">
        <v>9.1269130625994794</v>
      </c>
      <c r="N1555">
        <v>60.137113457567899</v>
      </c>
      <c r="O1555">
        <v>57.461117785419901</v>
      </c>
      <c r="P1555">
        <v>-3.97364381204326E-2</v>
      </c>
      <c r="Q1555">
        <v>0</v>
      </c>
      <c r="R1555">
        <v>0.99495069979559303</v>
      </c>
      <c r="S1555" t="s">
        <v>7416</v>
      </c>
      <c r="T1555" t="s">
        <v>11720</v>
      </c>
      <c r="U1555" t="s">
        <v>11720</v>
      </c>
      <c r="V1555" t="s">
        <v>11720</v>
      </c>
      <c r="W1555" t="s">
        <v>13242</v>
      </c>
      <c r="X1555">
        <v>15</v>
      </c>
      <c r="Y1555" t="s">
        <v>19025</v>
      </c>
      <c r="Z1555" t="s">
        <v>24762</v>
      </c>
      <c r="AA1555">
        <v>0.66192266310967396</v>
      </c>
      <c r="AB1555" t="str">
        <f>HYPERLINK("Melting_Curves/meltCurve_O75915_ARL6IP5.pdf", "Melting_Curves/meltCurve_O75915_ARL6IP5.pdf")</f>
        <v>Melting_Curves/meltCurve_O75915_ARL6IP5.pdf</v>
      </c>
    </row>
    <row r="1556" spans="1:28" x14ac:dyDescent="0.25">
      <c r="A1556" t="s">
        <v>1560</v>
      </c>
      <c r="B1556">
        <v>0.99334974765950101</v>
      </c>
      <c r="C1556">
        <v>0.94871596957320703</v>
      </c>
      <c r="D1556">
        <v>0.99468099658770703</v>
      </c>
      <c r="E1556">
        <v>0.96525928965407604</v>
      </c>
      <c r="F1556">
        <v>0.55559918210826997</v>
      </c>
      <c r="G1556">
        <v>0.36189844325229098</v>
      </c>
      <c r="H1556">
        <v>0.29502130791140901</v>
      </c>
      <c r="I1556">
        <v>0.28654989333014103</v>
      </c>
      <c r="J1556">
        <v>0.23777305661726</v>
      </c>
      <c r="K1556">
        <v>0.232784995939009</v>
      </c>
      <c r="L1556">
        <v>2429.1784954055902</v>
      </c>
      <c r="M1556">
        <v>46.208511711008299</v>
      </c>
      <c r="N1556">
        <v>53.504115350557903</v>
      </c>
      <c r="O1556">
        <v>52.471785633945601</v>
      </c>
      <c r="P1556">
        <v>-0.15920643177402599</v>
      </c>
      <c r="Q1556">
        <v>0.27685772192666502</v>
      </c>
      <c r="R1556">
        <v>0.98905459649219796</v>
      </c>
      <c r="S1556" t="s">
        <v>7417</v>
      </c>
      <c r="T1556" t="s">
        <v>11720</v>
      </c>
      <c r="U1556" t="s">
        <v>11720</v>
      </c>
      <c r="V1556" t="s">
        <v>11720</v>
      </c>
      <c r="W1556" t="s">
        <v>13243</v>
      </c>
      <c r="X1556">
        <v>3</v>
      </c>
      <c r="Y1556" t="s">
        <v>19026</v>
      </c>
      <c r="Z1556" t="s">
        <v>24763</v>
      </c>
      <c r="AA1556">
        <v>0.58181752647379581</v>
      </c>
      <c r="AB1556" t="str">
        <f>HYPERLINK("Melting_Curves/meltCurve_O75934_BCAS2.pdf", "Melting_Curves/meltCurve_O75934_BCAS2.pdf")</f>
        <v>Melting_Curves/meltCurve_O75934_BCAS2.pdf</v>
      </c>
    </row>
    <row r="1557" spans="1:28" x14ac:dyDescent="0.25">
      <c r="A1557" t="s">
        <v>1561</v>
      </c>
      <c r="B1557">
        <v>0.99334974765950101</v>
      </c>
      <c r="C1557">
        <v>0.87940331750401401</v>
      </c>
      <c r="D1557">
        <v>0.75362845780105303</v>
      </c>
      <c r="E1557">
        <v>0.66428900922379197</v>
      </c>
      <c r="F1557">
        <v>0.19565436813583101</v>
      </c>
      <c r="G1557">
        <v>0.17307184781738399</v>
      </c>
      <c r="H1557">
        <v>0.15001900296738799</v>
      </c>
      <c r="I1557">
        <v>0.19987960892915499</v>
      </c>
      <c r="J1557">
        <v>0.172494252501039</v>
      </c>
      <c r="K1557">
        <v>0.12157605335322801</v>
      </c>
      <c r="L1557">
        <v>865.09272577111506</v>
      </c>
      <c r="M1557">
        <v>17.554292867108099</v>
      </c>
      <c r="N1557">
        <v>50.151194844599701</v>
      </c>
      <c r="O1557">
        <v>48.654787220109696</v>
      </c>
      <c r="P1557">
        <v>-7.83602880976072E-2</v>
      </c>
      <c r="Q1557">
        <v>0.13129044337229501</v>
      </c>
      <c r="R1557">
        <v>0.95170864253513299</v>
      </c>
      <c r="S1557" t="s">
        <v>7418</v>
      </c>
      <c r="T1557" t="s">
        <v>11720</v>
      </c>
      <c r="U1557" t="s">
        <v>11720</v>
      </c>
      <c r="V1557" t="s">
        <v>11720</v>
      </c>
      <c r="W1557" t="s">
        <v>13244</v>
      </c>
      <c r="X1557">
        <v>4</v>
      </c>
      <c r="Y1557" t="s">
        <v>19027</v>
      </c>
      <c r="Z1557" t="s">
        <v>24764</v>
      </c>
      <c r="AA1557">
        <v>0.41576598379354063</v>
      </c>
      <c r="AB1557" t="str">
        <f>HYPERLINK("Melting_Curves/meltCurve_O75935_DCTN3.pdf", "Melting_Curves/meltCurve_O75935_DCTN3.pdf")</f>
        <v>Melting_Curves/meltCurve_O75935_DCTN3.pdf</v>
      </c>
    </row>
    <row r="1558" spans="1:28" x14ac:dyDescent="0.25">
      <c r="A1558" t="s">
        <v>1562</v>
      </c>
      <c r="B1558">
        <v>0.99334974765950101</v>
      </c>
      <c r="C1558">
        <v>0.96091777531231404</v>
      </c>
      <c r="D1558">
        <v>0.85773107667494497</v>
      </c>
      <c r="E1558">
        <v>0.58412546717539804</v>
      </c>
      <c r="F1558">
        <v>0.234063850031869</v>
      </c>
      <c r="G1558">
        <v>0.12379696931474</v>
      </c>
      <c r="H1558">
        <v>9.9703194242829904E-2</v>
      </c>
      <c r="I1558">
        <v>0.109235566820842</v>
      </c>
      <c r="J1558">
        <v>0.12662854200404999</v>
      </c>
      <c r="K1558">
        <v>0.132468155128734</v>
      </c>
      <c r="L1558">
        <v>1240.91746307624</v>
      </c>
      <c r="M1558">
        <v>24.883105362829699</v>
      </c>
      <c r="N1558">
        <v>50.348335186037303</v>
      </c>
      <c r="O1558">
        <v>49.551134103829597</v>
      </c>
      <c r="P1558">
        <v>-0.11232581098778301</v>
      </c>
      <c r="Q1558">
        <v>0.105289336235548</v>
      </c>
      <c r="R1558">
        <v>0.994115897382706</v>
      </c>
      <c r="S1558" t="s">
        <v>7419</v>
      </c>
      <c r="T1558" t="s">
        <v>11720</v>
      </c>
      <c r="U1558" t="s">
        <v>11720</v>
      </c>
      <c r="V1558" t="s">
        <v>11720</v>
      </c>
      <c r="W1558" t="s">
        <v>13245</v>
      </c>
      <c r="X1558">
        <v>15</v>
      </c>
      <c r="Y1558" t="s">
        <v>19028</v>
      </c>
      <c r="Z1558" t="s">
        <v>24765</v>
      </c>
      <c r="AA1558">
        <v>0.4077076913184296</v>
      </c>
      <c r="AB1558" t="str">
        <f>HYPERLINK("Melting_Curves/meltCurve_O75937_DNAJC8.pdf", "Melting_Curves/meltCurve_O75937_DNAJC8.pdf")</f>
        <v>Melting_Curves/meltCurve_O75937_DNAJC8.pdf</v>
      </c>
    </row>
    <row r="1559" spans="1:28" x14ac:dyDescent="0.25">
      <c r="A1559" t="s">
        <v>1563</v>
      </c>
      <c r="B1559">
        <v>0.99334974765950101</v>
      </c>
      <c r="C1559">
        <v>1.06962959339381</v>
      </c>
      <c r="D1559">
        <v>0.95182395019882704</v>
      </c>
      <c r="E1559">
        <v>0.80044478827186305</v>
      </c>
      <c r="F1559">
        <v>0.91211013550899001</v>
      </c>
      <c r="G1559">
        <v>0.99537797965695995</v>
      </c>
      <c r="H1559">
        <v>0.88699301605821301</v>
      </c>
      <c r="I1559">
        <v>1.17878395045135</v>
      </c>
      <c r="J1559">
        <v>0.91143734972411905</v>
      </c>
      <c r="K1559">
        <v>1.0152096946517</v>
      </c>
      <c r="L1559">
        <v>11160.273658126</v>
      </c>
      <c r="M1559">
        <v>250</v>
      </c>
      <c r="O1559">
        <v>44.638247026096899</v>
      </c>
      <c r="P1559">
        <v>-6.0878125587876898E-2</v>
      </c>
      <c r="Q1559">
        <v>0.95652012397766195</v>
      </c>
      <c r="R1559">
        <v>7.0452321736489104E-2</v>
      </c>
      <c r="S1559" t="s">
        <v>7420</v>
      </c>
      <c r="T1559" t="s">
        <v>11720</v>
      </c>
      <c r="U1559" t="s">
        <v>11720</v>
      </c>
      <c r="V1559" t="s">
        <v>11720</v>
      </c>
      <c r="W1559" t="s">
        <v>13246</v>
      </c>
      <c r="X1559">
        <v>5</v>
      </c>
      <c r="Y1559" t="s">
        <v>19029</v>
      </c>
      <c r="Z1559" t="s">
        <v>24766</v>
      </c>
      <c r="AA1559">
        <v>0.96325000435791208</v>
      </c>
      <c r="AB1559" t="str">
        <f>HYPERLINK("Melting_Curves/meltCurve_O75940_SMNDC1.pdf", "Melting_Curves/meltCurve_O75940_SMNDC1.pdf")</f>
        <v>Melting_Curves/meltCurve_O75940_SMNDC1.pdf</v>
      </c>
    </row>
    <row r="1560" spans="1:28" x14ac:dyDescent="0.25">
      <c r="A1560" t="s">
        <v>1564</v>
      </c>
      <c r="B1560">
        <v>0.99334974765950101</v>
      </c>
      <c r="C1560">
        <v>0.94719349211119896</v>
      </c>
      <c r="D1560">
        <v>0.85861869429175897</v>
      </c>
      <c r="E1560">
        <v>1.04159074213878</v>
      </c>
      <c r="F1560">
        <v>0.98181705263450103</v>
      </c>
      <c r="G1560">
        <v>1.3133261004589101</v>
      </c>
      <c r="H1560">
        <v>1.3016480206285199</v>
      </c>
      <c r="I1560">
        <v>1.55021249688941</v>
      </c>
      <c r="J1560">
        <v>1.23401758084448</v>
      </c>
      <c r="K1560">
        <v>0.99525233265670399</v>
      </c>
      <c r="L1560">
        <v>13716.284514187601</v>
      </c>
      <c r="M1560">
        <v>250</v>
      </c>
      <c r="O1560">
        <v>54.861627092904797</v>
      </c>
      <c r="P1560">
        <v>0.317725436688782</v>
      </c>
      <c r="Q1560">
        <v>1.27889495027308</v>
      </c>
      <c r="R1560">
        <v>0.568620290006148</v>
      </c>
      <c r="S1560" t="s">
        <v>7421</v>
      </c>
      <c r="T1560" t="s">
        <v>11720</v>
      </c>
      <c r="U1560" t="s">
        <v>11720</v>
      </c>
      <c r="V1560" t="s">
        <v>11720</v>
      </c>
      <c r="W1560" t="s">
        <v>13247</v>
      </c>
      <c r="X1560">
        <v>14</v>
      </c>
      <c r="Y1560" t="s">
        <v>19030</v>
      </c>
      <c r="Z1560" t="s">
        <v>24767</v>
      </c>
      <c r="AA1560">
        <v>1.1406743648811299</v>
      </c>
      <c r="AB1560" t="str">
        <f>HYPERLINK("Melting_Curves/meltCurve_O75947_ATP5H.pdf", "Melting_Curves/meltCurve_O75947_ATP5H.pdf")</f>
        <v>Melting_Curves/meltCurve_O75947_ATP5H.pdf</v>
      </c>
    </row>
    <row r="1561" spans="1:28" x14ac:dyDescent="0.25">
      <c r="A1561" t="s">
        <v>1565</v>
      </c>
      <c r="B1561">
        <v>0.99334974765950101</v>
      </c>
      <c r="C1561">
        <v>0.78462080559588798</v>
      </c>
      <c r="D1561">
        <v>0.72488959821167698</v>
      </c>
      <c r="E1561">
        <v>0.68807730590773197</v>
      </c>
      <c r="F1561">
        <v>0.79026078314054804</v>
      </c>
      <c r="G1561">
        <v>0.452980975713698</v>
      </c>
      <c r="H1561">
        <v>0.215622973479593</v>
      </c>
      <c r="I1561">
        <v>0.188768101302595</v>
      </c>
      <c r="J1561">
        <v>0.17545279096393299</v>
      </c>
      <c r="K1561">
        <v>0.152936793655298</v>
      </c>
      <c r="L1561">
        <v>449.68002788036102</v>
      </c>
      <c r="M1561">
        <v>8.16769662957965</v>
      </c>
      <c r="N1561">
        <v>55.055916997812098</v>
      </c>
      <c r="O1561">
        <v>52.050842506943098</v>
      </c>
      <c r="P1561">
        <v>-3.9270479682614601E-2</v>
      </c>
      <c r="Q1561">
        <v>0</v>
      </c>
      <c r="R1561">
        <v>0.90379727770468798</v>
      </c>
      <c r="S1561" t="s">
        <v>7422</v>
      </c>
      <c r="T1561" t="s">
        <v>11720</v>
      </c>
      <c r="U1561" t="s">
        <v>11720</v>
      </c>
      <c r="V1561" t="s">
        <v>11720</v>
      </c>
      <c r="W1561" t="s">
        <v>13248</v>
      </c>
      <c r="X1561">
        <v>19</v>
      </c>
      <c r="Y1561" t="s">
        <v>19031</v>
      </c>
      <c r="Z1561" t="s">
        <v>24768</v>
      </c>
      <c r="AA1561">
        <v>0.52860274162734411</v>
      </c>
      <c r="AB1561" t="str">
        <f>HYPERLINK("Melting_Curves/meltCurve_O75955_FLOT1.pdf", "Melting_Curves/meltCurve_O75955_FLOT1.pdf")</f>
        <v>Melting_Curves/meltCurve_O75955_FLOT1.pdf</v>
      </c>
    </row>
    <row r="1562" spans="1:28" x14ac:dyDescent="0.25">
      <c r="A1562" t="s">
        <v>1566</v>
      </c>
      <c r="B1562">
        <v>0.99334974765950101</v>
      </c>
      <c r="C1562">
        <v>0.88734450079325</v>
      </c>
      <c r="D1562">
        <v>0.79470986035715396</v>
      </c>
      <c r="E1562">
        <v>0.56094182371424195</v>
      </c>
      <c r="F1562">
        <v>0.29895553376717499</v>
      </c>
      <c r="G1562">
        <v>0.191186051000311</v>
      </c>
      <c r="H1562">
        <v>0.18649676047274399</v>
      </c>
      <c r="I1562">
        <v>0.131591966164576</v>
      </c>
      <c r="J1562">
        <v>0.158685732786569</v>
      </c>
      <c r="K1562">
        <v>0.117063401806084</v>
      </c>
      <c r="L1562">
        <v>801.50962448532903</v>
      </c>
      <c r="M1562">
        <v>16.2361674555146</v>
      </c>
      <c r="N1562">
        <v>50.230454081956402</v>
      </c>
      <c r="O1562">
        <v>48.635038414627303</v>
      </c>
      <c r="P1562">
        <v>-7.3288732754486496E-2</v>
      </c>
      <c r="Q1562">
        <v>0.121926700276552</v>
      </c>
      <c r="R1562">
        <v>0.992882710163843</v>
      </c>
      <c r="S1562" t="s">
        <v>7423</v>
      </c>
      <c r="T1562" t="s">
        <v>11720</v>
      </c>
      <c r="U1562" t="s">
        <v>11720</v>
      </c>
      <c r="V1562" t="s">
        <v>11720</v>
      </c>
      <c r="W1562" t="s">
        <v>13249</v>
      </c>
      <c r="X1562">
        <v>13</v>
      </c>
      <c r="Y1562" t="s">
        <v>19032</v>
      </c>
      <c r="Z1562" t="s">
        <v>24769</v>
      </c>
      <c r="AA1562">
        <v>0.41449381463834772</v>
      </c>
      <c r="AB1562" t="str">
        <f>HYPERLINK("Melting_Curves/meltCurve_O75962_4_TRIO.pdf", "Melting_Curves/meltCurve_O75962_4_TRIO.pdf")</f>
        <v>Melting_Curves/meltCurve_O75962_4_TRIO.pdf</v>
      </c>
    </row>
    <row r="1563" spans="1:28" x14ac:dyDescent="0.25">
      <c r="A1563" t="s">
        <v>1567</v>
      </c>
      <c r="B1563">
        <v>0.99334974765950101</v>
      </c>
      <c r="C1563">
        <v>0.972782031872785</v>
      </c>
      <c r="D1563">
        <v>0.87084542984317603</v>
      </c>
      <c r="E1563">
        <v>0.93040567299436905</v>
      </c>
      <c r="F1563">
        <v>0.69461594012605599</v>
      </c>
      <c r="G1563">
        <v>0.76195183550424705</v>
      </c>
      <c r="H1563">
        <v>0.60996525366405696</v>
      </c>
      <c r="I1563">
        <v>0.49876168072125998</v>
      </c>
      <c r="J1563">
        <v>0.15052625199057901</v>
      </c>
      <c r="K1563">
        <v>8.2210525670672704E-2</v>
      </c>
      <c r="L1563">
        <v>712.222520766618</v>
      </c>
      <c r="M1563">
        <v>11.616699654629199</v>
      </c>
      <c r="N1563">
        <v>61.310229443252403</v>
      </c>
      <c r="O1563">
        <v>59.577887315785802</v>
      </c>
      <c r="P1563">
        <v>-4.8759176819765902E-2</v>
      </c>
      <c r="Q1563">
        <v>0</v>
      </c>
      <c r="R1563">
        <v>0.9035773131889</v>
      </c>
      <c r="S1563" t="s">
        <v>7424</v>
      </c>
      <c r="T1563" t="s">
        <v>11720</v>
      </c>
      <c r="U1563" t="s">
        <v>11720</v>
      </c>
      <c r="V1563" t="s">
        <v>11720</v>
      </c>
      <c r="W1563" t="s">
        <v>13250</v>
      </c>
      <c r="X1563">
        <v>6</v>
      </c>
      <c r="Y1563" t="s">
        <v>19033</v>
      </c>
      <c r="Z1563" t="s">
        <v>24770</v>
      </c>
      <c r="AA1563">
        <v>0.70280137771985707</v>
      </c>
      <c r="AB1563" t="str">
        <f>HYPERLINK("Melting_Curves/meltCurve_O75964_ATP5L.pdf", "Melting_Curves/meltCurve_O75964_ATP5L.pdf")</f>
        <v>Melting_Curves/meltCurve_O75964_ATP5L.pdf</v>
      </c>
    </row>
    <row r="1564" spans="1:28" x14ac:dyDescent="0.25">
      <c r="A1564" t="s">
        <v>1568</v>
      </c>
      <c r="B1564">
        <v>0.99334974765950101</v>
      </c>
      <c r="C1564">
        <v>0.91267481694138297</v>
      </c>
      <c r="D1564">
        <v>0.85270044678438095</v>
      </c>
      <c r="E1564">
        <v>0.76415681152852399</v>
      </c>
      <c r="F1564">
        <v>0.44721298580973201</v>
      </c>
      <c r="G1564">
        <v>0.31073174682167298</v>
      </c>
      <c r="H1564">
        <v>0.228086773546574</v>
      </c>
      <c r="I1564">
        <v>0.256248147041368</v>
      </c>
      <c r="J1564">
        <v>0.19619382749668801</v>
      </c>
      <c r="K1564">
        <v>0.14733544075037999</v>
      </c>
      <c r="L1564">
        <v>779.20810265160901</v>
      </c>
      <c r="M1564">
        <v>15.0948641005249</v>
      </c>
      <c r="N1564">
        <v>52.999289265349901</v>
      </c>
      <c r="O1564">
        <v>50.740206200319001</v>
      </c>
      <c r="P1564">
        <v>-6.2304215827678297E-2</v>
      </c>
      <c r="Q1564">
        <v>0.16235980093072599</v>
      </c>
      <c r="R1564">
        <v>0.98282521833152003</v>
      </c>
      <c r="S1564" t="s">
        <v>7425</v>
      </c>
      <c r="T1564" t="s">
        <v>11720</v>
      </c>
      <c r="U1564" t="s">
        <v>11720</v>
      </c>
      <c r="V1564" t="s">
        <v>11720</v>
      </c>
      <c r="W1564" t="s">
        <v>13251</v>
      </c>
      <c r="X1564">
        <v>27</v>
      </c>
      <c r="Y1564" t="s">
        <v>19034</v>
      </c>
      <c r="Z1564" t="s">
        <v>24771</v>
      </c>
      <c r="AA1564">
        <v>0.50560829779319372</v>
      </c>
      <c r="AB1564" t="str">
        <f>HYPERLINK("Melting_Curves/meltCurve_O75976_CPD.pdf", "Melting_Curves/meltCurve_O75976_CPD.pdf")</f>
        <v>Melting_Curves/meltCurve_O75976_CPD.pdf</v>
      </c>
    </row>
    <row r="1565" spans="1:28" x14ac:dyDescent="0.25">
      <c r="A1565" t="s">
        <v>1569</v>
      </c>
      <c r="B1565">
        <v>0.99334974765950101</v>
      </c>
      <c r="C1565">
        <v>0.96548356429116899</v>
      </c>
      <c r="D1565">
        <v>0.85906927379640197</v>
      </c>
      <c r="E1565">
        <v>0.56238738767428598</v>
      </c>
      <c r="F1565">
        <v>0.217823077385179</v>
      </c>
      <c r="G1565">
        <v>0.150495309121599</v>
      </c>
      <c r="H1565">
        <v>0.11984741090698001</v>
      </c>
      <c r="I1565">
        <v>0.110635598699865</v>
      </c>
      <c r="J1565">
        <v>8.9244804428304306E-2</v>
      </c>
      <c r="K1565">
        <v>7.7461610831587896E-2</v>
      </c>
      <c r="L1565">
        <v>1172.9947017768</v>
      </c>
      <c r="M1565">
        <v>23.564702913749599</v>
      </c>
      <c r="N1565">
        <v>50.211998814344597</v>
      </c>
      <c r="O1565">
        <v>49.423294469466498</v>
      </c>
      <c r="P1565">
        <v>-0.108208919547887</v>
      </c>
      <c r="Q1565">
        <v>9.2210016613344797E-2</v>
      </c>
      <c r="R1565">
        <v>0.99569731697033204</v>
      </c>
      <c r="S1565" t="s">
        <v>7426</v>
      </c>
      <c r="T1565" t="s">
        <v>11720</v>
      </c>
      <c r="U1565" t="s">
        <v>11720</v>
      </c>
      <c r="V1565" t="s">
        <v>11720</v>
      </c>
      <c r="W1565" t="s">
        <v>13252</v>
      </c>
      <c r="X1565">
        <v>16</v>
      </c>
      <c r="Y1565" t="s">
        <v>19035</v>
      </c>
      <c r="Z1565" t="s">
        <v>24772</v>
      </c>
      <c r="AA1565">
        <v>0.397198739254783</v>
      </c>
      <c r="AB1565" t="str">
        <f>HYPERLINK("Melting_Curves/meltCurve_O76003_GLRX3.pdf", "Melting_Curves/meltCurve_O76003_GLRX3.pdf")</f>
        <v>Melting_Curves/meltCurve_O76003_GLRX3.pdf</v>
      </c>
    </row>
    <row r="1566" spans="1:28" x14ac:dyDescent="0.25">
      <c r="A1566" t="s">
        <v>1570</v>
      </c>
      <c r="B1566">
        <v>0.99334974765950101</v>
      </c>
      <c r="C1566">
        <v>1.02884723212244</v>
      </c>
      <c r="D1566">
        <v>0.85735189299333003</v>
      </c>
      <c r="E1566">
        <v>0.93504715355912504</v>
      </c>
      <c r="F1566">
        <v>0.640907066537037</v>
      </c>
      <c r="G1566">
        <v>0.43619210461880298</v>
      </c>
      <c r="H1566">
        <v>0.39225417421243097</v>
      </c>
      <c r="I1566">
        <v>0.36670407058850502</v>
      </c>
      <c r="J1566">
        <v>0.394635780155768</v>
      </c>
      <c r="K1566">
        <v>0.30082069386626997</v>
      </c>
      <c r="L1566">
        <v>1441.8860475711299</v>
      </c>
      <c r="M1566">
        <v>27.295271965310501</v>
      </c>
      <c r="N1566">
        <v>55.3582194390738</v>
      </c>
      <c r="O1566">
        <v>52.544385475709099</v>
      </c>
      <c r="P1566">
        <v>-8.3560746639908007E-2</v>
      </c>
      <c r="Q1566">
        <v>0.35657627721205398</v>
      </c>
      <c r="R1566">
        <v>0.96585691060108803</v>
      </c>
      <c r="S1566" t="s">
        <v>7427</v>
      </c>
      <c r="T1566" t="s">
        <v>11720</v>
      </c>
      <c r="U1566" t="s">
        <v>11720</v>
      </c>
      <c r="V1566" t="s">
        <v>11720</v>
      </c>
      <c r="W1566" t="s">
        <v>13253</v>
      </c>
      <c r="X1566">
        <v>9</v>
      </c>
      <c r="Y1566" t="s">
        <v>19036</v>
      </c>
      <c r="Z1566" t="s">
        <v>24773</v>
      </c>
      <c r="AA1566">
        <v>0.63665358923872095</v>
      </c>
      <c r="AB1566" t="str">
        <f>HYPERLINK("Melting_Curves/meltCurve_O76024_WFS1.pdf", "Melting_Curves/meltCurve_O76024_WFS1.pdf")</f>
        <v>Melting_Curves/meltCurve_O76024_WFS1.pdf</v>
      </c>
    </row>
    <row r="1567" spans="1:28" x14ac:dyDescent="0.25">
      <c r="A1567" t="s">
        <v>1571</v>
      </c>
      <c r="B1567">
        <v>0.99334974765950101</v>
      </c>
      <c r="C1567">
        <v>0.91748518686554603</v>
      </c>
      <c r="D1567">
        <v>0.85065977125567305</v>
      </c>
      <c r="E1567">
        <v>0.63573856445717702</v>
      </c>
      <c r="F1567">
        <v>0.44072367994899198</v>
      </c>
      <c r="G1567">
        <v>0.35468533302304101</v>
      </c>
      <c r="H1567">
        <v>0.27827116409351299</v>
      </c>
      <c r="I1567">
        <v>0.217065225258743</v>
      </c>
      <c r="J1567">
        <v>0.143073645045382</v>
      </c>
      <c r="K1567">
        <v>0.107700030893496</v>
      </c>
      <c r="L1567">
        <v>582.51481205842299</v>
      </c>
      <c r="M1567">
        <v>11.2368501724039</v>
      </c>
      <c r="N1567">
        <v>52.8295890315514</v>
      </c>
      <c r="O1567">
        <v>50.279216041490599</v>
      </c>
      <c r="P1567">
        <v>-5.0583928660458702E-2</v>
      </c>
      <c r="Q1567">
        <v>9.4931397465356504E-2</v>
      </c>
      <c r="R1567">
        <v>0.99169973540078105</v>
      </c>
      <c r="S1567" t="s">
        <v>7428</v>
      </c>
      <c r="T1567" t="s">
        <v>11720</v>
      </c>
      <c r="U1567" t="s">
        <v>11720</v>
      </c>
      <c r="V1567" t="s">
        <v>11720</v>
      </c>
      <c r="W1567" t="s">
        <v>13254</v>
      </c>
      <c r="X1567">
        <v>10</v>
      </c>
      <c r="Y1567" t="s">
        <v>19037</v>
      </c>
      <c r="Z1567" t="s">
        <v>24774</v>
      </c>
      <c r="AA1567">
        <v>0.48255801418729338</v>
      </c>
      <c r="AB1567" t="str">
        <f>HYPERLINK("Melting_Curves/meltCurve_O76031_CLPX.pdf", "Melting_Curves/meltCurve_O76031_CLPX.pdf")</f>
        <v>Melting_Curves/meltCurve_O76031_CLPX.pdf</v>
      </c>
    </row>
    <row r="1568" spans="1:28" x14ac:dyDescent="0.25">
      <c r="A1568" t="s">
        <v>1572</v>
      </c>
      <c r="B1568">
        <v>0.99334974765950101</v>
      </c>
      <c r="C1568">
        <v>1.01483728558705</v>
      </c>
      <c r="D1568">
        <v>0.927433625691922</v>
      </c>
      <c r="E1568">
        <v>0.63142887770788103</v>
      </c>
      <c r="F1568">
        <v>0.39735910598924401</v>
      </c>
      <c r="G1568">
        <v>0.264502957989593</v>
      </c>
      <c r="H1568">
        <v>0.17716730908998499</v>
      </c>
      <c r="I1568">
        <v>0.145857996756111</v>
      </c>
      <c r="J1568">
        <v>0.144416796582921</v>
      </c>
      <c r="K1568">
        <v>0.132607754604747</v>
      </c>
      <c r="L1568">
        <v>1030.08781063622</v>
      </c>
      <c r="M1568">
        <v>20.247341418133999</v>
      </c>
      <c r="N1568">
        <v>51.731630565555797</v>
      </c>
      <c r="O1568">
        <v>50.386742135670602</v>
      </c>
      <c r="P1568">
        <v>-8.6157074374471607E-2</v>
      </c>
      <c r="Q1568">
        <v>0.142398138282646</v>
      </c>
      <c r="R1568">
        <v>0.99737770623048105</v>
      </c>
      <c r="S1568" t="s">
        <v>7429</v>
      </c>
      <c r="T1568" t="s">
        <v>11720</v>
      </c>
      <c r="U1568" t="s">
        <v>11720</v>
      </c>
      <c r="V1568" t="s">
        <v>11720</v>
      </c>
      <c r="W1568" t="s">
        <v>13255</v>
      </c>
      <c r="X1568">
        <v>15</v>
      </c>
      <c r="Y1568" t="s">
        <v>19038</v>
      </c>
      <c r="Z1568" t="s">
        <v>24775</v>
      </c>
      <c r="AA1568">
        <v>0.46492065914137082</v>
      </c>
      <c r="AB1568" t="str">
        <f>HYPERLINK("Melting_Curves/meltCurve_O76054_SEC14L2.pdf", "Melting_Curves/meltCurve_O76054_SEC14L2.pdf")</f>
        <v>Melting_Curves/meltCurve_O76054_SEC14L2.pdf</v>
      </c>
    </row>
    <row r="1569" spans="1:28" x14ac:dyDescent="0.25">
      <c r="A1569" t="s">
        <v>1573</v>
      </c>
      <c r="B1569">
        <v>0.99334974765950101</v>
      </c>
      <c r="C1569">
        <v>0.93409915705942603</v>
      </c>
      <c r="D1569">
        <v>0.79367474741504296</v>
      </c>
      <c r="E1569">
        <v>0.713148491615617</v>
      </c>
      <c r="F1569">
        <v>0.54417289380326395</v>
      </c>
      <c r="G1569">
        <v>0.42740750919567699</v>
      </c>
      <c r="H1569">
        <v>0.41429580236214902</v>
      </c>
      <c r="I1569">
        <v>0.49322160511722801</v>
      </c>
      <c r="J1569">
        <v>0.52980178160689095</v>
      </c>
      <c r="K1569">
        <v>0.38201310583617798</v>
      </c>
      <c r="L1569">
        <v>752.67979994923598</v>
      </c>
      <c r="M1569">
        <v>15.5031520853522</v>
      </c>
      <c r="N1569">
        <v>55.8222529936264</v>
      </c>
      <c r="O1569">
        <v>47.763835437821299</v>
      </c>
      <c r="P1569">
        <v>-4.5960560218814402E-2</v>
      </c>
      <c r="Q1569">
        <v>0.43364865033716998</v>
      </c>
      <c r="R1569">
        <v>0.94694577935201996</v>
      </c>
      <c r="S1569" t="s">
        <v>7430</v>
      </c>
      <c r="T1569" t="s">
        <v>11720</v>
      </c>
      <c r="U1569" t="s">
        <v>11720</v>
      </c>
      <c r="V1569" t="s">
        <v>11720</v>
      </c>
      <c r="W1569" t="s">
        <v>13256</v>
      </c>
      <c r="X1569">
        <v>6</v>
      </c>
      <c r="Y1569" t="s">
        <v>19039</v>
      </c>
      <c r="Z1569" t="s">
        <v>24776</v>
      </c>
      <c r="AA1569">
        <v>0.60840503717751304</v>
      </c>
      <c r="AB1569" t="str">
        <f>HYPERLINK("Melting_Curves/meltCurve_O76061_STC2.pdf", "Melting_Curves/meltCurve_O76061_STC2.pdf")</f>
        <v>Melting_Curves/meltCurve_O76061_STC2.pdf</v>
      </c>
    </row>
    <row r="1570" spans="1:28" x14ac:dyDescent="0.25">
      <c r="A1570" t="s">
        <v>1574</v>
      </c>
      <c r="B1570">
        <v>0.99334974765950101</v>
      </c>
      <c r="C1570">
        <v>0.99179128902688296</v>
      </c>
      <c r="D1570">
        <v>0.84527769976386102</v>
      </c>
      <c r="E1570">
        <v>0.78065837098703805</v>
      </c>
      <c r="F1570">
        <v>0.86193132340557799</v>
      </c>
      <c r="G1570">
        <v>0.62909941118687196</v>
      </c>
      <c r="H1570">
        <v>0.63495551127415395</v>
      </c>
      <c r="I1570">
        <v>0.78308206005422198</v>
      </c>
      <c r="J1570">
        <v>0.98668028855899403</v>
      </c>
      <c r="K1570">
        <v>0.86408035434427999</v>
      </c>
      <c r="L1570">
        <v>2746.9719469787601</v>
      </c>
      <c r="M1570">
        <v>60.777949928351298</v>
      </c>
      <c r="O1570">
        <v>45.147991205713801</v>
      </c>
      <c r="P1570">
        <v>-7.0193147179765505E-2</v>
      </c>
      <c r="Q1570">
        <v>0.79143233219855402</v>
      </c>
      <c r="R1570">
        <v>0.38749616582099899</v>
      </c>
      <c r="S1570" t="s">
        <v>7431</v>
      </c>
      <c r="T1570" t="s">
        <v>11720</v>
      </c>
      <c r="U1570" t="s">
        <v>11720</v>
      </c>
      <c r="V1570" t="s">
        <v>11720</v>
      </c>
      <c r="W1570" t="s">
        <v>13257</v>
      </c>
      <c r="X1570">
        <v>12</v>
      </c>
      <c r="Y1570" t="s">
        <v>19040</v>
      </c>
      <c r="Z1570" t="s">
        <v>24777</v>
      </c>
      <c r="AA1570">
        <v>0.8278445356021501</v>
      </c>
      <c r="AB1570" t="str">
        <f>HYPERLINK("Melting_Curves/meltCurve_O76070_SNCG.pdf", "Melting_Curves/meltCurve_O76070_SNCG.pdf")</f>
        <v>Melting_Curves/meltCurve_O76070_SNCG.pdf</v>
      </c>
    </row>
    <row r="1571" spans="1:28" x14ac:dyDescent="0.25">
      <c r="A1571" t="s">
        <v>1575</v>
      </c>
      <c r="B1571">
        <v>0.99334974765950101</v>
      </c>
      <c r="C1571">
        <v>1.0235132303829599</v>
      </c>
      <c r="D1571">
        <v>0.99428890912711998</v>
      </c>
      <c r="E1571">
        <v>0.79987435608610702</v>
      </c>
      <c r="F1571">
        <v>0.482095416171754</v>
      </c>
      <c r="G1571">
        <v>0.27311040232828299</v>
      </c>
      <c r="H1571">
        <v>0.19437961815361701</v>
      </c>
      <c r="I1571">
        <v>0.128648613826469</v>
      </c>
      <c r="J1571">
        <v>0.11703165320558</v>
      </c>
      <c r="K1571">
        <v>9.0812756619858395E-2</v>
      </c>
      <c r="L1571">
        <v>1178.5323423422501</v>
      </c>
      <c r="M1571">
        <v>22.4345811272144</v>
      </c>
      <c r="N1571">
        <v>53.173118370710199</v>
      </c>
      <c r="O1571">
        <v>52.119897619261899</v>
      </c>
      <c r="P1571">
        <v>-9.4859999516485799E-2</v>
      </c>
      <c r="Q1571">
        <v>0.118505089418936</v>
      </c>
      <c r="R1571">
        <v>0.99569441399521497</v>
      </c>
      <c r="S1571" t="s">
        <v>7432</v>
      </c>
      <c r="T1571" t="s">
        <v>11720</v>
      </c>
      <c r="U1571" t="s">
        <v>11720</v>
      </c>
      <c r="V1571" t="s">
        <v>11720</v>
      </c>
      <c r="W1571" t="s">
        <v>13258</v>
      </c>
      <c r="X1571">
        <v>7</v>
      </c>
      <c r="Y1571" t="s">
        <v>19041</v>
      </c>
      <c r="Z1571" t="s">
        <v>24778</v>
      </c>
      <c r="AA1571">
        <v>0.49663429760559608</v>
      </c>
      <c r="AB1571" t="str">
        <f>HYPERLINK("Melting_Curves/meltCurve_O76071_CIAO1.pdf", "Melting_Curves/meltCurve_O76071_CIAO1.pdf")</f>
        <v>Melting_Curves/meltCurve_O76071_CIAO1.pdf</v>
      </c>
    </row>
    <row r="1572" spans="1:28" x14ac:dyDescent="0.25">
      <c r="A1572" t="s">
        <v>1576</v>
      </c>
      <c r="B1572">
        <v>0.99334974765950101</v>
      </c>
      <c r="C1572">
        <v>1.02377650365216</v>
      </c>
      <c r="D1572">
        <v>1.1503286369241801</v>
      </c>
      <c r="E1572">
        <v>1.2842241429016701</v>
      </c>
      <c r="F1572">
        <v>1.22669987991467</v>
      </c>
      <c r="G1572">
        <v>1.0744118640471201</v>
      </c>
      <c r="H1572">
        <v>0.458429991850894</v>
      </c>
      <c r="I1572">
        <v>0.20475264138670099</v>
      </c>
      <c r="J1572">
        <v>0.194122745420471</v>
      </c>
      <c r="K1572">
        <v>0.15718698205978701</v>
      </c>
      <c r="L1572">
        <v>8217.7964018530201</v>
      </c>
      <c r="M1572">
        <v>135.40096019713701</v>
      </c>
      <c r="N1572">
        <v>60.900224710624599</v>
      </c>
      <c r="O1572">
        <v>60.679074802482504</v>
      </c>
      <c r="P1572">
        <v>-0.45461175280902</v>
      </c>
      <c r="Q1572">
        <v>0.18507469831888701</v>
      </c>
      <c r="R1572">
        <v>0.91675248004806598</v>
      </c>
      <c r="S1572" t="s">
        <v>7433</v>
      </c>
      <c r="T1572" t="s">
        <v>11720</v>
      </c>
      <c r="U1572" t="s">
        <v>11720</v>
      </c>
      <c r="V1572" t="s">
        <v>11720</v>
      </c>
      <c r="W1572" t="s">
        <v>13259</v>
      </c>
      <c r="X1572">
        <v>44</v>
      </c>
      <c r="Y1572" t="s">
        <v>19042</v>
      </c>
      <c r="Z1572" t="s">
        <v>24779</v>
      </c>
      <c r="AA1572">
        <v>0.74746020256043155</v>
      </c>
      <c r="AB1572" t="str">
        <f>HYPERLINK("Melting_Curves/meltCurve_O76074_PDE5A.pdf", "Melting_Curves/meltCurve_O76074_PDE5A.pdf")</f>
        <v>Melting_Curves/meltCurve_O76074_PDE5A.pdf</v>
      </c>
    </row>
    <row r="1573" spans="1:28" x14ac:dyDescent="0.25">
      <c r="A1573" t="s">
        <v>1577</v>
      </c>
      <c r="B1573">
        <v>0.99334974765950101</v>
      </c>
      <c r="C1573">
        <v>1.0811476985019799</v>
      </c>
      <c r="D1573">
        <v>1.0190338694975301</v>
      </c>
      <c r="E1573">
        <v>0.94521549942501404</v>
      </c>
      <c r="F1573">
        <v>0.60559100625935802</v>
      </c>
      <c r="G1573">
        <v>0.33342161760835898</v>
      </c>
      <c r="H1573">
        <v>0.194447530148429</v>
      </c>
      <c r="I1573">
        <v>0.18852282533276299</v>
      </c>
      <c r="J1573">
        <v>0.17561245802500899</v>
      </c>
      <c r="K1573">
        <v>0.18965724965856201</v>
      </c>
      <c r="L1573">
        <v>1600.6920343460199</v>
      </c>
      <c r="M1573">
        <v>29.971363350829701</v>
      </c>
      <c r="N1573">
        <v>54.251917185179401</v>
      </c>
      <c r="O1573">
        <v>53.171311988456502</v>
      </c>
      <c r="P1573">
        <v>-0.114649132547772</v>
      </c>
      <c r="Q1573">
        <v>0.186422745534992</v>
      </c>
      <c r="R1573">
        <v>0.99162947970797999</v>
      </c>
      <c r="S1573" t="s">
        <v>7434</v>
      </c>
      <c r="T1573" t="s">
        <v>11720</v>
      </c>
      <c r="U1573" t="s">
        <v>11720</v>
      </c>
      <c r="V1573" t="s">
        <v>11720</v>
      </c>
      <c r="W1573" t="s">
        <v>12391</v>
      </c>
      <c r="X1573">
        <v>1</v>
      </c>
      <c r="Y1573" t="s">
        <v>19043</v>
      </c>
      <c r="Z1573" t="s">
        <v>24780</v>
      </c>
      <c r="AA1573">
        <v>0.55533591551674144</v>
      </c>
      <c r="AB1573" t="str">
        <f>HYPERLINK("Melting_Curves/meltCurve_O76075_DFFB.pdf", "Melting_Curves/meltCurve_O76075_DFFB.pdf")</f>
        <v>Melting_Curves/meltCurve_O76075_DFFB.pdf</v>
      </c>
    </row>
    <row r="1574" spans="1:28" x14ac:dyDescent="0.25">
      <c r="A1574" t="s">
        <v>1578</v>
      </c>
      <c r="B1574">
        <v>0.99334974765950101</v>
      </c>
      <c r="C1574">
        <v>1.0876019365596901</v>
      </c>
      <c r="D1574">
        <v>0.83447302093787401</v>
      </c>
      <c r="E1574">
        <v>1.03506693675482</v>
      </c>
      <c r="F1574">
        <v>1.2653524645390399</v>
      </c>
      <c r="G1574">
        <v>1.01323832889051</v>
      </c>
      <c r="H1574">
        <v>1.26257238064751</v>
      </c>
      <c r="I1574">
        <v>1.11366782985554</v>
      </c>
      <c r="J1574">
        <v>1.7307459512213601</v>
      </c>
      <c r="K1574">
        <v>1.2296290295500301</v>
      </c>
      <c r="L1574">
        <v>735.34409065091995</v>
      </c>
      <c r="M1574">
        <v>11.963244801798</v>
      </c>
      <c r="O1574">
        <v>59.824984545300502</v>
      </c>
      <c r="P1574">
        <v>2.5002438076506501E-2</v>
      </c>
      <c r="Q1574">
        <v>1.5</v>
      </c>
      <c r="R1574">
        <v>0.43834283736833701</v>
      </c>
      <c r="S1574" t="s">
        <v>7435</v>
      </c>
      <c r="T1574" t="s">
        <v>11720</v>
      </c>
      <c r="U1574" t="s">
        <v>11720</v>
      </c>
      <c r="V1574" t="s">
        <v>11720</v>
      </c>
      <c r="W1574" t="s">
        <v>13260</v>
      </c>
      <c r="X1574">
        <v>6</v>
      </c>
      <c r="Y1574" t="s">
        <v>19044</v>
      </c>
      <c r="Z1574" t="s">
        <v>24781</v>
      </c>
      <c r="AA1574">
        <v>1.1459406574549269</v>
      </c>
      <c r="AB1574" t="str">
        <f>HYPERLINK("Melting_Curves/meltCurve_O76080_ZFAND5.pdf", "Melting_Curves/meltCurve_O76080_ZFAND5.pdf")</f>
        <v>Melting_Curves/meltCurve_O76080_ZFAND5.pdf</v>
      </c>
    </row>
    <row r="1575" spans="1:28" x14ac:dyDescent="0.25">
      <c r="A1575" t="s">
        <v>1579</v>
      </c>
      <c r="B1575">
        <v>0.99334974765950101</v>
      </c>
      <c r="C1575">
        <v>1.10060503719143</v>
      </c>
      <c r="D1575">
        <v>0.88447921928096995</v>
      </c>
      <c r="E1575">
        <v>0.50572769250010297</v>
      </c>
      <c r="F1575">
        <v>0.38682676710422498</v>
      </c>
      <c r="G1575">
        <v>0.255157108627868</v>
      </c>
      <c r="H1575">
        <v>0.19741171894522</v>
      </c>
      <c r="I1575">
        <v>0.24468934653475899</v>
      </c>
      <c r="J1575">
        <v>0.210207920024057</v>
      </c>
      <c r="K1575">
        <v>0.19567705364690799</v>
      </c>
      <c r="L1575">
        <v>1236.15954314736</v>
      </c>
      <c r="M1575">
        <v>25.069560253941798</v>
      </c>
      <c r="N1575">
        <v>50.465038182157102</v>
      </c>
      <c r="O1575">
        <v>48.998642235604997</v>
      </c>
      <c r="P1575">
        <v>-9.9972374840142694E-2</v>
      </c>
      <c r="Q1575">
        <v>0.21842338946888101</v>
      </c>
      <c r="R1575">
        <v>0.98251624869467202</v>
      </c>
      <c r="S1575" t="s">
        <v>7436</v>
      </c>
      <c r="T1575" t="s">
        <v>11720</v>
      </c>
      <c r="U1575" t="s">
        <v>11720</v>
      </c>
      <c r="V1575" t="s">
        <v>11720</v>
      </c>
      <c r="W1575" t="s">
        <v>13261</v>
      </c>
      <c r="X1575">
        <v>2</v>
      </c>
      <c r="Y1575" t="s">
        <v>19045</v>
      </c>
      <c r="Z1575" t="s">
        <v>24782</v>
      </c>
      <c r="AA1575">
        <v>0.4678534307125235</v>
      </c>
      <c r="AB1575" t="str">
        <f>HYPERLINK("Melting_Curves/meltCurve_O76094_SRP72.pdf", "Melting_Curves/meltCurve_O76094_SRP72.pdf")</f>
        <v>Melting_Curves/meltCurve_O76094_SRP72.pdf</v>
      </c>
    </row>
    <row r="1576" spans="1:28" x14ac:dyDescent="0.25">
      <c r="A1576" t="s">
        <v>1580</v>
      </c>
      <c r="B1576">
        <v>0.99334974765950101</v>
      </c>
      <c r="C1576">
        <v>0.94119184559337499</v>
      </c>
      <c r="D1576">
        <v>0.84579608998317701</v>
      </c>
      <c r="E1576">
        <v>1.0417545897777201</v>
      </c>
      <c r="F1576">
        <v>1.00930999522853</v>
      </c>
      <c r="G1576">
        <v>1.0409517445750001</v>
      </c>
      <c r="H1576">
        <v>1.09341144271379</v>
      </c>
      <c r="I1576">
        <v>1.1947519411295799</v>
      </c>
      <c r="J1576">
        <v>1.18034578599665</v>
      </c>
      <c r="K1576">
        <v>0.81552417759590001</v>
      </c>
      <c r="L1576">
        <v>14232.3691936952</v>
      </c>
      <c r="M1576">
        <v>250</v>
      </c>
      <c r="O1576">
        <v>56.925823999616199</v>
      </c>
      <c r="P1576">
        <v>7.7961460274478103E-2</v>
      </c>
      <c r="Q1576">
        <v>1.0710083378677699</v>
      </c>
      <c r="R1576">
        <v>0.137051817612897</v>
      </c>
      <c r="S1576" t="s">
        <v>7437</v>
      </c>
      <c r="T1576" t="s">
        <v>11720</v>
      </c>
      <c r="U1576" t="s">
        <v>11720</v>
      </c>
      <c r="V1576" t="s">
        <v>11720</v>
      </c>
      <c r="W1576" t="s">
        <v>13262</v>
      </c>
      <c r="X1576">
        <v>2</v>
      </c>
      <c r="Y1576" t="s">
        <v>19046</v>
      </c>
      <c r="Z1576" t="s">
        <v>24783</v>
      </c>
      <c r="AA1576">
        <v>1.030930109841911</v>
      </c>
      <c r="AB1576" t="str">
        <f>HYPERLINK("Melting_Curves/meltCurve_O76095_2_JTB.pdf", "Melting_Curves/meltCurve_O76095_2_JTB.pdf")</f>
        <v>Melting_Curves/meltCurve_O76095_2_JTB.pdf</v>
      </c>
    </row>
    <row r="1577" spans="1:28" x14ac:dyDescent="0.25">
      <c r="A1577" t="s">
        <v>1581</v>
      </c>
      <c r="B1577">
        <v>0.99334974765950101</v>
      </c>
      <c r="C1577">
        <v>0.98685175852742402</v>
      </c>
      <c r="D1577">
        <v>0.91345336038983305</v>
      </c>
      <c r="E1577">
        <v>0.83215208130358198</v>
      </c>
      <c r="F1577">
        <v>0.81904852362456804</v>
      </c>
      <c r="G1577">
        <v>0.51145606065898197</v>
      </c>
      <c r="H1577">
        <v>0.25956938209110197</v>
      </c>
      <c r="I1577">
        <v>0.12963669861714999</v>
      </c>
      <c r="J1577">
        <v>0.101174348897591</v>
      </c>
      <c r="K1577">
        <v>8.4653100132912301E-2</v>
      </c>
      <c r="L1577">
        <v>858.68510354547095</v>
      </c>
      <c r="M1577">
        <v>15.054361147151001</v>
      </c>
      <c r="N1577">
        <v>57.044510495462802</v>
      </c>
      <c r="O1577">
        <v>56.060889026966599</v>
      </c>
      <c r="P1577">
        <v>-6.7091523543130999E-2</v>
      </c>
      <c r="Q1577">
        <v>7.3186050798417597E-4</v>
      </c>
      <c r="R1577">
        <v>0.99031475159631599</v>
      </c>
      <c r="S1577" t="s">
        <v>7438</v>
      </c>
      <c r="T1577" t="s">
        <v>11720</v>
      </c>
      <c r="U1577" t="s">
        <v>11720</v>
      </c>
      <c r="V1577" t="s">
        <v>11720</v>
      </c>
      <c r="W1577" t="s">
        <v>13263</v>
      </c>
      <c r="X1577">
        <v>23</v>
      </c>
      <c r="Y1577" t="s">
        <v>19047</v>
      </c>
      <c r="Z1577" t="s">
        <v>24784</v>
      </c>
      <c r="AA1577">
        <v>0.58397409114240684</v>
      </c>
      <c r="AB1577" t="str">
        <f>HYPERLINK("Melting_Curves/meltCurve_O94760_DDAH1.pdf", "Melting_Curves/meltCurve_O94760_DDAH1.pdf")</f>
        <v>Melting_Curves/meltCurve_O94760_DDAH1.pdf</v>
      </c>
    </row>
    <row r="1578" spans="1:28" x14ac:dyDescent="0.25">
      <c r="A1578" t="s">
        <v>1582</v>
      </c>
      <c r="B1578">
        <v>0.99334974765950101</v>
      </c>
      <c r="C1578">
        <v>1.01986924856923</v>
      </c>
      <c r="D1578">
        <v>1.0950458437689501</v>
      </c>
      <c r="E1578">
        <v>1.10991401433984</v>
      </c>
      <c r="F1578">
        <v>1.7105221494006699</v>
      </c>
      <c r="G1578">
        <v>1.081704976301</v>
      </c>
      <c r="H1578">
        <v>0.67267405704282102</v>
      </c>
      <c r="I1578">
        <v>0.72833378784233505</v>
      </c>
      <c r="J1578">
        <v>0.75189669617236998</v>
      </c>
      <c r="K1578">
        <v>0.99453037454760795</v>
      </c>
      <c r="L1578">
        <v>3756.1079212989498</v>
      </c>
      <c r="M1578">
        <v>63.8591795904943</v>
      </c>
      <c r="O1578">
        <v>58.760995053446102</v>
      </c>
      <c r="P1578">
        <v>-5.7571874225092197E-2</v>
      </c>
      <c r="Q1578">
        <v>0.78809748500514198</v>
      </c>
      <c r="R1578">
        <v>0.218986601765669</v>
      </c>
      <c r="S1578" t="s">
        <v>7439</v>
      </c>
      <c r="T1578" t="s">
        <v>11720</v>
      </c>
      <c r="U1578" t="s">
        <v>11720</v>
      </c>
      <c r="V1578" t="s">
        <v>11720</v>
      </c>
      <c r="W1578" t="s">
        <v>13264</v>
      </c>
      <c r="X1578">
        <v>8</v>
      </c>
      <c r="Y1578" t="s">
        <v>19048</v>
      </c>
      <c r="Z1578" t="s">
        <v>24785</v>
      </c>
      <c r="AA1578">
        <v>0.92135710511414182</v>
      </c>
      <c r="AB1578" t="str">
        <f>HYPERLINK("Melting_Curves/meltCurve_O94763_URI1.pdf", "Melting_Curves/meltCurve_O94763_URI1.pdf")</f>
        <v>Melting_Curves/meltCurve_O94763_URI1.pdf</v>
      </c>
    </row>
    <row r="1579" spans="1:28" x14ac:dyDescent="0.25">
      <c r="A1579" t="s">
        <v>1583</v>
      </c>
      <c r="B1579">
        <v>0.99334974765950101</v>
      </c>
      <c r="C1579">
        <v>0.87939314350037601</v>
      </c>
      <c r="D1579">
        <v>0.81087740066630598</v>
      </c>
      <c r="E1579">
        <v>0.69354167127600796</v>
      </c>
      <c r="F1579">
        <v>0.13934475676738201</v>
      </c>
      <c r="G1579">
        <v>8.9690374228467901E-2</v>
      </c>
      <c r="H1579">
        <v>5.9225254797327501E-2</v>
      </c>
      <c r="I1579">
        <v>4.5029979623712801E-2</v>
      </c>
      <c r="J1579">
        <v>3.8822246272208698E-2</v>
      </c>
      <c r="K1579">
        <v>3.5460385142659701E-2</v>
      </c>
      <c r="L1579">
        <v>2247.5292489243898</v>
      </c>
      <c r="M1579">
        <v>44.313360174445101</v>
      </c>
      <c r="N1579">
        <v>50.834117215974402</v>
      </c>
      <c r="O1579">
        <v>50.616029219964098</v>
      </c>
      <c r="P1579">
        <v>-0.20842181895540901</v>
      </c>
      <c r="Q1579">
        <v>4.7738994516596502E-2</v>
      </c>
      <c r="R1579">
        <v>0.96691473714179399</v>
      </c>
      <c r="S1579" t="s">
        <v>7440</v>
      </c>
      <c r="T1579" t="s">
        <v>11720</v>
      </c>
      <c r="U1579" t="s">
        <v>11720</v>
      </c>
      <c r="V1579" t="s">
        <v>11720</v>
      </c>
      <c r="W1579" t="s">
        <v>13265</v>
      </c>
      <c r="X1579">
        <v>4</v>
      </c>
      <c r="Y1579" t="s">
        <v>19049</v>
      </c>
      <c r="Z1579" t="s">
        <v>24786</v>
      </c>
      <c r="AA1579">
        <v>0.39069808519723659</v>
      </c>
      <c r="AB1579" t="str">
        <f>HYPERLINK("Melting_Curves/meltCurve_O94766_B3GAT3.pdf", "Melting_Curves/meltCurve_O94766_B3GAT3.pdf")</f>
        <v>Melting_Curves/meltCurve_O94766_B3GAT3.pdf</v>
      </c>
    </row>
    <row r="1580" spans="1:28" x14ac:dyDescent="0.25">
      <c r="A1580" t="s">
        <v>1584</v>
      </c>
      <c r="B1580">
        <v>0.99334974765950101</v>
      </c>
      <c r="C1580">
        <v>0.96568250267922295</v>
      </c>
      <c r="D1580">
        <v>0.497504324666182</v>
      </c>
      <c r="E1580">
        <v>0.19825266204367201</v>
      </c>
      <c r="F1580">
        <v>0.16639658265190499</v>
      </c>
      <c r="G1580">
        <v>0.11560458478642401</v>
      </c>
      <c r="H1580">
        <v>0.111626212663543</v>
      </c>
      <c r="I1580">
        <v>9.4717567682170295E-2</v>
      </c>
      <c r="J1580">
        <v>8.9839699150814495E-2</v>
      </c>
      <c r="K1580">
        <v>6.6785289247011007E-2</v>
      </c>
      <c r="L1580">
        <v>1648.7230203102199</v>
      </c>
      <c r="M1580">
        <v>36.011623361116101</v>
      </c>
      <c r="N1580">
        <v>46.108011237659902</v>
      </c>
      <c r="O1580">
        <v>45.642586827798397</v>
      </c>
      <c r="P1580">
        <v>-0.175143681156499</v>
      </c>
      <c r="Q1580">
        <v>0.112066078233274</v>
      </c>
      <c r="R1580">
        <v>0.99235735093156796</v>
      </c>
      <c r="S1580" t="s">
        <v>7441</v>
      </c>
      <c r="T1580" t="s">
        <v>11720</v>
      </c>
      <c r="U1580" t="s">
        <v>11720</v>
      </c>
      <c r="V1580" t="s">
        <v>11720</v>
      </c>
      <c r="W1580" t="s">
        <v>13266</v>
      </c>
      <c r="X1580">
        <v>33</v>
      </c>
      <c r="Y1580" t="s">
        <v>19050</v>
      </c>
      <c r="Z1580" t="s">
        <v>24787</v>
      </c>
      <c r="AA1580">
        <v>0.28685717237896241</v>
      </c>
      <c r="AB1580" t="str">
        <f>HYPERLINK("Melting_Curves/meltCurve_O94804_STK10.pdf", "Melting_Curves/meltCurve_O94804_STK10.pdf")</f>
        <v>Melting_Curves/meltCurve_O94804_STK10.pdf</v>
      </c>
    </row>
    <row r="1581" spans="1:28" x14ac:dyDescent="0.25">
      <c r="A1581" t="s">
        <v>1585</v>
      </c>
      <c r="B1581">
        <v>0.99334974765950101</v>
      </c>
      <c r="C1581">
        <v>1.0311645980216799</v>
      </c>
      <c r="D1581">
        <v>0.89459452428359898</v>
      </c>
      <c r="E1581">
        <v>0.67243113523702702</v>
      </c>
      <c r="F1581">
        <v>0.42933932136906899</v>
      </c>
      <c r="G1581">
        <v>0.27374634044125301</v>
      </c>
      <c r="H1581">
        <v>0.22282949541368899</v>
      </c>
      <c r="I1581">
        <v>0.209877942579872</v>
      </c>
      <c r="J1581">
        <v>0.18494791191247301</v>
      </c>
      <c r="K1581">
        <v>0.143949164454173</v>
      </c>
      <c r="L1581">
        <v>996.22958116729001</v>
      </c>
      <c r="M1581">
        <v>19.540692903872898</v>
      </c>
      <c r="N1581">
        <v>52.133684425403899</v>
      </c>
      <c r="O1581">
        <v>50.457375315326701</v>
      </c>
      <c r="P1581">
        <v>-7.9853157912727901E-2</v>
      </c>
      <c r="Q1581">
        <v>0.17525197305968801</v>
      </c>
      <c r="R1581">
        <v>0.99565345210349598</v>
      </c>
      <c r="S1581" t="s">
        <v>7442</v>
      </c>
      <c r="T1581" t="s">
        <v>11720</v>
      </c>
      <c r="U1581" t="s">
        <v>11720</v>
      </c>
      <c r="V1581" t="s">
        <v>11720</v>
      </c>
      <c r="W1581" t="s">
        <v>13267</v>
      </c>
      <c r="X1581">
        <v>5</v>
      </c>
      <c r="Y1581" t="s">
        <v>19051</v>
      </c>
      <c r="Z1581" t="s">
        <v>24788</v>
      </c>
      <c r="AA1581">
        <v>0.48912981826329949</v>
      </c>
      <c r="AB1581" t="str">
        <f>HYPERLINK("Melting_Curves/meltCurve_O94819_KBTBD11.pdf", "Melting_Curves/meltCurve_O94819_KBTBD11.pdf")</f>
        <v>Melting_Curves/meltCurve_O94819_KBTBD11.pdf</v>
      </c>
    </row>
    <row r="1582" spans="1:28" x14ac:dyDescent="0.25">
      <c r="A1582" t="s">
        <v>1586</v>
      </c>
      <c r="B1582">
        <v>0.99334974765950101</v>
      </c>
      <c r="C1582">
        <v>0.87685099351061402</v>
      </c>
      <c r="D1582">
        <v>0.83484434385918305</v>
      </c>
      <c r="E1582">
        <v>0.71835368469224303</v>
      </c>
      <c r="F1582">
        <v>0.13923402910888899</v>
      </c>
      <c r="G1582">
        <v>0.102260814585784</v>
      </c>
      <c r="H1582">
        <v>7.5576327253182002E-2</v>
      </c>
      <c r="I1582">
        <v>7.0183662323231005E-2</v>
      </c>
      <c r="J1582">
        <v>7.0844599846730305E-2</v>
      </c>
      <c r="K1582">
        <v>5.9535976131048197E-2</v>
      </c>
      <c r="L1582">
        <v>2796.13926589421</v>
      </c>
      <c r="M1582">
        <v>55.129796496993301</v>
      </c>
      <c r="N1582">
        <v>50.865186968229303</v>
      </c>
      <c r="O1582">
        <v>50.652579841418799</v>
      </c>
      <c r="P1582">
        <v>-0.25218747572673</v>
      </c>
      <c r="Q1582">
        <v>7.3173210004466194E-2</v>
      </c>
      <c r="R1582">
        <v>0.97093044228944303</v>
      </c>
      <c r="S1582" t="s">
        <v>7443</v>
      </c>
      <c r="T1582" t="s">
        <v>11720</v>
      </c>
      <c r="U1582" t="s">
        <v>11720</v>
      </c>
      <c r="V1582" t="s">
        <v>11720</v>
      </c>
      <c r="W1582" t="s">
        <v>13268</v>
      </c>
      <c r="X1582">
        <v>20</v>
      </c>
      <c r="Y1582" t="s">
        <v>19052</v>
      </c>
      <c r="Z1582" t="s">
        <v>24789</v>
      </c>
      <c r="AA1582">
        <v>0.40603855153077728</v>
      </c>
      <c r="AB1582" t="str">
        <f>HYPERLINK("Melting_Curves/meltCurve_O94826_TOMM70A.pdf", "Melting_Curves/meltCurve_O94826_TOMM70A.pdf")</f>
        <v>Melting_Curves/meltCurve_O94826_TOMM70A.pdf</v>
      </c>
    </row>
    <row r="1583" spans="1:28" x14ac:dyDescent="0.25">
      <c r="A1583" t="s">
        <v>1587</v>
      </c>
      <c r="B1583">
        <v>0.99334974765950101</v>
      </c>
      <c r="C1583">
        <v>1.0810246832607999</v>
      </c>
      <c r="D1583">
        <v>0.94339715704289195</v>
      </c>
      <c r="E1583">
        <v>0.64527879555259704</v>
      </c>
      <c r="F1583">
        <v>0.27867820378607899</v>
      </c>
      <c r="G1583">
        <v>0.23489527942882901</v>
      </c>
      <c r="H1583">
        <v>0.16648249954143399</v>
      </c>
      <c r="I1583">
        <v>0.19614526624567699</v>
      </c>
      <c r="J1583">
        <v>0.140633325956697</v>
      </c>
      <c r="K1583">
        <v>0.116304830322959</v>
      </c>
      <c r="L1583">
        <v>1661.26757773031</v>
      </c>
      <c r="M1583">
        <v>32.969378152854802</v>
      </c>
      <c r="N1583">
        <v>51.000182498751101</v>
      </c>
      <c r="O1583">
        <v>50.203919097039801</v>
      </c>
      <c r="P1583">
        <v>-0.13735664911825601</v>
      </c>
      <c r="Q1583">
        <v>0.16336801294676101</v>
      </c>
      <c r="R1583">
        <v>0.98938774187503598</v>
      </c>
      <c r="S1583" t="s">
        <v>7444</v>
      </c>
      <c r="T1583" t="s">
        <v>11720</v>
      </c>
      <c r="U1583" t="s">
        <v>11720</v>
      </c>
      <c r="V1583" t="s">
        <v>11720</v>
      </c>
      <c r="W1583" t="s">
        <v>13269</v>
      </c>
      <c r="X1583">
        <v>7</v>
      </c>
      <c r="Y1583" t="s">
        <v>19053</v>
      </c>
      <c r="Z1583" t="s">
        <v>24790</v>
      </c>
      <c r="AA1583">
        <v>0.45737618023592691</v>
      </c>
      <c r="AB1583" t="str">
        <f>HYPERLINK("Melting_Curves/meltCurve_O94829_IPO13.pdf", "Melting_Curves/meltCurve_O94829_IPO13.pdf")</f>
        <v>Melting_Curves/meltCurve_O94829_IPO13.pdf</v>
      </c>
    </row>
    <row r="1584" spans="1:28" x14ac:dyDescent="0.25">
      <c r="A1584" t="s">
        <v>1588</v>
      </c>
      <c r="B1584">
        <v>0.99334974765950101</v>
      </c>
      <c r="C1584">
        <v>1.10511860965459</v>
      </c>
      <c r="D1584">
        <v>1.0639037203261199</v>
      </c>
      <c r="E1584">
        <v>1.17279838028378</v>
      </c>
      <c r="F1584">
        <v>0.80286117928717704</v>
      </c>
      <c r="G1584">
        <v>0.60379899234507795</v>
      </c>
      <c r="H1584">
        <v>0.221334699876618</v>
      </c>
      <c r="I1584">
        <v>0.112739106391574</v>
      </c>
      <c r="J1584">
        <v>0.122228164957688</v>
      </c>
      <c r="K1584">
        <v>9.5119435052673201E-2</v>
      </c>
      <c r="L1584">
        <v>1538.2403366782701</v>
      </c>
      <c r="M1584">
        <v>26.859455301915599</v>
      </c>
      <c r="N1584">
        <v>57.667315137088899</v>
      </c>
      <c r="O1584">
        <v>56.955346536258801</v>
      </c>
      <c r="P1584">
        <v>-0.107938490878399</v>
      </c>
      <c r="Q1584">
        <v>8.4477102854400493E-2</v>
      </c>
      <c r="R1584">
        <v>0.96513919805219495</v>
      </c>
      <c r="S1584" t="s">
        <v>7445</v>
      </c>
      <c r="T1584" t="s">
        <v>11720</v>
      </c>
      <c r="U1584" t="s">
        <v>11720</v>
      </c>
      <c r="V1584" t="s">
        <v>11720</v>
      </c>
      <c r="W1584" t="s">
        <v>13270</v>
      </c>
      <c r="X1584">
        <v>11</v>
      </c>
      <c r="Y1584" t="s">
        <v>19054</v>
      </c>
      <c r="Z1584" t="s">
        <v>24791</v>
      </c>
      <c r="AA1584">
        <v>0.61883202776800039</v>
      </c>
      <c r="AB1584" t="str">
        <f>HYPERLINK("Melting_Curves/meltCurve_O94830_DDHD2.pdf", "Melting_Curves/meltCurve_O94830_DDHD2.pdf")</f>
        <v>Melting_Curves/meltCurve_O94830_DDHD2.pdf</v>
      </c>
    </row>
    <row r="1585" spans="1:28" x14ac:dyDescent="0.25">
      <c r="A1585" t="s">
        <v>1589</v>
      </c>
      <c r="B1585">
        <v>0.99334974765950101</v>
      </c>
      <c r="C1585">
        <v>0.86672700750129394</v>
      </c>
      <c r="D1585">
        <v>0.793978544677725</v>
      </c>
      <c r="E1585">
        <v>0.47637631265881503</v>
      </c>
      <c r="F1585">
        <v>0.17614620716840901</v>
      </c>
      <c r="G1585">
        <v>9.1253010023186698E-2</v>
      </c>
      <c r="H1585">
        <v>6.8013358018321202E-2</v>
      </c>
      <c r="I1585">
        <v>5.7775727868507099E-2</v>
      </c>
      <c r="J1585">
        <v>4.2710724600997903E-2</v>
      </c>
      <c r="K1585">
        <v>3.5571965203338003E-2</v>
      </c>
      <c r="L1585">
        <v>902.29340952911696</v>
      </c>
      <c r="M1585">
        <v>18.389514086855399</v>
      </c>
      <c r="N1585">
        <v>49.240698449002998</v>
      </c>
      <c r="O1585">
        <v>48.496476356855297</v>
      </c>
      <c r="P1585">
        <v>-9.1802766814416403E-2</v>
      </c>
      <c r="Q1585">
        <v>3.1641902277470699E-2</v>
      </c>
      <c r="R1585">
        <v>0.99258146928518398</v>
      </c>
      <c r="S1585" t="s">
        <v>7446</v>
      </c>
      <c r="T1585" t="s">
        <v>11720</v>
      </c>
      <c r="U1585" t="s">
        <v>11720</v>
      </c>
      <c r="V1585" t="s">
        <v>11720</v>
      </c>
      <c r="W1585" t="s">
        <v>13271</v>
      </c>
      <c r="X1585">
        <v>9</v>
      </c>
      <c r="Y1585" t="s">
        <v>19055</v>
      </c>
      <c r="Z1585" t="s">
        <v>24792</v>
      </c>
      <c r="AA1585">
        <v>0.34032102757952321</v>
      </c>
      <c r="AB1585" t="str">
        <f>HYPERLINK("Melting_Curves/meltCurve_O94832_MYO1D.pdf", "Melting_Curves/meltCurve_O94832_MYO1D.pdf")</f>
        <v>Melting_Curves/meltCurve_O94832_MYO1D.pdf</v>
      </c>
    </row>
    <row r="1586" spans="1:28" x14ac:dyDescent="0.25">
      <c r="A1586" t="s">
        <v>1590</v>
      </c>
      <c r="B1586">
        <v>0.99334974765950101</v>
      </c>
      <c r="C1586">
        <v>0.870698510640881</v>
      </c>
      <c r="D1586">
        <v>0.762313536569038</v>
      </c>
      <c r="E1586">
        <v>0.36571340768503402</v>
      </c>
      <c r="F1586">
        <v>0.149310383868449</v>
      </c>
      <c r="G1586">
        <v>9.51273911879153E-2</v>
      </c>
      <c r="H1586">
        <v>7.4717788273602898E-2</v>
      </c>
      <c r="I1586">
        <v>9.4344513805606101E-2</v>
      </c>
      <c r="J1586">
        <v>7.7155726950675393E-2</v>
      </c>
      <c r="K1586">
        <v>3.8854488539367599E-2</v>
      </c>
      <c r="L1586">
        <v>989.88936823347899</v>
      </c>
      <c r="M1586">
        <v>20.5805065376424</v>
      </c>
      <c r="N1586">
        <v>48.402505379925699</v>
      </c>
      <c r="O1586">
        <v>47.651206657610203</v>
      </c>
      <c r="P1586">
        <v>-0.101428890310568</v>
      </c>
      <c r="Q1586">
        <v>6.0651603701006099E-2</v>
      </c>
      <c r="R1586">
        <v>0.99464676008205699</v>
      </c>
      <c r="S1586" t="s">
        <v>7447</v>
      </c>
      <c r="T1586" t="s">
        <v>11720</v>
      </c>
      <c r="U1586" t="s">
        <v>11720</v>
      </c>
      <c r="V1586" t="s">
        <v>11720</v>
      </c>
      <c r="W1586" t="s">
        <v>13272</v>
      </c>
      <c r="X1586">
        <v>3</v>
      </c>
      <c r="Y1586" t="s">
        <v>19056</v>
      </c>
      <c r="Z1586" t="s">
        <v>24793</v>
      </c>
      <c r="AA1586">
        <v>0.32676661198028889</v>
      </c>
      <c r="AB1586" t="str">
        <f>HYPERLINK("Melting_Curves/meltCurve_O94851_5_MICAL2.pdf", "Melting_Curves/meltCurve_O94851_5_MICAL2.pdf")</f>
        <v>Melting_Curves/meltCurve_O94851_5_MICAL2.pdf</v>
      </c>
    </row>
    <row r="1587" spans="1:28" x14ac:dyDescent="0.25">
      <c r="A1587" t="s">
        <v>1591</v>
      </c>
      <c r="B1587">
        <v>0.99334974765950101</v>
      </c>
      <c r="C1587">
        <v>0.96809911541709603</v>
      </c>
      <c r="D1587">
        <v>0.95750072644401096</v>
      </c>
      <c r="E1587">
        <v>1.0034580796124799</v>
      </c>
      <c r="F1587">
        <v>0.76267217430543</v>
      </c>
      <c r="G1587">
        <v>0.58550170646533795</v>
      </c>
      <c r="H1587">
        <v>0.59570122190614905</v>
      </c>
      <c r="I1587">
        <v>0.67665592911957195</v>
      </c>
      <c r="J1587">
        <v>0.62476756152463497</v>
      </c>
      <c r="K1587">
        <v>0.52587047720881297</v>
      </c>
      <c r="L1587">
        <v>13229.425030726599</v>
      </c>
      <c r="M1587">
        <v>250</v>
      </c>
      <c r="O1587">
        <v>52.914335975212502</v>
      </c>
      <c r="P1587">
        <v>-0.47045472392665</v>
      </c>
      <c r="Q1587">
        <v>0.60169937756356495</v>
      </c>
      <c r="R1587">
        <v>0.95467156535868702</v>
      </c>
      <c r="S1587" t="s">
        <v>7448</v>
      </c>
      <c r="T1587" t="s">
        <v>11720</v>
      </c>
      <c r="U1587" t="s">
        <v>11720</v>
      </c>
      <c r="V1587" t="s">
        <v>11720</v>
      </c>
      <c r="W1587" t="s">
        <v>13273</v>
      </c>
      <c r="X1587">
        <v>5</v>
      </c>
      <c r="Y1587" t="s">
        <v>19057</v>
      </c>
      <c r="Z1587" t="s">
        <v>24794</v>
      </c>
      <c r="AA1587">
        <v>0.77324063428556111</v>
      </c>
      <c r="AB1587" t="str">
        <f>HYPERLINK("Melting_Curves/meltCurve_O94854_2_KIAA0754.pdf", "Melting_Curves/meltCurve_O94854_2_KIAA0754.pdf")</f>
        <v>Melting_Curves/meltCurve_O94854_2_KIAA0754.pdf</v>
      </c>
    </row>
    <row r="1588" spans="1:28" x14ac:dyDescent="0.25">
      <c r="A1588" t="s">
        <v>1592</v>
      </c>
      <c r="B1588">
        <v>0.99334974765950101</v>
      </c>
      <c r="C1588">
        <v>0.97391317101223995</v>
      </c>
      <c r="D1588">
        <v>1.13293636399397</v>
      </c>
      <c r="E1588">
        <v>0.96333654802827295</v>
      </c>
      <c r="F1588">
        <v>0.30069037095655898</v>
      </c>
      <c r="G1588">
        <v>0.19265001936025999</v>
      </c>
      <c r="H1588">
        <v>0.14698722331256001</v>
      </c>
      <c r="I1588">
        <v>0.13840869161108699</v>
      </c>
      <c r="J1588">
        <v>0.12699301549766201</v>
      </c>
      <c r="K1588">
        <v>0.105205928958734</v>
      </c>
      <c r="L1588">
        <v>4020.4440290247699</v>
      </c>
      <c r="M1588">
        <v>77.333207349971403</v>
      </c>
      <c r="N1588">
        <v>52.213647714091103</v>
      </c>
      <c r="O1588">
        <v>51.953851967998297</v>
      </c>
      <c r="P1588">
        <v>-0.31938111664623597</v>
      </c>
      <c r="Q1588">
        <v>0.14173602082731299</v>
      </c>
      <c r="R1588">
        <v>0.98727152877399205</v>
      </c>
      <c r="S1588" t="s">
        <v>7449</v>
      </c>
      <c r="T1588" t="s">
        <v>11720</v>
      </c>
      <c r="U1588" t="s">
        <v>11720</v>
      </c>
      <c r="V1588" t="s">
        <v>11720</v>
      </c>
      <c r="W1588" t="s">
        <v>13274</v>
      </c>
      <c r="X1588">
        <v>30</v>
      </c>
      <c r="Y1588" t="s">
        <v>19058</v>
      </c>
      <c r="Z1588" t="s">
        <v>24795</v>
      </c>
      <c r="AA1588">
        <v>0.48553513513531782</v>
      </c>
      <c r="AB1588" t="str">
        <f>HYPERLINK("Melting_Curves/meltCurve_O94855_SEC24D.pdf", "Melting_Curves/meltCurve_O94855_SEC24D.pdf")</f>
        <v>Melting_Curves/meltCurve_O94855_SEC24D.pdf</v>
      </c>
    </row>
    <row r="1589" spans="1:28" x14ac:dyDescent="0.25">
      <c r="A1589" t="s">
        <v>1593</v>
      </c>
      <c r="B1589">
        <v>0.99334974765950101</v>
      </c>
      <c r="C1589">
        <v>0.94200552751894895</v>
      </c>
      <c r="D1589">
        <v>0.96655702732105298</v>
      </c>
      <c r="E1589">
        <v>0.84744180469432195</v>
      </c>
      <c r="F1589">
        <v>0.71689073483960897</v>
      </c>
      <c r="G1589">
        <v>0.494972757500246</v>
      </c>
      <c r="H1589">
        <v>0.43215091318471699</v>
      </c>
      <c r="I1589">
        <v>0.46137504714070399</v>
      </c>
      <c r="J1589">
        <v>0.41361840985176901</v>
      </c>
      <c r="K1589">
        <v>0.35697617680497701</v>
      </c>
      <c r="L1589">
        <v>956.46175960867799</v>
      </c>
      <c r="M1589">
        <v>18.014202855136599</v>
      </c>
      <c r="N1589">
        <v>57.848783923687897</v>
      </c>
      <c r="O1589">
        <v>52.453546110811601</v>
      </c>
      <c r="P1589">
        <v>-5.2700110340168499E-2</v>
      </c>
      <c r="Q1589">
        <v>0.38622392458505</v>
      </c>
      <c r="R1589">
        <v>0.98714503127601305</v>
      </c>
      <c r="S1589" t="s">
        <v>7450</v>
      </c>
      <c r="T1589" t="s">
        <v>11720</v>
      </c>
      <c r="U1589" t="s">
        <v>11720</v>
      </c>
      <c r="V1589" t="s">
        <v>11720</v>
      </c>
      <c r="W1589" t="s">
        <v>13275</v>
      </c>
      <c r="X1589">
        <v>16</v>
      </c>
      <c r="Y1589" t="s">
        <v>19059</v>
      </c>
      <c r="Z1589" t="s">
        <v>24796</v>
      </c>
      <c r="AA1589">
        <v>0.66415336715485596</v>
      </c>
      <c r="AB1589" t="str">
        <f>HYPERLINK("Melting_Curves/meltCurve_O94856_9_NFASC.pdf", "Melting_Curves/meltCurve_O94856_9_NFASC.pdf")</f>
        <v>Melting_Curves/meltCurve_O94856_9_NFASC.pdf</v>
      </c>
    </row>
    <row r="1590" spans="1:28" x14ac:dyDescent="0.25">
      <c r="A1590" t="s">
        <v>1594</v>
      </c>
      <c r="B1590">
        <v>0.99334974765950101</v>
      </c>
      <c r="C1590">
        <v>0.94555964457941999</v>
      </c>
      <c r="D1590">
        <v>0.84188543379984704</v>
      </c>
      <c r="E1590">
        <v>0.32435430737100102</v>
      </c>
      <c r="F1590">
        <v>0.16157237898969201</v>
      </c>
      <c r="G1590">
        <v>0.121603328621155</v>
      </c>
      <c r="H1590">
        <v>9.8347035691140006E-2</v>
      </c>
      <c r="I1590">
        <v>8.3985017169228807E-2</v>
      </c>
      <c r="J1590">
        <v>7.9332655385091697E-2</v>
      </c>
      <c r="K1590">
        <v>6.0003201688510303E-2</v>
      </c>
      <c r="L1590">
        <v>1393.2753649849799</v>
      </c>
      <c r="M1590">
        <v>28.8370263706367</v>
      </c>
      <c r="N1590">
        <v>48.633764990146702</v>
      </c>
      <c r="O1590">
        <v>48.084945643904803</v>
      </c>
      <c r="P1590">
        <v>-0.137036646421305</v>
      </c>
      <c r="Q1590">
        <v>8.5987739533680704E-2</v>
      </c>
      <c r="R1590">
        <v>0.99790585163310097</v>
      </c>
      <c r="S1590" t="s">
        <v>7451</v>
      </c>
      <c r="T1590" t="s">
        <v>11720</v>
      </c>
      <c r="U1590" t="s">
        <v>11720</v>
      </c>
      <c r="V1590" t="s">
        <v>11720</v>
      </c>
      <c r="W1590" t="s">
        <v>13276</v>
      </c>
      <c r="X1590">
        <v>23</v>
      </c>
      <c r="Y1590" t="s">
        <v>19060</v>
      </c>
      <c r="Z1590" t="s">
        <v>24797</v>
      </c>
      <c r="AA1590">
        <v>0.34532766332428871</v>
      </c>
      <c r="AB1590" t="str">
        <f>HYPERLINK("Melting_Curves/meltCurve_O94874_UFL1.pdf", "Melting_Curves/meltCurve_O94874_UFL1.pdf")</f>
        <v>Melting_Curves/meltCurve_O94874_UFL1.pdf</v>
      </c>
    </row>
    <row r="1591" spans="1:28" x14ac:dyDescent="0.25">
      <c r="A1591" t="s">
        <v>1595</v>
      </c>
      <c r="B1591">
        <v>0.99334974765950101</v>
      </c>
      <c r="C1591">
        <v>1.0205289090041501</v>
      </c>
      <c r="D1591">
        <v>1.0043421185376</v>
      </c>
      <c r="E1591">
        <v>0.88292881270186996</v>
      </c>
      <c r="F1591">
        <v>1.07540677296898</v>
      </c>
      <c r="G1591">
        <v>0.64584448160168495</v>
      </c>
      <c r="H1591">
        <v>0.52453622734245897</v>
      </c>
      <c r="I1591">
        <v>0.37370000761114602</v>
      </c>
      <c r="J1591">
        <v>0.29248812815568398</v>
      </c>
      <c r="K1591">
        <v>0.203961462285808</v>
      </c>
      <c r="L1591">
        <v>1086.90167279355</v>
      </c>
      <c r="M1591">
        <v>18.302400006844199</v>
      </c>
      <c r="N1591">
        <v>60.929363064953399</v>
      </c>
      <c r="O1591">
        <v>58.690410045225597</v>
      </c>
      <c r="P1591">
        <v>-6.3501259765077603E-2</v>
      </c>
      <c r="Q1591">
        <v>0.18551819744232301</v>
      </c>
      <c r="R1591">
        <v>0.95559995446391099</v>
      </c>
      <c r="S1591" t="s">
        <v>7452</v>
      </c>
      <c r="T1591" t="s">
        <v>11720</v>
      </c>
      <c r="U1591" t="s">
        <v>11720</v>
      </c>
      <c r="V1591" t="s">
        <v>11720</v>
      </c>
      <c r="W1591" t="s">
        <v>13277</v>
      </c>
      <c r="X1591">
        <v>2</v>
      </c>
      <c r="Y1591" t="s">
        <v>19061</v>
      </c>
      <c r="Z1591" t="s">
        <v>24798</v>
      </c>
      <c r="AA1591">
        <v>0.71976386768929457</v>
      </c>
      <c r="AB1591" t="str">
        <f>HYPERLINK("Melting_Curves/meltCurve_O94876_TMCC1.pdf", "Melting_Curves/meltCurve_O94876_TMCC1.pdf")</f>
        <v>Melting_Curves/meltCurve_O94876_TMCC1.pdf</v>
      </c>
    </row>
    <row r="1592" spans="1:28" x14ac:dyDescent="0.25">
      <c r="A1592" t="s">
        <v>1596</v>
      </c>
      <c r="B1592">
        <v>0.99334974765950101</v>
      </c>
      <c r="C1592">
        <v>0.93797583344846702</v>
      </c>
      <c r="D1592">
        <v>0.804239928479766</v>
      </c>
      <c r="E1592">
        <v>0.59174536134405298</v>
      </c>
      <c r="F1592">
        <v>0.38994631602476798</v>
      </c>
      <c r="G1592">
        <v>0.25769534563918201</v>
      </c>
      <c r="H1592">
        <v>0.192630028359876</v>
      </c>
      <c r="I1592">
        <v>0.20160721671735801</v>
      </c>
      <c r="J1592">
        <v>0.192782402561124</v>
      </c>
      <c r="K1592">
        <v>0.163841869952396</v>
      </c>
      <c r="L1592">
        <v>782.34826478660796</v>
      </c>
      <c r="M1592">
        <v>15.701882646766199</v>
      </c>
      <c r="N1592">
        <v>51.111660108850302</v>
      </c>
      <c r="O1592">
        <v>49.037961083174601</v>
      </c>
      <c r="P1592">
        <v>-6.6988163034141901E-2</v>
      </c>
      <c r="Q1592">
        <v>0.16323773020611501</v>
      </c>
      <c r="R1592">
        <v>0.99827917789735898</v>
      </c>
      <c r="S1592" t="s">
        <v>7453</v>
      </c>
      <c r="T1592" t="s">
        <v>11720</v>
      </c>
      <c r="U1592" t="s">
        <v>11720</v>
      </c>
      <c r="V1592" t="s">
        <v>11720</v>
      </c>
      <c r="W1592" t="s">
        <v>13278</v>
      </c>
      <c r="X1592">
        <v>13</v>
      </c>
      <c r="Y1592" t="s">
        <v>19062</v>
      </c>
      <c r="Z1592" t="s">
        <v>24799</v>
      </c>
      <c r="AA1592">
        <v>0.4557549672658498</v>
      </c>
      <c r="AB1592" t="str">
        <f>HYPERLINK("Melting_Curves/meltCurve_O94885_SASH1.pdf", "Melting_Curves/meltCurve_O94885_SASH1.pdf")</f>
        <v>Melting_Curves/meltCurve_O94885_SASH1.pdf</v>
      </c>
    </row>
    <row r="1593" spans="1:28" x14ac:dyDescent="0.25">
      <c r="A1593" t="s">
        <v>1597</v>
      </c>
      <c r="B1593">
        <v>0.99334974765950101</v>
      </c>
      <c r="C1593">
        <v>0.92986143914633002</v>
      </c>
      <c r="D1593">
        <v>0.90468964399198104</v>
      </c>
      <c r="E1593">
        <v>0.67497404249456705</v>
      </c>
      <c r="F1593">
        <v>0.56740680685976297</v>
      </c>
      <c r="G1593">
        <v>0.27215699323742798</v>
      </c>
      <c r="H1593">
        <v>0.185697232239009</v>
      </c>
      <c r="I1593">
        <v>0.176013055623992</v>
      </c>
      <c r="J1593">
        <v>0.171836822330348</v>
      </c>
      <c r="K1593">
        <v>0.13028639054164701</v>
      </c>
      <c r="L1593">
        <v>778.24964960274997</v>
      </c>
      <c r="M1593">
        <v>14.8936636625267</v>
      </c>
      <c r="N1593">
        <v>53.177304616589197</v>
      </c>
      <c r="O1593">
        <v>51.338847562258501</v>
      </c>
      <c r="P1593">
        <v>-6.4267880845842396E-2</v>
      </c>
      <c r="Q1593">
        <v>0.113959795359261</v>
      </c>
      <c r="R1593">
        <v>0.99275591645278105</v>
      </c>
      <c r="S1593" t="s">
        <v>7454</v>
      </c>
      <c r="T1593" t="s">
        <v>11720</v>
      </c>
      <c r="U1593" t="s">
        <v>11720</v>
      </c>
      <c r="V1593" t="s">
        <v>11720</v>
      </c>
      <c r="W1593" t="s">
        <v>13279</v>
      </c>
      <c r="X1593">
        <v>10</v>
      </c>
      <c r="Y1593" t="s">
        <v>19063</v>
      </c>
      <c r="Z1593" t="s">
        <v>24800</v>
      </c>
      <c r="AA1593">
        <v>0.49571001942192</v>
      </c>
      <c r="AB1593" t="str">
        <f>HYPERLINK("Melting_Curves/meltCurve_O94888_UBXN7.pdf", "Melting_Curves/meltCurve_O94888_UBXN7.pdf")</f>
        <v>Melting_Curves/meltCurve_O94888_UBXN7.pdf</v>
      </c>
    </row>
    <row r="1594" spans="1:28" x14ac:dyDescent="0.25">
      <c r="A1594" t="s">
        <v>1598</v>
      </c>
      <c r="B1594">
        <v>0.99334974765950101</v>
      </c>
      <c r="C1594">
        <v>0.84487366035856204</v>
      </c>
      <c r="D1594">
        <v>1.11786191770671</v>
      </c>
      <c r="E1594">
        <v>0.798146640043355</v>
      </c>
      <c r="F1594">
        <v>0.55182330628695098</v>
      </c>
      <c r="G1594">
        <v>0.37737590201406801</v>
      </c>
      <c r="H1594">
        <v>0.29488275231236899</v>
      </c>
      <c r="I1594">
        <v>0.25788392454293901</v>
      </c>
      <c r="J1594">
        <v>0.18660872425066299</v>
      </c>
      <c r="K1594">
        <v>0.16213730094995199</v>
      </c>
      <c r="L1594">
        <v>1075.6738543174099</v>
      </c>
      <c r="M1594">
        <v>20.350364828309001</v>
      </c>
      <c r="N1594">
        <v>54.252354792623997</v>
      </c>
      <c r="O1594">
        <v>52.355264680123703</v>
      </c>
      <c r="P1594">
        <v>-7.7385207343169393E-2</v>
      </c>
      <c r="Q1594">
        <v>0.203670477673637</v>
      </c>
      <c r="R1594">
        <v>0.95227464352774804</v>
      </c>
      <c r="S1594" t="s">
        <v>7455</v>
      </c>
      <c r="T1594" t="s">
        <v>11720</v>
      </c>
      <c r="U1594" t="s">
        <v>11720</v>
      </c>
      <c r="V1594" t="s">
        <v>11720</v>
      </c>
      <c r="W1594" t="s">
        <v>13280</v>
      </c>
      <c r="X1594">
        <v>2</v>
      </c>
      <c r="Y1594" t="s">
        <v>19064</v>
      </c>
      <c r="Z1594" t="s">
        <v>24801</v>
      </c>
      <c r="AA1594">
        <v>0.55561113563991649</v>
      </c>
      <c r="AB1594" t="str">
        <f>HYPERLINK("Melting_Curves/meltCurve_O94889_KLHL18.pdf", "Melting_Curves/meltCurve_O94889_KLHL18.pdf")</f>
        <v>Melting_Curves/meltCurve_O94889_KLHL18.pdf</v>
      </c>
    </row>
    <row r="1595" spans="1:28" x14ac:dyDescent="0.25">
      <c r="A1595" t="s">
        <v>1599</v>
      </c>
      <c r="B1595">
        <v>0.99334974765950101</v>
      </c>
      <c r="C1595">
        <v>0.92012102615866598</v>
      </c>
      <c r="D1595">
        <v>0.75094580118869103</v>
      </c>
      <c r="E1595">
        <v>0.33533469675787297</v>
      </c>
      <c r="F1595">
        <v>0.21350397849484301</v>
      </c>
      <c r="G1595">
        <v>0.119650593122013</v>
      </c>
      <c r="H1595">
        <v>9.4399273996455105E-2</v>
      </c>
      <c r="I1595">
        <v>8.0598152918420804E-2</v>
      </c>
      <c r="J1595">
        <v>8.4793019824376301E-2</v>
      </c>
      <c r="K1595">
        <v>6.2197136665893299E-2</v>
      </c>
      <c r="L1595">
        <v>1004.4130346511899</v>
      </c>
      <c r="M1595">
        <v>20.919058990129201</v>
      </c>
      <c r="N1595">
        <v>48.4126421509906</v>
      </c>
      <c r="O1595">
        <v>47.581945901261598</v>
      </c>
      <c r="P1595">
        <v>-0.101222573892708</v>
      </c>
      <c r="Q1595">
        <v>7.90721929203579E-2</v>
      </c>
      <c r="R1595">
        <v>0.998588933653763</v>
      </c>
      <c r="S1595" t="s">
        <v>7456</v>
      </c>
      <c r="T1595" t="s">
        <v>11720</v>
      </c>
      <c r="U1595" t="s">
        <v>11720</v>
      </c>
      <c r="V1595" t="s">
        <v>11720</v>
      </c>
      <c r="W1595" t="s">
        <v>13281</v>
      </c>
      <c r="X1595">
        <v>11</v>
      </c>
      <c r="Y1595" t="s">
        <v>19065</v>
      </c>
      <c r="Z1595" t="s">
        <v>24802</v>
      </c>
      <c r="AA1595">
        <v>0.33698401481608331</v>
      </c>
      <c r="AB1595" t="str">
        <f>HYPERLINK("Melting_Curves/meltCurve_O94903_PROSC.pdf", "Melting_Curves/meltCurve_O94903_PROSC.pdf")</f>
        <v>Melting_Curves/meltCurve_O94903_PROSC.pdf</v>
      </c>
    </row>
    <row r="1596" spans="1:28" x14ac:dyDescent="0.25">
      <c r="A1596" t="s">
        <v>1600</v>
      </c>
      <c r="B1596">
        <v>0.99334974765950101</v>
      </c>
      <c r="C1596">
        <v>1.1468863043927999</v>
      </c>
      <c r="D1596">
        <v>0.96373250035397195</v>
      </c>
      <c r="E1596">
        <v>1.05851817829357</v>
      </c>
      <c r="F1596">
        <v>0.82570463212459499</v>
      </c>
      <c r="G1596">
        <v>0.53834257435641897</v>
      </c>
      <c r="H1596">
        <v>0.44915271185835898</v>
      </c>
      <c r="I1596">
        <v>0.32072150892267898</v>
      </c>
      <c r="J1596">
        <v>0.395034972600393</v>
      </c>
      <c r="K1596">
        <v>0.25637888655566099</v>
      </c>
      <c r="L1596">
        <v>1454.0197548241099</v>
      </c>
      <c r="M1596">
        <v>26.1641461921004</v>
      </c>
      <c r="N1596">
        <v>57.933335832844001</v>
      </c>
      <c r="O1596">
        <v>55.251393035578197</v>
      </c>
      <c r="P1596">
        <v>-7.9579459353637499E-2</v>
      </c>
      <c r="Q1596">
        <v>0.327808886531128</v>
      </c>
      <c r="R1596">
        <v>0.95475873928557198</v>
      </c>
      <c r="S1596" t="s">
        <v>7457</v>
      </c>
      <c r="T1596" t="s">
        <v>11720</v>
      </c>
      <c r="U1596" t="s">
        <v>11720</v>
      </c>
      <c r="V1596" t="s">
        <v>11720</v>
      </c>
      <c r="W1596" t="s">
        <v>13282</v>
      </c>
      <c r="X1596">
        <v>7</v>
      </c>
      <c r="Y1596" t="s">
        <v>19066</v>
      </c>
      <c r="Z1596" t="s">
        <v>24803</v>
      </c>
      <c r="AA1596">
        <v>0.68247291434667146</v>
      </c>
      <c r="AB1596" t="str">
        <f>HYPERLINK("Melting_Curves/meltCurve_O94905_ERLIN2.pdf", "Melting_Curves/meltCurve_O94905_ERLIN2.pdf")</f>
        <v>Melting_Curves/meltCurve_O94905_ERLIN2.pdf</v>
      </c>
    </row>
    <row r="1597" spans="1:28" x14ac:dyDescent="0.25">
      <c r="A1597" t="s">
        <v>1601</v>
      </c>
      <c r="B1597">
        <v>0.99334974765950101</v>
      </c>
      <c r="C1597">
        <v>1.0356316451168199</v>
      </c>
      <c r="D1597">
        <v>1.0483295310718399</v>
      </c>
      <c r="E1597">
        <v>0.92618134826291998</v>
      </c>
      <c r="F1597">
        <v>0.95372702227508599</v>
      </c>
      <c r="G1597">
        <v>0.80854274979516305</v>
      </c>
      <c r="H1597">
        <v>0.707757578290511</v>
      </c>
      <c r="I1597">
        <v>0.48384179205829198</v>
      </c>
      <c r="J1597">
        <v>0.46650828487976398</v>
      </c>
      <c r="K1597">
        <v>0.297262559327931</v>
      </c>
      <c r="L1597">
        <v>760.89278333603295</v>
      </c>
      <c r="M1597">
        <v>11.837611542917401</v>
      </c>
      <c r="N1597">
        <v>64.920250981581603</v>
      </c>
      <c r="O1597">
        <v>62.525525371042299</v>
      </c>
      <c r="P1597">
        <v>-4.4725479065102401E-2</v>
      </c>
      <c r="Q1597">
        <v>5.5291389886140199E-2</v>
      </c>
      <c r="R1597">
        <v>0.97759928682602104</v>
      </c>
      <c r="S1597" t="s">
        <v>7458</v>
      </c>
      <c r="T1597" t="s">
        <v>11720</v>
      </c>
      <c r="U1597" t="s">
        <v>11720</v>
      </c>
      <c r="V1597" t="s">
        <v>11720</v>
      </c>
      <c r="W1597" t="s">
        <v>13283</v>
      </c>
      <c r="X1597">
        <v>9</v>
      </c>
      <c r="Y1597" t="s">
        <v>19067</v>
      </c>
      <c r="Z1597" t="s">
        <v>24804</v>
      </c>
      <c r="AA1597">
        <v>0.78866820837812768</v>
      </c>
      <c r="AB1597" t="str">
        <f>HYPERLINK("Melting_Curves/meltCurve_O94919_ENDOD1.pdf", "Melting_Curves/meltCurve_O94919_ENDOD1.pdf")</f>
        <v>Melting_Curves/meltCurve_O94919_ENDOD1.pdf</v>
      </c>
    </row>
    <row r="1598" spans="1:28" x14ac:dyDescent="0.25">
      <c r="A1598" t="s">
        <v>1602</v>
      </c>
      <c r="B1598">
        <v>0.99334974765950101</v>
      </c>
      <c r="C1598">
        <v>0.97710259282469902</v>
      </c>
      <c r="D1598">
        <v>0.81731611541571503</v>
      </c>
      <c r="E1598">
        <v>0.55456991382464504</v>
      </c>
      <c r="F1598">
        <v>0.27250390221096898</v>
      </c>
      <c r="G1598">
        <v>0.17489900069929301</v>
      </c>
      <c r="H1598">
        <v>0.13987801049783399</v>
      </c>
      <c r="I1598">
        <v>0.100796788189711</v>
      </c>
      <c r="J1598">
        <v>8.2477142789168803E-2</v>
      </c>
      <c r="K1598">
        <v>7.2882510695798597E-2</v>
      </c>
      <c r="L1598">
        <v>935.14461324347201</v>
      </c>
      <c r="M1598">
        <v>18.775957940987599</v>
      </c>
      <c r="N1598">
        <v>50.301468139055899</v>
      </c>
      <c r="O1598">
        <v>49.250768534081899</v>
      </c>
      <c r="P1598">
        <v>-8.7256845440137495E-2</v>
      </c>
      <c r="Q1598">
        <v>8.4512660024830599E-2</v>
      </c>
      <c r="R1598">
        <v>0.99678627557914901</v>
      </c>
      <c r="S1598" t="s">
        <v>7459</v>
      </c>
      <c r="T1598" t="s">
        <v>11720</v>
      </c>
      <c r="U1598" t="s">
        <v>11720</v>
      </c>
      <c r="V1598" t="s">
        <v>11720</v>
      </c>
      <c r="W1598" t="s">
        <v>13284</v>
      </c>
      <c r="X1598">
        <v>4</v>
      </c>
      <c r="Y1598" t="s">
        <v>19068</v>
      </c>
      <c r="Z1598" t="s">
        <v>24805</v>
      </c>
      <c r="AA1598">
        <v>0.39816714731910591</v>
      </c>
      <c r="AB1598" t="str">
        <f>HYPERLINK("Melting_Curves/meltCurve_O94921_CDK14.pdf", "Melting_Curves/meltCurve_O94921_CDK14.pdf")</f>
        <v>Melting_Curves/meltCurve_O94921_CDK14.pdf</v>
      </c>
    </row>
    <row r="1599" spans="1:28" x14ac:dyDescent="0.25">
      <c r="A1599" t="s">
        <v>1603</v>
      </c>
      <c r="B1599">
        <v>0.99334974765950101</v>
      </c>
      <c r="C1599">
        <v>0.94627176124883705</v>
      </c>
      <c r="D1599">
        <v>0.98408758071575497</v>
      </c>
      <c r="E1599">
        <v>0.64674421304561902</v>
      </c>
      <c r="F1599">
        <v>0.34380039345095398</v>
      </c>
      <c r="G1599">
        <v>0.19938250884727299</v>
      </c>
      <c r="H1599">
        <v>0.17418272714189301</v>
      </c>
      <c r="I1599">
        <v>0.170406738074836</v>
      </c>
      <c r="J1599">
        <v>0.159780917837021</v>
      </c>
      <c r="K1599">
        <v>0.14717438635560601</v>
      </c>
      <c r="L1599">
        <v>1472.9792181832199</v>
      </c>
      <c r="M1599">
        <v>29.104392083422901</v>
      </c>
      <c r="N1599">
        <v>51.302351435186097</v>
      </c>
      <c r="O1599">
        <v>50.373065286470002</v>
      </c>
      <c r="P1599">
        <v>-0.12099142864616499</v>
      </c>
      <c r="Q1599">
        <v>0.16237167633420599</v>
      </c>
      <c r="R1599">
        <v>0.99711745433223398</v>
      </c>
      <c r="S1599" t="s">
        <v>7460</v>
      </c>
      <c r="T1599" t="s">
        <v>11720</v>
      </c>
      <c r="U1599" t="s">
        <v>11720</v>
      </c>
      <c r="V1599" t="s">
        <v>11720</v>
      </c>
      <c r="W1599" t="s">
        <v>13285</v>
      </c>
      <c r="X1599">
        <v>9</v>
      </c>
      <c r="Y1599" t="s">
        <v>19069</v>
      </c>
      <c r="Z1599" t="s">
        <v>24806</v>
      </c>
      <c r="AA1599">
        <v>0.46418006852793942</v>
      </c>
      <c r="AB1599" t="str">
        <f>HYPERLINK("Melting_Curves/meltCurve_O94966_7_USP19.pdf", "Melting_Curves/meltCurve_O94966_7_USP19.pdf")</f>
        <v>Melting_Curves/meltCurve_O94966_7_USP19.pdf</v>
      </c>
    </row>
    <row r="1600" spans="1:28" x14ac:dyDescent="0.25">
      <c r="A1600" t="s">
        <v>1604</v>
      </c>
      <c r="B1600">
        <v>0.99334974765950101</v>
      </c>
      <c r="C1600">
        <v>0.99654355447479703</v>
      </c>
      <c r="D1600">
        <v>1.0741405160139901</v>
      </c>
      <c r="E1600">
        <v>1.0730264394448199</v>
      </c>
      <c r="F1600">
        <v>1.06922704512824</v>
      </c>
      <c r="G1600">
        <v>0.51161559937330403</v>
      </c>
      <c r="H1600">
        <v>0.23696700494653899</v>
      </c>
      <c r="I1600">
        <v>0.193935343867678</v>
      </c>
      <c r="J1600">
        <v>0.22129233614701399</v>
      </c>
      <c r="K1600">
        <v>0.15148964107299301</v>
      </c>
      <c r="L1600">
        <v>9775.9799790278594</v>
      </c>
      <c r="M1600">
        <v>171.96069440877801</v>
      </c>
      <c r="N1600">
        <v>57.020488304231598</v>
      </c>
      <c r="O1600">
        <v>56.842396725970097</v>
      </c>
      <c r="P1600">
        <v>-0.60434871292301096</v>
      </c>
      <c r="Q1600">
        <v>0.20091905322339401</v>
      </c>
      <c r="R1600">
        <v>0.98759202530830204</v>
      </c>
      <c r="S1600" t="s">
        <v>7461</v>
      </c>
      <c r="T1600" t="s">
        <v>11720</v>
      </c>
      <c r="U1600" t="s">
        <v>11720</v>
      </c>
      <c r="V1600" t="s">
        <v>11720</v>
      </c>
      <c r="W1600" t="s">
        <v>13286</v>
      </c>
      <c r="X1600">
        <v>9</v>
      </c>
      <c r="Y1600" t="s">
        <v>19070</v>
      </c>
      <c r="Z1600" t="s">
        <v>24807</v>
      </c>
      <c r="AA1600">
        <v>0.64990697937518549</v>
      </c>
      <c r="AB1600" t="str">
        <f>HYPERLINK("Melting_Curves/meltCurve_O94967_2_WDR47.pdf", "Melting_Curves/meltCurve_O94967_2_WDR47.pdf")</f>
        <v>Melting_Curves/meltCurve_O94967_2_WDR47.pdf</v>
      </c>
    </row>
    <row r="1601" spans="1:28" x14ac:dyDescent="0.25">
      <c r="A1601" t="s">
        <v>1605</v>
      </c>
      <c r="B1601">
        <v>0.99334974765950101</v>
      </c>
      <c r="C1601">
        <v>1.0623571934790601</v>
      </c>
      <c r="D1601">
        <v>1.1380250199781199</v>
      </c>
      <c r="E1601">
        <v>1.0829105617874899</v>
      </c>
      <c r="F1601">
        <v>0.618561736032049</v>
      </c>
      <c r="G1601">
        <v>0.27241042435951301</v>
      </c>
      <c r="H1601">
        <v>0.21237513468733599</v>
      </c>
      <c r="I1601">
        <v>0.167532301267455</v>
      </c>
      <c r="J1601">
        <v>0.17173922059548</v>
      </c>
      <c r="K1601">
        <v>0.15349522940789201</v>
      </c>
      <c r="L1601">
        <v>13255.4878806087</v>
      </c>
      <c r="M1601">
        <v>250</v>
      </c>
      <c r="N1601">
        <v>53.127353693627803</v>
      </c>
      <c r="O1601">
        <v>53.018558880659299</v>
      </c>
      <c r="P1601">
        <v>-0.94835842894255395</v>
      </c>
      <c r="Q1601">
        <v>0.195510451907492</v>
      </c>
      <c r="R1601">
        <v>0.97719114691915998</v>
      </c>
      <c r="S1601" t="s">
        <v>7462</v>
      </c>
      <c r="T1601" t="s">
        <v>11720</v>
      </c>
      <c r="U1601" t="s">
        <v>11720</v>
      </c>
      <c r="V1601" t="s">
        <v>11720</v>
      </c>
      <c r="W1601" t="s">
        <v>13287</v>
      </c>
      <c r="X1601">
        <v>17</v>
      </c>
      <c r="Y1601" t="s">
        <v>19071</v>
      </c>
      <c r="Z1601" t="s">
        <v>24808</v>
      </c>
      <c r="AA1601">
        <v>0.54478610835070718</v>
      </c>
      <c r="AB1601" t="str">
        <f>HYPERLINK("Melting_Curves/meltCurve_O94973_AP2A2.pdf", "Melting_Curves/meltCurve_O94973_AP2A2.pdf")</f>
        <v>Melting_Curves/meltCurve_O94973_AP2A2.pdf</v>
      </c>
    </row>
    <row r="1602" spans="1:28" x14ac:dyDescent="0.25">
      <c r="A1602" t="s">
        <v>1606</v>
      </c>
      <c r="B1602">
        <v>0.99334974765950101</v>
      </c>
      <c r="C1602">
        <v>1.06985715148183</v>
      </c>
      <c r="D1602">
        <v>0.90369082748039398</v>
      </c>
      <c r="E1602">
        <v>1.1489785894441</v>
      </c>
      <c r="F1602">
        <v>1.4261326578408799</v>
      </c>
      <c r="G1602">
        <v>1.0771210311883299</v>
      </c>
      <c r="H1602">
        <v>1.31658034979966</v>
      </c>
      <c r="I1602">
        <v>1.7439663201775999</v>
      </c>
      <c r="J1602">
        <v>2.3125431402926799</v>
      </c>
      <c r="K1602">
        <v>2.5456652644147302</v>
      </c>
      <c r="L1602">
        <v>1126.4296702704</v>
      </c>
      <c r="M1602">
        <v>21.497785597692999</v>
      </c>
      <c r="O1602">
        <v>51.950403616619802</v>
      </c>
      <c r="P1602">
        <v>5.1727970249467001E-2</v>
      </c>
      <c r="Q1602">
        <v>1.5</v>
      </c>
      <c r="R1602">
        <v>0.311521104309953</v>
      </c>
      <c r="S1602" t="s">
        <v>7463</v>
      </c>
      <c r="T1602" t="s">
        <v>11720</v>
      </c>
      <c r="U1602" t="s">
        <v>11720</v>
      </c>
      <c r="V1602" t="s">
        <v>11720</v>
      </c>
      <c r="W1602" t="s">
        <v>13288</v>
      </c>
      <c r="X1602">
        <v>7</v>
      </c>
      <c r="Y1602" t="s">
        <v>19072</v>
      </c>
      <c r="Z1602" t="s">
        <v>24809</v>
      </c>
      <c r="AA1602">
        <v>1.2873058125384049</v>
      </c>
      <c r="AB1602" t="str">
        <f>HYPERLINK("Melting_Curves/meltCurve_O94992_HEXIM1.pdf", "Melting_Curves/meltCurve_O94992_HEXIM1.pdf")</f>
        <v>Melting_Curves/meltCurve_O94992_HEXIM1.pdf</v>
      </c>
    </row>
    <row r="1603" spans="1:28" x14ac:dyDescent="0.25">
      <c r="A1603" t="s">
        <v>1607</v>
      </c>
      <c r="B1603">
        <v>0.99334974765950101</v>
      </c>
      <c r="C1603">
        <v>0.89069015973691101</v>
      </c>
      <c r="D1603">
        <v>0.70433029802994396</v>
      </c>
      <c r="E1603">
        <v>0.42096474037524101</v>
      </c>
      <c r="F1603">
        <v>0.14821495736423099</v>
      </c>
      <c r="G1603">
        <v>0.11106776925473</v>
      </c>
      <c r="H1603">
        <v>8.3903387673018803E-2</v>
      </c>
      <c r="I1603">
        <v>7.3519622630021E-2</v>
      </c>
      <c r="J1603">
        <v>7.0411851425786903E-2</v>
      </c>
      <c r="K1603">
        <v>5.8971671596668503E-2</v>
      </c>
      <c r="L1603">
        <v>878.49905236213397</v>
      </c>
      <c r="M1603">
        <v>18.257575174490398</v>
      </c>
      <c r="N1603">
        <v>48.440344187370798</v>
      </c>
      <c r="O1603">
        <v>47.550856495430601</v>
      </c>
      <c r="P1603">
        <v>-9.0486147347264595E-2</v>
      </c>
      <c r="Q1603">
        <v>5.7379079117295902E-2</v>
      </c>
      <c r="R1603">
        <v>0.99485975063040999</v>
      </c>
      <c r="S1603" t="s">
        <v>7464</v>
      </c>
      <c r="T1603" t="s">
        <v>11720</v>
      </c>
      <c r="U1603" t="s">
        <v>11720</v>
      </c>
      <c r="V1603" t="s">
        <v>11720</v>
      </c>
      <c r="W1603" t="s">
        <v>13289</v>
      </c>
      <c r="X1603">
        <v>19</v>
      </c>
      <c r="Y1603" t="s">
        <v>19073</v>
      </c>
      <c r="Z1603" t="s">
        <v>24810</v>
      </c>
      <c r="AA1603">
        <v>0.32860115001269768</v>
      </c>
      <c r="AB1603" t="str">
        <f>HYPERLINK("Melting_Curves/meltCurve_O95050_2_INMT.pdf", "Melting_Curves/meltCurve_O95050_2_INMT.pdf")</f>
        <v>Melting_Curves/meltCurve_O95050_2_INMT.pdf</v>
      </c>
    </row>
    <row r="1604" spans="1:28" x14ac:dyDescent="0.25">
      <c r="A1604" t="s">
        <v>1608</v>
      </c>
      <c r="B1604">
        <v>0.99334974765950101</v>
      </c>
      <c r="C1604">
        <v>0.88481484367324403</v>
      </c>
      <c r="D1604">
        <v>0.83177866989838301</v>
      </c>
      <c r="E1604">
        <v>0.58759943006829596</v>
      </c>
      <c r="F1604">
        <v>0.19660082947223501</v>
      </c>
      <c r="G1604">
        <v>8.2966971159059696E-2</v>
      </c>
      <c r="H1604">
        <v>5.1885536835566397E-2</v>
      </c>
      <c r="I1604">
        <v>4.0348572199034698E-2</v>
      </c>
      <c r="J1604">
        <v>4.6248101426166498E-2</v>
      </c>
      <c r="K1604">
        <v>3.5279935389735603E-2</v>
      </c>
      <c r="L1604">
        <v>1018.66333623933</v>
      </c>
      <c r="M1604">
        <v>20.365968401078099</v>
      </c>
      <c r="N1604">
        <v>50.140473931945799</v>
      </c>
      <c r="O1604">
        <v>49.543163943301899</v>
      </c>
      <c r="P1604">
        <v>-0.10027646104762999</v>
      </c>
      <c r="Q1604">
        <v>2.4281547314388401E-2</v>
      </c>
      <c r="R1604">
        <v>0.98784725797625195</v>
      </c>
      <c r="S1604" t="s">
        <v>7465</v>
      </c>
      <c r="T1604" t="s">
        <v>11720</v>
      </c>
      <c r="U1604" t="s">
        <v>11720</v>
      </c>
      <c r="V1604" t="s">
        <v>11720</v>
      </c>
      <c r="W1604" t="s">
        <v>13290</v>
      </c>
      <c r="X1604">
        <v>3</v>
      </c>
      <c r="Y1604" t="s">
        <v>19074</v>
      </c>
      <c r="Z1604" t="s">
        <v>24811</v>
      </c>
      <c r="AA1604">
        <v>0.36321357049368402</v>
      </c>
      <c r="AB1604" t="str">
        <f>HYPERLINK("Melting_Curves/meltCurve_O95057_DIRAS1.pdf", "Melting_Curves/meltCurve_O95057_DIRAS1.pdf")</f>
        <v>Melting_Curves/meltCurve_O95057_DIRAS1.pdf</v>
      </c>
    </row>
    <row r="1605" spans="1:28" x14ac:dyDescent="0.25">
      <c r="A1605" t="s">
        <v>1609</v>
      </c>
      <c r="B1605">
        <v>0.99334974765950101</v>
      </c>
      <c r="C1605">
        <v>1.0396838419761201</v>
      </c>
      <c r="D1605">
        <v>0.98522898796966296</v>
      </c>
      <c r="E1605">
        <v>0.98251951504019197</v>
      </c>
      <c r="F1605">
        <v>0.98620779820062399</v>
      </c>
      <c r="G1605">
        <v>0.86009119731910399</v>
      </c>
      <c r="H1605">
        <v>0.82742051426749297</v>
      </c>
      <c r="I1605">
        <v>1.21460870705507</v>
      </c>
      <c r="J1605">
        <v>0.87979118332114403</v>
      </c>
      <c r="K1605">
        <v>0.96290635680024494</v>
      </c>
      <c r="L1605">
        <v>13302.649642667</v>
      </c>
      <c r="M1605">
        <v>250</v>
      </c>
      <c r="O1605">
        <v>53.2071870698746</v>
      </c>
      <c r="P1605">
        <v>-5.9950078027568098E-2</v>
      </c>
      <c r="Q1605">
        <v>0.94896359366955796</v>
      </c>
      <c r="R1605">
        <v>5.6599117832219797E-2</v>
      </c>
      <c r="S1605" t="s">
        <v>7466</v>
      </c>
      <c r="T1605" t="s">
        <v>11720</v>
      </c>
      <c r="U1605" t="s">
        <v>11720</v>
      </c>
      <c r="V1605" t="s">
        <v>11720</v>
      </c>
      <c r="W1605" t="s">
        <v>13291</v>
      </c>
      <c r="X1605">
        <v>2</v>
      </c>
      <c r="Y1605" t="s">
        <v>19075</v>
      </c>
      <c r="Z1605" t="s">
        <v>24812</v>
      </c>
      <c r="AA1605">
        <v>0.97144240885907418</v>
      </c>
      <c r="AB1605" t="str">
        <f>HYPERLINK("Melting_Curves/meltCurve_O95084_PRSS23.pdf", "Melting_Curves/meltCurve_O95084_PRSS23.pdf")</f>
        <v>Melting_Curves/meltCurve_O95084_PRSS23.pdf</v>
      </c>
    </row>
    <row r="1606" spans="1:28" x14ac:dyDescent="0.25">
      <c r="A1606" t="s">
        <v>1610</v>
      </c>
      <c r="B1606">
        <v>0.99334974765950101</v>
      </c>
      <c r="C1606">
        <v>0.94961154891972199</v>
      </c>
      <c r="D1606">
        <v>0.68612119785395898</v>
      </c>
      <c r="E1606">
        <v>0.18278034900118401</v>
      </c>
      <c r="F1606">
        <v>0.103985309880031</v>
      </c>
      <c r="G1606">
        <v>8.8773405590780105E-2</v>
      </c>
      <c r="H1606">
        <v>0.106656577529716</v>
      </c>
      <c r="I1606">
        <v>0.103112251689504</v>
      </c>
      <c r="J1606">
        <v>8.1388831454238503E-2</v>
      </c>
      <c r="K1606">
        <v>7.2682193769215003E-2</v>
      </c>
      <c r="L1606">
        <v>1578.08175535908</v>
      </c>
      <c r="M1606">
        <v>33.681761822225099</v>
      </c>
      <c r="N1606">
        <v>47.126640817911998</v>
      </c>
      <c r="O1606">
        <v>46.688476843708798</v>
      </c>
      <c r="P1606">
        <v>-0.164320358461918</v>
      </c>
      <c r="Q1606">
        <v>8.89033249878734E-2</v>
      </c>
      <c r="R1606">
        <v>0.99923259467941905</v>
      </c>
      <c r="S1606" t="s">
        <v>7467</v>
      </c>
      <c r="T1606" t="s">
        <v>11720</v>
      </c>
      <c r="U1606" t="s">
        <v>11720</v>
      </c>
      <c r="V1606" t="s">
        <v>11720</v>
      </c>
      <c r="W1606" t="s">
        <v>13292</v>
      </c>
      <c r="X1606">
        <v>2</v>
      </c>
      <c r="Y1606" t="s">
        <v>19076</v>
      </c>
      <c r="Z1606" t="s">
        <v>24813</v>
      </c>
      <c r="AA1606">
        <v>0.3012872282339451</v>
      </c>
      <c r="AB1606" t="str">
        <f>HYPERLINK("Melting_Curves/meltCurve_O95104_2_SCAF4.pdf", "Melting_Curves/meltCurve_O95104_2_SCAF4.pdf")</f>
        <v>Melting_Curves/meltCurve_O95104_2_SCAF4.pdf</v>
      </c>
    </row>
    <row r="1607" spans="1:28" x14ac:dyDescent="0.25">
      <c r="A1607" t="s">
        <v>1611</v>
      </c>
      <c r="B1607">
        <v>0.99334974765950101</v>
      </c>
      <c r="C1607">
        <v>0.83203154124615797</v>
      </c>
      <c r="D1607">
        <v>0.86192739148556596</v>
      </c>
      <c r="E1607">
        <v>0.64618224742789998</v>
      </c>
      <c r="F1607">
        <v>0.73670743048787302</v>
      </c>
      <c r="G1607">
        <v>0.62425106984644196</v>
      </c>
      <c r="H1607">
        <v>0.58557413472008901</v>
      </c>
      <c r="I1607">
        <v>0.69463648843263204</v>
      </c>
      <c r="J1607">
        <v>0.71597100207536002</v>
      </c>
      <c r="K1607">
        <v>0.37043702481759</v>
      </c>
      <c r="L1607">
        <v>379.18110167511099</v>
      </c>
      <c r="M1607">
        <v>7.7414382597694598</v>
      </c>
      <c r="O1607">
        <v>46.0341596380594</v>
      </c>
      <c r="P1607">
        <v>-2.0140360911827599E-2</v>
      </c>
      <c r="Q1607">
        <v>0.521556117978073</v>
      </c>
      <c r="R1607">
        <v>0.65926016272038601</v>
      </c>
      <c r="S1607" t="s">
        <v>7468</v>
      </c>
      <c r="T1607" t="s">
        <v>11720</v>
      </c>
      <c r="U1607" t="s">
        <v>11720</v>
      </c>
      <c r="V1607" t="s">
        <v>11720</v>
      </c>
      <c r="W1607" t="s">
        <v>13293</v>
      </c>
      <c r="X1607">
        <v>2</v>
      </c>
      <c r="Y1607" t="s">
        <v>19077</v>
      </c>
      <c r="Z1607" t="s">
        <v>24814</v>
      </c>
      <c r="AA1607">
        <v>0.69769042984987406</v>
      </c>
      <c r="AB1607" t="str">
        <f>HYPERLINK("Melting_Curves/meltCurve_O95136_S1PR2.pdf", "Melting_Curves/meltCurve_O95136_S1PR2.pdf")</f>
        <v>Melting_Curves/meltCurve_O95136_S1PR2.pdf</v>
      </c>
    </row>
    <row r="1608" spans="1:28" x14ac:dyDescent="0.25">
      <c r="A1608" t="s">
        <v>1612</v>
      </c>
      <c r="B1608">
        <v>0.99334974765950101</v>
      </c>
      <c r="C1608">
        <v>1.0087169379262799</v>
      </c>
      <c r="D1608">
        <v>0.98486408818284998</v>
      </c>
      <c r="E1608">
        <v>1.0197879877916101</v>
      </c>
      <c r="F1608">
        <v>1.19912533714209</v>
      </c>
      <c r="G1608">
        <v>0.87585414455260202</v>
      </c>
      <c r="H1608">
        <v>0.80715016885236601</v>
      </c>
      <c r="I1608">
        <v>0.91227328915523098</v>
      </c>
      <c r="J1608">
        <v>1.0943659101385801</v>
      </c>
      <c r="K1608">
        <v>0.85470414190198696</v>
      </c>
      <c r="L1608">
        <v>13782.831372479101</v>
      </c>
      <c r="M1608">
        <v>250</v>
      </c>
      <c r="O1608">
        <v>55.127797466083798</v>
      </c>
      <c r="P1608">
        <v>-0.103318885050336</v>
      </c>
      <c r="Q1608">
        <v>0.908868119020521</v>
      </c>
      <c r="R1608">
        <v>0.28345140882318398</v>
      </c>
      <c r="S1608" t="s">
        <v>7469</v>
      </c>
      <c r="T1608" t="s">
        <v>11720</v>
      </c>
      <c r="U1608" t="s">
        <v>11720</v>
      </c>
      <c r="V1608" t="s">
        <v>11720</v>
      </c>
      <c r="W1608" t="s">
        <v>13294</v>
      </c>
      <c r="X1608">
        <v>3</v>
      </c>
      <c r="Y1608" t="s">
        <v>19078</v>
      </c>
      <c r="Z1608" t="s">
        <v>24815</v>
      </c>
      <c r="AA1608">
        <v>0.9548418082378447</v>
      </c>
      <c r="AB1608" t="str">
        <f>HYPERLINK("Melting_Curves/meltCurve_O95139_NDUFB6.pdf", "Melting_Curves/meltCurve_O95139_NDUFB6.pdf")</f>
        <v>Melting_Curves/meltCurve_O95139_NDUFB6.pdf</v>
      </c>
    </row>
    <row r="1609" spans="1:28" x14ac:dyDescent="0.25">
      <c r="A1609" t="s">
        <v>1613</v>
      </c>
      <c r="B1609">
        <v>0.99334974765950101</v>
      </c>
      <c r="C1609">
        <v>0.90374316540354704</v>
      </c>
      <c r="D1609">
        <v>0.82962130667804901</v>
      </c>
      <c r="E1609">
        <v>0.68395625263722803</v>
      </c>
      <c r="F1609">
        <v>0.48262275324262699</v>
      </c>
      <c r="G1609">
        <v>0.19103774491089301</v>
      </c>
      <c r="H1609">
        <v>0.121333889384344</v>
      </c>
      <c r="I1609">
        <v>0.10705364340868199</v>
      </c>
      <c r="J1609">
        <v>0.104528772496444</v>
      </c>
      <c r="K1609">
        <v>8.5490676061259804E-2</v>
      </c>
      <c r="L1609">
        <v>748.76262045973897</v>
      </c>
      <c r="M1609">
        <v>14.449318706152299</v>
      </c>
      <c r="N1609">
        <v>52.178719400772898</v>
      </c>
      <c r="O1609">
        <v>50.857703167651998</v>
      </c>
      <c r="P1609">
        <v>-6.7677141026575197E-2</v>
      </c>
      <c r="Q1609">
        <v>4.72903059016598E-2</v>
      </c>
      <c r="R1609">
        <v>0.99076381029456795</v>
      </c>
      <c r="S1609" t="s">
        <v>7470</v>
      </c>
      <c r="T1609" t="s">
        <v>11720</v>
      </c>
      <c r="U1609" t="s">
        <v>11720</v>
      </c>
      <c r="V1609" t="s">
        <v>11720</v>
      </c>
      <c r="W1609" t="s">
        <v>13295</v>
      </c>
      <c r="X1609">
        <v>17</v>
      </c>
      <c r="Y1609" t="s">
        <v>19079</v>
      </c>
      <c r="Z1609" t="s">
        <v>24816</v>
      </c>
      <c r="AA1609">
        <v>0.44535145257563757</v>
      </c>
      <c r="AB1609" t="str">
        <f>HYPERLINK("Melting_Curves/meltCurve_O95140_MFN2.pdf", "Melting_Curves/meltCurve_O95140_MFN2.pdf")</f>
        <v>Melting_Curves/meltCurve_O95140_MFN2.pdf</v>
      </c>
    </row>
    <row r="1610" spans="1:28" x14ac:dyDescent="0.25">
      <c r="A1610" t="s">
        <v>1614</v>
      </c>
      <c r="B1610">
        <v>0.99334974765950101</v>
      </c>
      <c r="C1610">
        <v>1.03354727170861</v>
      </c>
      <c r="D1610">
        <v>1.06789857086301</v>
      </c>
      <c r="E1610">
        <v>0.94918905076950599</v>
      </c>
      <c r="F1610">
        <v>0.36734019270764001</v>
      </c>
      <c r="G1610">
        <v>0.190020280507494</v>
      </c>
      <c r="H1610">
        <v>0.143237102960657</v>
      </c>
      <c r="I1610">
        <v>0.14669508248719099</v>
      </c>
      <c r="J1610">
        <v>0.14913933480302599</v>
      </c>
      <c r="K1610">
        <v>0.121501641067341</v>
      </c>
      <c r="L1610">
        <v>3320.5956819237899</v>
      </c>
      <c r="M1610">
        <v>63.706941011902302</v>
      </c>
      <c r="N1610">
        <v>52.414387304723199</v>
      </c>
      <c r="O1610">
        <v>52.0717086908002</v>
      </c>
      <c r="P1610">
        <v>-0.26024898260525697</v>
      </c>
      <c r="Q1610">
        <v>0.149128748154427</v>
      </c>
      <c r="R1610">
        <v>0.99523991581578197</v>
      </c>
      <c r="S1610" t="s">
        <v>7471</v>
      </c>
      <c r="T1610" t="s">
        <v>11720</v>
      </c>
      <c r="U1610" t="s">
        <v>11720</v>
      </c>
      <c r="V1610" t="s">
        <v>11720</v>
      </c>
      <c r="W1610" t="s">
        <v>13296</v>
      </c>
      <c r="X1610">
        <v>14</v>
      </c>
      <c r="Y1610" t="s">
        <v>19080</v>
      </c>
      <c r="Z1610" t="s">
        <v>24817</v>
      </c>
      <c r="AA1610">
        <v>0.4941677237567077</v>
      </c>
      <c r="AB1610" t="str">
        <f>HYPERLINK("Melting_Curves/meltCurve_O95155_2_UBE4B.pdf", "Melting_Curves/meltCurve_O95155_2_UBE4B.pdf")</f>
        <v>Melting_Curves/meltCurve_O95155_2_UBE4B.pdf</v>
      </c>
    </row>
    <row r="1611" spans="1:28" x14ac:dyDescent="0.25">
      <c r="A1611" t="s">
        <v>1615</v>
      </c>
      <c r="B1611">
        <v>0.99334974765950101</v>
      </c>
      <c r="C1611">
        <v>0.95740171549397601</v>
      </c>
      <c r="D1611">
        <v>0.87054553226704801</v>
      </c>
      <c r="E1611">
        <v>0.74043971399063901</v>
      </c>
      <c r="F1611">
        <v>0.32063436477711299</v>
      </c>
      <c r="G1611">
        <v>0.18094887562914599</v>
      </c>
      <c r="H1611">
        <v>0.13427636753727401</v>
      </c>
      <c r="I1611">
        <v>0.11229056645204299</v>
      </c>
      <c r="J1611">
        <v>0.102187338138721</v>
      </c>
      <c r="K1611">
        <v>9.2450666223662298E-2</v>
      </c>
      <c r="L1611">
        <v>1293.6518947776501</v>
      </c>
      <c r="M1611">
        <v>25.2724320758064</v>
      </c>
      <c r="N1611">
        <v>51.660066744893399</v>
      </c>
      <c r="O1611">
        <v>50.870989491712898</v>
      </c>
      <c r="P1611">
        <v>-0.11140083239366</v>
      </c>
      <c r="Q1611">
        <v>0.103054656627595</v>
      </c>
      <c r="R1611">
        <v>0.98964674530387597</v>
      </c>
      <c r="S1611" t="s">
        <v>7472</v>
      </c>
      <c r="T1611" t="s">
        <v>11720</v>
      </c>
      <c r="U1611" t="s">
        <v>11720</v>
      </c>
      <c r="V1611" t="s">
        <v>11720</v>
      </c>
      <c r="W1611" t="s">
        <v>13297</v>
      </c>
      <c r="X1611">
        <v>9</v>
      </c>
      <c r="Y1611" t="s">
        <v>19081</v>
      </c>
      <c r="Z1611" t="s">
        <v>24818</v>
      </c>
      <c r="AA1611">
        <v>0.44551211399908153</v>
      </c>
      <c r="AB1611" t="str">
        <f>HYPERLINK("Melting_Curves/meltCurve_O95159_ZFPL1.pdf", "Melting_Curves/meltCurve_O95159_ZFPL1.pdf")</f>
        <v>Melting_Curves/meltCurve_O95159_ZFPL1.pdf</v>
      </c>
    </row>
    <row r="1612" spans="1:28" x14ac:dyDescent="0.25">
      <c r="A1612" t="s">
        <v>1616</v>
      </c>
      <c r="B1612">
        <v>0.99334974765950101</v>
      </c>
      <c r="C1612">
        <v>0.91101271208245005</v>
      </c>
      <c r="D1612">
        <v>0.82377766529082497</v>
      </c>
      <c r="E1612">
        <v>0.80067374710815598</v>
      </c>
      <c r="F1612">
        <v>0.879040717850335</v>
      </c>
      <c r="G1612">
        <v>0.83376762864795995</v>
      </c>
      <c r="H1612">
        <v>1.0905643617743801</v>
      </c>
      <c r="I1612">
        <v>1.4475998891252899</v>
      </c>
      <c r="J1612">
        <v>1.5054305687062599</v>
      </c>
      <c r="K1612">
        <v>0.93470277224759102</v>
      </c>
      <c r="L1612">
        <v>15000</v>
      </c>
      <c r="M1612">
        <v>245.083256876707</v>
      </c>
      <c r="O1612">
        <v>61.1996096152006</v>
      </c>
      <c r="P1612">
        <v>0.29625477889497198</v>
      </c>
      <c r="Q1612">
        <v>1.2959105229904999</v>
      </c>
      <c r="R1612">
        <v>0.45522230324287599</v>
      </c>
      <c r="S1612" t="s">
        <v>7473</v>
      </c>
      <c r="T1612" t="s">
        <v>11720</v>
      </c>
      <c r="U1612" t="s">
        <v>11720</v>
      </c>
      <c r="V1612" t="s">
        <v>11720</v>
      </c>
      <c r="W1612" t="s">
        <v>13298</v>
      </c>
      <c r="X1612">
        <v>2</v>
      </c>
      <c r="Y1612" t="s">
        <v>19082</v>
      </c>
      <c r="Z1612" t="s">
        <v>24819</v>
      </c>
      <c r="AA1612">
        <v>1.0867309375583141</v>
      </c>
      <c r="AB1612" t="str">
        <f>HYPERLINK("Melting_Curves/meltCurve_O95167_NDUFA3.pdf", "Melting_Curves/meltCurve_O95167_NDUFA3.pdf")</f>
        <v>Melting_Curves/meltCurve_O95167_NDUFA3.pdf</v>
      </c>
    </row>
    <row r="1613" spans="1:28" x14ac:dyDescent="0.25">
      <c r="A1613" t="s">
        <v>1617</v>
      </c>
      <c r="B1613">
        <v>0.99334974765950101</v>
      </c>
      <c r="C1613">
        <v>0.89702611459228099</v>
      </c>
      <c r="D1613">
        <v>0.84067080719939702</v>
      </c>
      <c r="E1613">
        <v>0.73629753723453295</v>
      </c>
      <c r="F1613">
        <v>0.76649760024542801</v>
      </c>
      <c r="G1613">
        <v>0.63513021878904397</v>
      </c>
      <c r="H1613">
        <v>0.55013036399942905</v>
      </c>
      <c r="I1613">
        <v>0.70190864048952695</v>
      </c>
      <c r="J1613">
        <v>0.69526112922336203</v>
      </c>
      <c r="K1613">
        <v>0.586764750754451</v>
      </c>
      <c r="L1613">
        <v>578.83721569820102</v>
      </c>
      <c r="M1613">
        <v>12.2246511345356</v>
      </c>
      <c r="O1613">
        <v>46.136402748832502</v>
      </c>
      <c r="P1613">
        <v>-2.5001979291652401E-2</v>
      </c>
      <c r="Q1613">
        <v>0.62265012538698306</v>
      </c>
      <c r="R1613">
        <v>0.85364603278028295</v>
      </c>
      <c r="S1613" t="s">
        <v>7474</v>
      </c>
      <c r="T1613" t="s">
        <v>11720</v>
      </c>
      <c r="U1613" t="s">
        <v>11720</v>
      </c>
      <c r="V1613" t="s">
        <v>11720</v>
      </c>
      <c r="W1613" t="s">
        <v>13299</v>
      </c>
      <c r="X1613">
        <v>7</v>
      </c>
      <c r="Y1613" t="s">
        <v>19083</v>
      </c>
      <c r="Z1613" t="s">
        <v>24820</v>
      </c>
      <c r="AA1613">
        <v>0.73002897770703545</v>
      </c>
      <c r="AB1613" t="str">
        <f>HYPERLINK("Melting_Curves/meltCurve_O95183_VAMP5.pdf", "Melting_Curves/meltCurve_O95183_VAMP5.pdf")</f>
        <v>Melting_Curves/meltCurve_O95183_VAMP5.pdf</v>
      </c>
    </row>
    <row r="1614" spans="1:28" x14ac:dyDescent="0.25">
      <c r="A1614" t="s">
        <v>1618</v>
      </c>
      <c r="B1614">
        <v>0.99334974765950101</v>
      </c>
      <c r="C1614">
        <v>1.0796197472595299</v>
      </c>
      <c r="D1614">
        <v>1.0868538274282</v>
      </c>
      <c r="E1614">
        <v>0.91965080773696795</v>
      </c>
      <c r="F1614">
        <v>1.0169704187619399</v>
      </c>
      <c r="G1614">
        <v>0.76618221697061295</v>
      </c>
      <c r="H1614">
        <v>0.70986220122114696</v>
      </c>
      <c r="I1614">
        <v>0.67251221937153405</v>
      </c>
      <c r="J1614">
        <v>0.743521803495095</v>
      </c>
      <c r="K1614">
        <v>0.56407603345325297</v>
      </c>
      <c r="L1614">
        <v>6799.8011537206603</v>
      </c>
      <c r="M1614">
        <v>120.20824681137201</v>
      </c>
      <c r="O1614">
        <v>56.551192709823603</v>
      </c>
      <c r="P1614">
        <v>-0.17405392823204399</v>
      </c>
      <c r="Q1614">
        <v>0.67246982660899701</v>
      </c>
      <c r="R1614">
        <v>0.87585953798243099</v>
      </c>
      <c r="S1614" t="s">
        <v>7475</v>
      </c>
      <c r="T1614" t="s">
        <v>11720</v>
      </c>
      <c r="U1614" t="s">
        <v>11720</v>
      </c>
      <c r="V1614" t="s">
        <v>11720</v>
      </c>
      <c r="W1614" t="s">
        <v>13300</v>
      </c>
      <c r="X1614">
        <v>20</v>
      </c>
      <c r="Y1614" t="s">
        <v>19084</v>
      </c>
      <c r="Z1614" t="s">
        <v>24821</v>
      </c>
      <c r="AA1614">
        <v>0.85348194380547959</v>
      </c>
      <c r="AB1614" t="str">
        <f>HYPERLINK("Melting_Curves/meltCurve_O95197_2_RTN3.pdf", "Melting_Curves/meltCurve_O95197_2_RTN3.pdf")</f>
        <v>Melting_Curves/meltCurve_O95197_2_RTN3.pdf</v>
      </c>
    </row>
    <row r="1615" spans="1:28" x14ac:dyDescent="0.25">
      <c r="A1615" t="s">
        <v>1619</v>
      </c>
      <c r="B1615">
        <v>0.99334974765950101</v>
      </c>
      <c r="C1615">
        <v>0.95330708902618799</v>
      </c>
      <c r="D1615">
        <v>0.87748435711490103</v>
      </c>
      <c r="E1615">
        <v>0.85008008003948299</v>
      </c>
      <c r="F1615">
        <v>0.33848227060254199</v>
      </c>
      <c r="G1615">
        <v>0.158829882867595</v>
      </c>
      <c r="H1615">
        <v>0.11031088916592099</v>
      </c>
      <c r="I1615">
        <v>8.7138230133980699E-2</v>
      </c>
      <c r="J1615">
        <v>8.7346145240149803E-2</v>
      </c>
      <c r="K1615">
        <v>6.8222051966347605E-2</v>
      </c>
      <c r="L1615">
        <v>2103.1868094338101</v>
      </c>
      <c r="M1615">
        <v>40.596397477908901</v>
      </c>
      <c r="N1615">
        <v>52.0794536867798</v>
      </c>
      <c r="O1615">
        <v>51.681994300572597</v>
      </c>
      <c r="P1615">
        <v>-0.177602780367073</v>
      </c>
      <c r="Q1615">
        <v>9.5599768845961303E-2</v>
      </c>
      <c r="R1615">
        <v>0.98721299201346402</v>
      </c>
      <c r="S1615" t="s">
        <v>7476</v>
      </c>
      <c r="T1615" t="s">
        <v>11720</v>
      </c>
      <c r="U1615" t="s">
        <v>11720</v>
      </c>
      <c r="V1615" t="s">
        <v>11720</v>
      </c>
      <c r="W1615" t="s">
        <v>13301</v>
      </c>
      <c r="X1615">
        <v>23</v>
      </c>
      <c r="Y1615" t="s">
        <v>19085</v>
      </c>
      <c r="Z1615" t="s">
        <v>24822</v>
      </c>
      <c r="AA1615">
        <v>0.45469092655205168</v>
      </c>
      <c r="AB1615" t="str">
        <f>HYPERLINK("Melting_Curves/meltCurve_O95202_LETM1.pdf", "Melting_Curves/meltCurve_O95202_LETM1.pdf")</f>
        <v>Melting_Curves/meltCurve_O95202_LETM1.pdf</v>
      </c>
    </row>
    <row r="1616" spans="1:28" x14ac:dyDescent="0.25">
      <c r="A1616" t="s">
        <v>1620</v>
      </c>
      <c r="B1616">
        <v>0.99334974765950101</v>
      </c>
      <c r="C1616">
        <v>0.97741408092947901</v>
      </c>
      <c r="D1616">
        <v>0.74266780620750705</v>
      </c>
      <c r="E1616">
        <v>0.64725542011575699</v>
      </c>
      <c r="F1616">
        <v>0.67315104046679797</v>
      </c>
      <c r="G1616">
        <v>0.63630152591084599</v>
      </c>
      <c r="H1616">
        <v>0.762487875501762</v>
      </c>
      <c r="I1616">
        <v>0.49465715947995098</v>
      </c>
      <c r="J1616">
        <v>0.55593018667810201</v>
      </c>
      <c r="K1616">
        <v>0.23016226353906699</v>
      </c>
      <c r="L1616">
        <v>267.022440053982</v>
      </c>
      <c r="M1616">
        <v>4.1504289541452399</v>
      </c>
      <c r="N1616">
        <v>64.336107222507806</v>
      </c>
      <c r="O1616">
        <v>53.424895136585398</v>
      </c>
      <c r="P1616">
        <v>-1.9643396143831E-2</v>
      </c>
      <c r="Q1616">
        <v>0</v>
      </c>
      <c r="R1616">
        <v>0.72500226114835598</v>
      </c>
      <c r="S1616" t="s">
        <v>7477</v>
      </c>
      <c r="T1616" t="s">
        <v>11720</v>
      </c>
      <c r="U1616" t="s">
        <v>11720</v>
      </c>
      <c r="V1616" t="s">
        <v>11720</v>
      </c>
      <c r="W1616" t="s">
        <v>13302</v>
      </c>
      <c r="X1616">
        <v>7</v>
      </c>
      <c r="Y1616" t="s">
        <v>19086</v>
      </c>
      <c r="Z1616" t="s">
        <v>24823</v>
      </c>
      <c r="AA1616">
        <v>0.67133044554824906</v>
      </c>
      <c r="AB1616" t="str">
        <f>HYPERLINK("Melting_Curves/meltCurve_O95205_MBLL.pdf", "Melting_Curves/meltCurve_O95205_MBLL.pdf")</f>
        <v>Melting_Curves/meltCurve_O95205_MBLL.pdf</v>
      </c>
    </row>
    <row r="1617" spans="1:28" x14ac:dyDescent="0.25">
      <c r="A1617" t="s">
        <v>1621</v>
      </c>
      <c r="B1617">
        <v>0.99334974765950101</v>
      </c>
      <c r="C1617">
        <v>1.1018105685953099</v>
      </c>
      <c r="D1617">
        <v>0.93663164804896304</v>
      </c>
      <c r="E1617">
        <v>0.78277584282477697</v>
      </c>
      <c r="F1617">
        <v>0.81980300140849904</v>
      </c>
      <c r="G1617">
        <v>0.53177423303535298</v>
      </c>
      <c r="H1617">
        <v>0.51184306790410605</v>
      </c>
      <c r="I1617">
        <v>0.348108290093259</v>
      </c>
      <c r="J1617">
        <v>0.42270722139259598</v>
      </c>
      <c r="K1617">
        <v>0.445988039258363</v>
      </c>
      <c r="L1617">
        <v>851.97741064209094</v>
      </c>
      <c r="M1617">
        <v>15.8068718597981</v>
      </c>
      <c r="N1617">
        <v>59.498271782285002</v>
      </c>
      <c r="O1617">
        <v>53.058645469853502</v>
      </c>
      <c r="P1617">
        <v>-4.5656561669046199E-2</v>
      </c>
      <c r="Q1617">
        <v>0.38703225018656101</v>
      </c>
      <c r="R1617">
        <v>0.94001838763640799</v>
      </c>
      <c r="S1617" t="s">
        <v>7478</v>
      </c>
      <c r="T1617" t="s">
        <v>11720</v>
      </c>
      <c r="U1617" t="s">
        <v>11720</v>
      </c>
      <c r="V1617" t="s">
        <v>11720</v>
      </c>
      <c r="W1617" t="s">
        <v>13303</v>
      </c>
      <c r="X1617">
        <v>2</v>
      </c>
      <c r="Y1617" t="s">
        <v>19087</v>
      </c>
      <c r="Z1617" t="s">
        <v>24824</v>
      </c>
      <c r="AA1617">
        <v>0.68284060098242583</v>
      </c>
      <c r="AB1617" t="str">
        <f>HYPERLINK("Melting_Curves/meltCurve_O95210_STBD1.pdf", "Melting_Curves/meltCurve_O95210_STBD1.pdf")</f>
        <v>Melting_Curves/meltCurve_O95210_STBD1.pdf</v>
      </c>
    </row>
    <row r="1618" spans="1:28" x14ac:dyDescent="0.25">
      <c r="A1618" t="s">
        <v>1622</v>
      </c>
      <c r="B1618">
        <v>0.99334974765950101</v>
      </c>
      <c r="C1618">
        <v>1.0253873246517999</v>
      </c>
      <c r="D1618">
        <v>0.93805271804712398</v>
      </c>
      <c r="E1618">
        <v>0.87905588066228502</v>
      </c>
      <c r="F1618">
        <v>1.1015391997713799</v>
      </c>
      <c r="G1618">
        <v>1.08945091977436</v>
      </c>
      <c r="H1618">
        <v>1.12297934343442</v>
      </c>
      <c r="I1618">
        <v>1.3503315805613501</v>
      </c>
      <c r="J1618">
        <v>1.61918815196049</v>
      </c>
      <c r="K1618">
        <v>1.4804250652681401</v>
      </c>
      <c r="L1618">
        <v>3210.3621808028302</v>
      </c>
      <c r="M1618">
        <v>51.3880301212455</v>
      </c>
      <c r="O1618">
        <v>62.378540914818203</v>
      </c>
      <c r="P1618">
        <v>0.102976217111623</v>
      </c>
      <c r="Q1618">
        <v>1.5</v>
      </c>
      <c r="R1618">
        <v>0.89394548439469601</v>
      </c>
      <c r="S1618" t="s">
        <v>7479</v>
      </c>
      <c r="T1618" t="s">
        <v>11720</v>
      </c>
      <c r="U1618" t="s">
        <v>11720</v>
      </c>
      <c r="V1618" t="s">
        <v>11720</v>
      </c>
      <c r="W1618" t="s">
        <v>13304</v>
      </c>
      <c r="X1618">
        <v>15</v>
      </c>
      <c r="Y1618" t="s">
        <v>19088</v>
      </c>
      <c r="Z1618" t="s">
        <v>24825</v>
      </c>
      <c r="AA1618">
        <v>1.124252539063846</v>
      </c>
      <c r="AB1618" t="str">
        <f>HYPERLINK("Melting_Curves/meltCurve_O95218_2_ZRANB2.pdf", "Melting_Curves/meltCurve_O95218_2_ZRANB2.pdf")</f>
        <v>Melting_Curves/meltCurve_O95218_2_ZRANB2.pdf</v>
      </c>
    </row>
    <row r="1619" spans="1:28" x14ac:dyDescent="0.25">
      <c r="A1619" t="s">
        <v>1623</v>
      </c>
      <c r="B1619">
        <v>0.99334974765950101</v>
      </c>
      <c r="C1619">
        <v>0.96746760117187902</v>
      </c>
      <c r="D1619">
        <v>0.85226104541881598</v>
      </c>
      <c r="E1619">
        <v>0.40035279398752599</v>
      </c>
      <c r="F1619">
        <v>0.203529132186998</v>
      </c>
      <c r="G1619">
        <v>0.13891701305374801</v>
      </c>
      <c r="H1619">
        <v>0.10664462750626801</v>
      </c>
      <c r="I1619">
        <v>8.2839065284007599E-2</v>
      </c>
      <c r="J1619">
        <v>7.4614548409912398E-2</v>
      </c>
      <c r="K1619">
        <v>6.2084206040638898E-2</v>
      </c>
      <c r="L1619">
        <v>1222.7844328169399</v>
      </c>
      <c r="M1619">
        <v>25.0353870833192</v>
      </c>
      <c r="N1619">
        <v>49.2110388133557</v>
      </c>
      <c r="O1619">
        <v>48.533811708022398</v>
      </c>
      <c r="P1619">
        <v>-0.117929620322972</v>
      </c>
      <c r="Q1619">
        <v>8.5534848803554997E-2</v>
      </c>
      <c r="R1619">
        <v>0.99842271834769103</v>
      </c>
      <c r="S1619" t="s">
        <v>7480</v>
      </c>
      <c r="T1619" t="s">
        <v>11720</v>
      </c>
      <c r="U1619" t="s">
        <v>11720</v>
      </c>
      <c r="V1619" t="s">
        <v>11720</v>
      </c>
      <c r="W1619" t="s">
        <v>13305</v>
      </c>
      <c r="X1619">
        <v>18</v>
      </c>
      <c r="Y1619" t="s">
        <v>19089</v>
      </c>
      <c r="Z1619" t="s">
        <v>24826</v>
      </c>
      <c r="AA1619">
        <v>0.36313780659683081</v>
      </c>
      <c r="AB1619" t="str">
        <f>HYPERLINK("Melting_Curves/meltCurve_O95219_SNX4.pdf", "Melting_Curves/meltCurve_O95219_SNX4.pdf")</f>
        <v>Melting_Curves/meltCurve_O95219_SNX4.pdf</v>
      </c>
    </row>
    <row r="1620" spans="1:28" x14ac:dyDescent="0.25">
      <c r="A1620" t="s">
        <v>1624</v>
      </c>
      <c r="B1620">
        <v>0.99334974765950101</v>
      </c>
      <c r="C1620">
        <v>1.0285300191737601</v>
      </c>
      <c r="D1620">
        <v>1.0389414187241499</v>
      </c>
      <c r="E1620">
        <v>1.00630623713194</v>
      </c>
      <c r="F1620">
        <v>0.68368912127065595</v>
      </c>
      <c r="G1620">
        <v>0.17086426112101999</v>
      </c>
      <c r="H1620">
        <v>7.6008634447192594E-2</v>
      </c>
      <c r="I1620">
        <v>4.6975331640504103E-2</v>
      </c>
      <c r="J1620">
        <v>4.1663104764055603E-2</v>
      </c>
      <c r="K1620">
        <v>3.3716028970037899E-2</v>
      </c>
      <c r="L1620">
        <v>2115.4425515859102</v>
      </c>
      <c r="M1620">
        <v>39.144620787599699</v>
      </c>
      <c r="N1620">
        <v>54.181911812963598</v>
      </c>
      <c r="O1620">
        <v>53.901270187842698</v>
      </c>
      <c r="P1620">
        <v>-0.17281325592027799</v>
      </c>
      <c r="Q1620">
        <v>4.81624092612788E-2</v>
      </c>
      <c r="R1620">
        <v>0.99732530495809402</v>
      </c>
      <c r="S1620" t="s">
        <v>7481</v>
      </c>
      <c r="T1620" t="s">
        <v>11720</v>
      </c>
      <c r="U1620" t="s">
        <v>11720</v>
      </c>
      <c r="V1620" t="s">
        <v>11720</v>
      </c>
      <c r="W1620" t="s">
        <v>13306</v>
      </c>
      <c r="X1620">
        <v>1</v>
      </c>
      <c r="Y1620" t="s">
        <v>19090</v>
      </c>
      <c r="Z1620" t="s">
        <v>24827</v>
      </c>
      <c r="AA1620">
        <v>0.49738165481862773</v>
      </c>
      <c r="AB1620" t="str">
        <f>HYPERLINK("Melting_Curves/meltCurve_O95231_VENTX.pdf", "Melting_Curves/meltCurve_O95231_VENTX.pdf")</f>
        <v>Melting_Curves/meltCurve_O95231_VENTX.pdf</v>
      </c>
    </row>
    <row r="1621" spans="1:28" x14ac:dyDescent="0.25">
      <c r="A1621" t="s">
        <v>1625</v>
      </c>
      <c r="B1621">
        <v>0.99334974765950101</v>
      </c>
      <c r="C1621">
        <v>0.95237227424300597</v>
      </c>
      <c r="D1621">
        <v>0.84460905016119903</v>
      </c>
      <c r="E1621">
        <v>0.50888234493492701</v>
      </c>
      <c r="F1621">
        <v>0.35633226454926797</v>
      </c>
      <c r="G1621">
        <v>0.19618312628391399</v>
      </c>
      <c r="H1621">
        <v>0.15821383037470901</v>
      </c>
      <c r="I1621">
        <v>0.13419385102346901</v>
      </c>
      <c r="J1621">
        <v>0.15017751470648699</v>
      </c>
      <c r="K1621">
        <v>0.13930425634954599</v>
      </c>
      <c r="L1621">
        <v>922.37306058068395</v>
      </c>
      <c r="M1621">
        <v>18.617689988575101</v>
      </c>
      <c r="N1621">
        <v>50.386617964935901</v>
      </c>
      <c r="O1621">
        <v>48.981867742331502</v>
      </c>
      <c r="P1621">
        <v>-8.23007650095786E-2</v>
      </c>
      <c r="Q1621">
        <v>0.133926811632823</v>
      </c>
      <c r="R1621">
        <v>0.99870901977257698</v>
      </c>
      <c r="S1621" t="s">
        <v>7482</v>
      </c>
      <c r="T1621" t="s">
        <v>11720</v>
      </c>
      <c r="U1621" t="s">
        <v>11720</v>
      </c>
      <c r="V1621" t="s">
        <v>11720</v>
      </c>
      <c r="W1621" t="s">
        <v>13307</v>
      </c>
      <c r="X1621">
        <v>10</v>
      </c>
      <c r="Y1621" t="s">
        <v>19091</v>
      </c>
      <c r="Z1621" t="s">
        <v>24828</v>
      </c>
      <c r="AA1621">
        <v>0.42333749483868599</v>
      </c>
      <c r="AB1621" t="str">
        <f>HYPERLINK("Melting_Curves/meltCurve_O95273_CCNDBP1.pdf", "Melting_Curves/meltCurve_O95273_CCNDBP1.pdf")</f>
        <v>Melting_Curves/meltCurve_O95273_CCNDBP1.pdf</v>
      </c>
    </row>
    <row r="1622" spans="1:28" x14ac:dyDescent="0.25">
      <c r="A1622" t="s">
        <v>1626</v>
      </c>
      <c r="B1622">
        <v>0.99334974765950101</v>
      </c>
      <c r="C1622">
        <v>0.91814134262437896</v>
      </c>
      <c r="D1622">
        <v>0.84722183757781</v>
      </c>
      <c r="E1622">
        <v>0.86921979958259799</v>
      </c>
      <c r="F1622">
        <v>0.59425362456460096</v>
      </c>
      <c r="G1622">
        <v>0.28268148973118301</v>
      </c>
      <c r="H1622">
        <v>0.16731924638315299</v>
      </c>
      <c r="I1622">
        <v>0.140494099976436</v>
      </c>
      <c r="J1622">
        <v>0.14122358575656899</v>
      </c>
      <c r="K1622">
        <v>0.136483105632622</v>
      </c>
      <c r="L1622">
        <v>1097.9725208750599</v>
      </c>
      <c r="M1622">
        <v>20.577946825815001</v>
      </c>
      <c r="N1622">
        <v>54.0548188494109</v>
      </c>
      <c r="O1622">
        <v>52.8605395338219</v>
      </c>
      <c r="P1622">
        <v>-8.5968698002325997E-2</v>
      </c>
      <c r="Q1622">
        <v>0.116681719916422</v>
      </c>
      <c r="R1622">
        <v>0.98085793624100703</v>
      </c>
      <c r="S1622" t="s">
        <v>7483</v>
      </c>
      <c r="T1622" t="s">
        <v>11720</v>
      </c>
      <c r="U1622" t="s">
        <v>11720</v>
      </c>
      <c r="V1622" t="s">
        <v>11720</v>
      </c>
      <c r="W1622" t="s">
        <v>13308</v>
      </c>
      <c r="X1622">
        <v>14</v>
      </c>
      <c r="Y1622" t="s">
        <v>19092</v>
      </c>
      <c r="Z1622" t="s">
        <v>24829</v>
      </c>
      <c r="AA1622">
        <v>0.52149622854333477</v>
      </c>
      <c r="AB1622" t="str">
        <f>HYPERLINK("Melting_Curves/meltCurve_O95292_VAPB.pdf", "Melting_Curves/meltCurve_O95292_VAPB.pdf")</f>
        <v>Melting_Curves/meltCurve_O95292_VAPB.pdf</v>
      </c>
    </row>
    <row r="1623" spans="1:28" x14ac:dyDescent="0.25">
      <c r="A1623" t="s">
        <v>1627</v>
      </c>
      <c r="B1623">
        <v>0.99334974765950101</v>
      </c>
      <c r="C1623">
        <v>1.06270423308897</v>
      </c>
      <c r="D1623">
        <v>1.06088707383557</v>
      </c>
      <c r="E1623">
        <v>1.0189565408247601</v>
      </c>
      <c r="F1623">
        <v>0.83778840650645703</v>
      </c>
      <c r="G1623">
        <v>0.70587287832538903</v>
      </c>
      <c r="H1623">
        <v>0.40225931545518201</v>
      </c>
      <c r="I1623">
        <v>0.277117187023117</v>
      </c>
      <c r="J1623">
        <v>0.26945949627023202</v>
      </c>
      <c r="K1623">
        <v>0.29226787232705997</v>
      </c>
      <c r="L1623">
        <v>1315.9447033162401</v>
      </c>
      <c r="M1623">
        <v>22.858035882382101</v>
      </c>
      <c r="N1623">
        <v>59.322981549367398</v>
      </c>
      <c r="O1623">
        <v>57.135135256721703</v>
      </c>
      <c r="P1623">
        <v>-7.5464371270315897E-2</v>
      </c>
      <c r="Q1623">
        <v>0.245502216859914</v>
      </c>
      <c r="R1623">
        <v>0.98260949019408195</v>
      </c>
      <c r="S1623" t="s">
        <v>7484</v>
      </c>
      <c r="T1623" t="s">
        <v>11720</v>
      </c>
      <c r="U1623" t="s">
        <v>11720</v>
      </c>
      <c r="V1623" t="s">
        <v>11720</v>
      </c>
      <c r="W1623" t="s">
        <v>13309</v>
      </c>
      <c r="X1623">
        <v>7</v>
      </c>
      <c r="Y1623" t="s">
        <v>19093</v>
      </c>
      <c r="Z1623" t="s">
        <v>24830</v>
      </c>
      <c r="AA1623">
        <v>0.69495975724975878</v>
      </c>
      <c r="AB1623" t="str">
        <f>HYPERLINK("Melting_Curves/meltCurve_O95295_SNAPIN.pdf", "Melting_Curves/meltCurve_O95295_SNAPIN.pdf")</f>
        <v>Melting_Curves/meltCurve_O95295_SNAPIN.pdf</v>
      </c>
    </row>
    <row r="1624" spans="1:28" x14ac:dyDescent="0.25">
      <c r="A1624" t="s">
        <v>1628</v>
      </c>
      <c r="B1624">
        <v>0.99334974765950101</v>
      </c>
      <c r="C1624">
        <v>0.92600356514956095</v>
      </c>
      <c r="D1624">
        <v>0.91633671667155503</v>
      </c>
      <c r="E1624">
        <v>1.0267525094605301</v>
      </c>
      <c r="F1624">
        <v>1.09260363985455</v>
      </c>
      <c r="G1624">
        <v>0.98512793073152505</v>
      </c>
      <c r="H1624">
        <v>0.80229020879136204</v>
      </c>
      <c r="I1624">
        <v>0.83604507774246795</v>
      </c>
      <c r="J1624">
        <v>0.73790656649921904</v>
      </c>
      <c r="K1624">
        <v>0.52711402364653703</v>
      </c>
      <c r="L1624">
        <v>939.48674732592303</v>
      </c>
      <c r="M1624">
        <v>13.2101714958849</v>
      </c>
      <c r="O1624">
        <v>69.547953168810807</v>
      </c>
      <c r="P1624">
        <v>-4.7493719873050497E-2</v>
      </c>
      <c r="Q1624">
        <v>0</v>
      </c>
      <c r="R1624">
        <v>0.84933946097734003</v>
      </c>
      <c r="S1624" t="s">
        <v>7485</v>
      </c>
      <c r="T1624" t="s">
        <v>11720</v>
      </c>
      <c r="U1624" t="s">
        <v>11720</v>
      </c>
      <c r="V1624" t="s">
        <v>11720</v>
      </c>
      <c r="W1624" t="s">
        <v>13310</v>
      </c>
      <c r="X1624">
        <v>10</v>
      </c>
      <c r="Y1624" t="s">
        <v>19094</v>
      </c>
      <c r="Z1624" t="s">
        <v>24831</v>
      </c>
      <c r="AA1624">
        <v>0.91135263939363775</v>
      </c>
      <c r="AB1624" t="str">
        <f>HYPERLINK("Melting_Curves/meltCurve_O95297_2_MPZL1.pdf", "Melting_Curves/meltCurve_O95297_2_MPZL1.pdf")</f>
        <v>Melting_Curves/meltCurve_O95297_2_MPZL1.pdf</v>
      </c>
    </row>
    <row r="1625" spans="1:28" x14ac:dyDescent="0.25">
      <c r="A1625" t="s">
        <v>1629</v>
      </c>
      <c r="B1625">
        <v>0.99334974765950101</v>
      </c>
      <c r="C1625">
        <v>0.91207170458458098</v>
      </c>
      <c r="D1625">
        <v>0.88289131070063698</v>
      </c>
      <c r="E1625">
        <v>0.83621881544412502</v>
      </c>
      <c r="F1625">
        <v>0.77563424041797902</v>
      </c>
      <c r="G1625">
        <v>0.73963877089594998</v>
      </c>
      <c r="H1625">
        <v>0.72047457730678</v>
      </c>
      <c r="I1625">
        <v>0.62872796324272595</v>
      </c>
      <c r="J1625">
        <v>0.43847619372902802</v>
      </c>
      <c r="K1625">
        <v>0.315315286893255</v>
      </c>
      <c r="L1625">
        <v>393.85206366914701</v>
      </c>
      <c r="M1625">
        <v>5.9678360910777899</v>
      </c>
      <c r="N1625">
        <v>65.995791043190707</v>
      </c>
      <c r="O1625">
        <v>59.7276263861758</v>
      </c>
      <c r="P1625">
        <v>-2.5061836133961801E-2</v>
      </c>
      <c r="Q1625">
        <v>0</v>
      </c>
      <c r="R1625">
        <v>0.91068003717886103</v>
      </c>
      <c r="S1625" t="s">
        <v>7486</v>
      </c>
      <c r="T1625" t="s">
        <v>11720</v>
      </c>
      <c r="U1625" t="s">
        <v>11720</v>
      </c>
      <c r="V1625" t="s">
        <v>11720</v>
      </c>
      <c r="W1625" t="s">
        <v>13311</v>
      </c>
      <c r="X1625">
        <v>5</v>
      </c>
      <c r="Y1625" t="s">
        <v>19095</v>
      </c>
      <c r="Z1625" t="s">
        <v>24832</v>
      </c>
      <c r="AA1625">
        <v>0.74190729708812098</v>
      </c>
      <c r="AB1625" t="str">
        <f>HYPERLINK("Melting_Curves/meltCurve_O95298_2_NDUFC2.pdf", "Melting_Curves/meltCurve_O95298_2_NDUFC2.pdf")</f>
        <v>Melting_Curves/meltCurve_O95298_2_NDUFC2.pdf</v>
      </c>
    </row>
    <row r="1626" spans="1:28" x14ac:dyDescent="0.25">
      <c r="A1626" t="s">
        <v>1630</v>
      </c>
      <c r="B1626">
        <v>0.99334974765950101</v>
      </c>
      <c r="C1626">
        <v>1.0131031599249301</v>
      </c>
      <c r="D1626">
        <v>0.94166553950475096</v>
      </c>
      <c r="E1626">
        <v>0.53548646846647796</v>
      </c>
      <c r="F1626">
        <v>0.232401364849739</v>
      </c>
      <c r="G1626">
        <v>0.15418858801890101</v>
      </c>
      <c r="H1626">
        <v>0.122120357754157</v>
      </c>
      <c r="I1626">
        <v>0.132471744740005</v>
      </c>
      <c r="J1626">
        <v>0.10350477402809199</v>
      </c>
      <c r="K1626">
        <v>8.4452245146064794E-2</v>
      </c>
      <c r="L1626">
        <v>1544.8055156308999</v>
      </c>
      <c r="M1626">
        <v>30.986315231691002</v>
      </c>
      <c r="N1626">
        <v>50.2748566304749</v>
      </c>
      <c r="O1626">
        <v>49.648180578973303</v>
      </c>
      <c r="P1626">
        <v>-0.13822208026090099</v>
      </c>
      <c r="Q1626">
        <v>0.114133391968805</v>
      </c>
      <c r="R1626">
        <v>0.99845554833605299</v>
      </c>
      <c r="S1626" t="s">
        <v>7487</v>
      </c>
      <c r="T1626" t="s">
        <v>11720</v>
      </c>
      <c r="U1626" t="s">
        <v>11720</v>
      </c>
      <c r="V1626" t="s">
        <v>11720</v>
      </c>
      <c r="W1626" t="s">
        <v>13312</v>
      </c>
      <c r="X1626">
        <v>31</v>
      </c>
      <c r="Y1626" t="s">
        <v>19096</v>
      </c>
      <c r="Z1626" t="s">
        <v>24833</v>
      </c>
      <c r="AA1626">
        <v>0.41024362809614051</v>
      </c>
      <c r="AB1626" t="str">
        <f>HYPERLINK("Melting_Curves/meltCurve_O95302_FKBP9.pdf", "Melting_Curves/meltCurve_O95302_FKBP9.pdf")</f>
        <v>Melting_Curves/meltCurve_O95302_FKBP9.pdf</v>
      </c>
    </row>
    <row r="1627" spans="1:28" x14ac:dyDescent="0.25">
      <c r="A1627" t="s">
        <v>1631</v>
      </c>
      <c r="B1627">
        <v>0.99334974765950101</v>
      </c>
      <c r="C1627">
        <v>0.95137620965681002</v>
      </c>
      <c r="D1627">
        <v>0.88574712286508095</v>
      </c>
      <c r="E1627">
        <v>0.75307050982554102</v>
      </c>
      <c r="F1627">
        <v>0.62570926777991498</v>
      </c>
      <c r="G1627">
        <v>0.50752928577455403</v>
      </c>
      <c r="H1627">
        <v>0.38041744172254499</v>
      </c>
      <c r="I1627">
        <v>0.19184938788961001</v>
      </c>
      <c r="J1627">
        <v>0.12183556729015101</v>
      </c>
      <c r="K1627">
        <v>0.10011123677824101</v>
      </c>
      <c r="L1627">
        <v>559.39951504220198</v>
      </c>
      <c r="M1627">
        <v>9.9546479117096194</v>
      </c>
      <c r="N1627">
        <v>56.194783406963801</v>
      </c>
      <c r="O1627">
        <v>54.068164276950803</v>
      </c>
      <c r="P1627">
        <v>-4.60510110752331E-2</v>
      </c>
      <c r="Q1627">
        <v>0</v>
      </c>
      <c r="R1627">
        <v>0.98917470013110798</v>
      </c>
      <c r="S1627" t="s">
        <v>7488</v>
      </c>
      <c r="T1627" t="s">
        <v>11720</v>
      </c>
      <c r="U1627" t="s">
        <v>11720</v>
      </c>
      <c r="V1627" t="s">
        <v>11720</v>
      </c>
      <c r="W1627" t="s">
        <v>13313</v>
      </c>
      <c r="X1627">
        <v>14</v>
      </c>
      <c r="Y1627" t="s">
        <v>19097</v>
      </c>
      <c r="Z1627" t="s">
        <v>24834</v>
      </c>
      <c r="AA1627">
        <v>0.55992695181196217</v>
      </c>
      <c r="AB1627" t="str">
        <f>HYPERLINK("Melting_Curves/meltCurve_O95336_PGLS.pdf", "Melting_Curves/meltCurve_O95336_PGLS.pdf")</f>
        <v>Melting_Curves/meltCurve_O95336_PGLS.pdf</v>
      </c>
    </row>
    <row r="1628" spans="1:28" x14ac:dyDescent="0.25">
      <c r="A1628" t="s">
        <v>1632</v>
      </c>
      <c r="B1628">
        <v>0.99334974765950101</v>
      </c>
      <c r="C1628">
        <v>1.00304843417013</v>
      </c>
      <c r="D1628">
        <v>1.2079349548640499</v>
      </c>
      <c r="E1628">
        <v>1.1419486107510699</v>
      </c>
      <c r="F1628">
        <v>0.26579876819051601</v>
      </c>
      <c r="G1628">
        <v>0.16011741120456699</v>
      </c>
      <c r="H1628">
        <v>0.112221859681314</v>
      </c>
      <c r="I1628">
        <v>0.11527547813903299</v>
      </c>
      <c r="J1628">
        <v>9.7953687083947902E-2</v>
      </c>
      <c r="K1628">
        <v>8.2954737497566294E-2</v>
      </c>
      <c r="L1628">
        <v>13166.5637801392</v>
      </c>
      <c r="M1628">
        <v>250</v>
      </c>
      <c r="N1628">
        <v>52.720671790754302</v>
      </c>
      <c r="O1628">
        <v>52.662881045844799</v>
      </c>
      <c r="P1628">
        <v>-1.05185037876353</v>
      </c>
      <c r="Q1628">
        <v>0.11370439529099501</v>
      </c>
      <c r="R1628">
        <v>0.96978774554535396</v>
      </c>
      <c r="S1628" t="s">
        <v>7489</v>
      </c>
      <c r="T1628" t="s">
        <v>11720</v>
      </c>
      <c r="U1628" t="s">
        <v>11720</v>
      </c>
      <c r="V1628" t="s">
        <v>11720</v>
      </c>
      <c r="W1628" t="s">
        <v>13314</v>
      </c>
      <c r="X1628">
        <v>23</v>
      </c>
      <c r="Y1628" t="s">
        <v>19098</v>
      </c>
      <c r="Z1628" t="s">
        <v>24835</v>
      </c>
      <c r="AA1628">
        <v>0.48798785560954522</v>
      </c>
      <c r="AB1628" t="str">
        <f>HYPERLINK("Melting_Curves/meltCurve_O95352_ATG7.pdf", "Melting_Curves/meltCurve_O95352_ATG7.pdf")</f>
        <v>Melting_Curves/meltCurve_O95352_ATG7.pdf</v>
      </c>
    </row>
    <row r="1629" spans="1:28" x14ac:dyDescent="0.25">
      <c r="A1629" t="s">
        <v>1633</v>
      </c>
      <c r="B1629">
        <v>0.99334974765950101</v>
      </c>
      <c r="C1629">
        <v>0.92627171456630697</v>
      </c>
      <c r="D1629">
        <v>0.66325127161106001</v>
      </c>
      <c r="E1629">
        <v>0.30677801225624302</v>
      </c>
      <c r="F1629">
        <v>0.27080995587450701</v>
      </c>
      <c r="G1629">
        <v>0.14882929913803999</v>
      </c>
      <c r="H1629">
        <v>0.12676149173662801</v>
      </c>
      <c r="I1629">
        <v>0.11526141976239</v>
      </c>
      <c r="J1629">
        <v>0.12743376749172</v>
      </c>
      <c r="K1629">
        <v>0.103632636737469</v>
      </c>
      <c r="L1629">
        <v>958.09359715614096</v>
      </c>
      <c r="M1629">
        <v>20.291265008998401</v>
      </c>
      <c r="N1629">
        <v>47.8788325483115</v>
      </c>
      <c r="O1629">
        <v>46.765625156454398</v>
      </c>
      <c r="P1629">
        <v>-9.5211472696306906E-2</v>
      </c>
      <c r="Q1629">
        <v>0.122284951352292</v>
      </c>
      <c r="R1629">
        <v>0.99415046983372402</v>
      </c>
      <c r="S1629" t="s">
        <v>7490</v>
      </c>
      <c r="T1629" t="s">
        <v>11720</v>
      </c>
      <c r="U1629" t="s">
        <v>11720</v>
      </c>
      <c r="V1629" t="s">
        <v>11720</v>
      </c>
      <c r="W1629" t="s">
        <v>13315</v>
      </c>
      <c r="X1629">
        <v>14</v>
      </c>
      <c r="Y1629" t="s">
        <v>19099</v>
      </c>
      <c r="Z1629" t="s">
        <v>24836</v>
      </c>
      <c r="AA1629">
        <v>0.34578219037676922</v>
      </c>
      <c r="AB1629" t="str">
        <f>HYPERLINK("Melting_Curves/meltCurve_O95361_TRIM16.pdf", "Melting_Curves/meltCurve_O95361_TRIM16.pdf")</f>
        <v>Melting_Curves/meltCurve_O95361_TRIM16.pdf</v>
      </c>
    </row>
    <row r="1630" spans="1:28" x14ac:dyDescent="0.25">
      <c r="A1630" t="s">
        <v>1634</v>
      </c>
      <c r="B1630">
        <v>0.99334974765950101</v>
      </c>
      <c r="C1630">
        <v>0.94410207207696695</v>
      </c>
      <c r="D1630">
        <v>0.62002095829568704</v>
      </c>
      <c r="E1630">
        <v>0.22834369033844901</v>
      </c>
      <c r="F1630">
        <v>0.19491614323244599</v>
      </c>
      <c r="G1630">
        <v>0.20151514924017799</v>
      </c>
      <c r="H1630">
        <v>0.159897268942231</v>
      </c>
      <c r="I1630">
        <v>0.13868574873645001</v>
      </c>
      <c r="J1630">
        <v>7.7408334120525696E-2</v>
      </c>
      <c r="K1630">
        <v>6.3816954799309294E-2</v>
      </c>
      <c r="L1630">
        <v>1293.95138630871</v>
      </c>
      <c r="M1630">
        <v>27.8374765162865</v>
      </c>
      <c r="N1630">
        <v>46.997823765901202</v>
      </c>
      <c r="O1630">
        <v>46.2444430418279</v>
      </c>
      <c r="P1630">
        <v>-0.13069393616243299</v>
      </c>
      <c r="Q1630">
        <v>0.13155662743773899</v>
      </c>
      <c r="R1630">
        <v>0.98724470614641302</v>
      </c>
      <c r="S1630" t="s">
        <v>7491</v>
      </c>
      <c r="T1630" t="s">
        <v>11720</v>
      </c>
      <c r="U1630" t="s">
        <v>11720</v>
      </c>
      <c r="V1630" t="s">
        <v>11720</v>
      </c>
      <c r="W1630" t="s">
        <v>13316</v>
      </c>
      <c r="X1630">
        <v>2</v>
      </c>
      <c r="Y1630" t="s">
        <v>19100</v>
      </c>
      <c r="Z1630" t="s">
        <v>24837</v>
      </c>
      <c r="AA1630">
        <v>0.32538534411183451</v>
      </c>
      <c r="AB1630" t="str">
        <f>HYPERLINK("Melting_Curves/meltCurve_O95363_FARS2.pdf", "Melting_Curves/meltCurve_O95363_FARS2.pdf")</f>
        <v>Melting_Curves/meltCurve_O95363_FARS2.pdf</v>
      </c>
    </row>
    <row r="1631" spans="1:28" x14ac:dyDescent="0.25">
      <c r="A1631" t="s">
        <v>1635</v>
      </c>
      <c r="B1631">
        <v>0.99334974765950101</v>
      </c>
      <c r="C1631">
        <v>0.96560720247752296</v>
      </c>
      <c r="D1631">
        <v>0.88156270888543997</v>
      </c>
      <c r="E1631">
        <v>0.82275000546005705</v>
      </c>
      <c r="F1631">
        <v>0.57407794045182203</v>
      </c>
      <c r="G1631">
        <v>0.42866096828103101</v>
      </c>
      <c r="H1631">
        <v>0.22854306784772499</v>
      </c>
      <c r="I1631">
        <v>0.16288418245825401</v>
      </c>
      <c r="J1631">
        <v>0.128379125712523</v>
      </c>
      <c r="K1631">
        <v>9.9543929311043999E-2</v>
      </c>
      <c r="L1631">
        <v>680.00502281684999</v>
      </c>
      <c r="M1631">
        <v>12.419349079129001</v>
      </c>
      <c r="N1631">
        <v>55.0574826434503</v>
      </c>
      <c r="O1631">
        <v>53.392197491753599</v>
      </c>
      <c r="P1631">
        <v>-5.6237574885914E-2</v>
      </c>
      <c r="Q1631">
        <v>3.3117156243885101E-2</v>
      </c>
      <c r="R1631">
        <v>0.99451549848604703</v>
      </c>
      <c r="S1631" t="s">
        <v>7492</v>
      </c>
      <c r="T1631" t="s">
        <v>11720</v>
      </c>
      <c r="U1631" t="s">
        <v>11720</v>
      </c>
      <c r="V1631" t="s">
        <v>11720</v>
      </c>
      <c r="W1631" t="s">
        <v>13317</v>
      </c>
      <c r="X1631">
        <v>12</v>
      </c>
      <c r="Y1631" t="s">
        <v>19101</v>
      </c>
      <c r="Z1631" t="s">
        <v>24838</v>
      </c>
      <c r="AA1631">
        <v>0.53134522515933358</v>
      </c>
      <c r="AB1631" t="str">
        <f>HYPERLINK("Melting_Curves/meltCurve_O95372_LYPLA2.pdf", "Melting_Curves/meltCurve_O95372_LYPLA2.pdf")</f>
        <v>Melting_Curves/meltCurve_O95372_LYPLA2.pdf</v>
      </c>
    </row>
    <row r="1632" spans="1:28" x14ac:dyDescent="0.25">
      <c r="A1632" t="s">
        <v>1636</v>
      </c>
      <c r="B1632">
        <v>0.99334974765950101</v>
      </c>
      <c r="C1632">
        <v>1.08789885992018</v>
      </c>
      <c r="D1632">
        <v>1.181042299604</v>
      </c>
      <c r="E1632">
        <v>1.29448030252452</v>
      </c>
      <c r="F1632">
        <v>0.85298794492067398</v>
      </c>
      <c r="G1632">
        <v>0.52334297242389705</v>
      </c>
      <c r="H1632">
        <v>0.18123103698871901</v>
      </c>
      <c r="I1632">
        <v>0.123348455952246</v>
      </c>
      <c r="J1632">
        <v>9.2585605004938704E-2</v>
      </c>
      <c r="K1632">
        <v>7.7822422170908401E-2</v>
      </c>
      <c r="L1632">
        <v>1890.9151641337601</v>
      </c>
      <c r="M1632">
        <v>33.293924876636801</v>
      </c>
      <c r="N1632">
        <v>57.138079850321198</v>
      </c>
      <c r="O1632">
        <v>56.590881569840597</v>
      </c>
      <c r="P1632">
        <v>-0.13374290016944401</v>
      </c>
      <c r="Q1632">
        <v>9.0693471002100401E-2</v>
      </c>
      <c r="R1632">
        <v>0.93695082929927698</v>
      </c>
      <c r="S1632" t="s">
        <v>7493</v>
      </c>
      <c r="T1632" t="s">
        <v>11720</v>
      </c>
      <c r="U1632" t="s">
        <v>11720</v>
      </c>
      <c r="V1632" t="s">
        <v>11720</v>
      </c>
      <c r="W1632" t="s">
        <v>13318</v>
      </c>
      <c r="X1632">
        <v>24</v>
      </c>
      <c r="Y1632" t="s">
        <v>19102</v>
      </c>
      <c r="Z1632" t="s">
        <v>24839</v>
      </c>
      <c r="AA1632">
        <v>0.60475697904512382</v>
      </c>
      <c r="AB1632" t="str">
        <f>HYPERLINK("Melting_Curves/meltCurve_O95373_IPO7.pdf", "Melting_Curves/meltCurve_O95373_IPO7.pdf")</f>
        <v>Melting_Curves/meltCurve_O95373_IPO7.pdf</v>
      </c>
    </row>
    <row r="1633" spans="1:28" x14ac:dyDescent="0.25">
      <c r="A1633" t="s">
        <v>1637</v>
      </c>
      <c r="B1633">
        <v>0.99334974765950101</v>
      </c>
      <c r="C1633">
        <v>0.97610226698091196</v>
      </c>
      <c r="D1633">
        <v>0.89843269895357702</v>
      </c>
      <c r="E1633">
        <v>0.82151503008714499</v>
      </c>
      <c r="F1633">
        <v>0.40855916710892598</v>
      </c>
      <c r="G1633">
        <v>0.13167354025127601</v>
      </c>
      <c r="H1633">
        <v>0.103349828330439</v>
      </c>
      <c r="I1633">
        <v>7.3194403238448502E-2</v>
      </c>
      <c r="J1633">
        <v>6.7597516495447693E-2</v>
      </c>
      <c r="K1633">
        <v>6.3687131881656603E-2</v>
      </c>
      <c r="L1633">
        <v>1579.83277980709</v>
      </c>
      <c r="M1633">
        <v>30.319066037289101</v>
      </c>
      <c r="N1633">
        <v>52.372630930924103</v>
      </c>
      <c r="O1633">
        <v>51.8818010238586</v>
      </c>
      <c r="P1633">
        <v>-0.135682468006847</v>
      </c>
      <c r="Q1633">
        <v>7.1289753108125603E-2</v>
      </c>
      <c r="R1633">
        <v>0.99423627279262705</v>
      </c>
      <c r="S1633" t="s">
        <v>7494</v>
      </c>
      <c r="T1633" t="s">
        <v>11720</v>
      </c>
      <c r="U1633" t="s">
        <v>11720</v>
      </c>
      <c r="V1633" t="s">
        <v>11720</v>
      </c>
      <c r="W1633" t="s">
        <v>13319</v>
      </c>
      <c r="X1633">
        <v>13</v>
      </c>
      <c r="Y1633" t="s">
        <v>19103</v>
      </c>
      <c r="Z1633" t="s">
        <v>24840</v>
      </c>
      <c r="AA1633">
        <v>0.45190379470398201</v>
      </c>
      <c r="AB1633" t="str">
        <f>HYPERLINK("Melting_Curves/meltCurve_O95376_ARIH2.pdf", "Melting_Curves/meltCurve_O95376_ARIH2.pdf")</f>
        <v>Melting_Curves/meltCurve_O95376_ARIH2.pdf</v>
      </c>
    </row>
    <row r="1634" spans="1:28" x14ac:dyDescent="0.25">
      <c r="A1634" t="s">
        <v>1638</v>
      </c>
      <c r="B1634">
        <v>0.99334974765950101</v>
      </c>
      <c r="C1634">
        <v>0.81469648402212902</v>
      </c>
      <c r="D1634">
        <v>0.88868646012484698</v>
      </c>
      <c r="E1634">
        <v>0.618057473234077</v>
      </c>
      <c r="F1634">
        <v>0.156524390549026</v>
      </c>
      <c r="G1634">
        <v>0.10666089060063701</v>
      </c>
      <c r="H1634">
        <v>7.1766196427075102E-2</v>
      </c>
      <c r="I1634">
        <v>5.3662264761393103E-2</v>
      </c>
      <c r="J1634">
        <v>6.0767255259568498E-2</v>
      </c>
      <c r="K1634">
        <v>5.1634537224121202E-2</v>
      </c>
      <c r="L1634">
        <v>1513.6979202006</v>
      </c>
      <c r="M1634">
        <v>30.107411960309602</v>
      </c>
      <c r="N1634">
        <v>50.473012429086602</v>
      </c>
      <c r="O1634">
        <v>50.056364579882697</v>
      </c>
      <c r="P1634">
        <v>-0.14205587382367199</v>
      </c>
      <c r="Q1634">
        <v>5.5282175715609103E-2</v>
      </c>
      <c r="R1634">
        <v>0.96942959906723902</v>
      </c>
      <c r="S1634" t="s">
        <v>7495</v>
      </c>
      <c r="T1634" t="s">
        <v>11720</v>
      </c>
      <c r="U1634" t="s">
        <v>11720</v>
      </c>
      <c r="V1634" t="s">
        <v>11720</v>
      </c>
      <c r="W1634" t="s">
        <v>13320</v>
      </c>
      <c r="X1634">
        <v>30</v>
      </c>
      <c r="Y1634" t="s">
        <v>19104</v>
      </c>
      <c r="Z1634" t="s">
        <v>24841</v>
      </c>
      <c r="AA1634">
        <v>0.38472545305675709</v>
      </c>
      <c r="AB1634" t="str">
        <f>HYPERLINK("Melting_Curves/meltCurve_O95394_3_PGM3.pdf", "Melting_Curves/meltCurve_O95394_3_PGM3.pdf")</f>
        <v>Melting_Curves/meltCurve_O95394_3_PGM3.pdf</v>
      </c>
    </row>
    <row r="1635" spans="1:28" x14ac:dyDescent="0.25">
      <c r="A1635" t="s">
        <v>1639</v>
      </c>
      <c r="B1635">
        <v>0.99334974765950101</v>
      </c>
      <c r="C1635">
        <v>0.85569108066656097</v>
      </c>
      <c r="D1635">
        <v>0.67480417057685804</v>
      </c>
      <c r="E1635">
        <v>0.38930904150630102</v>
      </c>
      <c r="F1635">
        <v>0.277688470303805</v>
      </c>
      <c r="G1635">
        <v>0.16715053479554401</v>
      </c>
      <c r="H1635">
        <v>0.15106030095588599</v>
      </c>
      <c r="I1635">
        <v>0.120084085716781</v>
      </c>
      <c r="J1635">
        <v>0.14311303772385001</v>
      </c>
      <c r="K1635">
        <v>0.132475493874807</v>
      </c>
      <c r="L1635">
        <v>773.72974825383596</v>
      </c>
      <c r="M1635">
        <v>16.288979981046602</v>
      </c>
      <c r="N1635">
        <v>48.350042797739199</v>
      </c>
      <c r="O1635">
        <v>46.801613460126099</v>
      </c>
      <c r="P1635">
        <v>-7.6184815677520196E-2</v>
      </c>
      <c r="Q1635">
        <v>0.124485354420902</v>
      </c>
      <c r="R1635">
        <v>0.99779633409837198</v>
      </c>
      <c r="S1635" t="s">
        <v>7496</v>
      </c>
      <c r="T1635" t="s">
        <v>11720</v>
      </c>
      <c r="U1635" t="s">
        <v>11720</v>
      </c>
      <c r="V1635" t="s">
        <v>11720</v>
      </c>
      <c r="W1635" t="s">
        <v>13321</v>
      </c>
      <c r="X1635">
        <v>7</v>
      </c>
      <c r="Y1635" t="s">
        <v>19105</v>
      </c>
      <c r="Z1635" t="s">
        <v>24842</v>
      </c>
      <c r="AA1635">
        <v>0.36287889264636281</v>
      </c>
      <c r="AB1635" t="str">
        <f>HYPERLINK("Melting_Curves/meltCurve_O95396_MOCS3.pdf", "Melting_Curves/meltCurve_O95396_MOCS3.pdf")</f>
        <v>Melting_Curves/meltCurve_O95396_MOCS3.pdf</v>
      </c>
    </row>
    <row r="1636" spans="1:28" x14ac:dyDescent="0.25">
      <c r="A1636" t="s">
        <v>1640</v>
      </c>
      <c r="B1636">
        <v>0.99334974765950101</v>
      </c>
      <c r="C1636">
        <v>0.55657333379085705</v>
      </c>
      <c r="D1636">
        <v>0.50410042431680702</v>
      </c>
      <c r="E1636">
        <v>0.42057091309557798</v>
      </c>
      <c r="F1636">
        <v>0.65116060434254397</v>
      </c>
      <c r="G1636">
        <v>0.45145265301235699</v>
      </c>
      <c r="H1636">
        <v>0.49482674378241298</v>
      </c>
      <c r="I1636">
        <v>0.67395468833757699</v>
      </c>
      <c r="J1636">
        <v>0.77716437286350804</v>
      </c>
      <c r="K1636">
        <v>0.79382337150723603</v>
      </c>
      <c r="L1636">
        <v>10164.0295134116</v>
      </c>
      <c r="M1636">
        <v>250</v>
      </c>
      <c r="O1636">
        <v>40.6535163523873</v>
      </c>
      <c r="P1636">
        <v>-0.62799911574202305</v>
      </c>
      <c r="Q1636">
        <v>0.59151404354844594</v>
      </c>
      <c r="R1636">
        <v>0.48746509046283998</v>
      </c>
      <c r="S1636" t="s">
        <v>7497</v>
      </c>
      <c r="T1636" t="s">
        <v>11720</v>
      </c>
      <c r="U1636" t="s">
        <v>11720</v>
      </c>
      <c r="V1636" t="s">
        <v>11720</v>
      </c>
      <c r="W1636" t="s">
        <v>13322</v>
      </c>
      <c r="X1636">
        <v>6</v>
      </c>
      <c r="Y1636" t="s">
        <v>19106</v>
      </c>
      <c r="Z1636" t="s">
        <v>24843</v>
      </c>
      <c r="AA1636">
        <v>0.60051195357225196</v>
      </c>
      <c r="AB1636" t="str">
        <f>HYPERLINK("Melting_Curves/meltCurve_O95400_CD2BP2.pdf", "Melting_Curves/meltCurve_O95400_CD2BP2.pdf")</f>
        <v>Melting_Curves/meltCurve_O95400_CD2BP2.pdf</v>
      </c>
    </row>
    <row r="1637" spans="1:28" x14ac:dyDescent="0.25">
      <c r="A1637" t="s">
        <v>1641</v>
      </c>
      <c r="B1637">
        <v>0.99334974765950101</v>
      </c>
      <c r="C1637">
        <v>0.97223587683177304</v>
      </c>
      <c r="D1637">
        <v>0.84935909655631903</v>
      </c>
      <c r="E1637">
        <v>0.64643274933635197</v>
      </c>
      <c r="F1637">
        <v>0.46954883997156699</v>
      </c>
      <c r="G1637">
        <v>0.29577917685479799</v>
      </c>
      <c r="H1637">
        <v>0.26273182078009</v>
      </c>
      <c r="I1637">
        <v>0.27649081276384402</v>
      </c>
      <c r="J1637">
        <v>0.29998475693818599</v>
      </c>
      <c r="K1637">
        <v>0.247061245362067</v>
      </c>
      <c r="L1637">
        <v>898.12524684694699</v>
      </c>
      <c r="M1637">
        <v>17.9345379750301</v>
      </c>
      <c r="N1637">
        <v>52.132592570798202</v>
      </c>
      <c r="O1637">
        <v>49.467809295354002</v>
      </c>
      <c r="P1637">
        <v>-6.76735916415689E-2</v>
      </c>
      <c r="Q1637">
        <v>0.25339660422893301</v>
      </c>
      <c r="R1637">
        <v>0.995037767336446</v>
      </c>
      <c r="S1637" t="s">
        <v>7498</v>
      </c>
      <c r="T1637" t="s">
        <v>11720</v>
      </c>
      <c r="U1637" t="s">
        <v>11720</v>
      </c>
      <c r="V1637" t="s">
        <v>11720</v>
      </c>
      <c r="W1637" t="s">
        <v>13323</v>
      </c>
      <c r="X1637">
        <v>12</v>
      </c>
      <c r="Y1637" t="s">
        <v>19107</v>
      </c>
      <c r="Z1637" t="s">
        <v>24844</v>
      </c>
      <c r="AA1637">
        <v>0.51701211533530744</v>
      </c>
      <c r="AB1637" t="str">
        <f>HYPERLINK("Melting_Curves/meltCurve_O95405_ZFYVE9.pdf", "Melting_Curves/meltCurve_O95405_ZFYVE9.pdf")</f>
        <v>Melting_Curves/meltCurve_O95405_ZFYVE9.pdf</v>
      </c>
    </row>
    <row r="1638" spans="1:28" x14ac:dyDescent="0.25">
      <c r="A1638" t="s">
        <v>1642</v>
      </c>
      <c r="B1638">
        <v>0.99334974765950101</v>
      </c>
      <c r="C1638">
        <v>0.99075111518223902</v>
      </c>
      <c r="D1638">
        <v>0.86899885755309703</v>
      </c>
      <c r="E1638">
        <v>0.75471202476484001</v>
      </c>
      <c r="F1638">
        <v>0.69018237292310802</v>
      </c>
      <c r="G1638">
        <v>0.44746983636196203</v>
      </c>
      <c r="H1638">
        <v>0.410326708196046</v>
      </c>
      <c r="I1638">
        <v>0.41438634574152999</v>
      </c>
      <c r="J1638">
        <v>0.47302961039319302</v>
      </c>
      <c r="K1638">
        <v>0.43367705181030197</v>
      </c>
      <c r="L1638">
        <v>813.52599600188296</v>
      </c>
      <c r="M1638">
        <v>15.9067940473111</v>
      </c>
      <c r="N1638">
        <v>57.254953560765401</v>
      </c>
      <c r="O1638">
        <v>50.355475004749501</v>
      </c>
      <c r="P1638">
        <v>-4.67182025566419E-2</v>
      </c>
      <c r="Q1638">
        <v>0.40847202589595899</v>
      </c>
      <c r="R1638">
        <v>0.97167356197078802</v>
      </c>
      <c r="S1638" t="s">
        <v>7499</v>
      </c>
      <c r="T1638" t="s">
        <v>11720</v>
      </c>
      <c r="U1638" t="s">
        <v>11720</v>
      </c>
      <c r="V1638" t="s">
        <v>11720</v>
      </c>
      <c r="W1638" t="s">
        <v>13324</v>
      </c>
      <c r="X1638">
        <v>25</v>
      </c>
      <c r="Y1638" t="s">
        <v>19108</v>
      </c>
      <c r="Z1638" t="s">
        <v>24845</v>
      </c>
      <c r="AA1638">
        <v>0.64053107836366696</v>
      </c>
      <c r="AB1638" t="str">
        <f>HYPERLINK("Melting_Curves/meltCurve_O95425_SVIL.pdf", "Melting_Curves/meltCurve_O95425_SVIL.pdf")</f>
        <v>Melting_Curves/meltCurve_O95425_SVIL.pdf</v>
      </c>
    </row>
    <row r="1639" spans="1:28" x14ac:dyDescent="0.25">
      <c r="A1639" t="s">
        <v>1643</v>
      </c>
      <c r="B1639">
        <v>0.99334974765950101</v>
      </c>
      <c r="C1639">
        <v>0.96799321421594597</v>
      </c>
      <c r="D1639">
        <v>0.83595981560948696</v>
      </c>
      <c r="E1639">
        <v>0.71389462611783205</v>
      </c>
      <c r="F1639">
        <v>0.50676720610074499</v>
      </c>
      <c r="G1639">
        <v>0.33117108807773399</v>
      </c>
      <c r="H1639">
        <v>0.29682499542951502</v>
      </c>
      <c r="I1639">
        <v>0.34504227232387502</v>
      </c>
      <c r="J1639">
        <v>0.34891518058207699</v>
      </c>
      <c r="K1639">
        <v>0.33579870613398599</v>
      </c>
      <c r="L1639">
        <v>904.55440844802297</v>
      </c>
      <c r="M1639">
        <v>18.0271297007497</v>
      </c>
      <c r="N1639">
        <v>53.049417659219102</v>
      </c>
      <c r="O1639">
        <v>49.5721682789436</v>
      </c>
      <c r="P1639">
        <v>-6.2589311850205803E-2</v>
      </c>
      <c r="Q1639">
        <v>0.31158528755958198</v>
      </c>
      <c r="R1639">
        <v>0.98463600694961595</v>
      </c>
      <c r="S1639" t="s">
        <v>7500</v>
      </c>
      <c r="T1639" t="s">
        <v>11720</v>
      </c>
      <c r="U1639" t="s">
        <v>11720</v>
      </c>
      <c r="V1639" t="s">
        <v>11720</v>
      </c>
      <c r="W1639" t="s">
        <v>13325</v>
      </c>
      <c r="X1639">
        <v>8</v>
      </c>
      <c r="Y1639" t="s">
        <v>19109</v>
      </c>
      <c r="Z1639" t="s">
        <v>24846</v>
      </c>
      <c r="AA1639">
        <v>0.55680771440663102</v>
      </c>
      <c r="AB1639" t="str">
        <f>HYPERLINK("Melting_Curves/meltCurve_O95429_2_BAG4.pdf", "Melting_Curves/meltCurve_O95429_2_BAG4.pdf")</f>
        <v>Melting_Curves/meltCurve_O95429_2_BAG4.pdf</v>
      </c>
    </row>
    <row r="1640" spans="1:28" x14ac:dyDescent="0.25">
      <c r="A1640" t="s">
        <v>1644</v>
      </c>
      <c r="B1640">
        <v>0.99334974765950101</v>
      </c>
      <c r="C1640">
        <v>0.94685642891761401</v>
      </c>
      <c r="D1640">
        <v>0.87976436826258297</v>
      </c>
      <c r="E1640">
        <v>0.71465718485777496</v>
      </c>
      <c r="F1640">
        <v>0.228366445333549</v>
      </c>
      <c r="G1640">
        <v>0.132866632780266</v>
      </c>
      <c r="H1640">
        <v>0.100879389545503</v>
      </c>
      <c r="I1640">
        <v>8.8026921694590199E-2</v>
      </c>
      <c r="J1640">
        <v>9.2909999499111801E-2</v>
      </c>
      <c r="K1640">
        <v>6.9427313139582794E-2</v>
      </c>
      <c r="L1640">
        <v>1912.56643623236</v>
      </c>
      <c r="M1640">
        <v>37.589268016900299</v>
      </c>
      <c r="N1640">
        <v>51.150440377437498</v>
      </c>
      <c r="O1640">
        <v>50.737298247242599</v>
      </c>
      <c r="P1640">
        <v>-0.16856045460470701</v>
      </c>
      <c r="Q1640">
        <v>8.99234966553005E-2</v>
      </c>
      <c r="R1640">
        <v>0.98900357585154197</v>
      </c>
      <c r="S1640" t="s">
        <v>7501</v>
      </c>
      <c r="T1640" t="s">
        <v>11720</v>
      </c>
      <c r="U1640" t="s">
        <v>11720</v>
      </c>
      <c r="V1640" t="s">
        <v>11720</v>
      </c>
      <c r="W1640" t="s">
        <v>13326</v>
      </c>
      <c r="X1640">
        <v>15</v>
      </c>
      <c r="Y1640" t="s">
        <v>19110</v>
      </c>
      <c r="Z1640" t="s">
        <v>24847</v>
      </c>
      <c r="AA1640">
        <v>0.42362542840554213</v>
      </c>
      <c r="AB1640" t="str">
        <f>HYPERLINK("Melting_Curves/meltCurve_O95433_AHSA1.pdf", "Melting_Curves/meltCurve_O95433_AHSA1.pdf")</f>
        <v>Melting_Curves/meltCurve_O95433_AHSA1.pdf</v>
      </c>
    </row>
    <row r="1641" spans="1:28" x14ac:dyDescent="0.25">
      <c r="A1641" t="s">
        <v>1645</v>
      </c>
      <c r="B1641">
        <v>0.99334974765950101</v>
      </c>
      <c r="C1641">
        <v>0.96798955910904105</v>
      </c>
      <c r="D1641">
        <v>1.0868935142064</v>
      </c>
      <c r="E1641">
        <v>0.55014638602597299</v>
      </c>
      <c r="F1641">
        <v>0.175942354810249</v>
      </c>
      <c r="G1641">
        <v>0.108788606763112</v>
      </c>
      <c r="H1641">
        <v>6.5134500092841802E-2</v>
      </c>
      <c r="I1641">
        <v>6.3951928457439203E-2</v>
      </c>
      <c r="J1641">
        <v>7.7313361328981006E-2</v>
      </c>
      <c r="K1641">
        <v>2.1196056532989602E-2</v>
      </c>
      <c r="L1641">
        <v>2264.6529860923401</v>
      </c>
      <c r="M1641">
        <v>45.159108797815101</v>
      </c>
      <c r="N1641">
        <v>50.3181983378878</v>
      </c>
      <c r="O1641">
        <v>50.050269490699598</v>
      </c>
      <c r="P1641">
        <v>-0.20962056833168</v>
      </c>
      <c r="Q1641">
        <v>7.0703327696868004E-2</v>
      </c>
      <c r="R1641">
        <v>0.99074176991570295</v>
      </c>
      <c r="S1641" t="s">
        <v>7502</v>
      </c>
      <c r="T1641" t="s">
        <v>11720</v>
      </c>
      <c r="U1641" t="s">
        <v>11720</v>
      </c>
      <c r="V1641" t="s">
        <v>11720</v>
      </c>
      <c r="W1641" t="s">
        <v>13327</v>
      </c>
      <c r="X1641">
        <v>4</v>
      </c>
      <c r="Y1641" t="s">
        <v>19111</v>
      </c>
      <c r="Z1641" t="s">
        <v>24848</v>
      </c>
      <c r="AA1641">
        <v>0.38758626879332958</v>
      </c>
      <c r="AB1641" t="str">
        <f>HYPERLINK("Melting_Curves/meltCurve_O95453_2_PARN.pdf", "Melting_Curves/meltCurve_O95453_2_PARN.pdf")</f>
        <v>Melting_Curves/meltCurve_O95453_2_PARN.pdf</v>
      </c>
    </row>
    <row r="1642" spans="1:28" x14ac:dyDescent="0.25">
      <c r="A1642" t="s">
        <v>1646</v>
      </c>
      <c r="B1642">
        <v>0.99334974765950101</v>
      </c>
      <c r="C1642">
        <v>0.87242795800971595</v>
      </c>
      <c r="D1642">
        <v>0.92358788802173797</v>
      </c>
      <c r="E1642">
        <v>0.93533042788545895</v>
      </c>
      <c r="F1642">
        <v>0.64559305053796301</v>
      </c>
      <c r="G1642">
        <v>0.56444052921239696</v>
      </c>
      <c r="H1642">
        <v>0.42293133363695101</v>
      </c>
      <c r="I1642">
        <v>0.34686462001032697</v>
      </c>
      <c r="J1642">
        <v>0.19535057655823901</v>
      </c>
      <c r="K1642">
        <v>9.0084611447936294E-2</v>
      </c>
      <c r="L1642">
        <v>582.036047485376</v>
      </c>
      <c r="M1642">
        <v>9.9786796074930599</v>
      </c>
      <c r="N1642">
        <v>58.327960822666903</v>
      </c>
      <c r="O1642">
        <v>56.130558741968898</v>
      </c>
      <c r="P1642">
        <v>-4.4465854454704697E-2</v>
      </c>
      <c r="Q1642">
        <v>0</v>
      </c>
      <c r="R1642">
        <v>0.96300174969894803</v>
      </c>
      <c r="S1642" t="s">
        <v>7503</v>
      </c>
      <c r="T1642" t="s">
        <v>11720</v>
      </c>
      <c r="U1642" t="s">
        <v>11720</v>
      </c>
      <c r="V1642" t="s">
        <v>11720</v>
      </c>
      <c r="W1642" t="s">
        <v>13328</v>
      </c>
      <c r="X1642">
        <v>3</v>
      </c>
      <c r="Y1642" t="s">
        <v>19112</v>
      </c>
      <c r="Z1642" t="s">
        <v>24849</v>
      </c>
      <c r="AA1642">
        <v>0.6187151928131801</v>
      </c>
      <c r="AB1642" t="str">
        <f>HYPERLINK("Melting_Curves/meltCurve_O95455_TGDS.pdf", "Melting_Curves/meltCurve_O95455_TGDS.pdf")</f>
        <v>Melting_Curves/meltCurve_O95455_TGDS.pdf</v>
      </c>
    </row>
    <row r="1643" spans="1:28" x14ac:dyDescent="0.25">
      <c r="A1643" t="s">
        <v>1647</v>
      </c>
      <c r="B1643">
        <v>0.99334974765950101</v>
      </c>
      <c r="C1643">
        <v>1.0417965363339701</v>
      </c>
      <c r="D1643">
        <v>1.0831720254959301</v>
      </c>
      <c r="E1643">
        <v>1.0029976440732999</v>
      </c>
      <c r="F1643">
        <v>0.84921999308690399</v>
      </c>
      <c r="G1643">
        <v>0.47826582691869901</v>
      </c>
      <c r="H1643">
        <v>0.21931110920574701</v>
      </c>
      <c r="I1643">
        <v>0.112195266636388</v>
      </c>
      <c r="J1643">
        <v>7.2863210115895499E-2</v>
      </c>
      <c r="K1643">
        <v>6.4828473528027106E-2</v>
      </c>
      <c r="L1643">
        <v>1423.01852201049</v>
      </c>
      <c r="M1643">
        <v>25.137526199878899</v>
      </c>
      <c r="N1643">
        <v>56.914898590901601</v>
      </c>
      <c r="O1643">
        <v>56.254726793851397</v>
      </c>
      <c r="P1643">
        <v>-0.10466250323632199</v>
      </c>
      <c r="Q1643">
        <v>6.3124633388478596E-2</v>
      </c>
      <c r="R1643">
        <v>0.99354863378999703</v>
      </c>
      <c r="S1643" t="s">
        <v>7504</v>
      </c>
      <c r="T1643" t="s">
        <v>11720</v>
      </c>
      <c r="U1643" t="s">
        <v>11720</v>
      </c>
      <c r="V1643" t="s">
        <v>11720</v>
      </c>
      <c r="W1643" t="s">
        <v>13329</v>
      </c>
      <c r="X1643">
        <v>9</v>
      </c>
      <c r="Y1643" t="s">
        <v>19113</v>
      </c>
      <c r="Z1643" t="s">
        <v>24850</v>
      </c>
      <c r="AA1643">
        <v>0.59026169500955905</v>
      </c>
      <c r="AB1643" t="str">
        <f>HYPERLINK("Melting_Curves/meltCurve_O95456_PSMG1.pdf", "Melting_Curves/meltCurve_O95456_PSMG1.pdf")</f>
        <v>Melting_Curves/meltCurve_O95456_PSMG1.pdf</v>
      </c>
    </row>
    <row r="1644" spans="1:28" x14ac:dyDescent="0.25">
      <c r="A1644" t="s">
        <v>1648</v>
      </c>
      <c r="B1644">
        <v>0.99334974765950101</v>
      </c>
      <c r="C1644">
        <v>0.94713398967405305</v>
      </c>
      <c r="D1644">
        <v>1.12562828569667</v>
      </c>
      <c r="E1644">
        <v>0.58915346488697495</v>
      </c>
      <c r="F1644">
        <v>0.174210416018204</v>
      </c>
      <c r="G1644">
        <v>0.13344073952454799</v>
      </c>
      <c r="H1644">
        <v>0.104686618049613</v>
      </c>
      <c r="I1644">
        <v>0.11054989727204199</v>
      </c>
      <c r="J1644">
        <v>9.2492851359685505E-2</v>
      </c>
      <c r="K1644">
        <v>8.5773190650335202E-2</v>
      </c>
      <c r="L1644">
        <v>2865.7963269504498</v>
      </c>
      <c r="M1644">
        <v>57.127697651822402</v>
      </c>
      <c r="N1644">
        <v>50.382525439017002</v>
      </c>
      <c r="O1644">
        <v>50.103384887544998</v>
      </c>
      <c r="P1644">
        <v>-0.25386448443152698</v>
      </c>
      <c r="Q1644">
        <v>0.109401279121343</v>
      </c>
      <c r="R1644">
        <v>0.98697856382320803</v>
      </c>
      <c r="S1644" t="s">
        <v>7505</v>
      </c>
      <c r="T1644" t="s">
        <v>11720</v>
      </c>
      <c r="U1644" t="s">
        <v>11720</v>
      </c>
      <c r="V1644" t="s">
        <v>11720</v>
      </c>
      <c r="W1644" t="s">
        <v>13330</v>
      </c>
      <c r="X1644">
        <v>13</v>
      </c>
      <c r="Y1644" t="s">
        <v>19114</v>
      </c>
      <c r="Z1644" t="s">
        <v>24851</v>
      </c>
      <c r="AA1644">
        <v>0.41266585328488747</v>
      </c>
      <c r="AB1644" t="str">
        <f>HYPERLINK("Melting_Curves/meltCurve_O95486_SEC24A.pdf", "Melting_Curves/meltCurve_O95486_SEC24A.pdf")</f>
        <v>Melting_Curves/meltCurve_O95486_SEC24A.pdf</v>
      </c>
    </row>
    <row r="1645" spans="1:28" x14ac:dyDescent="0.25">
      <c r="A1645" t="s">
        <v>1649</v>
      </c>
      <c r="B1645">
        <v>0.99334974765950101</v>
      </c>
      <c r="C1645">
        <v>0.94469349298707495</v>
      </c>
      <c r="D1645">
        <v>0.99569602774583099</v>
      </c>
      <c r="E1645">
        <v>0.33255299036004399</v>
      </c>
      <c r="F1645">
        <v>0.25246382564502001</v>
      </c>
      <c r="G1645">
        <v>0.18904361288396301</v>
      </c>
      <c r="H1645">
        <v>0.13115533444249899</v>
      </c>
      <c r="I1645">
        <v>0.13848581365073401</v>
      </c>
      <c r="J1645">
        <v>7.4492752759236697E-2</v>
      </c>
      <c r="K1645">
        <v>4.3149542760595398E-2</v>
      </c>
      <c r="L1645">
        <v>2319.4548298784498</v>
      </c>
      <c r="M1645">
        <v>47.454154955606903</v>
      </c>
      <c r="N1645">
        <v>49.194485897458897</v>
      </c>
      <c r="O1645">
        <v>48.7912386773869</v>
      </c>
      <c r="P1645">
        <v>-0.21114495325066801</v>
      </c>
      <c r="Q1645">
        <v>0.13162394699466301</v>
      </c>
      <c r="R1645">
        <v>0.97985438136160696</v>
      </c>
      <c r="S1645" t="s">
        <v>7506</v>
      </c>
      <c r="T1645" t="s">
        <v>11720</v>
      </c>
      <c r="U1645" t="s">
        <v>11720</v>
      </c>
      <c r="V1645" t="s">
        <v>11720</v>
      </c>
      <c r="W1645" t="s">
        <v>13331</v>
      </c>
      <c r="X1645">
        <v>9</v>
      </c>
      <c r="Y1645" t="s">
        <v>19115</v>
      </c>
      <c r="Z1645" t="s">
        <v>24852</v>
      </c>
      <c r="AA1645">
        <v>0.39067994037358728</v>
      </c>
      <c r="AB1645" t="str">
        <f>HYPERLINK("Melting_Curves/meltCurve_O95487_2_SEC24B.pdf", "Melting_Curves/meltCurve_O95487_2_SEC24B.pdf")</f>
        <v>Melting_Curves/meltCurve_O95487_2_SEC24B.pdf</v>
      </c>
    </row>
    <row r="1646" spans="1:28" x14ac:dyDescent="0.25">
      <c r="A1646" t="s">
        <v>1650</v>
      </c>
      <c r="B1646">
        <v>0.99334974765950101</v>
      </c>
      <c r="C1646">
        <v>1.0147058140571401</v>
      </c>
      <c r="D1646">
        <v>0.96729799579933595</v>
      </c>
      <c r="E1646">
        <v>1.06519932603572</v>
      </c>
      <c r="F1646">
        <v>1.1394275307696899</v>
      </c>
      <c r="G1646">
        <v>1.0314185752279299</v>
      </c>
      <c r="H1646">
        <v>0.91244643878292897</v>
      </c>
      <c r="I1646">
        <v>1.25988493657333</v>
      </c>
      <c r="J1646">
        <v>0.91852144285926995</v>
      </c>
      <c r="K1646">
        <v>0.59506872222034701</v>
      </c>
      <c r="L1646">
        <v>15000</v>
      </c>
      <c r="M1646">
        <v>222.501370828457</v>
      </c>
      <c r="O1646">
        <v>67.409867479243999</v>
      </c>
      <c r="P1646">
        <v>-0.33423231966142097</v>
      </c>
      <c r="Q1646">
        <v>0.59495877843594203</v>
      </c>
      <c r="R1646">
        <v>0.62619127611926295</v>
      </c>
      <c r="S1646" t="s">
        <v>7507</v>
      </c>
      <c r="T1646" t="s">
        <v>11720</v>
      </c>
      <c r="U1646" t="s">
        <v>11720</v>
      </c>
      <c r="V1646" t="s">
        <v>11720</v>
      </c>
      <c r="W1646" t="s">
        <v>13332</v>
      </c>
      <c r="X1646">
        <v>3</v>
      </c>
      <c r="Y1646" t="s">
        <v>19116</v>
      </c>
      <c r="Z1646" t="s">
        <v>24853</v>
      </c>
      <c r="AA1646">
        <v>0.96516249937702314</v>
      </c>
      <c r="AB1646" t="str">
        <f>HYPERLINK("Melting_Curves/meltCurve_O95528_SLC2A10.pdf", "Melting_Curves/meltCurve_O95528_SLC2A10.pdf")</f>
        <v>Melting_Curves/meltCurve_O95528_SLC2A10.pdf</v>
      </c>
    </row>
    <row r="1647" spans="1:28" x14ac:dyDescent="0.25">
      <c r="A1647" t="s">
        <v>1651</v>
      </c>
      <c r="B1647">
        <v>0.99334974765950101</v>
      </c>
      <c r="C1647">
        <v>1.0134098856646301</v>
      </c>
      <c r="D1647">
        <v>1.11297310705466</v>
      </c>
      <c r="E1647">
        <v>1.01921157722044</v>
      </c>
      <c r="F1647">
        <v>1.1660400533431201</v>
      </c>
      <c r="G1647">
        <v>1.0489347161901299</v>
      </c>
      <c r="H1647">
        <v>0.92736014925690402</v>
      </c>
      <c r="I1647">
        <v>1.1256237240720099</v>
      </c>
      <c r="J1647">
        <v>0.66804234233871795</v>
      </c>
      <c r="K1647">
        <v>0.42845119678813898</v>
      </c>
      <c r="L1647">
        <v>15000</v>
      </c>
      <c r="M1647">
        <v>224.20638320805199</v>
      </c>
      <c r="N1647">
        <v>67.487725242535703</v>
      </c>
      <c r="O1647">
        <v>66.897344982866599</v>
      </c>
      <c r="P1647">
        <v>-0.478915604067009</v>
      </c>
      <c r="Q1647">
        <v>0.42841642946307601</v>
      </c>
      <c r="R1647">
        <v>0.86490556177092204</v>
      </c>
      <c r="S1647" t="s">
        <v>7508</v>
      </c>
      <c r="T1647" t="s">
        <v>11720</v>
      </c>
      <c r="U1647" t="s">
        <v>11720</v>
      </c>
      <c r="V1647" t="s">
        <v>11720</v>
      </c>
      <c r="W1647" t="s">
        <v>13333</v>
      </c>
      <c r="X1647">
        <v>2</v>
      </c>
      <c r="Y1647" t="s">
        <v>19117</v>
      </c>
      <c r="Z1647" t="s">
        <v>24854</v>
      </c>
      <c r="AA1647">
        <v>0.94106989056080426</v>
      </c>
      <c r="AB1647" t="str">
        <f>HYPERLINK("Melting_Curves/meltCurve_O95544_NADK.pdf", "Melting_Curves/meltCurve_O95544_NADK.pdf")</f>
        <v>Melting_Curves/meltCurve_O95544_NADK.pdf</v>
      </c>
    </row>
    <row r="1648" spans="1:28" x14ac:dyDescent="0.25">
      <c r="A1648" t="s">
        <v>1652</v>
      </c>
      <c r="B1648">
        <v>0.99334974765950101</v>
      </c>
      <c r="C1648">
        <v>0.92008739286396202</v>
      </c>
      <c r="D1648">
        <v>0.88873168298886396</v>
      </c>
      <c r="E1648">
        <v>0.47218811779123598</v>
      </c>
      <c r="F1648">
        <v>0.146348040727828</v>
      </c>
      <c r="G1648">
        <v>9.6215572632067203E-2</v>
      </c>
      <c r="H1648">
        <v>7.9283684566255994E-2</v>
      </c>
      <c r="I1648">
        <v>5.9184561355079497E-2</v>
      </c>
      <c r="J1648">
        <v>4.7235879085511301E-2</v>
      </c>
      <c r="K1648">
        <v>4.8826674918165502E-2</v>
      </c>
      <c r="L1648">
        <v>1350.4562255927799</v>
      </c>
      <c r="M1648">
        <v>27.3328274081322</v>
      </c>
      <c r="N1648">
        <v>49.620706558773499</v>
      </c>
      <c r="O1648">
        <v>49.145650206846</v>
      </c>
      <c r="P1648">
        <v>-0.13134978372113701</v>
      </c>
      <c r="Q1648">
        <v>5.5317715076464699E-2</v>
      </c>
      <c r="R1648">
        <v>0.99540149416887302</v>
      </c>
      <c r="S1648" t="s">
        <v>7509</v>
      </c>
      <c r="T1648" t="s">
        <v>11720</v>
      </c>
      <c r="U1648" t="s">
        <v>11720</v>
      </c>
      <c r="V1648" t="s">
        <v>11720</v>
      </c>
      <c r="W1648" t="s">
        <v>13334</v>
      </c>
      <c r="X1648">
        <v>1</v>
      </c>
      <c r="Y1648" t="s">
        <v>19118</v>
      </c>
      <c r="Z1648" t="s">
        <v>24855</v>
      </c>
      <c r="AA1648">
        <v>0.35856459957231768</v>
      </c>
      <c r="AB1648" t="str">
        <f>HYPERLINK("Melting_Curves/meltCurve_O95551_TDP2.pdf", "Melting_Curves/meltCurve_O95551_TDP2.pdf")</f>
        <v>Melting_Curves/meltCurve_O95551_TDP2.pdf</v>
      </c>
    </row>
    <row r="1649" spans="1:28" x14ac:dyDescent="0.25">
      <c r="A1649" t="s">
        <v>1653</v>
      </c>
      <c r="B1649">
        <v>0.99334974765950101</v>
      </c>
      <c r="C1649">
        <v>0.99526158675439602</v>
      </c>
      <c r="D1649">
        <v>0.98312556928554196</v>
      </c>
      <c r="E1649">
        <v>0.80856243838639197</v>
      </c>
      <c r="F1649">
        <v>0.76073384715125703</v>
      </c>
      <c r="G1649">
        <v>0.61314433712333605</v>
      </c>
      <c r="H1649">
        <v>0.39451967894429901</v>
      </c>
      <c r="I1649">
        <v>0.17043124852031</v>
      </c>
      <c r="J1649">
        <v>9.6360151525241897E-2</v>
      </c>
      <c r="K1649">
        <v>6.8838330754131996E-2</v>
      </c>
      <c r="L1649">
        <v>776.64856051160405</v>
      </c>
      <c r="M1649">
        <v>13.3993085169708</v>
      </c>
      <c r="N1649">
        <v>57.961838857469402</v>
      </c>
      <c r="O1649">
        <v>56.716496097879201</v>
      </c>
      <c r="P1649">
        <v>-5.9071934596677603E-2</v>
      </c>
      <c r="Q1649">
        <v>0</v>
      </c>
      <c r="R1649">
        <v>0.98519125377104</v>
      </c>
      <c r="S1649" t="s">
        <v>7510</v>
      </c>
      <c r="T1649" t="s">
        <v>11720</v>
      </c>
      <c r="U1649" t="s">
        <v>11720</v>
      </c>
      <c r="V1649" t="s">
        <v>11720</v>
      </c>
      <c r="W1649" t="s">
        <v>13335</v>
      </c>
      <c r="X1649">
        <v>13</v>
      </c>
      <c r="Y1649" t="s">
        <v>19119</v>
      </c>
      <c r="Z1649" t="s">
        <v>24856</v>
      </c>
      <c r="AA1649">
        <v>0.61225764618953826</v>
      </c>
      <c r="AB1649" t="str">
        <f>HYPERLINK("Melting_Curves/meltCurve_O95571_ETHE1.pdf", "Melting_Curves/meltCurve_O95571_ETHE1.pdf")</f>
        <v>Melting_Curves/meltCurve_O95571_ETHE1.pdf</v>
      </c>
    </row>
    <row r="1650" spans="1:28" x14ac:dyDescent="0.25">
      <c r="A1650" t="s">
        <v>1654</v>
      </c>
      <c r="B1650">
        <v>0.99334974765950101</v>
      </c>
      <c r="C1650">
        <v>0.75753827858809197</v>
      </c>
      <c r="D1650">
        <v>0.89204757389446299</v>
      </c>
      <c r="E1650">
        <v>0.63214411069709597</v>
      </c>
      <c r="F1650">
        <v>0.17425719421057001</v>
      </c>
      <c r="G1650">
        <v>9.5496153968813696E-2</v>
      </c>
      <c r="H1650">
        <v>5.8193856142520997E-2</v>
      </c>
      <c r="I1650">
        <v>4.6486846758318601E-2</v>
      </c>
      <c r="J1650">
        <v>4.35228338663965E-2</v>
      </c>
      <c r="K1650">
        <v>3.12270004498802E-2</v>
      </c>
      <c r="L1650">
        <v>1253.40426984847</v>
      </c>
      <c r="M1650">
        <v>24.885786447607899</v>
      </c>
      <c r="N1650">
        <v>50.509932757026</v>
      </c>
      <c r="O1650">
        <v>50.044423165211597</v>
      </c>
      <c r="P1650">
        <v>-0.120072565273549</v>
      </c>
      <c r="Q1650">
        <v>3.4166803242338201E-2</v>
      </c>
      <c r="R1650">
        <v>0.95418603260552703</v>
      </c>
      <c r="S1650" t="s">
        <v>7511</v>
      </c>
      <c r="T1650" t="s">
        <v>11720</v>
      </c>
      <c r="U1650" t="s">
        <v>11720</v>
      </c>
      <c r="V1650" t="s">
        <v>11720</v>
      </c>
      <c r="W1650" t="s">
        <v>13336</v>
      </c>
      <c r="X1650">
        <v>42</v>
      </c>
      <c r="Y1650" t="s">
        <v>19120</v>
      </c>
      <c r="Z1650" t="s">
        <v>24857</v>
      </c>
      <c r="AA1650">
        <v>0.37664801033906542</v>
      </c>
      <c r="AB1650" t="str">
        <f>HYPERLINK("Melting_Curves/meltCurve_O95573_ACSL3.pdf", "Melting_Curves/meltCurve_O95573_ACSL3.pdf")</f>
        <v>Melting_Curves/meltCurve_O95573_ACSL3.pdf</v>
      </c>
    </row>
    <row r="1651" spans="1:28" x14ac:dyDescent="0.25">
      <c r="A1651" t="s">
        <v>1655</v>
      </c>
      <c r="B1651">
        <v>0.99334974765950101</v>
      </c>
      <c r="C1651">
        <v>0.99943346032745894</v>
      </c>
      <c r="D1651">
        <v>0.81635239826785699</v>
      </c>
      <c r="E1651">
        <v>0.75228460019851895</v>
      </c>
      <c r="F1651">
        <v>0.56710217656225503</v>
      </c>
      <c r="G1651">
        <v>0.335971247018158</v>
      </c>
      <c r="H1651">
        <v>0.23889979529015401</v>
      </c>
      <c r="I1651">
        <v>0.21353255620547501</v>
      </c>
      <c r="J1651">
        <v>0.24814256313823399</v>
      </c>
      <c r="K1651">
        <v>0.19567478266465799</v>
      </c>
      <c r="L1651">
        <v>753.102973352395</v>
      </c>
      <c r="M1651">
        <v>14.4197602143549</v>
      </c>
      <c r="N1651">
        <v>53.817671162106897</v>
      </c>
      <c r="O1651">
        <v>51.2535131751346</v>
      </c>
      <c r="P1651">
        <v>-5.8139455221699499E-2</v>
      </c>
      <c r="Q1651">
        <v>0.173495322463809</v>
      </c>
      <c r="R1651">
        <v>0.98666995225209697</v>
      </c>
      <c r="S1651" t="s">
        <v>7512</v>
      </c>
      <c r="T1651" t="s">
        <v>11720</v>
      </c>
      <c r="U1651" t="s">
        <v>11720</v>
      </c>
      <c r="V1651" t="s">
        <v>11720</v>
      </c>
      <c r="W1651" t="s">
        <v>13337</v>
      </c>
      <c r="X1651">
        <v>5</v>
      </c>
      <c r="Y1651" t="s">
        <v>19121</v>
      </c>
      <c r="Z1651" t="s">
        <v>24858</v>
      </c>
      <c r="AA1651">
        <v>0.52978403758809633</v>
      </c>
      <c r="AB1651" t="str">
        <f>HYPERLINK("Melting_Curves/meltCurve_O95628_3_CNOT4.pdf", "Melting_Curves/meltCurve_O95628_3_CNOT4.pdf")</f>
        <v>Melting_Curves/meltCurve_O95628_3_CNOT4.pdf</v>
      </c>
    </row>
    <row r="1652" spans="1:28" x14ac:dyDescent="0.25">
      <c r="A1652" t="s">
        <v>1656</v>
      </c>
      <c r="B1652">
        <v>0.99334974765950101</v>
      </c>
      <c r="C1652">
        <v>0.89040337866086505</v>
      </c>
      <c r="D1652">
        <v>0.77362496107977097</v>
      </c>
      <c r="E1652">
        <v>0.35266385506071801</v>
      </c>
      <c r="F1652">
        <v>0.14609743044902301</v>
      </c>
      <c r="G1652">
        <v>9.0795898614130094E-2</v>
      </c>
      <c r="H1652">
        <v>6.4970546704526594E-2</v>
      </c>
      <c r="I1652">
        <v>5.1250653664400597E-2</v>
      </c>
      <c r="J1652">
        <v>4.6356442571133201E-2</v>
      </c>
      <c r="K1652">
        <v>3.8901574041523099E-2</v>
      </c>
      <c r="L1652">
        <v>1027.1308601706201</v>
      </c>
      <c r="M1652">
        <v>21.289523189416801</v>
      </c>
      <c r="N1652">
        <v>48.457446286650402</v>
      </c>
      <c r="O1652">
        <v>47.826199933042197</v>
      </c>
      <c r="P1652">
        <v>-0.106348646712766</v>
      </c>
      <c r="Q1652">
        <v>4.4389366580069901E-2</v>
      </c>
      <c r="R1652">
        <v>0.99742300836326803</v>
      </c>
      <c r="S1652" t="s">
        <v>7513</v>
      </c>
      <c r="T1652" t="s">
        <v>11720</v>
      </c>
      <c r="U1652" t="s">
        <v>11720</v>
      </c>
      <c r="V1652" t="s">
        <v>11720</v>
      </c>
      <c r="W1652" t="s">
        <v>13338</v>
      </c>
      <c r="X1652">
        <v>16</v>
      </c>
      <c r="Y1652" t="s">
        <v>19122</v>
      </c>
      <c r="Z1652" t="s">
        <v>24859</v>
      </c>
      <c r="AA1652">
        <v>0.31890203128668798</v>
      </c>
      <c r="AB1652" t="str">
        <f>HYPERLINK("Melting_Curves/meltCurve_O95630_STAMBP.pdf", "Melting_Curves/meltCurve_O95630_STAMBP.pdf")</f>
        <v>Melting_Curves/meltCurve_O95630_STAMBP.pdf</v>
      </c>
    </row>
    <row r="1653" spans="1:28" x14ac:dyDescent="0.25">
      <c r="A1653" t="s">
        <v>1657</v>
      </c>
      <c r="B1653">
        <v>0.99334974765950101</v>
      </c>
      <c r="C1653">
        <v>0.97098873383223205</v>
      </c>
      <c r="D1653">
        <v>0.86643498698813004</v>
      </c>
      <c r="E1653">
        <v>0.60029601532013899</v>
      </c>
      <c r="F1653">
        <v>0.306074115305978</v>
      </c>
      <c r="G1653">
        <v>0.150002654177598</v>
      </c>
      <c r="H1653">
        <v>0.114464187235299</v>
      </c>
      <c r="I1653">
        <v>9.8342943532159097E-2</v>
      </c>
      <c r="J1653">
        <v>0.102469880540279</v>
      </c>
      <c r="K1653">
        <v>8.3534469564335204E-2</v>
      </c>
      <c r="L1653">
        <v>1052.86358028362</v>
      </c>
      <c r="M1653">
        <v>20.916639780697398</v>
      </c>
      <c r="N1653">
        <v>50.796678304237602</v>
      </c>
      <c r="O1653">
        <v>49.882853305613203</v>
      </c>
      <c r="P1653">
        <v>-9.5777930324135299E-2</v>
      </c>
      <c r="Q1653">
        <v>8.6364488325617397E-2</v>
      </c>
      <c r="R1653">
        <v>0.998754271775669</v>
      </c>
      <c r="S1653" t="s">
        <v>7514</v>
      </c>
      <c r="T1653" t="s">
        <v>11720</v>
      </c>
      <c r="U1653" t="s">
        <v>11720</v>
      </c>
      <c r="V1653" t="s">
        <v>11720</v>
      </c>
      <c r="W1653" t="s">
        <v>13339</v>
      </c>
      <c r="X1653">
        <v>21</v>
      </c>
      <c r="Y1653" t="s">
        <v>19123</v>
      </c>
      <c r="Z1653" t="s">
        <v>24860</v>
      </c>
      <c r="AA1653">
        <v>0.41279748296457081</v>
      </c>
      <c r="AB1653" t="str">
        <f>HYPERLINK("Melting_Curves/meltCurve_O95671_2_ASMTL.pdf", "Melting_Curves/meltCurve_O95671_2_ASMTL.pdf")</f>
        <v>Melting_Curves/meltCurve_O95671_2_ASMTL.pdf</v>
      </c>
    </row>
    <row r="1654" spans="1:28" x14ac:dyDescent="0.25">
      <c r="A1654" t="s">
        <v>1658</v>
      </c>
      <c r="B1654">
        <v>0.99334974765950101</v>
      </c>
      <c r="C1654">
        <v>1.0371207597965399</v>
      </c>
      <c r="D1654">
        <v>1.0588042010590399</v>
      </c>
      <c r="E1654">
        <v>0.90197094348248497</v>
      </c>
      <c r="F1654">
        <v>1.07893857397746</v>
      </c>
      <c r="G1654">
        <v>0.69864318320073704</v>
      </c>
      <c r="H1654">
        <v>0.68059090401409505</v>
      </c>
      <c r="I1654">
        <v>0.69458267994728395</v>
      </c>
      <c r="J1654">
        <v>0.54078983312633999</v>
      </c>
      <c r="K1654">
        <v>0.37715959298225399</v>
      </c>
      <c r="L1654">
        <v>612.21293514485296</v>
      </c>
      <c r="M1654">
        <v>9.0901773010719698</v>
      </c>
      <c r="N1654">
        <v>67.348843898259105</v>
      </c>
      <c r="O1654">
        <v>64.329404397119305</v>
      </c>
      <c r="P1654">
        <v>-3.5351374877770902E-2</v>
      </c>
      <c r="Q1654">
        <v>0</v>
      </c>
      <c r="R1654">
        <v>0.87757491372812502</v>
      </c>
      <c r="S1654" t="s">
        <v>7515</v>
      </c>
      <c r="T1654" t="s">
        <v>11720</v>
      </c>
      <c r="U1654" t="s">
        <v>11720</v>
      </c>
      <c r="V1654" t="s">
        <v>11720</v>
      </c>
      <c r="W1654" t="s">
        <v>13340</v>
      </c>
      <c r="X1654">
        <v>2</v>
      </c>
      <c r="Y1654" t="s">
        <v>19124</v>
      </c>
      <c r="Z1654" t="s">
        <v>24861</v>
      </c>
      <c r="AA1654">
        <v>0.81435971122697515</v>
      </c>
      <c r="AB1654" t="str">
        <f>HYPERLINK("Melting_Curves/meltCurve_O95674_CDS2.pdf", "Melting_Curves/meltCurve_O95674_CDS2.pdf")</f>
        <v>Melting_Curves/meltCurve_O95674_CDS2.pdf</v>
      </c>
    </row>
    <row r="1655" spans="1:28" x14ac:dyDescent="0.25">
      <c r="A1655" t="s">
        <v>1659</v>
      </c>
      <c r="B1655">
        <v>0.99334974765950101</v>
      </c>
      <c r="C1655">
        <v>0.934858556892183</v>
      </c>
      <c r="D1655">
        <v>0.863797488304617</v>
      </c>
      <c r="E1655">
        <v>0.62683862832734005</v>
      </c>
      <c r="F1655">
        <v>0.47678875770494999</v>
      </c>
      <c r="G1655">
        <v>0.30411237070629499</v>
      </c>
      <c r="H1655">
        <v>0.26892057972538802</v>
      </c>
      <c r="I1655">
        <v>0.286526797524712</v>
      </c>
      <c r="J1655">
        <v>0.243363012973184</v>
      </c>
      <c r="K1655">
        <v>0.17825109364463701</v>
      </c>
      <c r="L1655">
        <v>766.97306693831797</v>
      </c>
      <c r="M1655">
        <v>15.2030056797113</v>
      </c>
      <c r="N1655">
        <v>52.344256509004701</v>
      </c>
      <c r="O1655">
        <v>49.600077812437</v>
      </c>
      <c r="P1655">
        <v>-6.04133303750456E-2</v>
      </c>
      <c r="Q1655">
        <v>0.21167727563434399</v>
      </c>
      <c r="R1655">
        <v>0.99402994123069</v>
      </c>
      <c r="S1655" t="s">
        <v>7516</v>
      </c>
      <c r="T1655" t="s">
        <v>11720</v>
      </c>
      <c r="U1655" t="s">
        <v>11720</v>
      </c>
      <c r="V1655" t="s">
        <v>11720</v>
      </c>
      <c r="W1655" t="s">
        <v>13341</v>
      </c>
      <c r="X1655">
        <v>5</v>
      </c>
      <c r="Y1655" t="s">
        <v>19125</v>
      </c>
      <c r="Z1655" t="s">
        <v>24862</v>
      </c>
      <c r="AA1655">
        <v>0.5043517129820273</v>
      </c>
      <c r="AB1655" t="str">
        <f>HYPERLINK("Melting_Curves/meltCurve_O95684_FGFR1OP.pdf", "Melting_Curves/meltCurve_O95684_FGFR1OP.pdf")</f>
        <v>Melting_Curves/meltCurve_O95684_FGFR1OP.pdf</v>
      </c>
    </row>
    <row r="1656" spans="1:28" x14ac:dyDescent="0.25">
      <c r="A1656" t="s">
        <v>1660</v>
      </c>
      <c r="B1656">
        <v>0.99334974765950101</v>
      </c>
      <c r="C1656">
        <v>0.93817745993327595</v>
      </c>
      <c r="D1656">
        <v>0.87104977895666602</v>
      </c>
      <c r="E1656">
        <v>0.65014045743802396</v>
      </c>
      <c r="F1656">
        <v>0.47120645145715401</v>
      </c>
      <c r="G1656">
        <v>0.36690983649304598</v>
      </c>
      <c r="H1656">
        <v>0.250004868815422</v>
      </c>
      <c r="I1656">
        <v>0.19115397120618</v>
      </c>
      <c r="J1656">
        <v>0.115669088949789</v>
      </c>
      <c r="K1656">
        <v>7.6525073264960095E-2</v>
      </c>
      <c r="L1656">
        <v>572.93178092356004</v>
      </c>
      <c r="M1656">
        <v>10.8295572646535</v>
      </c>
      <c r="N1656">
        <v>53.312212348404998</v>
      </c>
      <c r="O1656">
        <v>51.196342663768199</v>
      </c>
      <c r="P1656">
        <v>-5.0798730159338099E-2</v>
      </c>
      <c r="Q1656">
        <v>3.9747217688570702E-2</v>
      </c>
      <c r="R1656">
        <v>0.99421471679941997</v>
      </c>
      <c r="S1656" t="s">
        <v>7517</v>
      </c>
      <c r="T1656" t="s">
        <v>11720</v>
      </c>
      <c r="U1656" t="s">
        <v>11720</v>
      </c>
      <c r="V1656" t="s">
        <v>11720</v>
      </c>
      <c r="W1656" t="s">
        <v>13342</v>
      </c>
      <c r="X1656">
        <v>8</v>
      </c>
      <c r="Y1656" t="s">
        <v>19126</v>
      </c>
      <c r="Z1656" t="s">
        <v>24863</v>
      </c>
      <c r="AA1656">
        <v>0.48354404962488817</v>
      </c>
      <c r="AB1656" t="str">
        <f>HYPERLINK("Melting_Curves/meltCurve_O95716_RAB3D.pdf", "Melting_Curves/meltCurve_O95716_RAB3D.pdf")</f>
        <v>Melting_Curves/meltCurve_O95716_RAB3D.pdf</v>
      </c>
    </row>
    <row r="1657" spans="1:28" x14ac:dyDescent="0.25">
      <c r="A1657" t="s">
        <v>1661</v>
      </c>
      <c r="B1657">
        <v>0.99334974765950101</v>
      </c>
      <c r="C1657">
        <v>1.0144458359344299</v>
      </c>
      <c r="D1657">
        <v>0.91595713329086104</v>
      </c>
      <c r="E1657">
        <v>0.73748259507768898</v>
      </c>
      <c r="F1657">
        <v>0.83022847634955999</v>
      </c>
      <c r="G1657">
        <v>0.60597005932668602</v>
      </c>
      <c r="H1657">
        <v>0.62239237682772197</v>
      </c>
      <c r="I1657">
        <v>0.73140063673177202</v>
      </c>
      <c r="J1657">
        <v>0.80432992950306004</v>
      </c>
      <c r="K1657">
        <v>0.72181959331766499</v>
      </c>
      <c r="L1657">
        <v>1381.8106049924199</v>
      </c>
      <c r="M1657">
        <v>29.116171601460898</v>
      </c>
      <c r="O1657">
        <v>47.236345916517898</v>
      </c>
      <c r="P1657">
        <v>-4.4331630677553198E-2</v>
      </c>
      <c r="Q1657">
        <v>0.71231810680281304</v>
      </c>
      <c r="R1657">
        <v>0.77209111469860803</v>
      </c>
      <c r="S1657" t="s">
        <v>7518</v>
      </c>
      <c r="T1657" t="s">
        <v>11720</v>
      </c>
      <c r="U1657" t="s">
        <v>11720</v>
      </c>
      <c r="V1657" t="s">
        <v>11720</v>
      </c>
      <c r="W1657" t="s">
        <v>13343</v>
      </c>
      <c r="X1657">
        <v>24</v>
      </c>
      <c r="Y1657" t="s">
        <v>17794</v>
      </c>
      <c r="Z1657" t="s">
        <v>24864</v>
      </c>
      <c r="AA1657">
        <v>0.78567968028476121</v>
      </c>
      <c r="AB1657" t="str">
        <f>HYPERLINK("Melting_Curves/meltCurve_O95721_SNAP29.pdf", "Melting_Curves/meltCurve_O95721_SNAP29.pdf")</f>
        <v>Melting_Curves/meltCurve_O95721_SNAP29.pdf</v>
      </c>
    </row>
    <row r="1658" spans="1:28" x14ac:dyDescent="0.25">
      <c r="A1658" t="s">
        <v>1662</v>
      </c>
      <c r="B1658">
        <v>0.99334974765950101</v>
      </c>
      <c r="C1658">
        <v>1.0259810074273299</v>
      </c>
      <c r="D1658">
        <v>0.75754793195094705</v>
      </c>
      <c r="E1658">
        <v>0.34207323006155699</v>
      </c>
      <c r="F1658">
        <v>0.13454082381062901</v>
      </c>
      <c r="G1658">
        <v>8.7777372248407606E-2</v>
      </c>
      <c r="H1658">
        <v>7.0892130568829606E-2</v>
      </c>
      <c r="I1658">
        <v>7.6686938445101396E-2</v>
      </c>
      <c r="J1658">
        <v>7.5697476483156903E-2</v>
      </c>
      <c r="K1658">
        <v>6.3116209869790302E-2</v>
      </c>
      <c r="L1658">
        <v>1259.07308897546</v>
      </c>
      <c r="M1658">
        <v>26.161594323223099</v>
      </c>
      <c r="N1658">
        <v>48.406096277012402</v>
      </c>
      <c r="O1658">
        <v>47.848214811049502</v>
      </c>
      <c r="P1658">
        <v>-0.12711535716799999</v>
      </c>
      <c r="Q1658">
        <v>7.0060556155792403E-2</v>
      </c>
      <c r="R1658">
        <v>0.99631105023878797</v>
      </c>
      <c r="S1658" t="s">
        <v>7519</v>
      </c>
      <c r="T1658" t="s">
        <v>11720</v>
      </c>
      <c r="U1658" t="s">
        <v>11720</v>
      </c>
      <c r="V1658" t="s">
        <v>11720</v>
      </c>
      <c r="W1658" t="s">
        <v>13344</v>
      </c>
      <c r="X1658">
        <v>14</v>
      </c>
      <c r="Y1658" t="s">
        <v>19127</v>
      </c>
      <c r="Z1658" t="s">
        <v>24865</v>
      </c>
      <c r="AA1658">
        <v>0.32944029042785428</v>
      </c>
      <c r="AB1658" t="str">
        <f>HYPERLINK("Melting_Curves/meltCurve_O95747_OXSR1.pdf", "Melting_Curves/meltCurve_O95747_OXSR1.pdf")</f>
        <v>Melting_Curves/meltCurve_O95747_OXSR1.pdf</v>
      </c>
    </row>
    <row r="1659" spans="1:28" x14ac:dyDescent="0.25">
      <c r="A1659" t="s">
        <v>1663</v>
      </c>
      <c r="B1659">
        <v>0.99334974765950101</v>
      </c>
      <c r="C1659">
        <v>1.03572325314969</v>
      </c>
      <c r="D1659">
        <v>1.1859600620455899</v>
      </c>
      <c r="E1659">
        <v>1.6456810070844501</v>
      </c>
      <c r="F1659">
        <v>1.6093690739058499</v>
      </c>
      <c r="G1659">
        <v>1.45209031318812</v>
      </c>
      <c r="H1659">
        <v>0.61271654349314797</v>
      </c>
      <c r="I1659">
        <v>0.35244721288082898</v>
      </c>
      <c r="J1659">
        <v>0.28739562179297801</v>
      </c>
      <c r="K1659">
        <v>0.32164497985054102</v>
      </c>
      <c r="L1659">
        <v>9491.8829950474792</v>
      </c>
      <c r="M1659">
        <v>155.88514815654801</v>
      </c>
      <c r="N1659">
        <v>61.292718171912</v>
      </c>
      <c r="O1659">
        <v>60.880194322150899</v>
      </c>
      <c r="P1659">
        <v>-0.43506038324512902</v>
      </c>
      <c r="Q1659">
        <v>0.32035684521890001</v>
      </c>
      <c r="R1659">
        <v>0.59430986999088797</v>
      </c>
      <c r="S1659" t="s">
        <v>7520</v>
      </c>
      <c r="T1659" t="s">
        <v>11720</v>
      </c>
      <c r="U1659" t="s">
        <v>11720</v>
      </c>
      <c r="V1659" t="s">
        <v>11720</v>
      </c>
      <c r="W1659" t="s">
        <v>13345</v>
      </c>
      <c r="X1659">
        <v>9</v>
      </c>
      <c r="Y1659" t="s">
        <v>19128</v>
      </c>
      <c r="Z1659" t="s">
        <v>24866</v>
      </c>
      <c r="AA1659">
        <v>0.79380717067264017</v>
      </c>
      <c r="AB1659" t="str">
        <f>HYPERLINK("Melting_Curves/meltCurve_O95749_GGPS1.pdf", "Melting_Curves/meltCurve_O95749_GGPS1.pdf")</f>
        <v>Melting_Curves/meltCurve_O95749_GGPS1.pdf</v>
      </c>
    </row>
    <row r="1660" spans="1:28" x14ac:dyDescent="0.25">
      <c r="A1660" t="s">
        <v>1664</v>
      </c>
      <c r="B1660">
        <v>0.99334974765950101</v>
      </c>
      <c r="C1660">
        <v>1.05610594934696</v>
      </c>
      <c r="D1660">
        <v>1.0826886641306801</v>
      </c>
      <c r="E1660">
        <v>1.2749277617881001</v>
      </c>
      <c r="F1660">
        <v>1.40116234700454</v>
      </c>
      <c r="G1660">
        <v>1.5027719213316699</v>
      </c>
      <c r="H1660">
        <v>1.47833353886958</v>
      </c>
      <c r="I1660">
        <v>2.0136805332022698</v>
      </c>
      <c r="J1660">
        <v>1.5391505251340301</v>
      </c>
      <c r="K1660">
        <v>1.35587975029242</v>
      </c>
      <c r="L1660">
        <v>1221.6345266887599</v>
      </c>
      <c r="M1660">
        <v>24.7142823721864</v>
      </c>
      <c r="O1660">
        <v>49.110084666541901</v>
      </c>
      <c r="P1660">
        <v>6.2906200249719005E-2</v>
      </c>
      <c r="Q1660">
        <v>1.5</v>
      </c>
      <c r="R1660">
        <v>0.63815161655594199</v>
      </c>
      <c r="S1660" t="s">
        <v>7521</v>
      </c>
      <c r="T1660" t="s">
        <v>11720</v>
      </c>
      <c r="U1660" t="s">
        <v>11720</v>
      </c>
      <c r="V1660" t="s">
        <v>11720</v>
      </c>
      <c r="W1660" t="s">
        <v>13346</v>
      </c>
      <c r="X1660">
        <v>5</v>
      </c>
      <c r="Y1660" t="s">
        <v>19129</v>
      </c>
      <c r="Z1660" t="s">
        <v>24867</v>
      </c>
      <c r="AA1660">
        <v>1.3382778696126909</v>
      </c>
      <c r="AB1660" t="str">
        <f>HYPERLINK("Melting_Curves/meltCurve_O95777_NAA38.pdf", "Melting_Curves/meltCurve_O95777_NAA38.pdf")</f>
        <v>Melting_Curves/meltCurve_O95777_NAA38.pdf</v>
      </c>
    </row>
    <row r="1661" spans="1:28" x14ac:dyDescent="0.25">
      <c r="A1661" t="s">
        <v>1665</v>
      </c>
      <c r="B1661">
        <v>0.99334974765950101</v>
      </c>
      <c r="C1661">
        <v>0.99971133367360698</v>
      </c>
      <c r="D1661">
        <v>1.07654883165177</v>
      </c>
      <c r="E1661">
        <v>0.96214848021125599</v>
      </c>
      <c r="F1661">
        <v>0.79035645221027595</v>
      </c>
      <c r="G1661">
        <v>0.48488641866763399</v>
      </c>
      <c r="H1661">
        <v>0.20364994008155499</v>
      </c>
      <c r="I1661">
        <v>0.13762513709848001</v>
      </c>
      <c r="J1661">
        <v>0.10385665365444099</v>
      </c>
      <c r="K1661">
        <v>7.98366407147129E-2</v>
      </c>
      <c r="L1661">
        <v>1258.1884376548701</v>
      </c>
      <c r="M1661">
        <v>22.358813890181398</v>
      </c>
      <c r="N1661">
        <v>56.679230342945303</v>
      </c>
      <c r="O1661">
        <v>55.828238235096897</v>
      </c>
      <c r="P1661">
        <v>-9.2705599081704795E-2</v>
      </c>
      <c r="Q1661">
        <v>7.4104179152549396E-2</v>
      </c>
      <c r="R1661">
        <v>0.99500212141821698</v>
      </c>
      <c r="S1661" t="s">
        <v>7522</v>
      </c>
      <c r="T1661" t="s">
        <v>11720</v>
      </c>
      <c r="U1661" t="s">
        <v>11720</v>
      </c>
      <c r="V1661" t="s">
        <v>11720</v>
      </c>
      <c r="W1661" t="s">
        <v>13347</v>
      </c>
      <c r="X1661">
        <v>26</v>
      </c>
      <c r="Y1661" t="s">
        <v>19130</v>
      </c>
      <c r="Z1661" t="s">
        <v>24868</v>
      </c>
      <c r="AA1661">
        <v>0.58640811614872979</v>
      </c>
      <c r="AB1661" t="str">
        <f>HYPERLINK("Melting_Curves/meltCurve_O95782_2_AP2A1.pdf", "Melting_Curves/meltCurve_O95782_2_AP2A1.pdf")</f>
        <v>Melting_Curves/meltCurve_O95782_2_AP2A1.pdf</v>
      </c>
    </row>
    <row r="1662" spans="1:28" x14ac:dyDescent="0.25">
      <c r="A1662" t="s">
        <v>1666</v>
      </c>
      <c r="B1662">
        <v>0.99334974765950101</v>
      </c>
      <c r="C1662">
        <v>0.93648790063718801</v>
      </c>
      <c r="D1662">
        <v>0.65048496984980697</v>
      </c>
      <c r="E1662">
        <v>0.205746077773203</v>
      </c>
      <c r="F1662">
        <v>0.16157590905226399</v>
      </c>
      <c r="G1662">
        <v>0.116274545490905</v>
      </c>
      <c r="H1662">
        <v>9.2089547941148805E-2</v>
      </c>
      <c r="I1662">
        <v>8.21941484839111E-2</v>
      </c>
      <c r="J1662">
        <v>7.8607357547576806E-2</v>
      </c>
      <c r="K1662">
        <v>7.28752634230799E-2</v>
      </c>
      <c r="L1662">
        <v>1290.62996918975</v>
      </c>
      <c r="M1662">
        <v>27.590332758827</v>
      </c>
      <c r="N1662">
        <v>47.121201371525203</v>
      </c>
      <c r="O1662">
        <v>46.5346661585017</v>
      </c>
      <c r="P1662">
        <v>-0.13474624765054199</v>
      </c>
      <c r="Q1662">
        <v>9.0940334874763898E-2</v>
      </c>
      <c r="R1662">
        <v>0.99794132618148201</v>
      </c>
      <c r="S1662" t="s">
        <v>7523</v>
      </c>
      <c r="T1662" t="s">
        <v>11720</v>
      </c>
      <c r="U1662" t="s">
        <v>11720</v>
      </c>
      <c r="V1662" t="s">
        <v>11720</v>
      </c>
      <c r="W1662" t="s">
        <v>13348</v>
      </c>
      <c r="X1662">
        <v>18</v>
      </c>
      <c r="Y1662" t="s">
        <v>19131</v>
      </c>
      <c r="Z1662" t="s">
        <v>24869</v>
      </c>
      <c r="AA1662">
        <v>0.30289462253500332</v>
      </c>
      <c r="AB1662" t="str">
        <f>HYPERLINK("Melting_Curves/meltCurve_O95786_DDX58.pdf", "Melting_Curves/meltCurve_O95786_DDX58.pdf")</f>
        <v>Melting_Curves/meltCurve_O95786_DDX58.pdf</v>
      </c>
    </row>
    <row r="1663" spans="1:28" x14ac:dyDescent="0.25">
      <c r="A1663" t="s">
        <v>1667</v>
      </c>
      <c r="B1663">
        <v>0.99334974765950101</v>
      </c>
      <c r="C1663">
        <v>1.0189107629282801</v>
      </c>
      <c r="D1663">
        <v>0.87439177956965597</v>
      </c>
      <c r="E1663">
        <v>0.55065228027952395</v>
      </c>
      <c r="F1663">
        <v>0.207739922964125</v>
      </c>
      <c r="G1663">
        <v>0.17738341859086601</v>
      </c>
      <c r="H1663">
        <v>0.114816550660991</v>
      </c>
      <c r="I1663">
        <v>8.8668609280375704E-2</v>
      </c>
      <c r="J1663">
        <v>6.6364617600265297E-2</v>
      </c>
      <c r="K1663">
        <v>5.1986536229615597E-2</v>
      </c>
      <c r="L1663">
        <v>1231.7042143439301</v>
      </c>
      <c r="M1663">
        <v>24.7052345463248</v>
      </c>
      <c r="N1663">
        <v>50.2238359530037</v>
      </c>
      <c r="O1663">
        <v>49.532790192677901</v>
      </c>
      <c r="P1663">
        <v>-0.11437398990843201</v>
      </c>
      <c r="Q1663">
        <v>8.2755879449987399E-2</v>
      </c>
      <c r="R1663">
        <v>0.99357309212978795</v>
      </c>
      <c r="S1663" t="s">
        <v>7524</v>
      </c>
      <c r="T1663" t="s">
        <v>11720</v>
      </c>
      <c r="U1663" t="s">
        <v>11720</v>
      </c>
      <c r="V1663" t="s">
        <v>11720</v>
      </c>
      <c r="W1663" t="s">
        <v>13349</v>
      </c>
      <c r="X1663">
        <v>7</v>
      </c>
      <c r="Y1663" t="s">
        <v>19132</v>
      </c>
      <c r="Z1663" t="s">
        <v>24870</v>
      </c>
      <c r="AA1663">
        <v>0.39248570064555838</v>
      </c>
      <c r="AB1663" t="str">
        <f>HYPERLINK("Melting_Curves/meltCurve_O95801_TTC4.pdf", "Melting_Curves/meltCurve_O95801_TTC4.pdf")</f>
        <v>Melting_Curves/meltCurve_O95801_TTC4.pdf</v>
      </c>
    </row>
    <row r="1664" spans="1:28" x14ac:dyDescent="0.25">
      <c r="A1664" t="s">
        <v>1668</v>
      </c>
      <c r="B1664">
        <v>0.99334974765950101</v>
      </c>
      <c r="C1664">
        <v>0.90792897622240398</v>
      </c>
      <c r="D1664">
        <v>0.89104171063833904</v>
      </c>
      <c r="E1664">
        <v>0.79740210772560904</v>
      </c>
      <c r="F1664">
        <v>0.85549805273524804</v>
      </c>
      <c r="G1664">
        <v>0.53446659858979195</v>
      </c>
      <c r="H1664">
        <v>0.37752162099169201</v>
      </c>
      <c r="I1664">
        <v>0.40024278147070802</v>
      </c>
      <c r="J1664">
        <v>0.30460336610927902</v>
      </c>
      <c r="K1664">
        <v>0.179120451372205</v>
      </c>
      <c r="L1664">
        <v>503.54415987949199</v>
      </c>
      <c r="M1664">
        <v>8.4932992228407294</v>
      </c>
      <c r="N1664">
        <v>59.287226978505103</v>
      </c>
      <c r="O1664">
        <v>56.274480972992798</v>
      </c>
      <c r="P1664">
        <v>-3.7765675228120299E-2</v>
      </c>
      <c r="Q1664">
        <v>0</v>
      </c>
      <c r="R1664">
        <v>0.96026369997887695</v>
      </c>
      <c r="S1664" t="s">
        <v>7525</v>
      </c>
      <c r="T1664" t="s">
        <v>11720</v>
      </c>
      <c r="U1664" t="s">
        <v>11720</v>
      </c>
      <c r="V1664" t="s">
        <v>11720</v>
      </c>
      <c r="W1664" t="s">
        <v>13350</v>
      </c>
      <c r="X1664">
        <v>1</v>
      </c>
      <c r="Y1664" t="s">
        <v>19133</v>
      </c>
      <c r="Z1664" t="s">
        <v>24871</v>
      </c>
      <c r="AA1664">
        <v>0.63763720978117988</v>
      </c>
      <c r="AB1664" t="str">
        <f>HYPERLINK("Melting_Curves/meltCurve_O95807_TMEM50A.pdf", "Melting_Curves/meltCurve_O95807_TMEM50A.pdf")</f>
        <v>Melting_Curves/meltCurve_O95807_TMEM50A.pdf</v>
      </c>
    </row>
    <row r="1665" spans="1:28" x14ac:dyDescent="0.25">
      <c r="A1665" t="s">
        <v>1669</v>
      </c>
      <c r="B1665">
        <v>0.99334974765950101</v>
      </c>
      <c r="C1665">
        <v>0.94558514238844904</v>
      </c>
      <c r="D1665">
        <v>0.88463793697704696</v>
      </c>
      <c r="E1665">
        <v>0.68622626167553702</v>
      </c>
      <c r="F1665">
        <v>0.60734083508050096</v>
      </c>
      <c r="G1665">
        <v>0.55519333626224598</v>
      </c>
      <c r="H1665">
        <v>0.55942593589178102</v>
      </c>
      <c r="I1665">
        <v>0.647690067530304</v>
      </c>
      <c r="J1665">
        <v>0.55326131898685604</v>
      </c>
      <c r="K1665">
        <v>0.52006269957904006</v>
      </c>
      <c r="L1665">
        <v>1044.0854043125</v>
      </c>
      <c r="M1665">
        <v>21.804642655244699</v>
      </c>
      <c r="O1665">
        <v>47.486311230996797</v>
      </c>
      <c r="P1665">
        <v>-5.0181285197645698E-2</v>
      </c>
      <c r="Q1665">
        <v>0.56286922808568496</v>
      </c>
      <c r="R1665">
        <v>0.96509548050898097</v>
      </c>
      <c r="S1665" t="s">
        <v>7526</v>
      </c>
      <c r="T1665" t="s">
        <v>11720</v>
      </c>
      <c r="U1665" t="s">
        <v>11720</v>
      </c>
      <c r="V1665" t="s">
        <v>11720</v>
      </c>
      <c r="W1665" t="s">
        <v>13351</v>
      </c>
      <c r="X1665">
        <v>8</v>
      </c>
      <c r="Y1665" t="s">
        <v>19134</v>
      </c>
      <c r="Z1665" t="s">
        <v>24872</v>
      </c>
      <c r="AA1665">
        <v>0.68291975245051617</v>
      </c>
      <c r="AB1665" t="str">
        <f>HYPERLINK("Melting_Curves/meltCurve_O95810_SDPR.pdf", "Melting_Curves/meltCurve_O95810_SDPR.pdf")</f>
        <v>Melting_Curves/meltCurve_O95810_SDPR.pdf</v>
      </c>
    </row>
    <row r="1666" spans="1:28" x14ac:dyDescent="0.25">
      <c r="A1666" t="s">
        <v>1670</v>
      </c>
      <c r="B1666">
        <v>0.99334974765950101</v>
      </c>
      <c r="C1666">
        <v>1.0112838550907399</v>
      </c>
      <c r="D1666">
        <v>1.1728153804069399</v>
      </c>
      <c r="E1666">
        <v>1.3215491011393801</v>
      </c>
      <c r="F1666">
        <v>2.8231733374208399</v>
      </c>
      <c r="G1666">
        <v>1.0138638519432599</v>
      </c>
      <c r="H1666">
        <v>0.72373576089700997</v>
      </c>
      <c r="I1666">
        <v>0.647850863495672</v>
      </c>
      <c r="J1666">
        <v>0.61487336699869</v>
      </c>
      <c r="K1666">
        <v>0.52794499076391899</v>
      </c>
      <c r="L1666">
        <v>4053.3437911171</v>
      </c>
      <c r="M1666">
        <v>67.110996182072398</v>
      </c>
      <c r="O1666">
        <v>60.344049563034602</v>
      </c>
      <c r="P1666">
        <v>-0.11345689599051099</v>
      </c>
      <c r="Q1666">
        <v>0.59193294140131003</v>
      </c>
      <c r="R1666">
        <v>0.124329481967766</v>
      </c>
      <c r="S1666" t="s">
        <v>7527</v>
      </c>
      <c r="T1666" t="s">
        <v>11720</v>
      </c>
      <c r="U1666" t="s">
        <v>11720</v>
      </c>
      <c r="V1666" t="s">
        <v>11720</v>
      </c>
      <c r="W1666" t="s">
        <v>13352</v>
      </c>
      <c r="X1666">
        <v>11</v>
      </c>
      <c r="Y1666" t="s">
        <v>19135</v>
      </c>
      <c r="Z1666" t="s">
        <v>24873</v>
      </c>
      <c r="AA1666">
        <v>0.86998627441016529</v>
      </c>
      <c r="AB1666" t="str">
        <f>HYPERLINK("Melting_Curves/meltCurve_O95816_BAG2.pdf", "Melting_Curves/meltCurve_O95816_BAG2.pdf")</f>
        <v>Melting_Curves/meltCurve_O95816_BAG2.pdf</v>
      </c>
    </row>
    <row r="1667" spans="1:28" x14ac:dyDescent="0.25">
      <c r="A1667" t="s">
        <v>1671</v>
      </c>
      <c r="B1667">
        <v>0.99334974765950101</v>
      </c>
      <c r="C1667">
        <v>1.0466715631708701</v>
      </c>
      <c r="D1667">
        <v>0.88921578131636603</v>
      </c>
      <c r="E1667">
        <v>0.83171514326599605</v>
      </c>
      <c r="F1667">
        <v>0.74629738979153604</v>
      </c>
      <c r="G1667">
        <v>0.67537839301897096</v>
      </c>
      <c r="H1667">
        <v>0.67891367181956697</v>
      </c>
      <c r="I1667">
        <v>1.08301255375543</v>
      </c>
      <c r="J1667">
        <v>0.89061131992863796</v>
      </c>
      <c r="K1667">
        <v>0.96917775955362995</v>
      </c>
      <c r="L1667">
        <v>11463.325823085301</v>
      </c>
      <c r="M1667">
        <v>250</v>
      </c>
      <c r="O1667">
        <v>45.850372586953299</v>
      </c>
      <c r="P1667">
        <v>-0.219053731437721</v>
      </c>
      <c r="Q1667">
        <v>0.83930088954933002</v>
      </c>
      <c r="R1667">
        <v>0.26016709487637601</v>
      </c>
      <c r="S1667" t="s">
        <v>7528</v>
      </c>
      <c r="T1667" t="s">
        <v>11720</v>
      </c>
      <c r="U1667" t="s">
        <v>11720</v>
      </c>
      <c r="V1667" t="s">
        <v>11720</v>
      </c>
      <c r="W1667" t="s">
        <v>13353</v>
      </c>
      <c r="X1667">
        <v>26</v>
      </c>
      <c r="Y1667" t="s">
        <v>17808</v>
      </c>
      <c r="Z1667" t="s">
        <v>24874</v>
      </c>
      <c r="AA1667">
        <v>0.87066784237731976</v>
      </c>
      <c r="AB1667" t="str">
        <f>HYPERLINK("Melting_Curves/meltCurve_O95817_BAG3.pdf", "Melting_Curves/meltCurve_O95817_BAG3.pdf")</f>
        <v>Melting_Curves/meltCurve_O95817_BAG3.pdf</v>
      </c>
    </row>
    <row r="1668" spans="1:28" x14ac:dyDescent="0.25">
      <c r="A1668" t="s">
        <v>1672</v>
      </c>
      <c r="B1668">
        <v>0.99334974765950101</v>
      </c>
      <c r="C1668">
        <v>1.1116642091016899</v>
      </c>
      <c r="D1668">
        <v>1.2245672079777901</v>
      </c>
      <c r="E1668">
        <v>1.61024891356865</v>
      </c>
      <c r="F1668">
        <v>2.4387662682553302</v>
      </c>
      <c r="G1668">
        <v>2.3101524171701802</v>
      </c>
      <c r="H1668">
        <v>1.3624819738590901</v>
      </c>
      <c r="I1668">
        <v>0.41455774204162299</v>
      </c>
      <c r="J1668">
        <v>0.27740098797986901</v>
      </c>
      <c r="K1668">
        <v>0.223708761599024</v>
      </c>
      <c r="L1668">
        <v>15000</v>
      </c>
      <c r="M1668">
        <v>235.646732241596</v>
      </c>
      <c r="N1668">
        <v>63.842971795243997</v>
      </c>
      <c r="O1668">
        <v>63.650016186466601</v>
      </c>
      <c r="P1668">
        <v>-0.69367799746349201</v>
      </c>
      <c r="Q1668">
        <v>0.25052863497067002</v>
      </c>
      <c r="R1668">
        <v>0.19860194873841899</v>
      </c>
      <c r="S1668" t="s">
        <v>7529</v>
      </c>
      <c r="T1668" t="s">
        <v>11720</v>
      </c>
      <c r="U1668" t="s">
        <v>11720</v>
      </c>
      <c r="V1668" t="s">
        <v>11720</v>
      </c>
      <c r="W1668" t="s">
        <v>13354</v>
      </c>
      <c r="X1668">
        <v>14</v>
      </c>
      <c r="Y1668" t="s">
        <v>19136</v>
      </c>
      <c r="Z1668" t="s">
        <v>24875</v>
      </c>
      <c r="AA1668">
        <v>0.84157121254557865</v>
      </c>
      <c r="AB1668" t="str">
        <f>HYPERLINK("Melting_Curves/meltCurve_O95825_CRYZL1.pdf", "Melting_Curves/meltCurve_O95825_CRYZL1.pdf")</f>
        <v>Melting_Curves/meltCurve_O95825_CRYZL1.pdf</v>
      </c>
    </row>
    <row r="1669" spans="1:28" x14ac:dyDescent="0.25">
      <c r="A1669" t="s">
        <v>1673</v>
      </c>
      <c r="B1669">
        <v>0.99334974765950101</v>
      </c>
      <c r="C1669">
        <v>0.96864007186944701</v>
      </c>
      <c r="D1669">
        <v>1.11596007149856</v>
      </c>
      <c r="E1669">
        <v>1.25599433010592</v>
      </c>
      <c r="F1669">
        <v>1.4401100771461799</v>
      </c>
      <c r="G1669">
        <v>1.99502998620613</v>
      </c>
      <c r="H1669">
        <v>1.26151257430132</v>
      </c>
      <c r="I1669">
        <v>0.40847067879731802</v>
      </c>
      <c r="J1669">
        <v>0.28137501256164699</v>
      </c>
      <c r="K1669">
        <v>0.17449958591752099</v>
      </c>
      <c r="L1669">
        <v>15000</v>
      </c>
      <c r="M1669">
        <v>235.56133527933099</v>
      </c>
      <c r="N1669">
        <v>63.842603097944597</v>
      </c>
      <c r="O1669">
        <v>63.673094318580603</v>
      </c>
      <c r="P1669">
        <v>-0.71408667143456395</v>
      </c>
      <c r="Q1669">
        <v>0.227919013189671</v>
      </c>
      <c r="R1669">
        <v>0.53526595832104595</v>
      </c>
      <c r="S1669" t="s">
        <v>7530</v>
      </c>
      <c r="T1669" t="s">
        <v>11720</v>
      </c>
      <c r="U1669" t="s">
        <v>11720</v>
      </c>
      <c r="V1669" t="s">
        <v>11720</v>
      </c>
      <c r="W1669" t="s">
        <v>13355</v>
      </c>
      <c r="X1669">
        <v>14</v>
      </c>
      <c r="Y1669" t="s">
        <v>19137</v>
      </c>
      <c r="Z1669" t="s">
        <v>24876</v>
      </c>
      <c r="AA1669">
        <v>0.83738582475141154</v>
      </c>
      <c r="AB1669" t="str">
        <f>HYPERLINK("Melting_Curves/meltCurve_O95831_3_AIFM1.pdf", "Melting_Curves/meltCurve_O95831_3_AIFM1.pdf")</f>
        <v>Melting_Curves/meltCurve_O95831_3_AIFM1.pdf</v>
      </c>
    </row>
    <row r="1670" spans="1:28" x14ac:dyDescent="0.25">
      <c r="A1670" t="s">
        <v>1674</v>
      </c>
      <c r="B1670">
        <v>0.99334974765950101</v>
      </c>
      <c r="C1670">
        <v>0.94120479023070502</v>
      </c>
      <c r="D1670">
        <v>0.76288234299671298</v>
      </c>
      <c r="E1670">
        <v>0.44348274142407301</v>
      </c>
      <c r="F1670">
        <v>0.169176928840365</v>
      </c>
      <c r="G1670">
        <v>0.10348502488977</v>
      </c>
      <c r="H1670">
        <v>8.1029802428510406E-2</v>
      </c>
      <c r="I1670">
        <v>7.4882448821657593E-2</v>
      </c>
      <c r="J1670">
        <v>7.3915610789120095E-2</v>
      </c>
      <c r="K1670">
        <v>5.9534096288916802E-2</v>
      </c>
      <c r="L1670">
        <v>995.89669260088704</v>
      </c>
      <c r="M1670">
        <v>20.461249248243501</v>
      </c>
      <c r="N1670">
        <v>48.984848986968998</v>
      </c>
      <c r="O1670">
        <v>48.214584982908697</v>
      </c>
      <c r="P1670">
        <v>-9.9605802342024402E-2</v>
      </c>
      <c r="Q1670">
        <v>6.11895460617944E-2</v>
      </c>
      <c r="R1670">
        <v>0.99733672722931299</v>
      </c>
      <c r="S1670" t="s">
        <v>7531</v>
      </c>
      <c r="T1670" t="s">
        <v>11720</v>
      </c>
      <c r="U1670" t="s">
        <v>11720</v>
      </c>
      <c r="V1670" t="s">
        <v>11720</v>
      </c>
      <c r="W1670" t="s">
        <v>13356</v>
      </c>
      <c r="X1670">
        <v>11</v>
      </c>
      <c r="Y1670" t="s">
        <v>19138</v>
      </c>
      <c r="Z1670" t="s">
        <v>24877</v>
      </c>
      <c r="AA1670">
        <v>0.34516921398410683</v>
      </c>
      <c r="AB1670" t="str">
        <f>HYPERLINK("Melting_Curves/meltCurve_O95833_CLIC3.pdf", "Melting_Curves/meltCurve_O95833_CLIC3.pdf")</f>
        <v>Melting_Curves/meltCurve_O95833_CLIC3.pdf</v>
      </c>
    </row>
    <row r="1671" spans="1:28" x14ac:dyDescent="0.25">
      <c r="A1671" t="s">
        <v>1675</v>
      </c>
      <c r="B1671">
        <v>0.99334974765950101</v>
      </c>
      <c r="C1671">
        <v>1.0080995021694801</v>
      </c>
      <c r="D1671">
        <v>0.98951698082045203</v>
      </c>
      <c r="E1671">
        <v>0.96327520012479995</v>
      </c>
      <c r="F1671">
        <v>0.73487900639971904</v>
      </c>
      <c r="G1671">
        <v>0.216700551902379</v>
      </c>
      <c r="H1671">
        <v>0.14254493200006599</v>
      </c>
      <c r="I1671">
        <v>0.109847540356831</v>
      </c>
      <c r="J1671">
        <v>0.112904517564722</v>
      </c>
      <c r="K1671">
        <v>0.10114161089585701</v>
      </c>
      <c r="L1671">
        <v>2118.6931581723302</v>
      </c>
      <c r="M1671">
        <v>39.1326331979431</v>
      </c>
      <c r="N1671">
        <v>54.495286294333297</v>
      </c>
      <c r="O1671">
        <v>54.000532761805196</v>
      </c>
      <c r="P1671">
        <v>-0.16083649508616699</v>
      </c>
      <c r="Q1671">
        <v>0.112225691261266</v>
      </c>
      <c r="R1671">
        <v>0.99953782049767503</v>
      </c>
      <c r="S1671" t="s">
        <v>7532</v>
      </c>
      <c r="T1671" t="s">
        <v>11720</v>
      </c>
      <c r="U1671" t="s">
        <v>11720</v>
      </c>
      <c r="V1671" t="s">
        <v>11720</v>
      </c>
      <c r="W1671" t="s">
        <v>13357</v>
      </c>
      <c r="X1671">
        <v>21</v>
      </c>
      <c r="Y1671" t="s">
        <v>19139</v>
      </c>
      <c r="Z1671" t="s">
        <v>24878</v>
      </c>
      <c r="AA1671">
        <v>0.53416630073559423</v>
      </c>
      <c r="AB1671" t="str">
        <f>HYPERLINK("Melting_Curves/meltCurve_O95834_EML2.pdf", "Melting_Curves/meltCurve_O95834_EML2.pdf")</f>
        <v>Melting_Curves/meltCurve_O95834_EML2.pdf</v>
      </c>
    </row>
    <row r="1672" spans="1:28" x14ac:dyDescent="0.25">
      <c r="A1672" t="s">
        <v>1676</v>
      </c>
      <c r="B1672">
        <v>0.99334974765950101</v>
      </c>
      <c r="C1672">
        <v>0.98688770931073899</v>
      </c>
      <c r="D1672">
        <v>0.99210848529330498</v>
      </c>
      <c r="E1672">
        <v>1.0281631267572899</v>
      </c>
      <c r="F1672">
        <v>1.9621150787780699</v>
      </c>
      <c r="G1672">
        <v>0.50707274375040701</v>
      </c>
      <c r="H1672">
        <v>0.24570893510576999</v>
      </c>
      <c r="I1672">
        <v>0.15310958289409601</v>
      </c>
      <c r="J1672">
        <v>0.126461300321774</v>
      </c>
      <c r="K1672">
        <v>0.16082509190626401</v>
      </c>
      <c r="L1672">
        <v>14228.0777581977</v>
      </c>
      <c r="M1672">
        <v>250</v>
      </c>
      <c r="N1672">
        <v>57.008119718707398</v>
      </c>
      <c r="O1672">
        <v>56.908687395816401</v>
      </c>
      <c r="P1672">
        <v>-0.90987210904581395</v>
      </c>
      <c r="Q1672">
        <v>0.171526228321112</v>
      </c>
      <c r="R1672">
        <v>0.69985376251242004</v>
      </c>
      <c r="S1672" t="s">
        <v>7533</v>
      </c>
      <c r="T1672" t="s">
        <v>11720</v>
      </c>
      <c r="U1672" t="s">
        <v>11720</v>
      </c>
      <c r="V1672" t="s">
        <v>11720</v>
      </c>
      <c r="W1672" t="s">
        <v>13358</v>
      </c>
      <c r="X1672">
        <v>6</v>
      </c>
      <c r="Y1672" t="s">
        <v>19140</v>
      </c>
      <c r="Z1672" t="s">
        <v>24879</v>
      </c>
      <c r="AA1672">
        <v>0.63865584676853926</v>
      </c>
      <c r="AB1672" t="str">
        <f>HYPERLINK("Melting_Curves/meltCurve_O95837_GNA14.pdf", "Melting_Curves/meltCurve_O95837_GNA14.pdf")</f>
        <v>Melting_Curves/meltCurve_O95837_GNA14.pdf</v>
      </c>
    </row>
    <row r="1673" spans="1:28" x14ac:dyDescent="0.25">
      <c r="A1673" t="s">
        <v>1677</v>
      </c>
      <c r="B1673">
        <v>0.99334974765950101</v>
      </c>
      <c r="C1673">
        <v>0.93373137830068298</v>
      </c>
      <c r="D1673">
        <v>0.88338510711470797</v>
      </c>
      <c r="E1673">
        <v>0.82362322575979297</v>
      </c>
      <c r="F1673">
        <v>0.72080362314676805</v>
      </c>
      <c r="G1673">
        <v>0.52934326947580301</v>
      </c>
      <c r="H1673">
        <v>0.31554449369606402</v>
      </c>
      <c r="I1673">
        <v>0.27895132358913399</v>
      </c>
      <c r="J1673">
        <v>0.17377772863569901</v>
      </c>
      <c r="K1673">
        <v>0.136426578375171</v>
      </c>
      <c r="L1673">
        <v>581.56123362050505</v>
      </c>
      <c r="M1673">
        <v>10.1452635885997</v>
      </c>
      <c r="N1673">
        <v>57.3234227494303</v>
      </c>
      <c r="O1673">
        <v>55.2300003583264</v>
      </c>
      <c r="P1673">
        <v>-4.5943932352697101E-2</v>
      </c>
      <c r="Q1673">
        <v>0</v>
      </c>
      <c r="R1673">
        <v>0.99422930978239998</v>
      </c>
      <c r="S1673" t="s">
        <v>7534</v>
      </c>
      <c r="T1673" t="s">
        <v>11720</v>
      </c>
      <c r="U1673" t="s">
        <v>11720</v>
      </c>
      <c r="V1673" t="s">
        <v>11720</v>
      </c>
      <c r="W1673" t="s">
        <v>13359</v>
      </c>
      <c r="X1673">
        <v>5</v>
      </c>
      <c r="Y1673" t="s">
        <v>19141</v>
      </c>
      <c r="Z1673" t="s">
        <v>24880</v>
      </c>
      <c r="AA1673">
        <v>0.59161569710749928</v>
      </c>
      <c r="AB1673" t="str">
        <f>HYPERLINK("Melting_Curves/meltCurve_O95848_NUDT14.pdf", "Melting_Curves/meltCurve_O95848_NUDT14.pdf")</f>
        <v>Melting_Curves/meltCurve_O95848_NUDT14.pdf</v>
      </c>
    </row>
    <row r="1674" spans="1:28" x14ac:dyDescent="0.25">
      <c r="A1674" t="s">
        <v>1678</v>
      </c>
      <c r="B1674">
        <v>0.99334974765950101</v>
      </c>
      <c r="C1674">
        <v>0.87418751619906898</v>
      </c>
      <c r="D1674">
        <v>0.82418445792855599</v>
      </c>
      <c r="E1674">
        <v>0.842313976794696</v>
      </c>
      <c r="F1674">
        <v>0.83218201786984003</v>
      </c>
      <c r="G1674">
        <v>0.81454617563424103</v>
      </c>
      <c r="H1674">
        <v>0.77858414908720197</v>
      </c>
      <c r="I1674">
        <v>0.87634640289612098</v>
      </c>
      <c r="J1674">
        <v>0.92907781463095096</v>
      </c>
      <c r="K1674">
        <v>0.591220680134106</v>
      </c>
      <c r="L1674">
        <v>2023.7079464400599</v>
      </c>
      <c r="M1674">
        <v>47.803286651311701</v>
      </c>
      <c r="O1674">
        <v>42.260188203665003</v>
      </c>
      <c r="P1674">
        <v>-5.3628357425212797E-2</v>
      </c>
      <c r="Q1674">
        <v>0.81036097472399704</v>
      </c>
      <c r="R1674">
        <v>0.31154529901469202</v>
      </c>
      <c r="S1674" t="s">
        <v>7535</v>
      </c>
      <c r="T1674" t="s">
        <v>11720</v>
      </c>
      <c r="U1674" t="s">
        <v>11720</v>
      </c>
      <c r="V1674" t="s">
        <v>11720</v>
      </c>
      <c r="W1674" t="s">
        <v>13360</v>
      </c>
      <c r="X1674">
        <v>3</v>
      </c>
      <c r="Y1674" t="s">
        <v>19142</v>
      </c>
      <c r="Z1674" t="s">
        <v>24881</v>
      </c>
      <c r="AA1674">
        <v>0.8257897802870614</v>
      </c>
      <c r="AB1674" t="str">
        <f>HYPERLINK("Melting_Curves/meltCurve_O95857_TSPAN13.pdf", "Melting_Curves/meltCurve_O95857_TSPAN13.pdf")</f>
        <v>Melting_Curves/meltCurve_O95857_TSPAN13.pdf</v>
      </c>
    </row>
    <row r="1675" spans="1:28" x14ac:dyDescent="0.25">
      <c r="A1675" t="s">
        <v>1679</v>
      </c>
      <c r="B1675">
        <v>0.99334974765950101</v>
      </c>
      <c r="C1675">
        <v>0.89868636859497897</v>
      </c>
      <c r="D1675">
        <v>0.84077064613316199</v>
      </c>
      <c r="E1675">
        <v>0.67158184971937096</v>
      </c>
      <c r="F1675">
        <v>0.356802398425834</v>
      </c>
      <c r="G1675">
        <v>0.24816131942393299</v>
      </c>
      <c r="H1675">
        <v>0.16928936171519701</v>
      </c>
      <c r="I1675">
        <v>0.13960437590086699</v>
      </c>
      <c r="J1675">
        <v>0.122373861851077</v>
      </c>
      <c r="K1675">
        <v>9.2032795407520906E-2</v>
      </c>
      <c r="L1675">
        <v>765.15763264202803</v>
      </c>
      <c r="M1675">
        <v>15.0233525557646</v>
      </c>
      <c r="N1675">
        <v>51.617095136084103</v>
      </c>
      <c r="O1675">
        <v>50.054375631844501</v>
      </c>
      <c r="P1675">
        <v>-6.8252686651663896E-2</v>
      </c>
      <c r="Q1675">
        <v>9.0482007709632606E-2</v>
      </c>
      <c r="R1675">
        <v>0.99097110437159497</v>
      </c>
      <c r="S1675" t="s">
        <v>7536</v>
      </c>
      <c r="T1675" t="s">
        <v>11720</v>
      </c>
      <c r="U1675" t="s">
        <v>11720</v>
      </c>
      <c r="V1675" t="s">
        <v>11720</v>
      </c>
      <c r="W1675" t="s">
        <v>13361</v>
      </c>
      <c r="X1675">
        <v>8</v>
      </c>
      <c r="Y1675" t="s">
        <v>19143</v>
      </c>
      <c r="Z1675" t="s">
        <v>24882</v>
      </c>
      <c r="AA1675">
        <v>0.44289214015676548</v>
      </c>
      <c r="AB1675" t="str">
        <f>HYPERLINK("Melting_Curves/meltCurve_O95864_FADS2.pdf", "Melting_Curves/meltCurve_O95864_FADS2.pdf")</f>
        <v>Melting_Curves/meltCurve_O95864_FADS2.pdf</v>
      </c>
    </row>
    <row r="1676" spans="1:28" x14ac:dyDescent="0.25">
      <c r="A1676" t="s">
        <v>1680</v>
      </c>
      <c r="B1676">
        <v>0.99334974765950101</v>
      </c>
      <c r="C1676">
        <v>0.96265864539123103</v>
      </c>
      <c r="D1676">
        <v>0.92685836475584504</v>
      </c>
      <c r="E1676">
        <v>0.79993231777824503</v>
      </c>
      <c r="F1676">
        <v>0.76332073387219501</v>
      </c>
      <c r="G1676">
        <v>0.449420731612034</v>
      </c>
      <c r="H1676">
        <v>0.119244001136992</v>
      </c>
      <c r="I1676">
        <v>7.94116046984958E-2</v>
      </c>
      <c r="J1676">
        <v>7.7194149320212499E-2</v>
      </c>
      <c r="K1676">
        <v>6.6544712981422297E-2</v>
      </c>
      <c r="L1676">
        <v>938.47515280933101</v>
      </c>
      <c r="M1676">
        <v>16.826734343295598</v>
      </c>
      <c r="N1676">
        <v>55.777711852700797</v>
      </c>
      <c r="O1676">
        <v>55.002988201497999</v>
      </c>
      <c r="P1676">
        <v>-7.6430110082040703E-2</v>
      </c>
      <c r="Q1676">
        <v>7.2940792012969298E-4</v>
      </c>
      <c r="R1676">
        <v>0.98600016245753597</v>
      </c>
      <c r="S1676" t="s">
        <v>7537</v>
      </c>
      <c r="T1676" t="s">
        <v>11720</v>
      </c>
      <c r="U1676" t="s">
        <v>11720</v>
      </c>
      <c r="V1676" t="s">
        <v>11720</v>
      </c>
      <c r="W1676" t="s">
        <v>13362</v>
      </c>
      <c r="X1676">
        <v>16</v>
      </c>
      <c r="Y1676" t="s">
        <v>19144</v>
      </c>
      <c r="Z1676" t="s">
        <v>24883</v>
      </c>
      <c r="AA1676">
        <v>0.54223900571082062</v>
      </c>
      <c r="AB1676" t="str">
        <f>HYPERLINK("Melting_Curves/meltCurve_O95865_DDAH2.pdf", "Melting_Curves/meltCurve_O95865_DDAH2.pdf")</f>
        <v>Melting_Curves/meltCurve_O95865_DDAH2.pdf</v>
      </c>
    </row>
    <row r="1677" spans="1:28" x14ac:dyDescent="0.25">
      <c r="A1677" t="s">
        <v>1681</v>
      </c>
      <c r="B1677">
        <v>0.99334974765950101</v>
      </c>
      <c r="C1677">
        <v>1.0091926214311899</v>
      </c>
      <c r="D1677">
        <v>0.95913913956973196</v>
      </c>
      <c r="E1677">
        <v>1.0475197394181299</v>
      </c>
      <c r="F1677">
        <v>1.2921553071592</v>
      </c>
      <c r="G1677">
        <v>1.0302079923263501</v>
      </c>
      <c r="H1677">
        <v>0.79846157550756003</v>
      </c>
      <c r="I1677">
        <v>0.85282029253054903</v>
      </c>
      <c r="J1677">
        <v>0.93936907316847096</v>
      </c>
      <c r="K1677">
        <v>0.81738114867716605</v>
      </c>
      <c r="L1677">
        <v>5320.3931294567101</v>
      </c>
      <c r="M1677">
        <v>90.509750722103604</v>
      </c>
      <c r="O1677">
        <v>58.7538620161395</v>
      </c>
      <c r="P1677">
        <v>-5.66472342547827E-2</v>
      </c>
      <c r="Q1677">
        <v>0.85291116194942396</v>
      </c>
      <c r="R1677">
        <v>0.43562393781249797</v>
      </c>
      <c r="S1677" t="s">
        <v>7538</v>
      </c>
      <c r="T1677" t="s">
        <v>11720</v>
      </c>
      <c r="U1677" t="s">
        <v>11720</v>
      </c>
      <c r="V1677" t="s">
        <v>11720</v>
      </c>
      <c r="W1677" t="s">
        <v>13363</v>
      </c>
      <c r="X1677">
        <v>2</v>
      </c>
      <c r="Y1677" t="s">
        <v>19145</v>
      </c>
      <c r="Z1677" t="s">
        <v>24884</v>
      </c>
      <c r="AA1677">
        <v>0.94511716941536972</v>
      </c>
      <c r="AB1677" t="str">
        <f>HYPERLINK("Melting_Curves/meltCurve_O95873_C6orf47.pdf", "Melting_Curves/meltCurve_O95873_C6orf47.pdf")</f>
        <v>Melting_Curves/meltCurve_O95873_C6orf47.pdf</v>
      </c>
    </row>
    <row r="1678" spans="1:28" x14ac:dyDescent="0.25">
      <c r="A1678" t="s">
        <v>1682</v>
      </c>
      <c r="B1678">
        <v>0.99334974765950101</v>
      </c>
      <c r="C1678">
        <v>1.04830398201472</v>
      </c>
      <c r="D1678">
        <v>0.93015585584007399</v>
      </c>
      <c r="E1678">
        <v>0.71793333984018604</v>
      </c>
      <c r="F1678">
        <v>0.42052161033713298</v>
      </c>
      <c r="G1678">
        <v>0.25911881361718597</v>
      </c>
      <c r="H1678">
        <v>0.222557882549314</v>
      </c>
      <c r="I1678">
        <v>0.256549809632308</v>
      </c>
      <c r="J1678">
        <v>0.33492311775234102</v>
      </c>
      <c r="K1678">
        <v>0.30218358934995698</v>
      </c>
      <c r="L1678">
        <v>1604.13700584708</v>
      </c>
      <c r="M1678">
        <v>31.665181292948901</v>
      </c>
      <c r="N1678">
        <v>51.942004522744</v>
      </c>
      <c r="O1678">
        <v>50.458576540143497</v>
      </c>
      <c r="P1678">
        <v>-0.11433308292465599</v>
      </c>
      <c r="Q1678">
        <v>0.27124322118142202</v>
      </c>
      <c r="R1678">
        <v>0.98684029644876403</v>
      </c>
      <c r="S1678" t="s">
        <v>7539</v>
      </c>
      <c r="T1678" t="s">
        <v>11720</v>
      </c>
      <c r="U1678" t="s">
        <v>11720</v>
      </c>
      <c r="V1678" t="s">
        <v>11720</v>
      </c>
      <c r="W1678" t="s">
        <v>13364</v>
      </c>
      <c r="X1678">
        <v>9</v>
      </c>
      <c r="Y1678" t="s">
        <v>19146</v>
      </c>
      <c r="Z1678" t="s">
        <v>24885</v>
      </c>
      <c r="AA1678">
        <v>0.53426585828312001</v>
      </c>
      <c r="AB1678" t="str">
        <f>HYPERLINK("Melting_Curves/meltCurve_O95881_TXNDC12.pdf", "Melting_Curves/meltCurve_O95881_TXNDC12.pdf")</f>
        <v>Melting_Curves/meltCurve_O95881_TXNDC12.pdf</v>
      </c>
    </row>
    <row r="1679" spans="1:28" x14ac:dyDescent="0.25">
      <c r="A1679" t="s">
        <v>1683</v>
      </c>
      <c r="B1679">
        <v>0.99334974765950101</v>
      </c>
      <c r="C1679">
        <v>0.94914480921818301</v>
      </c>
      <c r="D1679">
        <v>0.81633471169454197</v>
      </c>
      <c r="E1679">
        <v>0.43017083656701999</v>
      </c>
      <c r="F1679">
        <v>0.16607070633290899</v>
      </c>
      <c r="G1679">
        <v>0.129024130701172</v>
      </c>
      <c r="H1679">
        <v>7.9870345330242398E-2</v>
      </c>
      <c r="I1679">
        <v>5.71016176592637E-2</v>
      </c>
      <c r="J1679">
        <v>6.4692875607668204E-2</v>
      </c>
      <c r="K1679">
        <v>9.0909929984291302E-2</v>
      </c>
      <c r="L1679">
        <v>1131.83484131162</v>
      </c>
      <c r="M1679">
        <v>23.182376867055599</v>
      </c>
      <c r="N1679">
        <v>49.1474306579751</v>
      </c>
      <c r="O1679">
        <v>48.464149702186297</v>
      </c>
      <c r="P1679">
        <v>-0.111104614141982</v>
      </c>
      <c r="Q1679">
        <v>7.09338058529662E-2</v>
      </c>
      <c r="R1679">
        <v>0.99775266926579398</v>
      </c>
      <c r="S1679" t="s">
        <v>7540</v>
      </c>
      <c r="T1679" t="s">
        <v>11720</v>
      </c>
      <c r="U1679" t="s">
        <v>11720</v>
      </c>
      <c r="V1679" t="s">
        <v>11720</v>
      </c>
      <c r="W1679" t="s">
        <v>13365</v>
      </c>
      <c r="X1679">
        <v>6</v>
      </c>
      <c r="Y1679" t="s">
        <v>19147</v>
      </c>
      <c r="Z1679" t="s">
        <v>24886</v>
      </c>
      <c r="AA1679">
        <v>0.35379012405082888</v>
      </c>
      <c r="AB1679" t="str">
        <f>HYPERLINK("Melting_Curves/meltCurve_O95905_ECD.pdf", "Melting_Curves/meltCurve_O95905_ECD.pdf")</f>
        <v>Melting_Curves/meltCurve_O95905_ECD.pdf</v>
      </c>
    </row>
    <row r="1680" spans="1:28" x14ac:dyDescent="0.25">
      <c r="A1680" t="s">
        <v>1684</v>
      </c>
      <c r="B1680">
        <v>0.99334974765950101</v>
      </c>
      <c r="C1680">
        <v>1.06749220413515</v>
      </c>
      <c r="D1680">
        <v>0.97417783464186203</v>
      </c>
      <c r="E1680">
        <v>0.77652517200511895</v>
      </c>
      <c r="F1680">
        <v>0.87219240815812404</v>
      </c>
      <c r="G1680">
        <v>0.84521508057866201</v>
      </c>
      <c r="H1680">
        <v>0.64666122699449702</v>
      </c>
      <c r="I1680">
        <v>0.66637347914995004</v>
      </c>
      <c r="J1680">
        <v>0.81682339455521003</v>
      </c>
      <c r="K1680">
        <v>0.90138112444189999</v>
      </c>
      <c r="L1680">
        <v>11590.5466967717</v>
      </c>
      <c r="M1680">
        <v>250</v>
      </c>
      <c r="O1680">
        <v>46.359211293010802</v>
      </c>
      <c r="P1680">
        <v>-0.28404507702281101</v>
      </c>
      <c r="Q1680">
        <v>0.78931026907087798</v>
      </c>
      <c r="R1680">
        <v>0.62097006669430399</v>
      </c>
      <c r="S1680" t="s">
        <v>7541</v>
      </c>
      <c r="T1680" t="s">
        <v>11720</v>
      </c>
      <c r="U1680" t="s">
        <v>11720</v>
      </c>
      <c r="V1680" t="s">
        <v>11720</v>
      </c>
      <c r="W1680" t="s">
        <v>13366</v>
      </c>
      <c r="X1680">
        <v>3</v>
      </c>
      <c r="Y1680" t="s">
        <v>19148</v>
      </c>
      <c r="Z1680" t="s">
        <v>24887</v>
      </c>
      <c r="AA1680">
        <v>0.83400899256626215</v>
      </c>
      <c r="AB1680" t="str">
        <f>HYPERLINK("Melting_Curves/meltCurve_O95926_SYF2.pdf", "Melting_Curves/meltCurve_O95926_SYF2.pdf")</f>
        <v>Melting_Curves/meltCurve_O95926_SYF2.pdf</v>
      </c>
    </row>
    <row r="1681" spans="1:28" x14ac:dyDescent="0.25">
      <c r="A1681" t="s">
        <v>1685</v>
      </c>
      <c r="B1681">
        <v>0.99334974765950101</v>
      </c>
      <c r="C1681">
        <v>1.0818364795639499</v>
      </c>
      <c r="D1681">
        <v>0.95836069478401098</v>
      </c>
      <c r="E1681">
        <v>1.0510632767014001</v>
      </c>
      <c r="F1681">
        <v>1.04537844782512</v>
      </c>
      <c r="G1681">
        <v>1.02532967116048</v>
      </c>
      <c r="H1681">
        <v>0.93956168296641296</v>
      </c>
      <c r="I1681">
        <v>1.4351126958196501</v>
      </c>
      <c r="J1681">
        <v>1.24714903813625</v>
      </c>
      <c r="K1681">
        <v>1.0327211663062099</v>
      </c>
      <c r="L1681">
        <v>15000</v>
      </c>
      <c r="M1681">
        <v>240.72220469018799</v>
      </c>
      <c r="O1681">
        <v>62.308185896500802</v>
      </c>
      <c r="P1681">
        <v>0.23010327930444499</v>
      </c>
      <c r="Q1681">
        <v>1.23823840724324</v>
      </c>
      <c r="R1681">
        <v>0.513882614494928</v>
      </c>
      <c r="S1681" t="s">
        <v>7542</v>
      </c>
      <c r="T1681" t="s">
        <v>11720</v>
      </c>
      <c r="U1681" t="s">
        <v>11720</v>
      </c>
      <c r="V1681" t="s">
        <v>11720</v>
      </c>
      <c r="W1681" t="s">
        <v>13367</v>
      </c>
      <c r="X1681">
        <v>25</v>
      </c>
      <c r="Y1681" t="s">
        <v>19149</v>
      </c>
      <c r="Z1681" t="s">
        <v>24888</v>
      </c>
      <c r="AA1681">
        <v>1.0610205697743289</v>
      </c>
      <c r="AB1681" t="str">
        <f>HYPERLINK("Melting_Curves/meltCurve_O95965_ITGBL1.pdf", "Melting_Curves/meltCurve_O95965_ITGBL1.pdf")</f>
        <v>Melting_Curves/meltCurve_O95965_ITGBL1.pdf</v>
      </c>
    </row>
    <row r="1682" spans="1:28" x14ac:dyDescent="0.25">
      <c r="A1682" t="s">
        <v>1686</v>
      </c>
      <c r="B1682">
        <v>0.99334974765950101</v>
      </c>
      <c r="C1682">
        <v>0.99753458858674704</v>
      </c>
      <c r="D1682">
        <v>1.0015712806103001</v>
      </c>
      <c r="E1682">
        <v>1.0960792856813499</v>
      </c>
      <c r="F1682">
        <v>1.2803618730373101</v>
      </c>
      <c r="G1682">
        <v>1.1746631879487099</v>
      </c>
      <c r="H1682">
        <v>0.98851714696902904</v>
      </c>
      <c r="I1682">
        <v>0.65985643858265997</v>
      </c>
      <c r="J1682">
        <v>0.517491877194452</v>
      </c>
      <c r="K1682">
        <v>0.40101204310440702</v>
      </c>
      <c r="L1682">
        <v>3982.0647746508698</v>
      </c>
      <c r="M1682">
        <v>62.562279422915601</v>
      </c>
      <c r="N1682">
        <v>65.924527943000101</v>
      </c>
      <c r="O1682">
        <v>63.584674571379303</v>
      </c>
      <c r="P1682">
        <v>-0.13718970423594001</v>
      </c>
      <c r="Q1682">
        <v>0.44227353999365199</v>
      </c>
      <c r="R1682">
        <v>0.83419711539419406</v>
      </c>
      <c r="S1682" t="s">
        <v>7543</v>
      </c>
      <c r="T1682" t="s">
        <v>11720</v>
      </c>
      <c r="U1682" t="s">
        <v>11720</v>
      </c>
      <c r="V1682" t="s">
        <v>11720</v>
      </c>
      <c r="W1682" t="s">
        <v>13368</v>
      </c>
      <c r="X1682">
        <v>42</v>
      </c>
      <c r="Y1682" t="s">
        <v>19150</v>
      </c>
      <c r="Z1682" t="s">
        <v>24889</v>
      </c>
      <c r="AA1682">
        <v>0.88285760759322229</v>
      </c>
      <c r="AB1682" t="str">
        <f>HYPERLINK("Melting_Curves/meltCurve_O95980_RECK.pdf", "Melting_Curves/meltCurve_O95980_RECK.pdf")</f>
        <v>Melting_Curves/meltCurve_O95980_RECK.pdf</v>
      </c>
    </row>
    <row r="1683" spans="1:28" x14ac:dyDescent="0.25">
      <c r="A1683" t="s">
        <v>1687</v>
      </c>
      <c r="B1683">
        <v>0.99334974765950101</v>
      </c>
      <c r="C1683">
        <v>0.96014415180141299</v>
      </c>
      <c r="D1683">
        <v>0.916443698861651</v>
      </c>
      <c r="E1683">
        <v>0.798342961761493</v>
      </c>
      <c r="F1683">
        <v>0.666880714678734</v>
      </c>
      <c r="G1683">
        <v>0.46819408194932499</v>
      </c>
      <c r="H1683">
        <v>0.17943251795024401</v>
      </c>
      <c r="I1683">
        <v>7.5254825816863893E-2</v>
      </c>
      <c r="J1683">
        <v>6.6620458337262503E-2</v>
      </c>
      <c r="K1683">
        <v>5.17257836735859E-2</v>
      </c>
      <c r="L1683">
        <v>803.18140958295498</v>
      </c>
      <c r="M1683">
        <v>14.488910273026701</v>
      </c>
      <c r="N1683">
        <v>55.434217481275802</v>
      </c>
      <c r="O1683">
        <v>54.410330967671896</v>
      </c>
      <c r="P1683">
        <v>-6.6580126730882594E-2</v>
      </c>
      <c r="Q1683">
        <v>0</v>
      </c>
      <c r="R1683">
        <v>0.99233135303854603</v>
      </c>
      <c r="S1683" t="s">
        <v>7544</v>
      </c>
      <c r="T1683" t="s">
        <v>11720</v>
      </c>
      <c r="U1683" t="s">
        <v>11720</v>
      </c>
      <c r="V1683" t="s">
        <v>11720</v>
      </c>
      <c r="W1683" t="s">
        <v>13369</v>
      </c>
      <c r="X1683">
        <v>13</v>
      </c>
      <c r="Y1683" t="s">
        <v>19151</v>
      </c>
      <c r="Z1683" t="s">
        <v>24890</v>
      </c>
      <c r="AA1683">
        <v>0.53375062119907701</v>
      </c>
      <c r="AB1683" t="str">
        <f>HYPERLINK("Melting_Curves/meltCurve_O95989_NUDT3.pdf", "Melting_Curves/meltCurve_O95989_NUDT3.pdf")</f>
        <v>Melting_Curves/meltCurve_O95989_NUDT3.pdf</v>
      </c>
    </row>
    <row r="1684" spans="1:28" x14ac:dyDescent="0.25">
      <c r="A1684" t="s">
        <v>1688</v>
      </c>
      <c r="B1684">
        <v>0.99334974765950101</v>
      </c>
      <c r="C1684">
        <v>0.97201210734668697</v>
      </c>
      <c r="D1684">
        <v>0.76754058190768404</v>
      </c>
      <c r="E1684">
        <v>0.54816300624751502</v>
      </c>
      <c r="F1684">
        <v>0.26693519776594998</v>
      </c>
      <c r="G1684">
        <v>0.17439809118778399</v>
      </c>
      <c r="H1684">
        <v>0.109885209604865</v>
      </c>
      <c r="I1684">
        <v>0.138271512812809</v>
      </c>
      <c r="J1684">
        <v>0.140076410791244</v>
      </c>
      <c r="K1684">
        <v>0.13175378550691599</v>
      </c>
      <c r="L1684">
        <v>922.98461078160506</v>
      </c>
      <c r="M1684">
        <v>18.743896243396101</v>
      </c>
      <c r="N1684">
        <v>49.947400837010598</v>
      </c>
      <c r="O1684">
        <v>48.691658795130699</v>
      </c>
      <c r="P1684">
        <v>-8.50482381878786E-2</v>
      </c>
      <c r="Q1684">
        <v>0.116306328468152</v>
      </c>
      <c r="R1684">
        <v>0.99316075076511401</v>
      </c>
      <c r="S1684" t="s">
        <v>7545</v>
      </c>
      <c r="T1684" t="s">
        <v>11720</v>
      </c>
      <c r="U1684" t="s">
        <v>11720</v>
      </c>
      <c r="V1684" t="s">
        <v>11720</v>
      </c>
      <c r="W1684" t="s">
        <v>13370</v>
      </c>
      <c r="X1684">
        <v>10</v>
      </c>
      <c r="Y1684" t="s">
        <v>19152</v>
      </c>
      <c r="Z1684" t="s">
        <v>24891</v>
      </c>
      <c r="AA1684">
        <v>0.40260499406587918</v>
      </c>
      <c r="AB1684" t="str">
        <f>HYPERLINK("Melting_Curves/meltCurve_O95999_BCL10.pdf", "Melting_Curves/meltCurve_O95999_BCL10.pdf")</f>
        <v>Melting_Curves/meltCurve_O95999_BCL10.pdf</v>
      </c>
    </row>
    <row r="1685" spans="1:28" x14ac:dyDescent="0.25">
      <c r="A1685" t="s">
        <v>1689</v>
      </c>
      <c r="B1685">
        <v>0.99334974765950101</v>
      </c>
      <c r="C1685">
        <v>0.983004142566135</v>
      </c>
      <c r="D1685">
        <v>0.97967859143116198</v>
      </c>
      <c r="E1685">
        <v>0.85474718430649599</v>
      </c>
      <c r="F1685">
        <v>0.72105170702467503</v>
      </c>
      <c r="G1685">
        <v>0.57849180629838703</v>
      </c>
      <c r="H1685">
        <v>0.65451052624533601</v>
      </c>
      <c r="I1685">
        <v>0.58461624403054602</v>
      </c>
      <c r="J1685">
        <v>0.497787088154518</v>
      </c>
      <c r="K1685">
        <v>0.29029904051865302</v>
      </c>
      <c r="L1685">
        <v>386.17364478081299</v>
      </c>
      <c r="M1685">
        <v>5.990883777633</v>
      </c>
      <c r="N1685">
        <v>64.460213066707496</v>
      </c>
      <c r="O1685">
        <v>58.377875188971402</v>
      </c>
      <c r="P1685">
        <v>-2.5739164546078899E-2</v>
      </c>
      <c r="Q1685">
        <v>0</v>
      </c>
      <c r="R1685">
        <v>0.91495366140256496</v>
      </c>
      <c r="S1685" t="s">
        <v>7546</v>
      </c>
      <c r="T1685" t="s">
        <v>11720</v>
      </c>
      <c r="U1685" t="s">
        <v>11720</v>
      </c>
      <c r="V1685" t="s">
        <v>11720</v>
      </c>
      <c r="W1685" t="s">
        <v>13371</v>
      </c>
      <c r="X1685">
        <v>7</v>
      </c>
      <c r="Y1685" t="s">
        <v>19153</v>
      </c>
      <c r="Z1685" t="s">
        <v>24892</v>
      </c>
      <c r="AA1685">
        <v>0.71646003504709521</v>
      </c>
      <c r="AB1685" t="str">
        <f>HYPERLINK("Melting_Curves/meltCurve_O96000_NDUFB10.pdf", "Melting_Curves/meltCurve_O96000_NDUFB10.pdf")</f>
        <v>Melting_Curves/meltCurve_O96000_NDUFB10.pdf</v>
      </c>
    </row>
    <row r="1686" spans="1:28" x14ac:dyDescent="0.25">
      <c r="A1686" t="s">
        <v>1690</v>
      </c>
      <c r="B1686">
        <v>0.99334974765950101</v>
      </c>
      <c r="C1686">
        <v>0.98295174000625696</v>
      </c>
      <c r="D1686">
        <v>0.86459050797789405</v>
      </c>
      <c r="E1686">
        <v>0.74988659883264497</v>
      </c>
      <c r="F1686">
        <v>0.68414078259269695</v>
      </c>
      <c r="G1686">
        <v>0.50511921805782001</v>
      </c>
      <c r="H1686">
        <v>0.50105219406325197</v>
      </c>
      <c r="I1686">
        <v>0.884188117611727</v>
      </c>
      <c r="J1686">
        <v>0.66737929979820299</v>
      </c>
      <c r="K1686">
        <v>0.58549115082535397</v>
      </c>
      <c r="L1686">
        <v>1101.2782352295501</v>
      </c>
      <c r="M1686">
        <v>23.163823163240799</v>
      </c>
      <c r="O1686">
        <v>47.192957213128103</v>
      </c>
      <c r="P1686">
        <v>-4.4962035078523997E-2</v>
      </c>
      <c r="Q1686">
        <v>0.63359208637840503</v>
      </c>
      <c r="R1686">
        <v>0.65764419947307096</v>
      </c>
      <c r="S1686" t="s">
        <v>7547</v>
      </c>
      <c r="T1686" t="s">
        <v>11720</v>
      </c>
      <c r="U1686" t="s">
        <v>11720</v>
      </c>
      <c r="V1686" t="s">
        <v>11720</v>
      </c>
      <c r="W1686" t="s">
        <v>13372</v>
      </c>
      <c r="X1686">
        <v>10</v>
      </c>
      <c r="Y1686" t="s">
        <v>19154</v>
      </c>
      <c r="Z1686" t="s">
        <v>24893</v>
      </c>
      <c r="AA1686">
        <v>0.72954899156261688</v>
      </c>
      <c r="AB1686" t="str">
        <f>HYPERLINK("Melting_Curves/meltCurve_O96007_MOCS2.pdf", "Melting_Curves/meltCurve_O96007_MOCS2.pdf")</f>
        <v>Melting_Curves/meltCurve_O96007_MOCS2.pdf</v>
      </c>
    </row>
    <row r="1687" spans="1:28" x14ac:dyDescent="0.25">
      <c r="A1687" t="s">
        <v>1691</v>
      </c>
      <c r="B1687">
        <v>0.99334974765950101</v>
      </c>
      <c r="C1687">
        <v>0.92033825319210505</v>
      </c>
      <c r="D1687">
        <v>0.82428852974418299</v>
      </c>
      <c r="E1687">
        <v>0.99112125097977199</v>
      </c>
      <c r="F1687">
        <v>1.0294684129991301</v>
      </c>
      <c r="G1687">
        <v>0.95735237110544802</v>
      </c>
      <c r="H1687">
        <v>1.0052372787200601</v>
      </c>
      <c r="I1687">
        <v>0.93740821308810796</v>
      </c>
      <c r="J1687">
        <v>1.04763149658332</v>
      </c>
      <c r="K1687">
        <v>0.78513993393967596</v>
      </c>
      <c r="L1687">
        <v>25.209310059796099</v>
      </c>
      <c r="M1687">
        <v>1.0000000000000001E-5</v>
      </c>
      <c r="Q1687">
        <v>0.86759598307227004</v>
      </c>
      <c r="R1687">
        <v>9.5149898570490198E-4</v>
      </c>
      <c r="S1687" t="s">
        <v>7548</v>
      </c>
      <c r="T1687" t="s">
        <v>11720</v>
      </c>
      <c r="U1687" t="s">
        <v>11720</v>
      </c>
      <c r="V1687" t="s">
        <v>11720</v>
      </c>
      <c r="W1687" t="s">
        <v>13373</v>
      </c>
      <c r="X1687">
        <v>11</v>
      </c>
      <c r="Y1687" t="s">
        <v>19155</v>
      </c>
      <c r="Z1687" t="s">
        <v>24894</v>
      </c>
      <c r="AA1687">
        <v>0.9490613747405382</v>
      </c>
      <c r="AB1687" t="str">
        <f>HYPERLINK("Melting_Curves/meltCurve_O96008_TOMM40.pdf", "Melting_Curves/meltCurve_O96008_TOMM40.pdf")</f>
        <v>Melting_Curves/meltCurve_O96008_TOMM40.pdf</v>
      </c>
    </row>
    <row r="1688" spans="1:28" x14ac:dyDescent="0.25">
      <c r="A1688" t="s">
        <v>1692</v>
      </c>
      <c r="B1688">
        <v>0.99334974765950101</v>
      </c>
      <c r="C1688">
        <v>0.95381514540244505</v>
      </c>
      <c r="D1688">
        <v>0.87472786591479801</v>
      </c>
      <c r="E1688">
        <v>0.90353520788945796</v>
      </c>
      <c r="F1688">
        <v>0.81539307166147801</v>
      </c>
      <c r="G1688">
        <v>0.71871364752025302</v>
      </c>
      <c r="H1688">
        <v>0.64227603196540395</v>
      </c>
      <c r="I1688">
        <v>0.67373660102494304</v>
      </c>
      <c r="J1688">
        <v>0.63395548768227705</v>
      </c>
      <c r="K1688">
        <v>0.52229428206673301</v>
      </c>
      <c r="L1688">
        <v>352.70002262906797</v>
      </c>
      <c r="M1688">
        <v>5.7196362051746403</v>
      </c>
      <c r="O1688">
        <v>55.372627292448797</v>
      </c>
      <c r="P1688">
        <v>-1.7204286711899101E-2</v>
      </c>
      <c r="Q1688">
        <v>0.336318452414896</v>
      </c>
      <c r="R1688">
        <v>0.95226644265372795</v>
      </c>
      <c r="S1688" t="s">
        <v>7549</v>
      </c>
      <c r="T1688" t="s">
        <v>11720</v>
      </c>
      <c r="U1688" t="s">
        <v>11720</v>
      </c>
      <c r="V1688" t="s">
        <v>11720</v>
      </c>
      <c r="W1688" t="s">
        <v>13374</v>
      </c>
      <c r="X1688">
        <v>11</v>
      </c>
      <c r="Y1688" t="s">
        <v>19156</v>
      </c>
      <c r="Z1688" t="s">
        <v>24895</v>
      </c>
      <c r="AA1688">
        <v>0.7751153344474695</v>
      </c>
      <c r="AB1688" t="str">
        <f>HYPERLINK("Melting_Curves/meltCurve_O96011_PEX11B.pdf", "Melting_Curves/meltCurve_O96011_PEX11B.pdf")</f>
        <v>Melting_Curves/meltCurve_O96011_PEX11B.pdf</v>
      </c>
    </row>
    <row r="1689" spans="1:28" x14ac:dyDescent="0.25">
      <c r="A1689" t="s">
        <v>1693</v>
      </c>
      <c r="B1689">
        <v>0.99334974765950101</v>
      </c>
      <c r="C1689">
        <v>0.96775566755263598</v>
      </c>
      <c r="D1689">
        <v>0.84384965217450103</v>
      </c>
      <c r="E1689">
        <v>0.67308512952363397</v>
      </c>
      <c r="F1689">
        <v>0.57707162405555101</v>
      </c>
      <c r="G1689">
        <v>0.61793230754679696</v>
      </c>
      <c r="H1689">
        <v>0.52984360887916004</v>
      </c>
      <c r="I1689">
        <v>0.46735261806112199</v>
      </c>
      <c r="J1689">
        <v>0.41591333076012899</v>
      </c>
      <c r="K1689">
        <v>0.23307527681635301</v>
      </c>
      <c r="L1689">
        <v>324.02733564630898</v>
      </c>
      <c r="M1689">
        <v>5.3975310939852497</v>
      </c>
      <c r="N1689">
        <v>60.204230881021402</v>
      </c>
      <c r="O1689">
        <v>53.2875213318382</v>
      </c>
      <c r="P1689">
        <v>-2.5247470436461399E-2</v>
      </c>
      <c r="Q1689">
        <v>7.6382930310759604E-3</v>
      </c>
      <c r="R1689">
        <v>0.92592681582246095</v>
      </c>
      <c r="S1689" t="s">
        <v>7550</v>
      </c>
      <c r="T1689" t="s">
        <v>11720</v>
      </c>
      <c r="U1689" t="s">
        <v>11720</v>
      </c>
      <c r="V1689" t="s">
        <v>11720</v>
      </c>
      <c r="W1689" t="s">
        <v>13375</v>
      </c>
      <c r="X1689">
        <v>9</v>
      </c>
      <c r="Y1689" t="s">
        <v>19157</v>
      </c>
      <c r="Z1689" t="s">
        <v>24896</v>
      </c>
      <c r="AA1689">
        <v>0.62846850312448277</v>
      </c>
      <c r="AB1689" t="str">
        <f>HYPERLINK("Melting_Curves/meltCurve_O96013_PAK4.pdf", "Melting_Curves/meltCurve_O96013_PAK4.pdf")</f>
        <v>Melting_Curves/meltCurve_O96013_PAK4.pdf</v>
      </c>
    </row>
    <row r="1690" spans="1:28" x14ac:dyDescent="0.25">
      <c r="A1690" t="s">
        <v>1694</v>
      </c>
      <c r="B1690">
        <v>0.99334974765950101</v>
      </c>
      <c r="C1690">
        <v>0.89075713509469701</v>
      </c>
      <c r="D1690">
        <v>0.78330366762995496</v>
      </c>
      <c r="E1690">
        <v>0.621014644429558</v>
      </c>
      <c r="F1690">
        <v>0.59511253478494597</v>
      </c>
      <c r="G1690">
        <v>0.36312742026746397</v>
      </c>
      <c r="H1690">
        <v>0.233412291651662</v>
      </c>
      <c r="I1690">
        <v>0.217205629117775</v>
      </c>
      <c r="J1690">
        <v>0.20500874012339401</v>
      </c>
      <c r="K1690">
        <v>0.114269843532515</v>
      </c>
      <c r="L1690">
        <v>467.53227728868302</v>
      </c>
      <c r="M1690">
        <v>8.7612634438167607</v>
      </c>
      <c r="N1690">
        <v>53.695907425785599</v>
      </c>
      <c r="O1690">
        <v>50.8024365275961</v>
      </c>
      <c r="P1690">
        <v>-4.2010296636506399E-2</v>
      </c>
      <c r="Q1690">
        <v>2.6391070269543002E-2</v>
      </c>
      <c r="R1690">
        <v>0.98720538471921604</v>
      </c>
      <c r="S1690" t="s">
        <v>7551</v>
      </c>
      <c r="T1690" t="s">
        <v>11720</v>
      </c>
      <c r="U1690" t="s">
        <v>11720</v>
      </c>
      <c r="V1690" t="s">
        <v>11720</v>
      </c>
      <c r="W1690" t="s">
        <v>13376</v>
      </c>
      <c r="X1690">
        <v>4</v>
      </c>
      <c r="Y1690" t="s">
        <v>19158</v>
      </c>
      <c r="Z1690" t="s">
        <v>24897</v>
      </c>
      <c r="AA1690">
        <v>0.49533940660955161</v>
      </c>
      <c r="AB1690" t="str">
        <f>HYPERLINK("Melting_Curves/meltCurve_O96017_CHEK2.pdf", "Melting_Curves/meltCurve_O96017_CHEK2.pdf")</f>
        <v>Melting_Curves/meltCurve_O96017_CHEK2.pdf</v>
      </c>
    </row>
    <row r="1691" spans="1:28" x14ac:dyDescent="0.25">
      <c r="A1691" t="s">
        <v>1695</v>
      </c>
      <c r="B1691">
        <v>0.99334974765950101</v>
      </c>
      <c r="C1691">
        <v>1.0034484770255701</v>
      </c>
      <c r="D1691">
        <v>0.93995462168656996</v>
      </c>
      <c r="E1691">
        <v>0.94085503820803895</v>
      </c>
      <c r="F1691">
        <v>0.38344584765586298</v>
      </c>
      <c r="G1691">
        <v>0.21755125545100301</v>
      </c>
      <c r="H1691">
        <v>0.15201748109371799</v>
      </c>
      <c r="I1691">
        <v>0.11031521528496099</v>
      </c>
      <c r="J1691">
        <v>0.10351588199332599</v>
      </c>
      <c r="K1691">
        <v>8.1855345082347902E-2</v>
      </c>
      <c r="L1691">
        <v>2871.7717543720601</v>
      </c>
      <c r="M1691">
        <v>55.030059651045498</v>
      </c>
      <c r="N1691">
        <v>52.473300224574302</v>
      </c>
      <c r="O1691">
        <v>52.116734339681102</v>
      </c>
      <c r="P1691">
        <v>-0.22958936123391999</v>
      </c>
      <c r="Q1691">
        <v>0.130261515237627</v>
      </c>
      <c r="R1691">
        <v>0.99115853144822497</v>
      </c>
      <c r="S1691" t="s">
        <v>7552</v>
      </c>
      <c r="T1691" t="s">
        <v>11720</v>
      </c>
      <c r="U1691" t="s">
        <v>11720</v>
      </c>
      <c r="V1691" t="s">
        <v>11720</v>
      </c>
      <c r="W1691" t="s">
        <v>13377</v>
      </c>
      <c r="X1691">
        <v>15</v>
      </c>
      <c r="Y1691" t="s">
        <v>19159</v>
      </c>
      <c r="Z1691" t="s">
        <v>24898</v>
      </c>
      <c r="AA1691">
        <v>0.48518623077126849</v>
      </c>
      <c r="AB1691" t="str">
        <f>HYPERLINK("Melting_Curves/meltCurve_O96019_ACTL6A.pdf", "Melting_Curves/meltCurve_O96019_ACTL6A.pdf")</f>
        <v>Melting_Curves/meltCurve_O96019_ACTL6A.pdf</v>
      </c>
    </row>
    <row r="1692" spans="1:28" x14ac:dyDescent="0.25">
      <c r="A1692" t="s">
        <v>1696</v>
      </c>
      <c r="B1692">
        <v>0.99334974765950101</v>
      </c>
      <c r="C1692">
        <v>1.0038956125465099</v>
      </c>
      <c r="D1692">
        <v>0.94330776154661</v>
      </c>
      <c r="E1692">
        <v>0.76121167083528296</v>
      </c>
      <c r="F1692">
        <v>0.605685812675819</v>
      </c>
      <c r="G1692">
        <v>0.37418376650963597</v>
      </c>
      <c r="H1692">
        <v>0.23841417958000799</v>
      </c>
      <c r="I1692">
        <v>0.17869127748897101</v>
      </c>
      <c r="J1692">
        <v>0.15005309350007701</v>
      </c>
      <c r="K1692">
        <v>0.118163083876084</v>
      </c>
      <c r="L1692">
        <v>789.21982136616202</v>
      </c>
      <c r="M1692">
        <v>14.6602889461229</v>
      </c>
      <c r="N1692">
        <v>54.641146384219198</v>
      </c>
      <c r="O1692">
        <v>52.861946734593303</v>
      </c>
      <c r="P1692">
        <v>-6.2588648753509196E-2</v>
      </c>
      <c r="Q1692">
        <v>9.7373262855136894E-2</v>
      </c>
      <c r="R1692">
        <v>0.99900096576099895</v>
      </c>
      <c r="S1692" t="s">
        <v>7553</v>
      </c>
      <c r="T1692" t="s">
        <v>11720</v>
      </c>
      <c r="U1692" t="s">
        <v>11720</v>
      </c>
      <c r="V1692" t="s">
        <v>11720</v>
      </c>
      <c r="W1692" t="s">
        <v>13378</v>
      </c>
      <c r="X1692">
        <v>8</v>
      </c>
      <c r="Y1692" t="s">
        <v>19154</v>
      </c>
      <c r="Z1692" t="s">
        <v>24899</v>
      </c>
      <c r="AA1692">
        <v>0.53282579491019155</v>
      </c>
      <c r="AB1692" t="str">
        <f>HYPERLINK("Melting_Curves/meltCurve_O96033_MOCS2.pdf", "Melting_Curves/meltCurve_O96033_MOCS2.pdf")</f>
        <v>Melting_Curves/meltCurve_O96033_MOCS2.pdf</v>
      </c>
    </row>
    <row r="1693" spans="1:28" x14ac:dyDescent="0.25">
      <c r="A1693" t="s">
        <v>1697</v>
      </c>
      <c r="B1693">
        <v>0.99334974765950101</v>
      </c>
      <c r="C1693">
        <v>0.97974579603052503</v>
      </c>
      <c r="D1693">
        <v>0.89016690725816106</v>
      </c>
      <c r="E1693">
        <v>0.79499032121637603</v>
      </c>
      <c r="F1693">
        <v>0.87649952770608197</v>
      </c>
      <c r="G1693">
        <v>0.65826235782523701</v>
      </c>
      <c r="H1693">
        <v>0.61254902995116101</v>
      </c>
      <c r="I1693">
        <v>0.59984792233441497</v>
      </c>
      <c r="J1693">
        <v>0.67363636523300097</v>
      </c>
      <c r="K1693">
        <v>0.45351266308423299</v>
      </c>
      <c r="L1693">
        <v>403.36103781345503</v>
      </c>
      <c r="M1693">
        <v>6.9742337443697604</v>
      </c>
      <c r="O1693">
        <v>53.643402629926101</v>
      </c>
      <c r="P1693">
        <v>-1.98392236048054E-2</v>
      </c>
      <c r="Q1693">
        <v>0.39075898847717699</v>
      </c>
      <c r="R1693">
        <v>0.88240281307503099</v>
      </c>
      <c r="S1693" t="s">
        <v>7554</v>
      </c>
      <c r="T1693" t="s">
        <v>11720</v>
      </c>
      <c r="U1693" t="s">
        <v>11720</v>
      </c>
      <c r="V1693" t="s">
        <v>11720</v>
      </c>
      <c r="W1693" t="s">
        <v>13379</v>
      </c>
      <c r="X1693">
        <v>10</v>
      </c>
      <c r="Y1693" t="s">
        <v>19160</v>
      </c>
      <c r="Z1693" t="s">
        <v>24900</v>
      </c>
      <c r="AA1693">
        <v>0.75294101306273731</v>
      </c>
      <c r="AB1693" t="str">
        <f>HYPERLINK("Melting_Curves/meltCurve_P00167_2_CYB5A.pdf", "Melting_Curves/meltCurve_P00167_2_CYB5A.pdf")</f>
        <v>Melting_Curves/meltCurve_P00167_2_CYB5A.pdf</v>
      </c>
    </row>
    <row r="1694" spans="1:28" x14ac:dyDescent="0.25">
      <c r="A1694" t="s">
        <v>1698</v>
      </c>
      <c r="B1694">
        <v>0.99334974765950101</v>
      </c>
      <c r="C1694">
        <v>1.00828905428428</v>
      </c>
      <c r="D1694">
        <v>0.91347584083114497</v>
      </c>
      <c r="E1694">
        <v>0.83563033366768602</v>
      </c>
      <c r="F1694">
        <v>0.669790215377013</v>
      </c>
      <c r="G1694">
        <v>0.64813899395837804</v>
      </c>
      <c r="H1694">
        <v>0.60208813962988905</v>
      </c>
      <c r="I1694">
        <v>0.79871935179974396</v>
      </c>
      <c r="J1694">
        <v>0.74141601518066003</v>
      </c>
      <c r="K1694">
        <v>0.50690156950110099</v>
      </c>
      <c r="L1694">
        <v>1199.6819287462199</v>
      </c>
      <c r="M1694">
        <v>24.338665015573898</v>
      </c>
      <c r="O1694">
        <v>48.962056468489102</v>
      </c>
      <c r="P1694">
        <v>-4.3082314893987603E-2</v>
      </c>
      <c r="Q1694">
        <v>0.65333068136823302</v>
      </c>
      <c r="R1694">
        <v>0.77448398757185999</v>
      </c>
      <c r="S1694" t="s">
        <v>7555</v>
      </c>
      <c r="T1694" t="s">
        <v>11720</v>
      </c>
      <c r="U1694" t="s">
        <v>11720</v>
      </c>
      <c r="V1694" t="s">
        <v>11720</v>
      </c>
      <c r="W1694" t="s">
        <v>13380</v>
      </c>
      <c r="X1694">
        <v>24</v>
      </c>
      <c r="Y1694" t="s">
        <v>19161</v>
      </c>
      <c r="Z1694" t="s">
        <v>24901</v>
      </c>
      <c r="AA1694">
        <v>0.76394828970050244</v>
      </c>
      <c r="AB1694" t="str">
        <f>HYPERLINK("Melting_Curves/meltCurve_P00325_ADH1B.pdf", "Melting_Curves/meltCurve_P00325_ADH1B.pdf")</f>
        <v>Melting_Curves/meltCurve_P00325_ADH1B.pdf</v>
      </c>
    </row>
    <row r="1695" spans="1:28" x14ac:dyDescent="0.25">
      <c r="A1695" t="s">
        <v>1699</v>
      </c>
      <c r="B1695">
        <v>0.99334974765950101</v>
      </c>
      <c r="C1695">
        <v>1.0225767833086301</v>
      </c>
      <c r="D1695">
        <v>1.1517898370373301</v>
      </c>
      <c r="E1695">
        <v>1.24260538075886</v>
      </c>
      <c r="F1695">
        <v>1.06942478030156</v>
      </c>
      <c r="G1695">
        <v>1.07394499131873</v>
      </c>
      <c r="H1695">
        <v>0.75593377332557499</v>
      </c>
      <c r="I1695">
        <v>0.45970358966202601</v>
      </c>
      <c r="J1695">
        <v>0.19363265233330501</v>
      </c>
      <c r="K1695">
        <v>9.9594964940454694E-2</v>
      </c>
      <c r="L1695">
        <v>2147.92907828021</v>
      </c>
      <c r="M1695">
        <v>33.967513097479298</v>
      </c>
      <c r="N1695">
        <v>63.525746530858797</v>
      </c>
      <c r="O1695">
        <v>63.016839748956698</v>
      </c>
      <c r="P1695">
        <v>-0.12504901535176299</v>
      </c>
      <c r="Q1695">
        <v>7.2035402792608297E-2</v>
      </c>
      <c r="R1695">
        <v>0.93569364305685399</v>
      </c>
      <c r="S1695" t="s">
        <v>7556</v>
      </c>
      <c r="T1695" t="s">
        <v>11720</v>
      </c>
      <c r="U1695" t="s">
        <v>11720</v>
      </c>
      <c r="V1695" t="s">
        <v>11720</v>
      </c>
      <c r="W1695" t="s">
        <v>13381</v>
      </c>
      <c r="X1695">
        <v>28</v>
      </c>
      <c r="Y1695" t="s">
        <v>19162</v>
      </c>
      <c r="Z1695" t="s">
        <v>24902</v>
      </c>
      <c r="AA1695">
        <v>0.79359414909009685</v>
      </c>
      <c r="AB1695" t="str">
        <f>HYPERLINK("Melting_Curves/meltCurve_P00338_LDHA.pdf", "Melting_Curves/meltCurve_P00338_LDHA.pdf")</f>
        <v>Melting_Curves/meltCurve_P00338_LDHA.pdf</v>
      </c>
    </row>
    <row r="1696" spans="1:28" x14ac:dyDescent="0.25">
      <c r="A1696" t="s">
        <v>1700</v>
      </c>
      <c r="B1696">
        <v>0.99334974765950101</v>
      </c>
      <c r="C1696">
        <v>1.03654061541847</v>
      </c>
      <c r="D1696">
        <v>1.16167881655983</v>
      </c>
      <c r="E1696">
        <v>1.4005240376282799</v>
      </c>
      <c r="F1696">
        <v>1.48495384553024</v>
      </c>
      <c r="G1696">
        <v>1.78295018785203</v>
      </c>
      <c r="H1696">
        <v>1.7409541520109599</v>
      </c>
      <c r="I1696">
        <v>2.37679250520948</v>
      </c>
      <c r="J1696">
        <v>1.0912960044911799</v>
      </c>
      <c r="K1696">
        <v>0.449269682144394</v>
      </c>
      <c r="L1696">
        <v>1550.38074639007</v>
      </c>
      <c r="M1696">
        <v>32.974081374674</v>
      </c>
      <c r="O1696">
        <v>46.846243821955198</v>
      </c>
      <c r="P1696">
        <v>8.5556696907774801E-2</v>
      </c>
      <c r="Q1696">
        <v>1.4861990636692499</v>
      </c>
      <c r="R1696">
        <v>0.14677520734416299</v>
      </c>
      <c r="S1696" t="s">
        <v>7557</v>
      </c>
      <c r="T1696" t="s">
        <v>11720</v>
      </c>
      <c r="U1696" t="s">
        <v>11720</v>
      </c>
      <c r="V1696" t="s">
        <v>11720</v>
      </c>
      <c r="W1696" t="s">
        <v>13382</v>
      </c>
      <c r="X1696">
        <v>31</v>
      </c>
      <c r="Y1696" t="s">
        <v>19163</v>
      </c>
      <c r="Z1696" t="s">
        <v>24903</v>
      </c>
      <c r="AA1696">
        <v>1.3700747050314019</v>
      </c>
      <c r="AB1696" t="str">
        <f>HYPERLINK("Melting_Curves/meltCurve_P00352_ALDH1A1.pdf", "Melting_Curves/meltCurve_P00352_ALDH1A1.pdf")</f>
        <v>Melting_Curves/meltCurve_P00352_ALDH1A1.pdf</v>
      </c>
    </row>
    <row r="1697" spans="1:28" x14ac:dyDescent="0.25">
      <c r="A1697" t="s">
        <v>1701</v>
      </c>
      <c r="B1697">
        <v>0.99334974765950101</v>
      </c>
      <c r="C1697">
        <v>1.04914857068965</v>
      </c>
      <c r="D1697">
        <v>1.2637055209630099</v>
      </c>
      <c r="E1697">
        <v>1.9467124481965099</v>
      </c>
      <c r="F1697">
        <v>2.6618163076630501</v>
      </c>
      <c r="G1697">
        <v>3.5817619184999501</v>
      </c>
      <c r="H1697">
        <v>0.90741080559514797</v>
      </c>
      <c r="I1697">
        <v>0.334998896359194</v>
      </c>
      <c r="J1697">
        <v>0.28179221710953001</v>
      </c>
      <c r="K1697">
        <v>0.19653260602606501</v>
      </c>
      <c r="L1697">
        <v>5448.6521977969896</v>
      </c>
      <c r="M1697">
        <v>87.160471413299902</v>
      </c>
      <c r="N1697">
        <v>62.986119831499003</v>
      </c>
      <c r="O1697">
        <v>62.480007001166598</v>
      </c>
      <c r="P1697">
        <v>-0.26496541146889502</v>
      </c>
      <c r="Q1697">
        <v>0.24025027022810599</v>
      </c>
      <c r="R1697">
        <v>5.2181839557686703E-2</v>
      </c>
      <c r="S1697" t="s">
        <v>7558</v>
      </c>
      <c r="T1697" t="s">
        <v>11720</v>
      </c>
      <c r="U1697" t="s">
        <v>11720</v>
      </c>
      <c r="V1697" t="s">
        <v>11720</v>
      </c>
      <c r="W1697" t="s">
        <v>13383</v>
      </c>
      <c r="X1697">
        <v>27</v>
      </c>
      <c r="Y1697" t="s">
        <v>19164</v>
      </c>
      <c r="Z1697" t="s">
        <v>24904</v>
      </c>
      <c r="AA1697">
        <v>0.81107352682763678</v>
      </c>
      <c r="AB1697" t="str">
        <f>HYPERLINK("Melting_Curves/meltCurve_P00367_GLUD1.pdf", "Melting_Curves/meltCurve_P00367_GLUD1.pdf")</f>
        <v>Melting_Curves/meltCurve_P00367_GLUD1.pdf</v>
      </c>
    </row>
    <row r="1698" spans="1:28" x14ac:dyDescent="0.25">
      <c r="A1698" t="s">
        <v>1702</v>
      </c>
      <c r="B1698">
        <v>0.99334974765950101</v>
      </c>
      <c r="C1698">
        <v>0.93836202163359805</v>
      </c>
      <c r="D1698">
        <v>0.85597161098580798</v>
      </c>
      <c r="E1698">
        <v>0.78130232955282797</v>
      </c>
      <c r="F1698">
        <v>0.64617626729395095</v>
      </c>
      <c r="G1698">
        <v>0.37062054695787899</v>
      </c>
      <c r="H1698">
        <v>0.11372712220737299</v>
      </c>
      <c r="I1698">
        <v>7.7502168834910595E-2</v>
      </c>
      <c r="J1698">
        <v>7.5283061421828903E-2</v>
      </c>
      <c r="K1698">
        <v>6.3268614706784299E-2</v>
      </c>
      <c r="L1698">
        <v>782.22476201347604</v>
      </c>
      <c r="M1698">
        <v>14.355530975629801</v>
      </c>
      <c r="N1698">
        <v>54.489434364852102</v>
      </c>
      <c r="O1698">
        <v>53.464792019523102</v>
      </c>
      <c r="P1698">
        <v>-6.7134149204534602E-2</v>
      </c>
      <c r="Q1698">
        <v>0</v>
      </c>
      <c r="R1698">
        <v>0.98830831316600298</v>
      </c>
      <c r="S1698" t="s">
        <v>7559</v>
      </c>
      <c r="T1698" t="s">
        <v>11720</v>
      </c>
      <c r="U1698" t="s">
        <v>11720</v>
      </c>
      <c r="V1698" t="s">
        <v>11720</v>
      </c>
      <c r="W1698" t="s">
        <v>13384</v>
      </c>
      <c r="X1698">
        <v>17</v>
      </c>
      <c r="Y1698" t="s">
        <v>19165</v>
      </c>
      <c r="Z1698" t="s">
        <v>24905</v>
      </c>
      <c r="AA1698">
        <v>0.50393672487440511</v>
      </c>
      <c r="AB1698" t="str">
        <f>HYPERLINK("Melting_Curves/meltCurve_P00387_2_CYB5R3.pdf", "Melting_Curves/meltCurve_P00387_2_CYB5R3.pdf")</f>
        <v>Melting_Curves/meltCurve_P00387_2_CYB5R3.pdf</v>
      </c>
    </row>
    <row r="1699" spans="1:28" x14ac:dyDescent="0.25">
      <c r="A1699" t="s">
        <v>1703</v>
      </c>
      <c r="B1699">
        <v>0.99334974765950101</v>
      </c>
      <c r="C1699">
        <v>0.97229373853534995</v>
      </c>
      <c r="D1699">
        <v>1.03514823358968</v>
      </c>
      <c r="E1699">
        <v>0.97167312955150498</v>
      </c>
      <c r="F1699">
        <v>0.59708791337155198</v>
      </c>
      <c r="G1699">
        <v>0.43106031632272701</v>
      </c>
      <c r="H1699">
        <v>0.39584666177632799</v>
      </c>
      <c r="I1699">
        <v>0.51121500516506002</v>
      </c>
      <c r="J1699">
        <v>0.43142349948345898</v>
      </c>
      <c r="K1699">
        <v>0.226307859878459</v>
      </c>
      <c r="L1699">
        <v>3121.5504207726499</v>
      </c>
      <c r="M1699">
        <v>59.585465736504801</v>
      </c>
      <c r="N1699">
        <v>53.822787985030899</v>
      </c>
      <c r="O1699">
        <v>52.328876319833498</v>
      </c>
      <c r="P1699">
        <v>-0.171399026816281</v>
      </c>
      <c r="Q1699">
        <v>0.39789921621291902</v>
      </c>
      <c r="R1699">
        <v>0.94455420563254899</v>
      </c>
      <c r="S1699" t="s">
        <v>7560</v>
      </c>
      <c r="T1699" t="s">
        <v>11720</v>
      </c>
      <c r="U1699" t="s">
        <v>11720</v>
      </c>
      <c r="V1699" t="s">
        <v>11720</v>
      </c>
      <c r="W1699" t="s">
        <v>13385</v>
      </c>
      <c r="X1699">
        <v>23</v>
      </c>
      <c r="Y1699" t="s">
        <v>19166</v>
      </c>
      <c r="Z1699" t="s">
        <v>24906</v>
      </c>
      <c r="AA1699">
        <v>0.64750041258797431</v>
      </c>
      <c r="AB1699" t="str">
        <f>HYPERLINK("Melting_Curves/meltCurve_P00390_2_GSR.pdf", "Melting_Curves/meltCurve_P00390_2_GSR.pdf")</f>
        <v>Melting_Curves/meltCurve_P00390_2_GSR.pdf</v>
      </c>
    </row>
    <row r="1700" spans="1:28" x14ac:dyDescent="0.25">
      <c r="A1700" t="s">
        <v>1704</v>
      </c>
      <c r="B1700">
        <v>0.99334974765950101</v>
      </c>
      <c r="C1700">
        <v>0.92507541836026197</v>
      </c>
      <c r="D1700">
        <v>0.86486842890264104</v>
      </c>
      <c r="E1700">
        <v>0.85164008317598605</v>
      </c>
      <c r="F1700">
        <v>0.88218110233062796</v>
      </c>
      <c r="G1700">
        <v>1.13493315146569</v>
      </c>
      <c r="H1700">
        <v>0.92161114459557303</v>
      </c>
      <c r="I1700">
        <v>0.87541477234370901</v>
      </c>
      <c r="J1700">
        <v>0.19205240675619001</v>
      </c>
      <c r="K1700">
        <v>0.169827019387531</v>
      </c>
      <c r="L1700">
        <v>7389.4200142080999</v>
      </c>
      <c r="M1700">
        <v>113.73032211346199</v>
      </c>
      <c r="N1700">
        <v>65.207886047085793</v>
      </c>
      <c r="O1700">
        <v>64.953093421678503</v>
      </c>
      <c r="P1700">
        <v>-0.36421546674767002</v>
      </c>
      <c r="Q1700">
        <v>0.16796437871613501</v>
      </c>
      <c r="R1700">
        <v>0.91263022299668395</v>
      </c>
      <c r="S1700" t="s">
        <v>7561</v>
      </c>
      <c r="T1700" t="s">
        <v>11720</v>
      </c>
      <c r="U1700" t="s">
        <v>11720</v>
      </c>
      <c r="V1700" t="s">
        <v>11720</v>
      </c>
      <c r="W1700" t="s">
        <v>13386</v>
      </c>
      <c r="X1700">
        <v>2</v>
      </c>
      <c r="Y1700" t="s">
        <v>19167</v>
      </c>
      <c r="Z1700" t="s">
        <v>24907</v>
      </c>
      <c r="AA1700">
        <v>0.86103689435923036</v>
      </c>
      <c r="AB1700" t="str">
        <f>HYPERLINK("Melting_Curves/meltCurve_P00403_MT_CO2.pdf", "Melting_Curves/meltCurve_P00403_MT_CO2.pdf")</f>
        <v>Melting_Curves/meltCurve_P00403_MT_CO2.pdf</v>
      </c>
    </row>
    <row r="1701" spans="1:28" x14ac:dyDescent="0.25">
      <c r="A1701" t="s">
        <v>1705</v>
      </c>
      <c r="B1701">
        <v>0.99334974765950101</v>
      </c>
      <c r="C1701">
        <v>0.80454093654853798</v>
      </c>
      <c r="D1701">
        <v>0.47164525435674098</v>
      </c>
      <c r="E1701">
        <v>0.53503230005883695</v>
      </c>
      <c r="F1701">
        <v>0.294086185672148</v>
      </c>
      <c r="G1701">
        <v>0.21866199545652201</v>
      </c>
      <c r="H1701">
        <v>0.19944311176702001</v>
      </c>
      <c r="I1701">
        <v>0.36784527332149602</v>
      </c>
      <c r="J1701">
        <v>0.28356114051092801</v>
      </c>
      <c r="K1701">
        <v>0.30660358635817803</v>
      </c>
      <c r="L1701">
        <v>844.46536563032203</v>
      </c>
      <c r="M1701">
        <v>18.795971956317199</v>
      </c>
      <c r="N1701">
        <v>47.024622301938699</v>
      </c>
      <c r="O1701">
        <v>44.428708525937601</v>
      </c>
      <c r="P1701">
        <v>-7.5760376676502497E-2</v>
      </c>
      <c r="Q1701">
        <v>0.28371979170397799</v>
      </c>
      <c r="R1701">
        <v>0.90492024063060605</v>
      </c>
      <c r="S1701" t="s">
        <v>7562</v>
      </c>
      <c r="T1701" t="s">
        <v>11720</v>
      </c>
      <c r="U1701" t="s">
        <v>11720</v>
      </c>
      <c r="V1701" t="s">
        <v>11720</v>
      </c>
      <c r="W1701" t="s">
        <v>13387</v>
      </c>
      <c r="X1701">
        <v>13</v>
      </c>
      <c r="Y1701" t="s">
        <v>19168</v>
      </c>
      <c r="Z1701" t="s">
        <v>24908</v>
      </c>
      <c r="AA1701">
        <v>0.41549472645378799</v>
      </c>
      <c r="AB1701" t="str">
        <f>HYPERLINK("Melting_Curves/meltCurve_P00441_SOD1.pdf", "Melting_Curves/meltCurve_P00441_SOD1.pdf")</f>
        <v>Melting_Curves/meltCurve_P00441_SOD1.pdf</v>
      </c>
    </row>
    <row r="1702" spans="1:28" x14ac:dyDescent="0.25">
      <c r="A1702" t="s">
        <v>1706</v>
      </c>
      <c r="B1702">
        <v>0.99334974765950101</v>
      </c>
      <c r="C1702">
        <v>0.93568973226902297</v>
      </c>
      <c r="D1702">
        <v>1.02287663389576</v>
      </c>
      <c r="E1702">
        <v>0.92893340496472598</v>
      </c>
      <c r="F1702">
        <v>0.77934376645620496</v>
      </c>
      <c r="G1702">
        <v>0.89050210884588799</v>
      </c>
      <c r="H1702">
        <v>0.74613065027329495</v>
      </c>
      <c r="I1702">
        <v>1.0189443560843301</v>
      </c>
      <c r="J1702">
        <v>0.57741370867637498</v>
      </c>
      <c r="K1702">
        <v>0.17670874109460599</v>
      </c>
      <c r="L1702">
        <v>15000</v>
      </c>
      <c r="M1702">
        <v>223.933620419818</v>
      </c>
      <c r="N1702">
        <v>67.114794330771204</v>
      </c>
      <c r="O1702">
        <v>66.978809073852304</v>
      </c>
      <c r="P1702">
        <v>-0.68818283604880903</v>
      </c>
      <c r="Q1702">
        <v>0.17665501539460801</v>
      </c>
      <c r="R1702">
        <v>0.78154940954943197</v>
      </c>
      <c r="S1702" t="s">
        <v>7563</v>
      </c>
      <c r="T1702" t="s">
        <v>11720</v>
      </c>
      <c r="U1702" t="s">
        <v>11720</v>
      </c>
      <c r="V1702" t="s">
        <v>11720</v>
      </c>
      <c r="W1702" t="s">
        <v>13388</v>
      </c>
      <c r="X1702">
        <v>6</v>
      </c>
      <c r="Y1702" t="s">
        <v>19169</v>
      </c>
      <c r="Z1702" t="s">
        <v>24909</v>
      </c>
      <c r="AA1702">
        <v>0.9173501622372725</v>
      </c>
      <c r="AB1702" t="str">
        <f>HYPERLINK("Melting_Curves/meltCurve_P00491_PNP.pdf", "Melting_Curves/meltCurve_P00491_PNP.pdf")</f>
        <v>Melting_Curves/meltCurve_P00491_PNP.pdf</v>
      </c>
    </row>
    <row r="1703" spans="1:28" x14ac:dyDescent="0.25">
      <c r="A1703" t="s">
        <v>1707</v>
      </c>
      <c r="B1703">
        <v>0.99334974765950101</v>
      </c>
      <c r="C1703">
        <v>0.96919554568720001</v>
      </c>
      <c r="D1703">
        <v>0.97592784054436199</v>
      </c>
      <c r="E1703">
        <v>0.90732375139999499</v>
      </c>
      <c r="F1703">
        <v>0.85866200969206696</v>
      </c>
      <c r="G1703">
        <v>0.69820117689233496</v>
      </c>
      <c r="H1703">
        <v>0.65870170564978603</v>
      </c>
      <c r="I1703">
        <v>0.97988522959107005</v>
      </c>
      <c r="J1703">
        <v>0.97654481373350999</v>
      </c>
      <c r="K1703">
        <v>0.95927122126696396</v>
      </c>
      <c r="L1703">
        <v>1866.0435739857301</v>
      </c>
      <c r="M1703">
        <v>38.188098132361603</v>
      </c>
      <c r="O1703">
        <v>48.731114426613502</v>
      </c>
      <c r="P1703">
        <v>-2.84090759664021E-2</v>
      </c>
      <c r="Q1703">
        <v>0.85499121161242897</v>
      </c>
      <c r="R1703">
        <v>0.22046412890421099</v>
      </c>
      <c r="S1703" t="s">
        <v>7564</v>
      </c>
      <c r="T1703" t="s">
        <v>11720</v>
      </c>
      <c r="U1703" t="s">
        <v>11720</v>
      </c>
      <c r="V1703" t="s">
        <v>11720</v>
      </c>
      <c r="W1703" t="s">
        <v>13389</v>
      </c>
      <c r="X1703">
        <v>17</v>
      </c>
      <c r="Y1703" t="s">
        <v>19170</v>
      </c>
      <c r="Z1703" t="s">
        <v>24910</v>
      </c>
      <c r="AA1703">
        <v>0.89837774644115831</v>
      </c>
      <c r="AB1703" t="str">
        <f>HYPERLINK("Melting_Curves/meltCurve_P00492_HPRT1.pdf", "Melting_Curves/meltCurve_P00492_HPRT1.pdf")</f>
        <v>Melting_Curves/meltCurve_P00492_HPRT1.pdf</v>
      </c>
    </row>
    <row r="1704" spans="1:28" x14ac:dyDescent="0.25">
      <c r="A1704" t="s">
        <v>1708</v>
      </c>
      <c r="B1704">
        <v>0.99334974765950101</v>
      </c>
      <c r="C1704">
        <v>1.1068675680903299</v>
      </c>
      <c r="D1704">
        <v>1.0287534726419001</v>
      </c>
      <c r="E1704">
        <v>0.90717552298655901</v>
      </c>
      <c r="F1704">
        <v>0.75758779515743102</v>
      </c>
      <c r="G1704">
        <v>0.62968034727500999</v>
      </c>
      <c r="H1704">
        <v>0.468664690544427</v>
      </c>
      <c r="I1704">
        <v>0.66751938463711902</v>
      </c>
      <c r="J1704">
        <v>0.34325846066329901</v>
      </c>
      <c r="K1704">
        <v>0.10516914632094999</v>
      </c>
      <c r="L1704">
        <v>574.27650113568905</v>
      </c>
      <c r="M1704">
        <v>9.2777720252338192</v>
      </c>
      <c r="N1704">
        <v>61.898090235881099</v>
      </c>
      <c r="O1704">
        <v>59.2263259361442</v>
      </c>
      <c r="P1704">
        <v>-3.9187710185093198E-2</v>
      </c>
      <c r="Q1704">
        <v>0</v>
      </c>
      <c r="R1704">
        <v>0.87965727501409097</v>
      </c>
      <c r="S1704" t="s">
        <v>7565</v>
      </c>
      <c r="T1704" t="s">
        <v>11720</v>
      </c>
      <c r="U1704" t="s">
        <v>11720</v>
      </c>
      <c r="V1704" t="s">
        <v>11720</v>
      </c>
      <c r="W1704" t="s">
        <v>13390</v>
      </c>
      <c r="X1704">
        <v>15</v>
      </c>
      <c r="Y1704" t="s">
        <v>19171</v>
      </c>
      <c r="Z1704" t="s">
        <v>24911</v>
      </c>
      <c r="AA1704">
        <v>0.70495107868304019</v>
      </c>
      <c r="AB1704" t="str">
        <f>HYPERLINK("Melting_Curves/meltCurve_P00505_GOT2.pdf", "Melting_Curves/meltCurve_P00505_GOT2.pdf")</f>
        <v>Melting_Curves/meltCurve_P00505_GOT2.pdf</v>
      </c>
    </row>
    <row r="1705" spans="1:28" x14ac:dyDescent="0.25">
      <c r="A1705" t="s">
        <v>1709</v>
      </c>
      <c r="B1705">
        <v>0.99334974765950101</v>
      </c>
      <c r="C1705">
        <v>0.93574830659605202</v>
      </c>
      <c r="D1705">
        <v>0.66406329338415604</v>
      </c>
      <c r="E1705">
        <v>0.43817880222719902</v>
      </c>
      <c r="F1705">
        <v>0.25713354702415803</v>
      </c>
      <c r="G1705">
        <v>0.188075680112539</v>
      </c>
      <c r="H1705">
        <v>0.16666537880365401</v>
      </c>
      <c r="I1705">
        <v>0.18509561667670099</v>
      </c>
      <c r="J1705">
        <v>0.175084158642592</v>
      </c>
      <c r="K1705">
        <v>0.145977944711391</v>
      </c>
      <c r="L1705">
        <v>880.04910079752801</v>
      </c>
      <c r="M1705">
        <v>18.506050459461399</v>
      </c>
      <c r="N1705">
        <v>48.568871040252702</v>
      </c>
      <c r="O1705">
        <v>47.009839458658199</v>
      </c>
      <c r="P1705">
        <v>-8.2647285843434601E-2</v>
      </c>
      <c r="Q1705">
        <v>0.16026121322581999</v>
      </c>
      <c r="R1705">
        <v>0.99419991280858899</v>
      </c>
      <c r="S1705" t="s">
        <v>7566</v>
      </c>
      <c r="T1705" t="s">
        <v>11720</v>
      </c>
      <c r="U1705" t="s">
        <v>11720</v>
      </c>
      <c r="V1705" t="s">
        <v>11720</v>
      </c>
      <c r="W1705" t="s">
        <v>13391</v>
      </c>
      <c r="X1705">
        <v>6</v>
      </c>
      <c r="Y1705" t="s">
        <v>19172</v>
      </c>
      <c r="Z1705" t="s">
        <v>24912</v>
      </c>
      <c r="AA1705">
        <v>0.38598273880781281</v>
      </c>
      <c r="AB1705" t="str">
        <f>HYPERLINK("Melting_Curves/meltCurve_P00519_ABL1.pdf", "Melting_Curves/meltCurve_P00519_ABL1.pdf")</f>
        <v>Melting_Curves/meltCurve_P00519_ABL1.pdf</v>
      </c>
    </row>
    <row r="1706" spans="1:28" x14ac:dyDescent="0.25">
      <c r="A1706" t="s">
        <v>1710</v>
      </c>
      <c r="B1706">
        <v>0.99334974765950101</v>
      </c>
      <c r="C1706">
        <v>0.93801257069738397</v>
      </c>
      <c r="D1706">
        <v>1.0036481323041899</v>
      </c>
      <c r="E1706">
        <v>1.01887605362592</v>
      </c>
      <c r="F1706">
        <v>0.53934266463471903</v>
      </c>
      <c r="G1706">
        <v>0.306734409379122</v>
      </c>
      <c r="H1706">
        <v>0.29236302919129498</v>
      </c>
      <c r="I1706">
        <v>0.41178812680550397</v>
      </c>
      <c r="J1706">
        <v>0.24482534279881499</v>
      </c>
      <c r="K1706">
        <v>0.155818141336108</v>
      </c>
      <c r="L1706">
        <v>13219.0779636609</v>
      </c>
      <c r="M1706">
        <v>250</v>
      </c>
      <c r="N1706">
        <v>53.0527744995441</v>
      </c>
      <c r="O1706">
        <v>52.872922441426198</v>
      </c>
      <c r="P1706">
        <v>-0.84837153767560902</v>
      </c>
      <c r="Q1706">
        <v>0.28230580340303202</v>
      </c>
      <c r="R1706">
        <v>0.96596905281476697</v>
      </c>
      <c r="S1706" t="s">
        <v>7567</v>
      </c>
      <c r="T1706" t="s">
        <v>11720</v>
      </c>
      <c r="U1706" t="s">
        <v>11720</v>
      </c>
      <c r="V1706" t="s">
        <v>11720</v>
      </c>
      <c r="W1706" t="s">
        <v>13392</v>
      </c>
      <c r="X1706">
        <v>34</v>
      </c>
      <c r="Y1706" t="s">
        <v>19173</v>
      </c>
      <c r="Z1706" t="s">
        <v>24913</v>
      </c>
      <c r="AA1706">
        <v>0.5904142130679787</v>
      </c>
      <c r="AB1706" t="str">
        <f>HYPERLINK("Melting_Curves/meltCurve_P00533_EGFR.pdf", "Melting_Curves/meltCurve_P00533_EGFR.pdf")</f>
        <v>Melting_Curves/meltCurve_P00533_EGFR.pdf</v>
      </c>
    </row>
    <row r="1707" spans="1:28" x14ac:dyDescent="0.25">
      <c r="A1707" t="s">
        <v>1711</v>
      </c>
      <c r="B1707">
        <v>0.99334974765950101</v>
      </c>
      <c r="C1707">
        <v>0.97741269952151499</v>
      </c>
      <c r="D1707">
        <v>0.89561869159204499</v>
      </c>
      <c r="E1707">
        <v>0.79028792992694197</v>
      </c>
      <c r="F1707">
        <v>0.35114991234579701</v>
      </c>
      <c r="G1707">
        <v>8.8953941289901195E-2</v>
      </c>
      <c r="H1707">
        <v>6.11939567498078E-2</v>
      </c>
      <c r="I1707">
        <v>4.66504373823328E-2</v>
      </c>
      <c r="J1707">
        <v>4.5439880432612198E-2</v>
      </c>
      <c r="K1707">
        <v>3.7513038285009397E-2</v>
      </c>
      <c r="L1707">
        <v>1626.46318405225</v>
      </c>
      <c r="M1707">
        <v>31.385400811715201</v>
      </c>
      <c r="N1707">
        <v>51.969651921277197</v>
      </c>
      <c r="O1707">
        <v>51.613261018946098</v>
      </c>
      <c r="P1707">
        <v>-0.145550302007944</v>
      </c>
      <c r="Q1707">
        <v>4.2575882439962402E-2</v>
      </c>
      <c r="R1707">
        <v>0.99476873639639996</v>
      </c>
      <c r="S1707" t="s">
        <v>7568</v>
      </c>
      <c r="T1707" t="s">
        <v>11720</v>
      </c>
      <c r="U1707" t="s">
        <v>11720</v>
      </c>
      <c r="V1707" t="s">
        <v>11720</v>
      </c>
      <c r="W1707" t="s">
        <v>13393</v>
      </c>
      <c r="X1707">
        <v>50</v>
      </c>
      <c r="Y1707" t="s">
        <v>19174</v>
      </c>
      <c r="Z1707" t="s">
        <v>24914</v>
      </c>
      <c r="AA1707">
        <v>0.42544989429694802</v>
      </c>
      <c r="AB1707" t="str">
        <f>HYPERLINK("Melting_Curves/meltCurve_P00558_PGK1.pdf", "Melting_Curves/meltCurve_P00558_PGK1.pdf")</f>
        <v>Melting_Curves/meltCurve_P00558_PGK1.pdf</v>
      </c>
    </row>
    <row r="1708" spans="1:28" x14ac:dyDescent="0.25">
      <c r="A1708" t="s">
        <v>1712</v>
      </c>
      <c r="B1708">
        <v>0.99334974765950101</v>
      </c>
      <c r="C1708">
        <v>0.85259186386806096</v>
      </c>
      <c r="D1708">
        <v>0.94411677719350595</v>
      </c>
      <c r="E1708">
        <v>0.74122467379096701</v>
      </c>
      <c r="F1708">
        <v>0.32108351602901603</v>
      </c>
      <c r="G1708">
        <v>0.33507400226578699</v>
      </c>
      <c r="H1708">
        <v>0.28345189212652999</v>
      </c>
      <c r="I1708">
        <v>0.25592915713166198</v>
      </c>
      <c r="J1708">
        <v>0.189213412506541</v>
      </c>
      <c r="K1708">
        <v>0.119345660094775</v>
      </c>
      <c r="L1708">
        <v>1938.4602745270799</v>
      </c>
      <c r="M1708">
        <v>38.193044537333698</v>
      </c>
      <c r="N1708">
        <v>51.5810308209441</v>
      </c>
      <c r="O1708">
        <v>50.615732190977397</v>
      </c>
      <c r="P1708">
        <v>-0.14545979980381099</v>
      </c>
      <c r="Q1708">
        <v>0.22891343873844799</v>
      </c>
      <c r="R1708">
        <v>0.95052890843500504</v>
      </c>
      <c r="S1708" t="s">
        <v>7569</v>
      </c>
      <c r="T1708" t="s">
        <v>11720</v>
      </c>
      <c r="U1708" t="s">
        <v>11720</v>
      </c>
      <c r="V1708" t="s">
        <v>11720</v>
      </c>
      <c r="W1708" t="s">
        <v>13394</v>
      </c>
      <c r="X1708">
        <v>4</v>
      </c>
      <c r="Y1708" t="s">
        <v>19175</v>
      </c>
      <c r="Z1708" t="s">
        <v>24915</v>
      </c>
      <c r="AA1708">
        <v>0.50829874120255714</v>
      </c>
      <c r="AB1708" t="str">
        <f>HYPERLINK("Melting_Curves/meltCurve_P00736_C1R.pdf", "Melting_Curves/meltCurve_P00736_C1R.pdf")</f>
        <v>Melting_Curves/meltCurve_P00736_C1R.pdf</v>
      </c>
    </row>
    <row r="1709" spans="1:28" x14ac:dyDescent="0.25">
      <c r="A1709" t="s">
        <v>1713</v>
      </c>
      <c r="B1709">
        <v>0.99334974765950101</v>
      </c>
      <c r="C1709">
        <v>0.93775849192399197</v>
      </c>
      <c r="D1709">
        <v>0.91345038144426505</v>
      </c>
      <c r="E1709">
        <v>0.76467194140224704</v>
      </c>
      <c r="F1709">
        <v>0.60279521494663502</v>
      </c>
      <c r="G1709">
        <v>0.51669970647447505</v>
      </c>
      <c r="H1709">
        <v>0.49721542269968</v>
      </c>
      <c r="I1709">
        <v>0.56746965075788802</v>
      </c>
      <c r="J1709">
        <v>0.55368045164912005</v>
      </c>
      <c r="K1709">
        <v>0.52873436784539996</v>
      </c>
      <c r="L1709">
        <v>1066.2752543394699</v>
      </c>
      <c r="M1709">
        <v>21.5493525468945</v>
      </c>
      <c r="O1709">
        <v>49.060401461107801</v>
      </c>
      <c r="P1709">
        <v>-5.2116890833583097E-2</v>
      </c>
      <c r="Q1709">
        <v>0.52540295412806604</v>
      </c>
      <c r="R1709">
        <v>0.977030187726183</v>
      </c>
      <c r="S1709" t="s">
        <v>7570</v>
      </c>
      <c r="T1709" t="s">
        <v>11720</v>
      </c>
      <c r="U1709" t="s">
        <v>11720</v>
      </c>
      <c r="V1709" t="s">
        <v>11720</v>
      </c>
      <c r="W1709" t="s">
        <v>13395</v>
      </c>
      <c r="X1709">
        <v>5</v>
      </c>
      <c r="Y1709" t="s">
        <v>19176</v>
      </c>
      <c r="Z1709" t="s">
        <v>24916</v>
      </c>
      <c r="AA1709">
        <v>0.68108914222086059</v>
      </c>
      <c r="AB1709" t="str">
        <f>HYPERLINK("Melting_Curves/meltCurve_P00738_HP.pdf", "Melting_Curves/meltCurve_P00738_HP.pdf")</f>
        <v>Melting_Curves/meltCurve_P00738_HP.pdf</v>
      </c>
    </row>
    <row r="1710" spans="1:28" x14ac:dyDescent="0.25">
      <c r="A1710" t="s">
        <v>1714</v>
      </c>
      <c r="B1710">
        <v>0.99334974765950101</v>
      </c>
      <c r="C1710">
        <v>1.0046771626783499</v>
      </c>
      <c r="D1710">
        <v>0.99301350264520005</v>
      </c>
      <c r="E1710">
        <v>1.03089068498909</v>
      </c>
      <c r="F1710">
        <v>0.92340731419052002</v>
      </c>
      <c r="G1710">
        <v>0.80219961211162405</v>
      </c>
      <c r="H1710">
        <v>0.713446496094019</v>
      </c>
      <c r="I1710">
        <v>0.70773693667537096</v>
      </c>
      <c r="J1710">
        <v>0.50451000088435705</v>
      </c>
      <c r="K1710">
        <v>0.29893744339093598</v>
      </c>
      <c r="L1710">
        <v>752.81451179688702</v>
      </c>
      <c r="M1710">
        <v>11.304556991666001</v>
      </c>
      <c r="N1710">
        <v>66.593893447889997</v>
      </c>
      <c r="O1710">
        <v>64.612051771783001</v>
      </c>
      <c r="P1710">
        <v>-4.3753398031223002E-2</v>
      </c>
      <c r="Q1710">
        <v>0</v>
      </c>
      <c r="R1710">
        <v>0.95770680022515298</v>
      </c>
      <c r="S1710" t="s">
        <v>7571</v>
      </c>
      <c r="T1710" t="s">
        <v>11720</v>
      </c>
      <c r="U1710" t="s">
        <v>11720</v>
      </c>
      <c r="V1710" t="s">
        <v>11720</v>
      </c>
      <c r="W1710" t="s">
        <v>13396</v>
      </c>
      <c r="X1710">
        <v>6</v>
      </c>
      <c r="Y1710" t="s">
        <v>19177</v>
      </c>
      <c r="Z1710" t="s">
        <v>24917</v>
      </c>
      <c r="AA1710">
        <v>0.82174311541298295</v>
      </c>
      <c r="AB1710" t="str">
        <f>HYPERLINK("Melting_Curves/meltCurve_P00813_ADA.pdf", "Melting_Curves/meltCurve_P00813_ADA.pdf")</f>
        <v>Melting_Curves/meltCurve_P00813_ADA.pdf</v>
      </c>
    </row>
    <row r="1711" spans="1:28" x14ac:dyDescent="0.25">
      <c r="A1711" t="s">
        <v>1715</v>
      </c>
      <c r="B1711">
        <v>0.99334974765950101</v>
      </c>
      <c r="C1711">
        <v>1.04292708662395</v>
      </c>
      <c r="D1711">
        <v>1.1658503590106599</v>
      </c>
      <c r="E1711">
        <v>1.1231806051670301</v>
      </c>
      <c r="F1711">
        <v>0.41187970717587202</v>
      </c>
      <c r="G1711">
        <v>0.26161564589342001</v>
      </c>
      <c r="H1711">
        <v>0.16781910657785001</v>
      </c>
      <c r="I1711">
        <v>0.105393982518361</v>
      </c>
      <c r="J1711">
        <v>0.10855786992073101</v>
      </c>
      <c r="K1711">
        <v>0.10323314183087701</v>
      </c>
      <c r="L1711">
        <v>13207.257333593599</v>
      </c>
      <c r="M1711">
        <v>250</v>
      </c>
      <c r="N1711">
        <v>52.904095986347599</v>
      </c>
      <c r="O1711">
        <v>52.825660316457302</v>
      </c>
      <c r="P1711">
        <v>-1.006466697202</v>
      </c>
      <c r="Q1711">
        <v>0.149323902730119</v>
      </c>
      <c r="R1711">
        <v>0.96818820944904005</v>
      </c>
      <c r="S1711" t="s">
        <v>7572</v>
      </c>
      <c r="T1711" t="s">
        <v>11720</v>
      </c>
      <c r="U1711" t="s">
        <v>11720</v>
      </c>
      <c r="V1711" t="s">
        <v>11720</v>
      </c>
      <c r="W1711" t="s">
        <v>13397</v>
      </c>
      <c r="X1711">
        <v>22</v>
      </c>
      <c r="Y1711" t="s">
        <v>19178</v>
      </c>
      <c r="Z1711" t="s">
        <v>24918</v>
      </c>
      <c r="AA1711">
        <v>0.51318105928373814</v>
      </c>
      <c r="AB1711" t="str">
        <f>HYPERLINK("Melting_Curves/meltCurve_P00966_ASS1.pdf", "Melting_Curves/meltCurve_P00966_ASS1.pdf")</f>
        <v>Melting_Curves/meltCurve_P00966_ASS1.pdf</v>
      </c>
    </row>
    <row r="1712" spans="1:28" x14ac:dyDescent="0.25">
      <c r="A1712" t="s">
        <v>1716</v>
      </c>
      <c r="B1712">
        <v>0.99334974765950101</v>
      </c>
      <c r="C1712">
        <v>0.92989611068982003</v>
      </c>
      <c r="D1712">
        <v>1.0187059364894899</v>
      </c>
      <c r="E1712">
        <v>0.83966088632409397</v>
      </c>
      <c r="F1712">
        <v>1.0547752288869501</v>
      </c>
      <c r="G1712">
        <v>0.79473125760250696</v>
      </c>
      <c r="H1712">
        <v>0.52587199515691796</v>
      </c>
      <c r="I1712">
        <v>0.36034454034305002</v>
      </c>
      <c r="J1712">
        <v>0.29734462146830498</v>
      </c>
      <c r="K1712">
        <v>0.20708403274234199</v>
      </c>
      <c r="L1712">
        <v>1322.8566289738999</v>
      </c>
      <c r="M1712">
        <v>22.021475321893501</v>
      </c>
      <c r="N1712">
        <v>61.451063676909698</v>
      </c>
      <c r="O1712">
        <v>59.582406429979699</v>
      </c>
      <c r="P1712">
        <v>-7.4377779610875105E-2</v>
      </c>
      <c r="Q1712">
        <v>0.19505666454769799</v>
      </c>
      <c r="R1712">
        <v>0.959047846703735</v>
      </c>
      <c r="S1712" t="s">
        <v>7573</v>
      </c>
      <c r="T1712" t="s">
        <v>11720</v>
      </c>
      <c r="U1712" t="s">
        <v>11720</v>
      </c>
      <c r="V1712" t="s">
        <v>11720</v>
      </c>
      <c r="W1712" t="s">
        <v>13398</v>
      </c>
      <c r="X1712">
        <v>6</v>
      </c>
      <c r="Y1712" t="s">
        <v>19179</v>
      </c>
      <c r="Z1712" t="s">
        <v>24919</v>
      </c>
      <c r="AA1712">
        <v>0.74003322241004033</v>
      </c>
      <c r="AB1712" t="str">
        <f>HYPERLINK("Melting_Curves/meltCurve_P01023_A2M.pdf", "Melting_Curves/meltCurve_P01023_A2M.pdf")</f>
        <v>Melting_Curves/meltCurve_P01023_A2M.pdf</v>
      </c>
    </row>
    <row r="1713" spans="1:28" x14ac:dyDescent="0.25">
      <c r="A1713" t="s">
        <v>1717</v>
      </c>
      <c r="B1713">
        <v>0.99334974765950101</v>
      </c>
      <c r="C1713">
        <v>0.97301593081834803</v>
      </c>
      <c r="D1713">
        <v>0.87137709892141102</v>
      </c>
      <c r="E1713">
        <v>0.79279828189271695</v>
      </c>
      <c r="F1713">
        <v>0.64019519477737497</v>
      </c>
      <c r="G1713">
        <v>0.91350305921077701</v>
      </c>
      <c r="H1713">
        <v>0.61374012059150296</v>
      </c>
      <c r="I1713">
        <v>0.60905562916390998</v>
      </c>
      <c r="J1713">
        <v>0.53353462359094195</v>
      </c>
      <c r="K1713">
        <v>0.54468486629692203</v>
      </c>
      <c r="L1713">
        <v>296.678550355011</v>
      </c>
      <c r="M1713">
        <v>4.6621284079449001</v>
      </c>
      <c r="O1713">
        <v>54.5926814193148</v>
      </c>
      <c r="P1713">
        <v>-1.6642800968051898E-2</v>
      </c>
      <c r="Q1713">
        <v>0.22647364974554901</v>
      </c>
      <c r="R1713">
        <v>0.76848526636468295</v>
      </c>
      <c r="S1713" t="s">
        <v>7574</v>
      </c>
      <c r="T1713" t="s">
        <v>11720</v>
      </c>
      <c r="U1713" t="s">
        <v>11720</v>
      </c>
      <c r="V1713" t="s">
        <v>11720</v>
      </c>
      <c r="W1713" t="s">
        <v>13399</v>
      </c>
      <c r="X1713">
        <v>2</v>
      </c>
      <c r="Y1713" t="s">
        <v>19180</v>
      </c>
      <c r="Z1713" t="s">
        <v>24920</v>
      </c>
      <c r="AA1713">
        <v>0.74794245660439107</v>
      </c>
      <c r="AB1713" t="str">
        <f>HYPERLINK("Melting_Curves/meltCurve_P01024_C3.pdf", "Melting_Curves/meltCurve_P01024_C3.pdf")</f>
        <v>Melting_Curves/meltCurve_P01024_C3.pdf</v>
      </c>
    </row>
    <row r="1714" spans="1:28" x14ac:dyDescent="0.25">
      <c r="A1714" t="s">
        <v>1718</v>
      </c>
      <c r="B1714">
        <v>0.99334974765950101</v>
      </c>
      <c r="C1714">
        <v>0.95046170392069396</v>
      </c>
      <c r="D1714">
        <v>0.96246545109636805</v>
      </c>
      <c r="E1714">
        <v>0.82238067222702904</v>
      </c>
      <c r="F1714">
        <v>0.73254441970277395</v>
      </c>
      <c r="G1714">
        <v>0.64875397505159105</v>
      </c>
      <c r="H1714">
        <v>0.48950800264102201</v>
      </c>
      <c r="I1714">
        <v>0.48611189288234702</v>
      </c>
      <c r="J1714">
        <v>0.36768793934955801</v>
      </c>
      <c r="K1714">
        <v>0.27692616821067501</v>
      </c>
      <c r="L1714">
        <v>436.24239995374802</v>
      </c>
      <c r="M1714">
        <v>7.0777151259802</v>
      </c>
      <c r="N1714">
        <v>61.636049474862197</v>
      </c>
      <c r="O1714">
        <v>57.283061701481799</v>
      </c>
      <c r="P1714">
        <v>-3.0944208706262199E-2</v>
      </c>
      <c r="Q1714">
        <v>0</v>
      </c>
      <c r="R1714">
        <v>0.98781114628259803</v>
      </c>
      <c r="S1714" t="s">
        <v>7575</v>
      </c>
      <c r="T1714" t="s">
        <v>11720</v>
      </c>
      <c r="U1714" t="s">
        <v>11720</v>
      </c>
      <c r="V1714" t="s">
        <v>11720</v>
      </c>
      <c r="W1714" t="s">
        <v>13400</v>
      </c>
      <c r="X1714">
        <v>8</v>
      </c>
      <c r="Y1714" t="s">
        <v>19181</v>
      </c>
      <c r="Z1714" t="s">
        <v>24921</v>
      </c>
      <c r="AA1714">
        <v>0.67905605388488288</v>
      </c>
      <c r="AB1714" t="str">
        <f>HYPERLINK("Melting_Curves/meltCurve_P01034_CST3.pdf", "Melting_Curves/meltCurve_P01034_CST3.pdf")</f>
        <v>Melting_Curves/meltCurve_P01034_CST3.pdf</v>
      </c>
    </row>
    <row r="1715" spans="1:28" x14ac:dyDescent="0.25">
      <c r="A1715" t="s">
        <v>1719</v>
      </c>
      <c r="B1715">
        <v>0.99334974765950101</v>
      </c>
      <c r="C1715">
        <v>0.95312365658965303</v>
      </c>
      <c r="D1715">
        <v>0.87196582254338595</v>
      </c>
      <c r="E1715">
        <v>0.74915866379390805</v>
      </c>
      <c r="F1715">
        <v>0.757749442629711</v>
      </c>
      <c r="G1715">
        <v>0.50791704500649903</v>
      </c>
      <c r="H1715">
        <v>0.387502106533756</v>
      </c>
      <c r="I1715">
        <v>0.267090845717039</v>
      </c>
      <c r="J1715">
        <v>0.144100133187615</v>
      </c>
      <c r="K1715">
        <v>7.4726498211644093E-2</v>
      </c>
      <c r="L1715">
        <v>582.43992967913005</v>
      </c>
      <c r="M1715">
        <v>10.1855487238181</v>
      </c>
      <c r="N1715">
        <v>57.182989132322597</v>
      </c>
      <c r="O1715">
        <v>55.110184483390199</v>
      </c>
      <c r="P1715">
        <v>-4.6226330850504697E-2</v>
      </c>
      <c r="Q1715">
        <v>0</v>
      </c>
      <c r="R1715">
        <v>0.98245169086044604</v>
      </c>
      <c r="S1715" t="s">
        <v>7576</v>
      </c>
      <c r="T1715" t="s">
        <v>11720</v>
      </c>
      <c r="U1715" t="s">
        <v>11720</v>
      </c>
      <c r="V1715" t="s">
        <v>11720</v>
      </c>
      <c r="W1715" t="s">
        <v>13401</v>
      </c>
      <c r="X1715">
        <v>12</v>
      </c>
      <c r="Y1715" t="s">
        <v>19182</v>
      </c>
      <c r="Z1715" t="s">
        <v>24922</v>
      </c>
      <c r="AA1715">
        <v>0.58776476868774963</v>
      </c>
      <c r="AB1715" t="str">
        <f>HYPERLINK("Melting_Curves/meltCurve_P01111_NRAS.pdf", "Melting_Curves/meltCurve_P01111_NRAS.pdf")</f>
        <v>Melting_Curves/meltCurve_P01111_NRAS.pdf</v>
      </c>
    </row>
    <row r="1716" spans="1:28" x14ac:dyDescent="0.25">
      <c r="A1716" t="s">
        <v>1720</v>
      </c>
      <c r="B1716">
        <v>0.99334974765950101</v>
      </c>
      <c r="C1716">
        <v>0.95533915505528499</v>
      </c>
      <c r="D1716">
        <v>0.88228432806843204</v>
      </c>
      <c r="E1716">
        <v>0.87554842543094502</v>
      </c>
      <c r="F1716">
        <v>0.76816858880735195</v>
      </c>
      <c r="G1716">
        <v>0.66888299940069296</v>
      </c>
      <c r="H1716">
        <v>0.51763794169622701</v>
      </c>
      <c r="I1716">
        <v>0.37781050318996801</v>
      </c>
      <c r="J1716">
        <v>0.20184516290604401</v>
      </c>
      <c r="K1716">
        <v>0.10512592380104401</v>
      </c>
      <c r="L1716">
        <v>637.05296305096897</v>
      </c>
      <c r="M1716">
        <v>10.613361623777999</v>
      </c>
      <c r="N1716">
        <v>60.023682735796697</v>
      </c>
      <c r="O1716">
        <v>58.010347098984802</v>
      </c>
      <c r="P1716">
        <v>-4.5756797442083198E-2</v>
      </c>
      <c r="Q1716">
        <v>0</v>
      </c>
      <c r="R1716">
        <v>0.97522562215304998</v>
      </c>
      <c r="S1716" t="s">
        <v>7577</v>
      </c>
      <c r="T1716" t="s">
        <v>11720</v>
      </c>
      <c r="U1716" t="s">
        <v>11720</v>
      </c>
      <c r="V1716" t="s">
        <v>11720</v>
      </c>
      <c r="W1716" t="s">
        <v>13402</v>
      </c>
      <c r="X1716">
        <v>13</v>
      </c>
      <c r="Y1716" t="s">
        <v>19183</v>
      </c>
      <c r="Z1716" t="s">
        <v>24923</v>
      </c>
      <c r="AA1716">
        <v>0.66564832645275607</v>
      </c>
      <c r="AB1716" t="str">
        <f>HYPERLINK("Melting_Curves/meltCurve_P01112_HRAS.pdf", "Melting_Curves/meltCurve_P01112_HRAS.pdf")</f>
        <v>Melting_Curves/meltCurve_P01112_HRAS.pdf</v>
      </c>
    </row>
    <row r="1717" spans="1:28" x14ac:dyDescent="0.25">
      <c r="A1717" t="s">
        <v>1721</v>
      </c>
      <c r="B1717">
        <v>0.99334974765950101</v>
      </c>
      <c r="C1717">
        <v>0.92646028481886</v>
      </c>
      <c r="D1717">
        <v>0.87983900897695899</v>
      </c>
      <c r="E1717">
        <v>0.91084411104313001</v>
      </c>
      <c r="F1717">
        <v>0.74723077776921998</v>
      </c>
      <c r="G1717">
        <v>0.74308982791215705</v>
      </c>
      <c r="H1717">
        <v>0.63745425468983896</v>
      </c>
      <c r="I1717">
        <v>0.49215063266883102</v>
      </c>
      <c r="J1717">
        <v>0.21717545293555901</v>
      </c>
      <c r="K1717">
        <v>0.22141018878855401</v>
      </c>
      <c r="L1717">
        <v>587.77541614306597</v>
      </c>
      <c r="M1717">
        <v>9.4657771568565607</v>
      </c>
      <c r="N1717">
        <v>62.094768862136803</v>
      </c>
      <c r="O1717">
        <v>59.512779495137998</v>
      </c>
      <c r="P1717">
        <v>-3.9787476858886603E-2</v>
      </c>
      <c r="Q1717">
        <v>0</v>
      </c>
      <c r="R1717">
        <v>0.93357686140181795</v>
      </c>
      <c r="S1717" t="s">
        <v>7578</v>
      </c>
      <c r="T1717" t="s">
        <v>11720</v>
      </c>
      <c r="U1717" t="s">
        <v>11720</v>
      </c>
      <c r="V1717" t="s">
        <v>11720</v>
      </c>
      <c r="W1717" t="s">
        <v>13403</v>
      </c>
      <c r="X1717">
        <v>10</v>
      </c>
      <c r="Y1717" t="s">
        <v>19184</v>
      </c>
      <c r="Z1717" t="s">
        <v>24924</v>
      </c>
      <c r="AA1717">
        <v>0.71084382955108982</v>
      </c>
      <c r="AB1717" t="str">
        <f>HYPERLINK("Melting_Curves/meltCurve_P01116_2_KRAS.pdf", "Melting_Curves/meltCurve_P01116_2_KRAS.pdf")</f>
        <v>Melting_Curves/meltCurve_P01116_2_KRAS.pdf</v>
      </c>
    </row>
    <row r="1718" spans="1:28" x14ac:dyDescent="0.25">
      <c r="A1718" t="s">
        <v>1722</v>
      </c>
      <c r="B1718">
        <v>0.99334974765950101</v>
      </c>
      <c r="C1718">
        <v>0.868735495941373</v>
      </c>
      <c r="D1718">
        <v>0.94824323352184503</v>
      </c>
      <c r="E1718">
        <v>0.91224428193930795</v>
      </c>
      <c r="F1718">
        <v>0.862739306287715</v>
      </c>
      <c r="G1718">
        <v>0.76359764398084595</v>
      </c>
      <c r="H1718">
        <v>0.62015080100729103</v>
      </c>
      <c r="I1718">
        <v>0.60554903617123401</v>
      </c>
      <c r="J1718">
        <v>0.66436652915565197</v>
      </c>
      <c r="K1718">
        <v>0.44034399751983999</v>
      </c>
      <c r="L1718">
        <v>353.60697691312902</v>
      </c>
      <c r="M1718">
        <v>5.0450422470561502</v>
      </c>
      <c r="O1718">
        <v>61.300188446388802</v>
      </c>
      <c r="P1718">
        <v>-2.0697418662050202E-2</v>
      </c>
      <c r="Q1718">
        <v>0</v>
      </c>
      <c r="R1718">
        <v>0.89901825920392298</v>
      </c>
      <c r="S1718" t="s">
        <v>7579</v>
      </c>
      <c r="T1718" t="s">
        <v>11720</v>
      </c>
      <c r="U1718" t="s">
        <v>11720</v>
      </c>
      <c r="V1718" t="s">
        <v>11720</v>
      </c>
      <c r="W1718" t="s">
        <v>13404</v>
      </c>
      <c r="X1718">
        <v>8</v>
      </c>
      <c r="Y1718" t="s">
        <v>19185</v>
      </c>
      <c r="Z1718" t="s">
        <v>24925</v>
      </c>
      <c r="AA1718">
        <v>0.77829132820637603</v>
      </c>
      <c r="AB1718" t="str">
        <f>HYPERLINK("Melting_Curves/meltCurve_P01137_TGFB1.pdf", "Melting_Curves/meltCurve_P01137_TGFB1.pdf")</f>
        <v>Melting_Curves/meltCurve_P01137_TGFB1.pdf</v>
      </c>
    </row>
    <row r="1719" spans="1:28" x14ac:dyDescent="0.25">
      <c r="A1719" t="s">
        <v>1723</v>
      </c>
      <c r="B1719">
        <v>0.99334974765950101</v>
      </c>
      <c r="C1719">
        <v>1.15432136602452</v>
      </c>
      <c r="D1719">
        <v>1.0638446886002999</v>
      </c>
      <c r="E1719">
        <v>0.98577149552321697</v>
      </c>
      <c r="F1719">
        <v>0.76236390582181401</v>
      </c>
      <c r="G1719">
        <v>0.90102530469725906</v>
      </c>
      <c r="H1719">
        <v>0.58685349039222501</v>
      </c>
      <c r="I1719">
        <v>0.81048350324209095</v>
      </c>
      <c r="J1719">
        <v>0.76822131499461999</v>
      </c>
      <c r="K1719">
        <v>1.20881886496924</v>
      </c>
      <c r="L1719">
        <v>12616.4448203091</v>
      </c>
      <c r="M1719">
        <v>250</v>
      </c>
      <c r="O1719">
        <v>50.462550500574402</v>
      </c>
      <c r="P1719">
        <v>-0.19862783572995199</v>
      </c>
      <c r="Q1719">
        <v>0.83962772733312596</v>
      </c>
      <c r="R1719">
        <v>0.28250996445426801</v>
      </c>
      <c r="S1719" t="s">
        <v>7580</v>
      </c>
      <c r="T1719" t="s">
        <v>11720</v>
      </c>
      <c r="U1719" t="s">
        <v>11720</v>
      </c>
      <c r="V1719" t="s">
        <v>11720</v>
      </c>
      <c r="W1719" t="s">
        <v>13405</v>
      </c>
      <c r="X1719">
        <v>1</v>
      </c>
      <c r="Y1719" t="s">
        <v>19186</v>
      </c>
      <c r="Z1719" t="s">
        <v>24926</v>
      </c>
      <c r="AA1719">
        <v>0.89558929125461872</v>
      </c>
      <c r="AB1719" t="str">
        <f>HYPERLINK("Melting_Curves/meltCurve_P02008_HBZ.pdf", "Melting_Curves/meltCurve_P02008_HBZ.pdf")</f>
        <v>Melting_Curves/meltCurve_P02008_HBZ.pdf</v>
      </c>
    </row>
    <row r="1720" spans="1:28" x14ac:dyDescent="0.25">
      <c r="A1720" t="s">
        <v>1724</v>
      </c>
      <c r="B1720">
        <v>0.99334974765950101</v>
      </c>
      <c r="C1720">
        <v>1.03060033096393</v>
      </c>
      <c r="D1720">
        <v>1.03704985031487</v>
      </c>
      <c r="E1720">
        <v>1.1152828842079401</v>
      </c>
      <c r="F1720">
        <v>1.60827601539448</v>
      </c>
      <c r="G1720">
        <v>1.1739486289390899</v>
      </c>
      <c r="H1720">
        <v>0.79887306796236202</v>
      </c>
      <c r="I1720">
        <v>0.89689675358107401</v>
      </c>
      <c r="J1720">
        <v>0.63446106976960503</v>
      </c>
      <c r="K1720">
        <v>0.52333194926382098</v>
      </c>
      <c r="L1720">
        <v>1795.2683756300701</v>
      </c>
      <c r="M1720">
        <v>27.146797087450199</v>
      </c>
      <c r="O1720">
        <v>65.776131273058994</v>
      </c>
      <c r="P1720">
        <v>-6.0670646798115999E-2</v>
      </c>
      <c r="Q1720">
        <v>0.41199078221746999</v>
      </c>
      <c r="R1720">
        <v>0.459148857836844</v>
      </c>
      <c r="S1720" t="s">
        <v>7581</v>
      </c>
      <c r="T1720" t="s">
        <v>11720</v>
      </c>
      <c r="U1720" t="s">
        <v>11720</v>
      </c>
      <c r="V1720" t="s">
        <v>11720</v>
      </c>
      <c r="W1720" t="s">
        <v>13406</v>
      </c>
      <c r="X1720">
        <v>103</v>
      </c>
      <c r="Y1720" t="s">
        <v>19187</v>
      </c>
      <c r="Z1720" t="s">
        <v>24927</v>
      </c>
      <c r="AA1720">
        <v>0.91829882811605434</v>
      </c>
      <c r="AB1720" t="str">
        <f>HYPERLINK("Melting_Curves/meltCurve_P02452_COL1A1.pdf", "Melting_Curves/meltCurve_P02452_COL1A1.pdf")</f>
        <v>Melting_Curves/meltCurve_P02452_COL1A1.pdf</v>
      </c>
    </row>
    <row r="1721" spans="1:28" x14ac:dyDescent="0.25">
      <c r="A1721" t="s">
        <v>1725</v>
      </c>
      <c r="B1721">
        <v>0.99334974765950101</v>
      </c>
      <c r="C1721">
        <v>0.83559111674790898</v>
      </c>
      <c r="D1721">
        <v>0.86314457938186295</v>
      </c>
      <c r="E1721">
        <v>0.85373503083790503</v>
      </c>
      <c r="F1721">
        <v>1.34956118480326</v>
      </c>
      <c r="G1721">
        <v>1.6109607501985199</v>
      </c>
      <c r="H1721">
        <v>2.2324685153707202</v>
      </c>
      <c r="I1721">
        <v>1.6751097310323599</v>
      </c>
      <c r="J1721">
        <v>2.6631119474309402</v>
      </c>
      <c r="K1721">
        <v>1.96679522711695</v>
      </c>
      <c r="L1721">
        <v>13205.314800898201</v>
      </c>
      <c r="M1721">
        <v>250</v>
      </c>
      <c r="O1721">
        <v>52.817857288630698</v>
      </c>
      <c r="P1721">
        <v>0.591655714876682</v>
      </c>
      <c r="Q1721">
        <v>1.5</v>
      </c>
      <c r="R1721">
        <v>0.39973127049102902</v>
      </c>
      <c r="S1721" t="s">
        <v>7582</v>
      </c>
      <c r="T1721" t="s">
        <v>11720</v>
      </c>
      <c r="U1721" t="s">
        <v>11720</v>
      </c>
      <c r="V1721" t="s">
        <v>11720</v>
      </c>
      <c r="W1721" t="s">
        <v>13407</v>
      </c>
      <c r="X1721">
        <v>5</v>
      </c>
      <c r="Y1721" t="s">
        <v>19188</v>
      </c>
      <c r="Z1721" t="s">
        <v>24928</v>
      </c>
      <c r="AA1721">
        <v>1.2862659963628791</v>
      </c>
      <c r="AB1721" t="str">
        <f>HYPERLINK("Melting_Curves/meltCurve_P02458_COL2A1.pdf", "Melting_Curves/meltCurve_P02458_COL2A1.pdf")</f>
        <v>Melting_Curves/meltCurve_P02458_COL2A1.pdf</v>
      </c>
    </row>
    <row r="1722" spans="1:28" x14ac:dyDescent="0.25">
      <c r="A1722" t="s">
        <v>1726</v>
      </c>
      <c r="B1722">
        <v>0.99334974765950101</v>
      </c>
      <c r="C1722">
        <v>1.0030638051673999</v>
      </c>
      <c r="D1722">
        <v>1.0072425897956301</v>
      </c>
      <c r="E1722">
        <v>1.11304803247837</v>
      </c>
      <c r="F1722">
        <v>1.23279720536418</v>
      </c>
      <c r="G1722">
        <v>1.8808248103952701</v>
      </c>
      <c r="H1722">
        <v>1.9757131293116901</v>
      </c>
      <c r="I1722">
        <v>2.8864753296708101</v>
      </c>
      <c r="J1722">
        <v>2.39467452213673</v>
      </c>
      <c r="K1722">
        <v>2.1347266884856402</v>
      </c>
      <c r="L1722">
        <v>8589.9460116337304</v>
      </c>
      <c r="M1722">
        <v>161.93697096954901</v>
      </c>
      <c r="O1722">
        <v>53.036907083861003</v>
      </c>
      <c r="P1722">
        <v>0.381661047809984</v>
      </c>
      <c r="Q1722">
        <v>1.5</v>
      </c>
      <c r="R1722">
        <v>0.16461638687066599</v>
      </c>
      <c r="S1722" t="s">
        <v>7583</v>
      </c>
      <c r="T1722" t="s">
        <v>11720</v>
      </c>
      <c r="U1722" t="s">
        <v>11720</v>
      </c>
      <c r="V1722" t="s">
        <v>11720</v>
      </c>
      <c r="W1722" t="s">
        <v>13408</v>
      </c>
      <c r="X1722">
        <v>60</v>
      </c>
      <c r="Y1722" t="s">
        <v>19189</v>
      </c>
      <c r="Z1722" t="s">
        <v>24929</v>
      </c>
      <c r="AA1722">
        <v>1.28247242567745</v>
      </c>
      <c r="AB1722" t="str">
        <f>HYPERLINK("Melting_Curves/meltCurve_P02461_COL3A1.pdf", "Melting_Curves/meltCurve_P02461_COL3A1.pdf")</f>
        <v>Melting_Curves/meltCurve_P02461_COL3A1.pdf</v>
      </c>
    </row>
    <row r="1723" spans="1:28" x14ac:dyDescent="0.25">
      <c r="A1723" t="s">
        <v>1727</v>
      </c>
      <c r="B1723">
        <v>0.99334974765950101</v>
      </c>
      <c r="C1723">
        <v>1.0412953662542901</v>
      </c>
      <c r="D1723">
        <v>0.97386317823357005</v>
      </c>
      <c r="E1723">
        <v>1.22818063416771</v>
      </c>
      <c r="F1723">
        <v>0.76374821813843996</v>
      </c>
      <c r="G1723">
        <v>0.55155518264701497</v>
      </c>
      <c r="H1723">
        <v>0.45897836804641201</v>
      </c>
      <c r="I1723">
        <v>0.56843565308734501</v>
      </c>
      <c r="J1723">
        <v>0.445576249075745</v>
      </c>
      <c r="K1723">
        <v>0.425730253454915</v>
      </c>
      <c r="L1723">
        <v>13257.7969004632</v>
      </c>
      <c r="M1723">
        <v>250</v>
      </c>
      <c r="N1723">
        <v>53.875426458824997</v>
      </c>
      <c r="O1723">
        <v>53.027793958711797</v>
      </c>
      <c r="P1723">
        <v>-0.60103489774455898</v>
      </c>
      <c r="Q1723">
        <v>0.49005512509496701</v>
      </c>
      <c r="R1723">
        <v>0.90804814337221496</v>
      </c>
      <c r="S1723" t="s">
        <v>7584</v>
      </c>
      <c r="T1723" t="s">
        <v>11720</v>
      </c>
      <c r="U1723" t="s">
        <v>11720</v>
      </c>
      <c r="V1723" t="s">
        <v>11720</v>
      </c>
      <c r="W1723" t="s">
        <v>13409</v>
      </c>
      <c r="X1723">
        <v>4</v>
      </c>
      <c r="Y1723" t="s">
        <v>19190</v>
      </c>
      <c r="Z1723" t="s">
        <v>24930</v>
      </c>
      <c r="AA1723">
        <v>0.71160882949109816</v>
      </c>
      <c r="AB1723" t="str">
        <f>HYPERLINK("Melting_Curves/meltCurve_P02462_2_COL4A1.pdf", "Melting_Curves/meltCurve_P02462_2_COL4A1.pdf")</f>
        <v>Melting_Curves/meltCurve_P02462_2_COL4A1.pdf</v>
      </c>
    </row>
    <row r="1724" spans="1:28" x14ac:dyDescent="0.25">
      <c r="A1724" t="s">
        <v>1728</v>
      </c>
      <c r="B1724">
        <v>0.99334974765950101</v>
      </c>
      <c r="C1724">
        <v>0.97515146607704695</v>
      </c>
      <c r="D1724">
        <v>0.92009330622306695</v>
      </c>
      <c r="E1724">
        <v>0.96541340916520502</v>
      </c>
      <c r="F1724">
        <v>1.38552040328876</v>
      </c>
      <c r="G1724">
        <v>0.59590000059259396</v>
      </c>
      <c r="H1724">
        <v>0.37665465719360502</v>
      </c>
      <c r="I1724">
        <v>0.380815043087052</v>
      </c>
      <c r="J1724">
        <v>0.34903852337561198</v>
      </c>
      <c r="K1724">
        <v>0.27644457452777998</v>
      </c>
      <c r="L1724">
        <v>14222.6654081986</v>
      </c>
      <c r="M1724">
        <v>250</v>
      </c>
      <c r="N1724">
        <v>57.159528052994403</v>
      </c>
      <c r="O1724">
        <v>56.887021108217503</v>
      </c>
      <c r="P1724">
        <v>-0.71881709966932394</v>
      </c>
      <c r="Q1724">
        <v>0.34573818557241298</v>
      </c>
      <c r="R1724">
        <v>0.87052769095611304</v>
      </c>
      <c r="S1724" t="s">
        <v>7585</v>
      </c>
      <c r="T1724" t="s">
        <v>11720</v>
      </c>
      <c r="U1724" t="s">
        <v>11720</v>
      </c>
      <c r="V1724" t="s">
        <v>11720</v>
      </c>
      <c r="W1724" t="s">
        <v>13410</v>
      </c>
      <c r="X1724">
        <v>81</v>
      </c>
      <c r="Y1724" t="s">
        <v>19191</v>
      </c>
      <c r="Z1724" t="s">
        <v>24931</v>
      </c>
      <c r="AA1724">
        <v>0.71416733942000599</v>
      </c>
      <c r="AB1724" t="str">
        <f>HYPERLINK("Melting_Curves/meltCurve_P02545_LMNA.pdf", "Melting_Curves/meltCurve_P02545_LMNA.pdf")</f>
        <v>Melting_Curves/meltCurve_P02545_LMNA.pdf</v>
      </c>
    </row>
    <row r="1725" spans="1:28" x14ac:dyDescent="0.25">
      <c r="A1725" t="s">
        <v>1729</v>
      </c>
      <c r="B1725">
        <v>0.99334974765950101</v>
      </c>
      <c r="C1725">
        <v>0.96680760018963596</v>
      </c>
      <c r="D1725">
        <v>0.88095873134839198</v>
      </c>
      <c r="E1725">
        <v>0.78604367332482705</v>
      </c>
      <c r="F1725">
        <v>0.49385025918407899</v>
      </c>
      <c r="G1725">
        <v>0.41243751591257</v>
      </c>
      <c r="H1725">
        <v>0.33640414036676802</v>
      </c>
      <c r="I1725">
        <v>0.31135826459286597</v>
      </c>
      <c r="J1725">
        <v>0.28365302005397502</v>
      </c>
      <c r="K1725">
        <v>0.23760220634612</v>
      </c>
      <c r="L1725">
        <v>814.98544550769498</v>
      </c>
      <c r="M1725">
        <v>15.7714470577629</v>
      </c>
      <c r="N1725">
        <v>54.177627572160397</v>
      </c>
      <c r="O1725">
        <v>50.865362633248601</v>
      </c>
      <c r="P1725">
        <v>-5.7466396516735199E-2</v>
      </c>
      <c r="Q1725">
        <v>0.25870941453508201</v>
      </c>
      <c r="R1725">
        <v>0.98734954579683298</v>
      </c>
      <c r="S1725" t="s">
        <v>7586</v>
      </c>
      <c r="T1725" t="s">
        <v>11720</v>
      </c>
      <c r="U1725" t="s">
        <v>11720</v>
      </c>
      <c r="V1725" t="s">
        <v>11720</v>
      </c>
      <c r="W1725" t="s">
        <v>13411</v>
      </c>
      <c r="X1725">
        <v>6</v>
      </c>
      <c r="Y1725" t="s">
        <v>19192</v>
      </c>
      <c r="Z1725" t="s">
        <v>24932</v>
      </c>
      <c r="AA1725">
        <v>0.5626581737591495</v>
      </c>
      <c r="AB1725" t="str">
        <f>HYPERLINK("Melting_Curves/meltCurve_P02649_APOE.pdf", "Melting_Curves/meltCurve_P02649_APOE.pdf")</f>
        <v>Melting_Curves/meltCurve_P02649_APOE.pdf</v>
      </c>
    </row>
    <row r="1726" spans="1:28" x14ac:dyDescent="0.25">
      <c r="A1726" t="s">
        <v>1730</v>
      </c>
      <c r="B1726">
        <v>0.99334974765950101</v>
      </c>
      <c r="C1726">
        <v>0.96241729131141895</v>
      </c>
      <c r="D1726">
        <v>0.86496560193497396</v>
      </c>
      <c r="E1726">
        <v>0.91815882135885896</v>
      </c>
      <c r="F1726">
        <v>0.90857074937943305</v>
      </c>
      <c r="G1726">
        <v>0.77672332140565403</v>
      </c>
      <c r="H1726">
        <v>0.71336369568775204</v>
      </c>
      <c r="I1726">
        <v>0.79898606597320299</v>
      </c>
      <c r="J1726">
        <v>0.90128838471821604</v>
      </c>
      <c r="K1726">
        <v>0.85795347507699604</v>
      </c>
      <c r="L1726">
        <v>591.05935638977996</v>
      </c>
      <c r="M1726">
        <v>12.6511823569769</v>
      </c>
      <c r="O1726">
        <v>45.598497695650103</v>
      </c>
      <c r="P1726">
        <v>-1.2775905353038E-2</v>
      </c>
      <c r="Q1726">
        <v>0.81584402328312799</v>
      </c>
      <c r="R1726">
        <v>0.50898286515854096</v>
      </c>
      <c r="S1726" t="s">
        <v>7587</v>
      </c>
      <c r="T1726" t="s">
        <v>11720</v>
      </c>
      <c r="U1726" t="s">
        <v>11720</v>
      </c>
      <c r="V1726" t="s">
        <v>11720</v>
      </c>
      <c r="W1726" t="s">
        <v>13412</v>
      </c>
      <c r="X1726">
        <v>2</v>
      </c>
      <c r="Y1726" t="s">
        <v>19193</v>
      </c>
      <c r="Z1726" t="s">
        <v>24933</v>
      </c>
      <c r="AA1726">
        <v>0.86424723460578012</v>
      </c>
      <c r="AB1726" t="str">
        <f>HYPERLINK("Melting_Curves/meltCurve_P02652_APOA2.pdf", "Melting_Curves/meltCurve_P02652_APOA2.pdf")</f>
        <v>Melting_Curves/meltCurve_P02652_APOA2.pdf</v>
      </c>
    </row>
    <row r="1727" spans="1:28" x14ac:dyDescent="0.25">
      <c r="A1727" t="s">
        <v>1731</v>
      </c>
      <c r="B1727">
        <v>0.99334974765950101</v>
      </c>
      <c r="C1727">
        <v>0.99905674729453997</v>
      </c>
      <c r="D1727">
        <v>0.91120683669342994</v>
      </c>
      <c r="E1727">
        <v>0.85613645862538901</v>
      </c>
      <c r="F1727">
        <v>0.79536732276424105</v>
      </c>
      <c r="G1727">
        <v>0.62190080151899196</v>
      </c>
      <c r="H1727">
        <v>0.61705136657356197</v>
      </c>
      <c r="I1727">
        <v>0.80943367162139401</v>
      </c>
      <c r="J1727">
        <v>0.71245863917614005</v>
      </c>
      <c r="K1727">
        <v>0.62868419098695405</v>
      </c>
      <c r="L1727">
        <v>956.29386702831505</v>
      </c>
      <c r="M1727">
        <v>19.1155225901698</v>
      </c>
      <c r="O1727">
        <v>49.489247622339697</v>
      </c>
      <c r="P1727">
        <v>-3.1287699827239002E-2</v>
      </c>
      <c r="Q1727">
        <v>0.67600278384252299</v>
      </c>
      <c r="R1727">
        <v>0.82082983601292403</v>
      </c>
      <c r="S1727" t="s">
        <v>7588</v>
      </c>
      <c r="T1727" t="s">
        <v>11720</v>
      </c>
      <c r="U1727" t="s">
        <v>11720</v>
      </c>
      <c r="V1727" t="s">
        <v>11720</v>
      </c>
      <c r="W1727" t="s">
        <v>13413</v>
      </c>
      <c r="X1727">
        <v>58</v>
      </c>
      <c r="Y1727" t="s">
        <v>19194</v>
      </c>
      <c r="Z1727" t="s">
        <v>24934</v>
      </c>
      <c r="AA1727">
        <v>0.78921768131835768</v>
      </c>
      <c r="AB1727" t="str">
        <f>HYPERLINK("Melting_Curves/meltCurve_P02751_17_FN1.pdf", "Melting_Curves/meltCurve_P02751_17_FN1.pdf")</f>
        <v>Melting_Curves/meltCurve_P02751_17_FN1.pdf</v>
      </c>
    </row>
    <row r="1728" spans="1:28" x14ac:dyDescent="0.25">
      <c r="A1728" t="s">
        <v>1732</v>
      </c>
      <c r="B1728">
        <v>0.99334974765950101</v>
      </c>
      <c r="C1728">
        <v>0.96613988074461399</v>
      </c>
      <c r="D1728">
        <v>1.01551269393204</v>
      </c>
      <c r="E1728">
        <v>1.0959348276008201</v>
      </c>
      <c r="F1728">
        <v>1.03032576029472</v>
      </c>
      <c r="G1728">
        <v>0.90403844416284895</v>
      </c>
      <c r="H1728">
        <v>0.82181131014808995</v>
      </c>
      <c r="I1728">
        <v>1.0596789696184901</v>
      </c>
      <c r="J1728">
        <v>0.63815535607825702</v>
      </c>
      <c r="K1728">
        <v>0.32032258170808198</v>
      </c>
      <c r="L1728">
        <v>15000</v>
      </c>
      <c r="M1728">
        <v>224.010107308724</v>
      </c>
      <c r="N1728">
        <v>67.268523213247803</v>
      </c>
      <c r="O1728">
        <v>66.955921499250906</v>
      </c>
      <c r="P1728">
        <v>-0.568523964419821</v>
      </c>
      <c r="Q1728">
        <v>0.32027979179614702</v>
      </c>
      <c r="R1728">
        <v>0.89124248929736904</v>
      </c>
      <c r="S1728" t="s">
        <v>7589</v>
      </c>
      <c r="T1728" t="s">
        <v>11720</v>
      </c>
      <c r="U1728" t="s">
        <v>11720</v>
      </c>
      <c r="V1728" t="s">
        <v>11720</v>
      </c>
      <c r="W1728" t="s">
        <v>13414</v>
      </c>
      <c r="X1728">
        <v>37</v>
      </c>
      <c r="Y1728" t="s">
        <v>19195</v>
      </c>
      <c r="Z1728" t="s">
        <v>24935</v>
      </c>
      <c r="AA1728">
        <v>0.93124937795125684</v>
      </c>
      <c r="AB1728" t="str">
        <f>HYPERLINK("Melting_Curves/meltCurve_P02786_TFRC.pdf", "Melting_Curves/meltCurve_P02786_TFRC.pdf")</f>
        <v>Melting_Curves/meltCurve_P02786_TFRC.pdf</v>
      </c>
    </row>
    <row r="1729" spans="1:28" x14ac:dyDescent="0.25">
      <c r="A1729" t="s">
        <v>1733</v>
      </c>
      <c r="B1729">
        <v>0.99334974765950101</v>
      </c>
      <c r="C1729">
        <v>0.99728228187956403</v>
      </c>
      <c r="D1729">
        <v>1.0287960191543</v>
      </c>
      <c r="E1729">
        <v>1.07801598991215</v>
      </c>
      <c r="F1729">
        <v>1.0304375012290401</v>
      </c>
      <c r="G1729">
        <v>0.91394697597893904</v>
      </c>
      <c r="H1729">
        <v>0.830217038993458</v>
      </c>
      <c r="I1729">
        <v>1.0317240856191701</v>
      </c>
      <c r="J1729">
        <v>0.886017966098397</v>
      </c>
      <c r="K1729">
        <v>0.82298677526498898</v>
      </c>
      <c r="L1729">
        <v>586.49240853816298</v>
      </c>
      <c r="M1729">
        <v>6.7234302390874099</v>
      </c>
      <c r="Q1729">
        <v>0</v>
      </c>
      <c r="R1729">
        <v>0.46264919034739899</v>
      </c>
      <c r="S1729" t="s">
        <v>7590</v>
      </c>
      <c r="T1729" t="s">
        <v>11720</v>
      </c>
      <c r="U1729" t="s">
        <v>11720</v>
      </c>
      <c r="V1729" t="s">
        <v>11720</v>
      </c>
      <c r="W1729" t="s">
        <v>13415</v>
      </c>
      <c r="X1729">
        <v>28</v>
      </c>
      <c r="Y1729" t="s">
        <v>19196</v>
      </c>
      <c r="Z1729" t="s">
        <v>24936</v>
      </c>
      <c r="AA1729">
        <v>0.96040357595084525</v>
      </c>
      <c r="AB1729" t="str">
        <f>HYPERLINK("Melting_Curves/meltCurve_P02787_TF.pdf", "Melting_Curves/meltCurve_P02787_TF.pdf")</f>
        <v>Melting_Curves/meltCurve_P02787_TF.pdf</v>
      </c>
    </row>
    <row r="1730" spans="1:28" x14ac:dyDescent="0.25">
      <c r="A1730" t="s">
        <v>1734</v>
      </c>
      <c r="B1730">
        <v>0.99334974765950101</v>
      </c>
      <c r="C1730">
        <v>1.28498032402388</v>
      </c>
      <c r="D1730">
        <v>1.3910531473197101</v>
      </c>
      <c r="E1730">
        <v>1.2699694382095099</v>
      </c>
      <c r="F1730">
        <v>0.93975822438771495</v>
      </c>
      <c r="G1730">
        <v>0.92153481903527901</v>
      </c>
      <c r="H1730">
        <v>0.77576408296816801</v>
      </c>
      <c r="I1730">
        <v>0.85304493753597499</v>
      </c>
      <c r="J1730">
        <v>0.77019701748701197</v>
      </c>
      <c r="K1730">
        <v>0.91010821000418596</v>
      </c>
      <c r="L1730">
        <v>14260.4516230023</v>
      </c>
      <c r="M1730">
        <v>250</v>
      </c>
      <c r="O1730">
        <v>57.038145951168303</v>
      </c>
      <c r="P1730">
        <v>-0.18926085006507801</v>
      </c>
      <c r="Q1730">
        <v>0.82727856127421995</v>
      </c>
      <c r="R1730">
        <v>0.27716173754135898</v>
      </c>
      <c r="S1730" t="s">
        <v>7591</v>
      </c>
      <c r="T1730" t="s">
        <v>11720</v>
      </c>
      <c r="U1730" t="s">
        <v>11720</v>
      </c>
      <c r="V1730" t="s">
        <v>11720</v>
      </c>
      <c r="W1730" t="s">
        <v>13416</v>
      </c>
      <c r="X1730">
        <v>4</v>
      </c>
      <c r="Y1730" t="s">
        <v>19197</v>
      </c>
      <c r="Z1730" t="s">
        <v>24937</v>
      </c>
      <c r="AA1730">
        <v>0.92541202984218518</v>
      </c>
      <c r="AB1730" t="str">
        <f>HYPERLINK("Melting_Curves/meltCurve_P02790_HPX.pdf", "Melting_Curves/meltCurve_P02790_HPX.pdf")</f>
        <v>Melting_Curves/meltCurve_P02790_HPX.pdf</v>
      </c>
    </row>
    <row r="1731" spans="1:28" x14ac:dyDescent="0.25">
      <c r="A1731" t="s">
        <v>1735</v>
      </c>
      <c r="B1731">
        <v>0.99334974765950101</v>
      </c>
      <c r="C1731">
        <v>0.859688963281519</v>
      </c>
      <c r="D1731">
        <v>0.63111258819234906</v>
      </c>
      <c r="E1731">
        <v>0.49923605839514101</v>
      </c>
      <c r="F1731">
        <v>0.72111899043523198</v>
      </c>
      <c r="G1731">
        <v>0.42519819638265199</v>
      </c>
      <c r="H1731">
        <v>0.525216070254793</v>
      </c>
      <c r="I1731">
        <v>0.78211388801368498</v>
      </c>
      <c r="J1731">
        <v>0.84427520679242596</v>
      </c>
      <c r="K1731">
        <v>0.83554241988523903</v>
      </c>
      <c r="L1731">
        <v>10740.571869011899</v>
      </c>
      <c r="M1731">
        <v>250</v>
      </c>
      <c r="O1731">
        <v>42.959538100811997</v>
      </c>
      <c r="P1731">
        <v>-0.49759514990627601</v>
      </c>
      <c r="Q1731">
        <v>0.65797667499447299</v>
      </c>
      <c r="R1731">
        <v>0.40389954103833903</v>
      </c>
      <c r="S1731" t="s">
        <v>7592</v>
      </c>
      <c r="T1731" t="s">
        <v>11720</v>
      </c>
      <c r="U1731" t="s">
        <v>11720</v>
      </c>
      <c r="V1731" t="s">
        <v>11720</v>
      </c>
      <c r="W1731" t="s">
        <v>13417</v>
      </c>
      <c r="X1731">
        <v>3</v>
      </c>
      <c r="Y1731" t="s">
        <v>19198</v>
      </c>
      <c r="Z1731" t="s">
        <v>24938</v>
      </c>
      <c r="AA1731">
        <v>0.69177484334037886</v>
      </c>
      <c r="AB1731" t="str">
        <f>HYPERLINK("Melting_Curves/meltCurve_P02792_FTL.pdf", "Melting_Curves/meltCurve_P02792_FTL.pdf")</f>
        <v>Melting_Curves/meltCurve_P02792_FTL.pdf</v>
      </c>
    </row>
    <row r="1732" spans="1:28" x14ac:dyDescent="0.25">
      <c r="A1732" t="s">
        <v>1736</v>
      </c>
      <c r="B1732">
        <v>0.99334974765950101</v>
      </c>
      <c r="C1732">
        <v>0.95533265002183199</v>
      </c>
      <c r="D1732">
        <v>0.71339362095310099</v>
      </c>
      <c r="E1732">
        <v>0.40147180125054299</v>
      </c>
      <c r="F1732">
        <v>0.201548038665363</v>
      </c>
      <c r="G1732">
        <v>0.11975563609221</v>
      </c>
      <c r="H1732">
        <v>9.7885299023728306E-2</v>
      </c>
      <c r="I1732">
        <v>0.115797175848941</v>
      </c>
      <c r="J1732">
        <v>0.132518315947002</v>
      </c>
      <c r="K1732">
        <v>9.1703513856571703E-2</v>
      </c>
      <c r="L1732">
        <v>991.78340131314997</v>
      </c>
      <c r="M1732">
        <v>20.658587588471601</v>
      </c>
      <c r="N1732">
        <v>48.540525954466801</v>
      </c>
      <c r="O1732">
        <v>47.565247211347298</v>
      </c>
      <c r="P1732">
        <v>-9.7578651465044006E-2</v>
      </c>
      <c r="Q1732">
        <v>0.101348409127404</v>
      </c>
      <c r="R1732">
        <v>0.99690781728363098</v>
      </c>
      <c r="S1732" t="s">
        <v>7593</v>
      </c>
      <c r="T1732" t="s">
        <v>11720</v>
      </c>
      <c r="U1732" t="s">
        <v>11720</v>
      </c>
      <c r="V1732" t="s">
        <v>11720</v>
      </c>
      <c r="W1732" t="s">
        <v>13418</v>
      </c>
      <c r="X1732">
        <v>4</v>
      </c>
      <c r="Y1732" t="s">
        <v>19199</v>
      </c>
      <c r="Z1732" t="s">
        <v>24939</v>
      </c>
      <c r="AA1732">
        <v>0.35315734004460819</v>
      </c>
      <c r="AB1732" t="str">
        <f>HYPERLINK("Melting_Curves/meltCurve_P02794_FTH1.pdf", "Melting_Curves/meltCurve_P02794_FTH1.pdf")</f>
        <v>Melting_Curves/meltCurve_P02794_FTH1.pdf</v>
      </c>
    </row>
    <row r="1733" spans="1:28" x14ac:dyDescent="0.25">
      <c r="A1733" t="s">
        <v>1737</v>
      </c>
      <c r="B1733">
        <v>0.99334974765950101</v>
      </c>
      <c r="C1733">
        <v>1.24910979965202</v>
      </c>
      <c r="D1733">
        <v>0.96071939136885198</v>
      </c>
      <c r="E1733">
        <v>1.20800258055516</v>
      </c>
      <c r="F1733">
        <v>1.9094129158130699</v>
      </c>
      <c r="G1733">
        <v>2.2649227006553501</v>
      </c>
      <c r="H1733">
        <v>3.5780561267368798</v>
      </c>
      <c r="I1733">
        <v>1.8897331948754399</v>
      </c>
      <c r="J1733">
        <v>4.2283772337915497</v>
      </c>
      <c r="K1733">
        <v>3.8269060497507801</v>
      </c>
      <c r="L1733">
        <v>12516.959079585</v>
      </c>
      <c r="M1733">
        <v>250</v>
      </c>
      <c r="O1733">
        <v>50.064632451800698</v>
      </c>
      <c r="P1733">
        <v>0.62419313985584501</v>
      </c>
      <c r="Q1733">
        <v>1.5</v>
      </c>
      <c r="R1733">
        <v>-0.32214548814579202</v>
      </c>
      <c r="S1733" t="s">
        <v>7594</v>
      </c>
      <c r="T1733" t="s">
        <v>11720</v>
      </c>
      <c r="U1733" t="s">
        <v>11720</v>
      </c>
      <c r="V1733" t="s">
        <v>11720</v>
      </c>
      <c r="W1733" t="s">
        <v>13419</v>
      </c>
      <c r="X1733">
        <v>13</v>
      </c>
      <c r="Y1733" t="s">
        <v>19200</v>
      </c>
      <c r="Z1733" t="s">
        <v>24940</v>
      </c>
      <c r="AA1733">
        <v>1.332158793890911</v>
      </c>
      <c r="AB1733" t="str">
        <f>HYPERLINK("Melting_Curves/meltCurve_P02795_MT2A.pdf", "Melting_Curves/meltCurve_P02795_MT2A.pdf")</f>
        <v>Melting_Curves/meltCurve_P02795_MT2A.pdf</v>
      </c>
    </row>
    <row r="1734" spans="1:28" x14ac:dyDescent="0.25">
      <c r="A1734" t="s">
        <v>1738</v>
      </c>
      <c r="B1734">
        <v>0.99334974765950101</v>
      </c>
      <c r="C1734">
        <v>0.94127484872999501</v>
      </c>
      <c r="D1734">
        <v>0.73462753911215894</v>
      </c>
      <c r="E1734">
        <v>0.89997330345201798</v>
      </c>
      <c r="F1734">
        <v>0.68446796344775895</v>
      </c>
      <c r="G1734">
        <v>0.70225505245189701</v>
      </c>
      <c r="H1734">
        <v>0.61824913539207804</v>
      </c>
      <c r="I1734">
        <v>0.41179619457639099</v>
      </c>
      <c r="J1734">
        <v>0.26401190122135498</v>
      </c>
      <c r="K1734">
        <v>0.20107282675991101</v>
      </c>
      <c r="L1734">
        <v>453.948302898848</v>
      </c>
      <c r="M1734">
        <v>7.4546459714142603</v>
      </c>
      <c r="N1734">
        <v>60.894682881595699</v>
      </c>
      <c r="O1734">
        <v>56.9740097923709</v>
      </c>
      <c r="P1734">
        <v>-3.2758830177505298E-2</v>
      </c>
      <c r="Q1734">
        <v>0</v>
      </c>
      <c r="R1734">
        <v>0.89146728016495003</v>
      </c>
      <c r="S1734" t="s">
        <v>7595</v>
      </c>
      <c r="T1734" t="s">
        <v>11720</v>
      </c>
      <c r="U1734" t="s">
        <v>11720</v>
      </c>
      <c r="V1734" t="s">
        <v>11720</v>
      </c>
      <c r="W1734" t="s">
        <v>13420</v>
      </c>
      <c r="X1734">
        <v>3</v>
      </c>
      <c r="Y1734" t="s">
        <v>19201</v>
      </c>
      <c r="Z1734" t="s">
        <v>24941</v>
      </c>
      <c r="AA1734">
        <v>0.66719773152500705</v>
      </c>
      <c r="AB1734" t="str">
        <f>HYPERLINK("Melting_Curves/meltCurve_P03928_MT_ATP8.pdf", "Melting_Curves/meltCurve_P03928_MT_ATP8.pdf")</f>
        <v>Melting_Curves/meltCurve_P03928_MT_ATP8.pdf</v>
      </c>
    </row>
    <row r="1735" spans="1:28" x14ac:dyDescent="0.25">
      <c r="A1735" t="s">
        <v>1739</v>
      </c>
      <c r="B1735">
        <v>0.99334974765950101</v>
      </c>
      <c r="C1735">
        <v>0.99734693614279502</v>
      </c>
      <c r="D1735">
        <v>1.10686127676098</v>
      </c>
      <c r="E1735">
        <v>1.37303812203645</v>
      </c>
      <c r="F1735">
        <v>2.0718210114408402</v>
      </c>
      <c r="G1735">
        <v>2.51691458613025</v>
      </c>
      <c r="H1735">
        <v>2.10027681494573</v>
      </c>
      <c r="I1735">
        <v>2.3240717603993</v>
      </c>
      <c r="J1735">
        <v>1.2013640553772</v>
      </c>
      <c r="K1735">
        <v>0.29340471753897202</v>
      </c>
      <c r="L1735">
        <v>2324.5408886805099</v>
      </c>
      <c r="M1735">
        <v>49.001107393893797</v>
      </c>
      <c r="O1735">
        <v>47.3597290484851</v>
      </c>
      <c r="P1735">
        <v>0.12933232970715999</v>
      </c>
      <c r="Q1735">
        <v>1.5</v>
      </c>
      <c r="R1735">
        <v>0.144409491593773</v>
      </c>
      <c r="S1735" t="s">
        <v>7596</v>
      </c>
      <c r="T1735" t="s">
        <v>11720</v>
      </c>
      <c r="U1735" t="s">
        <v>11720</v>
      </c>
      <c r="V1735" t="s">
        <v>11720</v>
      </c>
      <c r="W1735" t="s">
        <v>13421</v>
      </c>
      <c r="X1735">
        <v>23</v>
      </c>
      <c r="Y1735" t="s">
        <v>19202</v>
      </c>
      <c r="Z1735" t="s">
        <v>24942</v>
      </c>
      <c r="AA1735">
        <v>1.3749335383518499</v>
      </c>
      <c r="AB1735" t="str">
        <f>HYPERLINK("Melting_Curves/meltCurve_P04040_CAT.pdf", "Melting_Curves/meltCurve_P04040_CAT.pdf")</f>
        <v>Melting_Curves/meltCurve_P04040_CAT.pdf</v>
      </c>
    </row>
    <row r="1736" spans="1:28" x14ac:dyDescent="0.25">
      <c r="A1736" t="s">
        <v>1740</v>
      </c>
      <c r="B1736">
        <v>0.99334974765950101</v>
      </c>
      <c r="C1736">
        <v>1.1590098936066</v>
      </c>
      <c r="D1736">
        <v>1.3115275199538701</v>
      </c>
      <c r="E1736">
        <v>1.03928746906724</v>
      </c>
      <c r="F1736">
        <v>1.06607345141764</v>
      </c>
      <c r="G1736">
        <v>1.03839908556421</v>
      </c>
      <c r="H1736">
        <v>0.77884391883631199</v>
      </c>
      <c r="I1736">
        <v>0.48263316044921201</v>
      </c>
      <c r="J1736">
        <v>0.16026206526297401</v>
      </c>
      <c r="K1736">
        <v>6.5350741943988697E-2</v>
      </c>
      <c r="L1736">
        <v>2089.5251066026299</v>
      </c>
      <c r="M1736">
        <v>32.825997848204501</v>
      </c>
      <c r="N1736">
        <v>63.7044464523862</v>
      </c>
      <c r="O1736">
        <v>63.419758696632599</v>
      </c>
      <c r="P1736">
        <v>-0.12775893820089901</v>
      </c>
      <c r="Q1736">
        <v>1.26848345297735E-2</v>
      </c>
      <c r="R1736">
        <v>0.91967731659364504</v>
      </c>
      <c r="S1736" t="s">
        <v>7597</v>
      </c>
      <c r="T1736" t="s">
        <v>11720</v>
      </c>
      <c r="U1736" t="s">
        <v>11720</v>
      </c>
      <c r="V1736" t="s">
        <v>11720</v>
      </c>
      <c r="W1736" t="s">
        <v>13422</v>
      </c>
      <c r="X1736">
        <v>1</v>
      </c>
      <c r="Y1736" t="s">
        <v>19203</v>
      </c>
      <c r="Z1736" t="s">
        <v>24943</v>
      </c>
      <c r="AA1736">
        <v>0.79351839584669481</v>
      </c>
      <c r="AB1736" t="str">
        <f>HYPERLINK("Melting_Curves/meltCurve_P04066_FUCA1.pdf", "Melting_Curves/meltCurve_P04066_FUCA1.pdf")</f>
        <v>Melting_Curves/meltCurve_P04066_FUCA1.pdf</v>
      </c>
    </row>
    <row r="1737" spans="1:28" x14ac:dyDescent="0.25">
      <c r="A1737" t="s">
        <v>1741</v>
      </c>
      <c r="B1737">
        <v>0.99334974765950101</v>
      </c>
      <c r="C1737">
        <v>1.0283094092624701</v>
      </c>
      <c r="D1737">
        <v>1.1141431642372599</v>
      </c>
      <c r="E1737">
        <v>1.33323108223415</v>
      </c>
      <c r="F1737">
        <v>1.2364630103710901</v>
      </c>
      <c r="G1737">
        <v>1.30139119608105</v>
      </c>
      <c r="H1737">
        <v>1.2068300433993899</v>
      </c>
      <c r="I1737">
        <v>0.75912787513853097</v>
      </c>
      <c r="J1737">
        <v>0.19402794269510901</v>
      </c>
      <c r="K1737">
        <v>0.119773612110555</v>
      </c>
      <c r="L1737">
        <v>6137.2833669336796</v>
      </c>
      <c r="M1737">
        <v>94.908120110427703</v>
      </c>
      <c r="N1737">
        <v>64.890764753242493</v>
      </c>
      <c r="O1737">
        <v>64.636829715607206</v>
      </c>
      <c r="P1737">
        <v>-0.31556807372496198</v>
      </c>
      <c r="Q1737">
        <v>0.14033410644167599</v>
      </c>
      <c r="R1737">
        <v>0.81861810074350905</v>
      </c>
      <c r="S1737" t="s">
        <v>7598</v>
      </c>
      <c r="T1737" t="s">
        <v>11720</v>
      </c>
      <c r="U1737" t="s">
        <v>11720</v>
      </c>
      <c r="V1737" t="s">
        <v>11720</v>
      </c>
      <c r="W1737" t="s">
        <v>13423</v>
      </c>
      <c r="X1737">
        <v>42</v>
      </c>
      <c r="Y1737" t="s">
        <v>18394</v>
      </c>
      <c r="Z1737" t="s">
        <v>24944</v>
      </c>
      <c r="AA1737">
        <v>0.84779869213618153</v>
      </c>
      <c r="AB1737" t="str">
        <f>HYPERLINK("Melting_Curves/meltCurve_P04075_ALDOA.pdf", "Melting_Curves/meltCurve_P04075_ALDOA.pdf")</f>
        <v>Melting_Curves/meltCurve_P04075_ALDOA.pdf</v>
      </c>
    </row>
    <row r="1738" spans="1:28" x14ac:dyDescent="0.25">
      <c r="A1738" t="s">
        <v>1742</v>
      </c>
      <c r="B1738">
        <v>0.99334974765950101</v>
      </c>
      <c r="C1738">
        <v>0.82915003536330301</v>
      </c>
      <c r="D1738">
        <v>0.65669360458602299</v>
      </c>
      <c r="E1738">
        <v>0.66187939645267002</v>
      </c>
      <c r="F1738">
        <v>0.411741874035429</v>
      </c>
      <c r="G1738">
        <v>0.328094397765271</v>
      </c>
      <c r="H1738">
        <v>0.201682003412331</v>
      </c>
      <c r="I1738">
        <v>0.237417486422381</v>
      </c>
      <c r="J1738">
        <v>0.241186430967301</v>
      </c>
      <c r="K1738">
        <v>0.258117177757061</v>
      </c>
      <c r="L1738">
        <v>531.46358511141204</v>
      </c>
      <c r="M1738">
        <v>10.8349817550497</v>
      </c>
      <c r="N1738">
        <v>51.2334010839146</v>
      </c>
      <c r="O1738">
        <v>47.468538125866203</v>
      </c>
      <c r="P1738">
        <v>-4.65316266101964E-2</v>
      </c>
      <c r="Q1738">
        <v>0.184862967245643</v>
      </c>
      <c r="R1738">
        <v>0.95835095752267896</v>
      </c>
      <c r="S1738" t="s">
        <v>7599</v>
      </c>
      <c r="T1738" t="s">
        <v>11720</v>
      </c>
      <c r="U1738" t="s">
        <v>11720</v>
      </c>
      <c r="V1738" t="s">
        <v>11720</v>
      </c>
      <c r="W1738" t="s">
        <v>13424</v>
      </c>
      <c r="X1738">
        <v>6</v>
      </c>
      <c r="Y1738" t="s">
        <v>19204</v>
      </c>
      <c r="Z1738" t="s">
        <v>24945</v>
      </c>
      <c r="AA1738">
        <v>0.465984660288493</v>
      </c>
      <c r="AB1738" t="str">
        <f>HYPERLINK("Melting_Curves/meltCurve_P04080_CSTB.pdf", "Melting_Curves/meltCurve_P04080_CSTB.pdf")</f>
        <v>Melting_Curves/meltCurve_P04080_CSTB.pdf</v>
      </c>
    </row>
    <row r="1739" spans="1:28" x14ac:dyDescent="0.25">
      <c r="A1739" t="s">
        <v>1743</v>
      </c>
      <c r="B1739">
        <v>0.99334974765950101</v>
      </c>
      <c r="C1739">
        <v>0.91166059253382803</v>
      </c>
      <c r="D1739">
        <v>0.91183558484655802</v>
      </c>
      <c r="E1739">
        <v>0.44978901223177198</v>
      </c>
      <c r="F1739">
        <v>0.105966682998501</v>
      </c>
      <c r="G1739">
        <v>6.4278819293267606E-2</v>
      </c>
      <c r="H1739">
        <v>4.40881033123387E-2</v>
      </c>
      <c r="I1739">
        <v>3.8957833787024401E-2</v>
      </c>
      <c r="J1739">
        <v>3.9215300955009101E-2</v>
      </c>
      <c r="K1739">
        <v>3.20446160720518E-2</v>
      </c>
      <c r="L1739">
        <v>1569.01700481643</v>
      </c>
      <c r="M1739">
        <v>31.735028098161902</v>
      </c>
      <c r="N1739">
        <v>49.558097839405399</v>
      </c>
      <c r="O1739">
        <v>49.246094419243903</v>
      </c>
      <c r="P1739">
        <v>-0.155294112651405</v>
      </c>
      <c r="Q1739">
        <v>3.6069707039489397E-2</v>
      </c>
      <c r="R1739">
        <v>0.99483674612629402</v>
      </c>
      <c r="S1739" t="s">
        <v>7600</v>
      </c>
      <c r="T1739" t="s">
        <v>11720</v>
      </c>
      <c r="U1739" t="s">
        <v>11720</v>
      </c>
      <c r="V1739" t="s">
        <v>11720</v>
      </c>
      <c r="W1739" t="s">
        <v>13425</v>
      </c>
      <c r="X1739">
        <v>46</v>
      </c>
      <c r="Y1739" t="s">
        <v>19205</v>
      </c>
      <c r="Z1739" t="s">
        <v>24946</v>
      </c>
      <c r="AA1739">
        <v>0.34469452346702262</v>
      </c>
      <c r="AB1739" t="str">
        <f>HYPERLINK("Melting_Curves/meltCurve_P04083_ANXA1.pdf", "Melting_Curves/meltCurve_P04083_ANXA1.pdf")</f>
        <v>Melting_Curves/meltCurve_P04083_ANXA1.pdf</v>
      </c>
    </row>
    <row r="1740" spans="1:28" x14ac:dyDescent="0.25">
      <c r="A1740" t="s">
        <v>1744</v>
      </c>
      <c r="B1740">
        <v>0.99334974765950101</v>
      </c>
      <c r="C1740">
        <v>0.80801905975369204</v>
      </c>
      <c r="D1740">
        <v>0.772455765204342</v>
      </c>
      <c r="E1740">
        <v>0.54540432853754495</v>
      </c>
      <c r="F1740">
        <v>0.40638240121991698</v>
      </c>
      <c r="G1740">
        <v>0.46663775016830999</v>
      </c>
      <c r="H1740">
        <v>0.40450673591081099</v>
      </c>
      <c r="I1740">
        <v>0.49262568694478398</v>
      </c>
      <c r="J1740">
        <v>0.70888970028033504</v>
      </c>
      <c r="K1740">
        <v>1.5817896606688799</v>
      </c>
      <c r="L1740">
        <v>1371.28279539654</v>
      </c>
      <c r="M1740">
        <v>31.942626670665302</v>
      </c>
      <c r="O1740">
        <v>42.762328896396802</v>
      </c>
      <c r="P1740">
        <v>-6.2513251237351006E-2</v>
      </c>
      <c r="Q1740">
        <v>0.66524981496592595</v>
      </c>
      <c r="R1740">
        <v>8.8707531185977004E-2</v>
      </c>
      <c r="S1740" t="s">
        <v>7601</v>
      </c>
      <c r="T1740" t="s">
        <v>11720</v>
      </c>
      <c r="U1740" t="s">
        <v>11720</v>
      </c>
      <c r="V1740" t="s">
        <v>11720</v>
      </c>
      <c r="W1740" t="s">
        <v>13426</v>
      </c>
      <c r="X1740">
        <v>2</v>
      </c>
      <c r="Y1740" t="s">
        <v>19206</v>
      </c>
      <c r="Z1740" t="s">
        <v>24947</v>
      </c>
      <c r="AA1740">
        <v>0.70063687300810507</v>
      </c>
      <c r="AB1740" t="str">
        <f>HYPERLINK("Melting_Curves/meltCurve_P04150_7_NR3C1.pdf", "Melting_Curves/meltCurve_P04150_7_NR3C1.pdf")</f>
        <v>Melting_Curves/meltCurve_P04150_7_NR3C1.pdf</v>
      </c>
    </row>
    <row r="1741" spans="1:28" x14ac:dyDescent="0.25">
      <c r="A1741" t="s">
        <v>1745</v>
      </c>
      <c r="B1741">
        <v>0.99334974765950101</v>
      </c>
      <c r="C1741">
        <v>0.96795775116035698</v>
      </c>
      <c r="D1741">
        <v>1.00107388475784</v>
      </c>
      <c r="E1741">
        <v>0.91643963230897396</v>
      </c>
      <c r="F1741">
        <v>0.40522347160376598</v>
      </c>
      <c r="G1741">
        <v>0.20568427318597399</v>
      </c>
      <c r="H1741">
        <v>0.12858970058058999</v>
      </c>
      <c r="I1741">
        <v>0.107386344592189</v>
      </c>
      <c r="J1741">
        <v>0.102257732351999</v>
      </c>
      <c r="K1741">
        <v>8.2715822208724907E-2</v>
      </c>
      <c r="L1741">
        <v>2405.6706297763399</v>
      </c>
      <c r="M1741">
        <v>46.055135026975002</v>
      </c>
      <c r="N1741">
        <v>52.546780479831497</v>
      </c>
      <c r="O1741">
        <v>52.136382589363997</v>
      </c>
      <c r="P1741">
        <v>-0.194407563959684</v>
      </c>
      <c r="Q1741">
        <v>0.11969033150328</v>
      </c>
      <c r="R1741">
        <v>0.99503048355815504</v>
      </c>
      <c r="S1741" t="s">
        <v>7602</v>
      </c>
      <c r="T1741" t="s">
        <v>11720</v>
      </c>
      <c r="U1741" t="s">
        <v>11720</v>
      </c>
      <c r="V1741" t="s">
        <v>11720</v>
      </c>
      <c r="W1741" t="s">
        <v>13427</v>
      </c>
      <c r="X1741">
        <v>26</v>
      </c>
      <c r="Y1741" t="s">
        <v>19207</v>
      </c>
      <c r="Z1741" t="s">
        <v>24948</v>
      </c>
      <c r="AA1741">
        <v>0.48109019103562228</v>
      </c>
      <c r="AB1741" t="str">
        <f>HYPERLINK("Melting_Curves/meltCurve_P04181_OAT.pdf", "Melting_Curves/meltCurve_P04181_OAT.pdf")</f>
        <v>Melting_Curves/meltCurve_P04181_OAT.pdf</v>
      </c>
    </row>
    <row r="1742" spans="1:28" x14ac:dyDescent="0.25">
      <c r="A1742" t="s">
        <v>1746</v>
      </c>
      <c r="B1742">
        <v>0.99334974765950101</v>
      </c>
      <c r="C1742">
        <v>0.94176568033761598</v>
      </c>
      <c r="D1742">
        <v>0.85342068406189997</v>
      </c>
      <c r="E1742">
        <v>0.732681803478336</v>
      </c>
      <c r="F1742">
        <v>0.58334982979751304</v>
      </c>
      <c r="G1742">
        <v>0.5372735313068</v>
      </c>
      <c r="H1742">
        <v>0.46759160283135798</v>
      </c>
      <c r="I1742">
        <v>0.43074396393223502</v>
      </c>
      <c r="J1742">
        <v>0.41398699553413298</v>
      </c>
      <c r="K1742">
        <v>0.42265196680029898</v>
      </c>
      <c r="L1742">
        <v>633.89161652339897</v>
      </c>
      <c r="M1742">
        <v>12.565789278517499</v>
      </c>
      <c r="N1742">
        <v>57.831224104356799</v>
      </c>
      <c r="O1742">
        <v>49.219381471974899</v>
      </c>
      <c r="P1742">
        <v>-3.8333125790487303E-2</v>
      </c>
      <c r="Q1742">
        <v>0.39952785230613302</v>
      </c>
      <c r="R1742">
        <v>0.99522868760687699</v>
      </c>
      <c r="S1742" t="s">
        <v>7603</v>
      </c>
      <c r="T1742" t="s">
        <v>11720</v>
      </c>
      <c r="U1742" t="s">
        <v>11720</v>
      </c>
      <c r="V1742" t="s">
        <v>11720</v>
      </c>
      <c r="W1742" t="s">
        <v>13428</v>
      </c>
      <c r="X1742">
        <v>2</v>
      </c>
      <c r="Y1742" t="s">
        <v>19208</v>
      </c>
      <c r="Z1742" t="s">
        <v>24949</v>
      </c>
      <c r="AA1742">
        <v>0.62747794714159177</v>
      </c>
      <c r="AB1742" t="str">
        <f>HYPERLINK("Melting_Curves/meltCurve_P04217_A1BG.pdf", "Melting_Curves/meltCurve_P04217_A1BG.pdf")</f>
        <v>Melting_Curves/meltCurve_P04217_A1BG.pdf</v>
      </c>
    </row>
    <row r="1743" spans="1:28" x14ac:dyDescent="0.25">
      <c r="A1743" t="s">
        <v>1747</v>
      </c>
      <c r="B1743">
        <v>0.99334974765950101</v>
      </c>
      <c r="C1743">
        <v>1.0188606909990801</v>
      </c>
      <c r="D1743">
        <v>0.99231210491799704</v>
      </c>
      <c r="E1743">
        <v>0.89151229128092901</v>
      </c>
      <c r="F1743">
        <v>0.87998885710849395</v>
      </c>
      <c r="G1743">
        <v>0.48453253051379802</v>
      </c>
      <c r="H1743">
        <v>0.24593654160440501</v>
      </c>
      <c r="I1743">
        <v>9.1844384928673195E-2</v>
      </c>
      <c r="J1743">
        <v>8.2131802726601297E-2</v>
      </c>
      <c r="K1743">
        <v>8.2895032248816294E-2</v>
      </c>
      <c r="L1743">
        <v>1265.0775250085601</v>
      </c>
      <c r="M1743">
        <v>22.290187790079699</v>
      </c>
      <c r="N1743">
        <v>57.044993634447899</v>
      </c>
      <c r="O1743">
        <v>56.304028362229801</v>
      </c>
      <c r="P1743">
        <v>-9.36713434661363E-2</v>
      </c>
      <c r="Q1743">
        <v>5.3581375140527299E-2</v>
      </c>
      <c r="R1743">
        <v>0.99450287217161604</v>
      </c>
      <c r="S1743" t="s">
        <v>7604</v>
      </c>
      <c r="T1743" t="s">
        <v>11720</v>
      </c>
      <c r="U1743" t="s">
        <v>11720</v>
      </c>
      <c r="V1743" t="s">
        <v>11720</v>
      </c>
      <c r="W1743" t="s">
        <v>13429</v>
      </c>
      <c r="X1743">
        <v>30</v>
      </c>
      <c r="Y1743" t="s">
        <v>18641</v>
      </c>
      <c r="Z1743" t="s">
        <v>24950</v>
      </c>
      <c r="AA1743">
        <v>0.59233616745417217</v>
      </c>
      <c r="AB1743" t="str">
        <f>HYPERLINK("Melting_Curves/meltCurve_P04350_TUBB4A.pdf", "Melting_Curves/meltCurve_P04350_TUBB4A.pdf")</f>
        <v>Melting_Curves/meltCurve_P04350_TUBB4A.pdf</v>
      </c>
    </row>
    <row r="1744" spans="1:28" x14ac:dyDescent="0.25">
      <c r="A1744" t="s">
        <v>1748</v>
      </c>
      <c r="B1744">
        <v>0.99334974765950101</v>
      </c>
      <c r="C1744">
        <v>1.0139883281150801</v>
      </c>
      <c r="D1744">
        <v>0.99155415321438001</v>
      </c>
      <c r="E1744">
        <v>1.11412031572049</v>
      </c>
      <c r="F1744">
        <v>0.74401828606785503</v>
      </c>
      <c r="G1744">
        <v>0.70796369840208095</v>
      </c>
      <c r="H1744">
        <v>0.57774050991915504</v>
      </c>
      <c r="I1744">
        <v>0.397049806097452</v>
      </c>
      <c r="J1744">
        <v>9.29869875073321E-2</v>
      </c>
      <c r="K1744">
        <v>5.2997971249643297E-2</v>
      </c>
      <c r="L1744">
        <v>946.28016582802798</v>
      </c>
      <c r="M1744">
        <v>15.541899892301901</v>
      </c>
      <c r="N1744">
        <v>60.885745786462202</v>
      </c>
      <c r="O1744">
        <v>59.9044651769929</v>
      </c>
      <c r="P1744">
        <v>-6.4866888703411396E-2</v>
      </c>
      <c r="Q1744">
        <v>0</v>
      </c>
      <c r="R1744">
        <v>0.94100358555085095</v>
      </c>
      <c r="S1744" t="s">
        <v>7605</v>
      </c>
      <c r="T1744" t="s">
        <v>11720</v>
      </c>
      <c r="U1744" t="s">
        <v>11720</v>
      </c>
      <c r="V1744" t="s">
        <v>11720</v>
      </c>
      <c r="W1744" t="s">
        <v>13430</v>
      </c>
      <c r="X1744">
        <v>35</v>
      </c>
      <c r="Y1744" t="s">
        <v>19209</v>
      </c>
      <c r="Z1744" t="s">
        <v>24951</v>
      </c>
      <c r="AA1744">
        <v>0.69989165545618426</v>
      </c>
      <c r="AB1744" t="str">
        <f>HYPERLINK("Melting_Curves/meltCurve_P04406_GAPDH.pdf", "Melting_Curves/meltCurve_P04406_GAPDH.pdf")</f>
        <v>Melting_Curves/meltCurve_P04406_GAPDH.pdf</v>
      </c>
    </row>
    <row r="1745" spans="1:28" x14ac:dyDescent="0.25">
      <c r="A1745" t="s">
        <v>1749</v>
      </c>
      <c r="B1745">
        <v>0.99334974765950101</v>
      </c>
      <c r="C1745">
        <v>1.0302906329909001</v>
      </c>
      <c r="D1745">
        <v>0.89353121933555202</v>
      </c>
      <c r="E1745">
        <v>0.89654287207953698</v>
      </c>
      <c r="F1745">
        <v>0.96536102009389702</v>
      </c>
      <c r="G1745">
        <v>1.0536973296535199</v>
      </c>
      <c r="H1745">
        <v>0.927576515221474</v>
      </c>
      <c r="I1745">
        <v>0.82589091692474104</v>
      </c>
      <c r="J1745">
        <v>0.40725748250799199</v>
      </c>
      <c r="K1745">
        <v>0.24637190608854201</v>
      </c>
      <c r="L1745">
        <v>3104.54516426908</v>
      </c>
      <c r="M1745">
        <v>47.348873254131497</v>
      </c>
      <c r="N1745">
        <v>66.302375763571803</v>
      </c>
      <c r="O1745">
        <v>65.450818319691507</v>
      </c>
      <c r="P1745">
        <v>-0.143930720062388</v>
      </c>
      <c r="Q1745">
        <v>0.20417338252564299</v>
      </c>
      <c r="R1745">
        <v>0.955342851963915</v>
      </c>
      <c r="S1745" t="s">
        <v>7606</v>
      </c>
      <c r="T1745" t="s">
        <v>11720</v>
      </c>
      <c r="U1745" t="s">
        <v>11720</v>
      </c>
      <c r="V1745" t="s">
        <v>11720</v>
      </c>
      <c r="W1745" t="s">
        <v>13431</v>
      </c>
      <c r="X1745">
        <v>33</v>
      </c>
      <c r="Y1745" t="s">
        <v>19209</v>
      </c>
      <c r="Z1745" t="s">
        <v>24952</v>
      </c>
      <c r="AA1745">
        <v>0.88284594498632274</v>
      </c>
      <c r="AB1745" t="str">
        <f>HYPERLINK("Melting_Curves/meltCurve_P04406_2_GAPDH.pdf", "Melting_Curves/meltCurve_P04406_2_GAPDH.pdf")</f>
        <v>Melting_Curves/meltCurve_P04406_2_GAPDH.pdf</v>
      </c>
    </row>
    <row r="1746" spans="1:28" x14ac:dyDescent="0.25">
      <c r="A1746" t="s">
        <v>1750</v>
      </c>
      <c r="B1746">
        <v>0.99334974765950101</v>
      </c>
      <c r="C1746">
        <v>0.96557420274029704</v>
      </c>
      <c r="D1746">
        <v>1.0848380243296201</v>
      </c>
      <c r="E1746">
        <v>1.1846803907918</v>
      </c>
      <c r="F1746">
        <v>1.15555756044601</v>
      </c>
      <c r="G1746">
        <v>0.94567843812635699</v>
      </c>
      <c r="H1746">
        <v>0.37317136669489598</v>
      </c>
      <c r="I1746">
        <v>0.29636256922167598</v>
      </c>
      <c r="J1746">
        <v>0.23395363040035599</v>
      </c>
      <c r="K1746">
        <v>0.17279158717964499</v>
      </c>
      <c r="L1746">
        <v>3360.4451072243301</v>
      </c>
      <c r="M1746">
        <v>56.463315844339299</v>
      </c>
      <c r="N1746">
        <v>60.157667973504402</v>
      </c>
      <c r="O1746">
        <v>59.441033371088402</v>
      </c>
      <c r="P1746">
        <v>-0.18372897149754899</v>
      </c>
      <c r="Q1746">
        <v>0.22632714650962399</v>
      </c>
      <c r="R1746">
        <v>0.95302606004782098</v>
      </c>
      <c r="S1746" t="s">
        <v>7607</v>
      </c>
      <c r="T1746" t="s">
        <v>11720</v>
      </c>
      <c r="U1746" t="s">
        <v>11720</v>
      </c>
      <c r="V1746" t="s">
        <v>11720</v>
      </c>
      <c r="W1746" t="s">
        <v>13432</v>
      </c>
      <c r="X1746">
        <v>18</v>
      </c>
      <c r="Y1746" t="s">
        <v>19210</v>
      </c>
      <c r="Z1746" t="s">
        <v>24953</v>
      </c>
      <c r="AA1746">
        <v>0.73119786888852223</v>
      </c>
      <c r="AB1746" t="str">
        <f>HYPERLINK("Melting_Curves/meltCurve_P04424_ASL.pdf", "Melting_Curves/meltCurve_P04424_ASL.pdf")</f>
        <v>Melting_Curves/meltCurve_P04424_ASL.pdf</v>
      </c>
    </row>
    <row r="1747" spans="1:28" x14ac:dyDescent="0.25">
      <c r="A1747" t="s">
        <v>1751</v>
      </c>
      <c r="B1747">
        <v>0.99334974765950101</v>
      </c>
      <c r="C1747">
        <v>0.989509360053066</v>
      </c>
      <c r="D1747">
        <v>0.950961796809493</v>
      </c>
      <c r="E1747">
        <v>0.87245195496440997</v>
      </c>
      <c r="F1747">
        <v>1.2496492909076899</v>
      </c>
      <c r="G1747">
        <v>0.60029109047887796</v>
      </c>
      <c r="H1747">
        <v>0.45952558932071702</v>
      </c>
      <c r="I1747">
        <v>0.34368842865061699</v>
      </c>
      <c r="J1747">
        <v>0.37827409762679198</v>
      </c>
      <c r="K1747">
        <v>0.26190157564891098</v>
      </c>
      <c r="L1747">
        <v>12053.6856368261</v>
      </c>
      <c r="M1747">
        <v>211.98058378484299</v>
      </c>
      <c r="N1747">
        <v>57.207401210391303</v>
      </c>
      <c r="O1747">
        <v>56.857166726234396</v>
      </c>
      <c r="P1747">
        <v>-0.59573844503293505</v>
      </c>
      <c r="Q1747">
        <v>0.36084725879982099</v>
      </c>
      <c r="R1747">
        <v>0.90389972211623204</v>
      </c>
      <c r="S1747" t="s">
        <v>7608</v>
      </c>
      <c r="T1747" t="s">
        <v>11720</v>
      </c>
      <c r="U1747" t="s">
        <v>11720</v>
      </c>
      <c r="V1747" t="s">
        <v>11720</v>
      </c>
      <c r="W1747" t="s">
        <v>13433</v>
      </c>
      <c r="X1747">
        <v>18</v>
      </c>
      <c r="Y1747" t="s">
        <v>19211</v>
      </c>
      <c r="Z1747" t="s">
        <v>24954</v>
      </c>
      <c r="AA1747">
        <v>0.72018702190833805</v>
      </c>
      <c r="AB1747" t="str">
        <f>HYPERLINK("Melting_Curves/meltCurve_P04632_CAPNS1.pdf", "Melting_Curves/meltCurve_P04632_CAPNS1.pdf")</f>
        <v>Melting_Curves/meltCurve_P04632_CAPNS1.pdf</v>
      </c>
    </row>
    <row r="1748" spans="1:28" x14ac:dyDescent="0.25">
      <c r="A1748" t="s">
        <v>1752</v>
      </c>
      <c r="B1748">
        <v>0.99334974765950101</v>
      </c>
      <c r="C1748">
        <v>1.03732130272713</v>
      </c>
      <c r="D1748">
        <v>0.70294267669136301</v>
      </c>
      <c r="E1748">
        <v>0.96558629419603004</v>
      </c>
      <c r="F1748">
        <v>0.82658049161478497</v>
      </c>
      <c r="G1748">
        <v>1.0248457892316201</v>
      </c>
      <c r="H1748">
        <v>1.1200982448364001</v>
      </c>
      <c r="I1748">
        <v>1.5081661423117501</v>
      </c>
      <c r="J1748">
        <v>1.90746320571094</v>
      </c>
      <c r="K1748">
        <v>1.5815278766863501</v>
      </c>
      <c r="L1748">
        <v>15000</v>
      </c>
      <c r="M1748">
        <v>244.75005214262501</v>
      </c>
      <c r="O1748">
        <v>61.2829225362673</v>
      </c>
      <c r="P1748">
        <v>0.49922156612326002</v>
      </c>
      <c r="Q1748">
        <v>1.5</v>
      </c>
      <c r="R1748">
        <v>0.76966615615557399</v>
      </c>
      <c r="S1748" t="s">
        <v>7609</v>
      </c>
      <c r="T1748" t="s">
        <v>11720</v>
      </c>
      <c r="U1748" t="s">
        <v>11720</v>
      </c>
      <c r="V1748" t="s">
        <v>11720</v>
      </c>
      <c r="W1748" t="s">
        <v>13434</v>
      </c>
      <c r="X1748">
        <v>3</v>
      </c>
      <c r="Y1748" t="s">
        <v>19212</v>
      </c>
      <c r="Z1748" t="s">
        <v>24955</v>
      </c>
      <c r="AA1748">
        <v>1.14516031332734</v>
      </c>
      <c r="AB1748" t="str">
        <f>HYPERLINK("Melting_Curves/meltCurve_P04731_MT1A.pdf", "Melting_Curves/meltCurve_P04731_MT1A.pdf")</f>
        <v>Melting_Curves/meltCurve_P04731_MT1A.pdf</v>
      </c>
    </row>
    <row r="1749" spans="1:28" x14ac:dyDescent="0.25">
      <c r="A1749" t="s">
        <v>1753</v>
      </c>
      <c r="B1749">
        <v>0.99334974765950101</v>
      </c>
      <c r="C1749">
        <v>0.78885117544531502</v>
      </c>
      <c r="D1749">
        <v>0.48291976857535202</v>
      </c>
      <c r="E1749">
        <v>0.35662924273392399</v>
      </c>
      <c r="F1749">
        <v>0.212972298604892</v>
      </c>
      <c r="G1749">
        <v>0.16204384500253199</v>
      </c>
      <c r="H1749">
        <v>0.147540167768269</v>
      </c>
      <c r="I1749">
        <v>0.19644312616391199</v>
      </c>
      <c r="J1749">
        <v>0.33308880159856202</v>
      </c>
      <c r="K1749">
        <v>0.67988617152242403</v>
      </c>
      <c r="L1749">
        <v>1278.45783836904</v>
      </c>
      <c r="M1749">
        <v>28.856395487602502</v>
      </c>
      <c r="N1749">
        <v>45.708930776201697</v>
      </c>
      <c r="O1749">
        <v>44.0929948727957</v>
      </c>
      <c r="P1749">
        <v>-0.115506183287058</v>
      </c>
      <c r="Q1749">
        <v>0.29402462588494699</v>
      </c>
      <c r="R1749">
        <v>0.73176484715169898</v>
      </c>
      <c r="S1749" t="s">
        <v>7610</v>
      </c>
      <c r="T1749" t="s">
        <v>11720</v>
      </c>
      <c r="U1749" t="s">
        <v>11720</v>
      </c>
      <c r="V1749" t="s">
        <v>11720</v>
      </c>
      <c r="W1749" t="s">
        <v>13435</v>
      </c>
      <c r="X1749">
        <v>22</v>
      </c>
      <c r="Y1749" t="s">
        <v>19213</v>
      </c>
      <c r="Z1749" t="s">
        <v>24956</v>
      </c>
      <c r="AA1749">
        <v>0.40071609959869142</v>
      </c>
      <c r="AB1749" t="str">
        <f>HYPERLINK("Melting_Curves/meltCurve_P04792_HSPB1.pdf", "Melting_Curves/meltCurve_P04792_HSPB1.pdf")</f>
        <v>Melting_Curves/meltCurve_P04792_HSPB1.pdf</v>
      </c>
    </row>
    <row r="1750" spans="1:28" x14ac:dyDescent="0.25">
      <c r="A1750" t="s">
        <v>1754</v>
      </c>
      <c r="B1750">
        <v>0.99334974765950101</v>
      </c>
      <c r="C1750">
        <v>1.0093220779912599</v>
      </c>
      <c r="D1750">
        <v>1.14194129097712</v>
      </c>
      <c r="E1750">
        <v>1.5005415428803099</v>
      </c>
      <c r="F1750">
        <v>1.5480104465248801</v>
      </c>
      <c r="G1750">
        <v>0.355862558571583</v>
      </c>
      <c r="H1750">
        <v>0.21428802988364301</v>
      </c>
      <c r="I1750">
        <v>0.15594670942401001</v>
      </c>
      <c r="J1750">
        <v>0.13854799047455499</v>
      </c>
      <c r="K1750">
        <v>0.11153635184047</v>
      </c>
      <c r="L1750">
        <v>14183.5557923547</v>
      </c>
      <c r="M1750">
        <v>250</v>
      </c>
      <c r="N1750">
        <v>56.818606914362803</v>
      </c>
      <c r="O1750">
        <v>56.730592585620599</v>
      </c>
      <c r="P1750">
        <v>-0.93084723679841797</v>
      </c>
      <c r="Q1750">
        <v>0.155079755835586</v>
      </c>
      <c r="R1750">
        <v>0.81063472262407299</v>
      </c>
      <c r="S1750" t="s">
        <v>7611</v>
      </c>
      <c r="T1750" t="s">
        <v>11720</v>
      </c>
      <c r="U1750" t="s">
        <v>11720</v>
      </c>
      <c r="V1750" t="s">
        <v>11720</v>
      </c>
      <c r="W1750" t="s">
        <v>13436</v>
      </c>
      <c r="X1750">
        <v>41</v>
      </c>
      <c r="Y1750" t="s">
        <v>19214</v>
      </c>
      <c r="Z1750" t="s">
        <v>24957</v>
      </c>
      <c r="AA1750">
        <v>0.62646668012320739</v>
      </c>
      <c r="AB1750" t="str">
        <f>HYPERLINK("Melting_Curves/meltCurve_P04843_RPN1.pdf", "Melting_Curves/meltCurve_P04843_RPN1.pdf")</f>
        <v>Melting_Curves/meltCurve_P04843_RPN1.pdf</v>
      </c>
    </row>
    <row r="1751" spans="1:28" x14ac:dyDescent="0.25">
      <c r="A1751" t="s">
        <v>1755</v>
      </c>
      <c r="B1751">
        <v>0.99334974765950101</v>
      </c>
      <c r="C1751">
        <v>1.00417361548539</v>
      </c>
      <c r="D1751">
        <v>1.0389328541160801</v>
      </c>
      <c r="E1751">
        <v>1.2548580299365899</v>
      </c>
      <c r="F1751">
        <v>0.62373718719933902</v>
      </c>
      <c r="G1751">
        <v>0.19926313245468799</v>
      </c>
      <c r="H1751">
        <v>0.113777987914697</v>
      </c>
      <c r="I1751">
        <v>0.11105839358912301</v>
      </c>
      <c r="J1751">
        <v>9.2050340365585598E-2</v>
      </c>
      <c r="K1751">
        <v>7.0817003078307794E-2</v>
      </c>
      <c r="L1751">
        <v>13265.7372510442</v>
      </c>
      <c r="M1751">
        <v>250</v>
      </c>
      <c r="N1751">
        <v>53.1198097332312</v>
      </c>
      <c r="O1751">
        <v>53.059568798908003</v>
      </c>
      <c r="P1751">
        <v>-1.03964153022156</v>
      </c>
      <c r="Q1751">
        <v>0.11739335643669099</v>
      </c>
      <c r="R1751">
        <v>0.963580242393556</v>
      </c>
      <c r="S1751" t="s">
        <v>7612</v>
      </c>
      <c r="T1751" t="s">
        <v>11720</v>
      </c>
      <c r="U1751" t="s">
        <v>11720</v>
      </c>
      <c r="V1751" t="s">
        <v>11720</v>
      </c>
      <c r="W1751" t="s">
        <v>13437</v>
      </c>
      <c r="X1751">
        <v>11</v>
      </c>
      <c r="Y1751" t="s">
        <v>19215</v>
      </c>
      <c r="Z1751" t="s">
        <v>24958</v>
      </c>
      <c r="AA1751">
        <v>0.50179040139166564</v>
      </c>
      <c r="AB1751" t="str">
        <f>HYPERLINK("Melting_Curves/meltCurve_P04844_2_RPN2.pdf", "Melting_Curves/meltCurve_P04844_2_RPN2.pdf")</f>
        <v>Melting_Curves/meltCurve_P04844_2_RPN2.pdf</v>
      </c>
    </row>
    <row r="1752" spans="1:28" x14ac:dyDescent="0.25">
      <c r="A1752" t="s">
        <v>1756</v>
      </c>
      <c r="B1752">
        <v>0.99334974765950101</v>
      </c>
      <c r="C1752">
        <v>0.97686155624243798</v>
      </c>
      <c r="D1752">
        <v>0.95876834272851597</v>
      </c>
      <c r="E1752">
        <v>0.99842510771406201</v>
      </c>
      <c r="F1752">
        <v>0.73166900520901401</v>
      </c>
      <c r="G1752">
        <v>0.24357678991500001</v>
      </c>
      <c r="H1752">
        <v>0.19158250119480699</v>
      </c>
      <c r="I1752">
        <v>0.148623130320334</v>
      </c>
      <c r="J1752">
        <v>0.158373409620119</v>
      </c>
      <c r="K1752">
        <v>0.124596556506524</v>
      </c>
      <c r="L1752">
        <v>2241.85323205034</v>
      </c>
      <c r="M1752">
        <v>41.496712173934199</v>
      </c>
      <c r="N1752">
        <v>54.507812820734102</v>
      </c>
      <c r="O1752">
        <v>53.8998299780393</v>
      </c>
      <c r="P1752">
        <v>-0.162863290602144</v>
      </c>
      <c r="Q1752">
        <v>0.15383293719312799</v>
      </c>
      <c r="R1752">
        <v>0.99674555275576104</v>
      </c>
      <c r="S1752" t="s">
        <v>7613</v>
      </c>
      <c r="T1752" t="s">
        <v>11720</v>
      </c>
      <c r="U1752" t="s">
        <v>11720</v>
      </c>
      <c r="V1752" t="s">
        <v>11720</v>
      </c>
      <c r="W1752" t="s">
        <v>13438</v>
      </c>
      <c r="X1752">
        <v>24</v>
      </c>
      <c r="Y1752" t="s">
        <v>19216</v>
      </c>
      <c r="Z1752" t="s">
        <v>24959</v>
      </c>
      <c r="AA1752">
        <v>0.55234149881537264</v>
      </c>
      <c r="AB1752" t="str">
        <f>HYPERLINK("Melting_Curves/meltCurve_P04899_GNAI2.pdf", "Melting_Curves/meltCurve_P04899_GNAI2.pdf")</f>
        <v>Melting_Curves/meltCurve_P04899_GNAI2.pdf</v>
      </c>
    </row>
    <row r="1753" spans="1:28" x14ac:dyDescent="0.25">
      <c r="A1753" t="s">
        <v>1757</v>
      </c>
      <c r="B1753">
        <v>0.99334974765950101</v>
      </c>
      <c r="C1753">
        <v>0.90425481691015897</v>
      </c>
      <c r="D1753">
        <v>0.99661399851198096</v>
      </c>
      <c r="E1753">
        <v>0.89023216669410699</v>
      </c>
      <c r="F1753">
        <v>1.78726711391869</v>
      </c>
      <c r="G1753">
        <v>1.1560155756152699</v>
      </c>
      <c r="H1753">
        <v>1.25205409495543</v>
      </c>
      <c r="I1753">
        <v>1.13170956822533</v>
      </c>
      <c r="J1753">
        <v>1.58376193803312</v>
      </c>
      <c r="K1753">
        <v>1.22951852439972</v>
      </c>
      <c r="L1753">
        <v>4675.6999807099201</v>
      </c>
      <c r="M1753">
        <v>91.484061810359094</v>
      </c>
      <c r="O1753">
        <v>51.085045883392802</v>
      </c>
      <c r="P1753">
        <v>0.157069803600939</v>
      </c>
      <c r="Q1753">
        <v>1.3508334298687401</v>
      </c>
      <c r="R1753">
        <v>0.48198570187809597</v>
      </c>
      <c r="S1753" t="s">
        <v>7614</v>
      </c>
      <c r="T1753" t="s">
        <v>11720</v>
      </c>
      <c r="U1753" t="s">
        <v>11720</v>
      </c>
      <c r="V1753" t="s">
        <v>11720</v>
      </c>
      <c r="W1753" t="s">
        <v>13439</v>
      </c>
      <c r="X1753">
        <v>3</v>
      </c>
      <c r="Y1753" t="s">
        <v>19217</v>
      </c>
      <c r="Z1753" t="s">
        <v>24960</v>
      </c>
      <c r="AA1753">
        <v>1.220679225750765</v>
      </c>
      <c r="AB1753" t="str">
        <f>HYPERLINK("Melting_Curves/meltCurve_P04921_2_GYPC.pdf", "Melting_Curves/meltCurve_P04921_2_GYPC.pdf")</f>
        <v>Melting_Curves/meltCurve_P04921_2_GYPC.pdf</v>
      </c>
    </row>
    <row r="1754" spans="1:28" x14ac:dyDescent="0.25">
      <c r="A1754" t="s">
        <v>1758</v>
      </c>
      <c r="B1754">
        <v>0.99334974765950101</v>
      </c>
      <c r="C1754">
        <v>1.02526590911445</v>
      </c>
      <c r="D1754">
        <v>1.1756103186292699</v>
      </c>
      <c r="E1754">
        <v>1.7205331536977799</v>
      </c>
      <c r="F1754">
        <v>1.96394656035966</v>
      </c>
      <c r="G1754">
        <v>1.1518448596139801</v>
      </c>
      <c r="H1754">
        <v>0.398457007177073</v>
      </c>
      <c r="I1754">
        <v>0.167910374230021</v>
      </c>
      <c r="J1754">
        <v>0.18372153977230599</v>
      </c>
      <c r="K1754">
        <v>8.3983728933157906E-2</v>
      </c>
      <c r="L1754">
        <v>10563.483195527901</v>
      </c>
      <c r="M1754">
        <v>174.03667803337601</v>
      </c>
      <c r="N1754">
        <v>60.816721797440401</v>
      </c>
      <c r="O1754">
        <v>60.6888477857064</v>
      </c>
      <c r="P1754">
        <v>-0.61285074084432001</v>
      </c>
      <c r="Q1754">
        <v>0.145163740640709</v>
      </c>
      <c r="R1754">
        <v>0.61646738764019104</v>
      </c>
      <c r="S1754" t="s">
        <v>7615</v>
      </c>
      <c r="T1754" t="s">
        <v>11720</v>
      </c>
      <c r="U1754" t="s">
        <v>11720</v>
      </c>
      <c r="V1754" t="s">
        <v>11720</v>
      </c>
      <c r="W1754" t="s">
        <v>13440</v>
      </c>
      <c r="X1754">
        <v>41</v>
      </c>
      <c r="Y1754" t="s">
        <v>19218</v>
      </c>
      <c r="Z1754" t="s">
        <v>24961</v>
      </c>
      <c r="AA1754">
        <v>0.73509977107879376</v>
      </c>
      <c r="AB1754" t="str">
        <f>HYPERLINK("Melting_Curves/meltCurve_P05023_4_ATP1A1.pdf", "Melting_Curves/meltCurve_P05023_4_ATP1A1.pdf")</f>
        <v>Melting_Curves/meltCurve_P05023_4_ATP1A1.pdf</v>
      </c>
    </row>
    <row r="1755" spans="1:28" x14ac:dyDescent="0.25">
      <c r="A1755" t="s">
        <v>1759</v>
      </c>
      <c r="B1755">
        <v>0.99334974765950101</v>
      </c>
      <c r="C1755">
        <v>1.0002954032147799</v>
      </c>
      <c r="D1755">
        <v>0.96021833271269497</v>
      </c>
      <c r="E1755">
        <v>0.88292107636565598</v>
      </c>
      <c r="F1755">
        <v>0.84878026784668403</v>
      </c>
      <c r="G1755">
        <v>0.664432414199703</v>
      </c>
      <c r="H1755">
        <v>0.55836353628792101</v>
      </c>
      <c r="I1755">
        <v>0.58625169327831494</v>
      </c>
      <c r="J1755">
        <v>0.56414675954247195</v>
      </c>
      <c r="K1755">
        <v>0.50216787775399396</v>
      </c>
      <c r="L1755">
        <v>846.94233961776501</v>
      </c>
      <c r="M1755">
        <v>15.513478330280901</v>
      </c>
      <c r="O1755">
        <v>53.710954288340702</v>
      </c>
      <c r="P1755">
        <v>-3.5278361657073702E-2</v>
      </c>
      <c r="Q1755">
        <v>0.51147856259747504</v>
      </c>
      <c r="R1755">
        <v>0.98431295537729002</v>
      </c>
      <c r="S1755" t="s">
        <v>7616</v>
      </c>
      <c r="T1755" t="s">
        <v>11720</v>
      </c>
      <c r="U1755" t="s">
        <v>11720</v>
      </c>
      <c r="V1755" t="s">
        <v>11720</v>
      </c>
      <c r="W1755" t="s">
        <v>13441</v>
      </c>
      <c r="X1755">
        <v>19</v>
      </c>
      <c r="Y1755" t="s">
        <v>19219</v>
      </c>
      <c r="Z1755" t="s">
        <v>24962</v>
      </c>
      <c r="AA1755">
        <v>0.75843636140918325</v>
      </c>
      <c r="AB1755" t="str">
        <f>HYPERLINK("Melting_Curves/meltCurve_P05067_7_APP.pdf", "Melting_Curves/meltCurve_P05067_7_APP.pdf")</f>
        <v>Melting_Curves/meltCurve_P05067_7_APP.pdf</v>
      </c>
    </row>
    <row r="1756" spans="1:28" x14ac:dyDescent="0.25">
      <c r="A1756" t="s">
        <v>1760</v>
      </c>
      <c r="B1756">
        <v>0.99334974765950101</v>
      </c>
      <c r="C1756">
        <v>1.0019774857087</v>
      </c>
      <c r="D1756">
        <v>0.93760801711975605</v>
      </c>
      <c r="E1756">
        <v>0.81829793617686797</v>
      </c>
      <c r="F1756">
        <v>0.82486199623002099</v>
      </c>
      <c r="G1756">
        <v>0.728722802102583</v>
      </c>
      <c r="H1756">
        <v>0.72306968024223395</v>
      </c>
      <c r="I1756">
        <v>0.95076425528971398</v>
      </c>
      <c r="J1756">
        <v>0.82827567964609505</v>
      </c>
      <c r="K1756">
        <v>0.65012058704577003</v>
      </c>
      <c r="L1756">
        <v>1343.49777616911</v>
      </c>
      <c r="M1756">
        <v>28.234217159933198</v>
      </c>
      <c r="O1756">
        <v>47.347242966703703</v>
      </c>
      <c r="P1756">
        <v>-3.2686141029831597E-2</v>
      </c>
      <c r="Q1756">
        <v>0.78075032029294</v>
      </c>
      <c r="R1756">
        <v>0.58444361397297095</v>
      </c>
      <c r="S1756" t="s">
        <v>7617</v>
      </c>
      <c r="T1756" t="s">
        <v>11720</v>
      </c>
      <c r="U1756" t="s">
        <v>11720</v>
      </c>
      <c r="V1756" t="s">
        <v>11720</v>
      </c>
      <c r="W1756" t="s">
        <v>13442</v>
      </c>
      <c r="X1756">
        <v>11</v>
      </c>
      <c r="Y1756" t="s">
        <v>19220</v>
      </c>
      <c r="Z1756" t="s">
        <v>24963</v>
      </c>
      <c r="AA1756">
        <v>0.83767324141839405</v>
      </c>
      <c r="AB1756" t="str">
        <f>HYPERLINK("Melting_Curves/meltCurve_P05090_APOD.pdf", "Melting_Curves/meltCurve_P05090_APOD.pdf")</f>
        <v>Melting_Curves/meltCurve_P05090_APOD.pdf</v>
      </c>
    </row>
    <row r="1757" spans="1:28" x14ac:dyDescent="0.25">
      <c r="A1757" t="s">
        <v>1761</v>
      </c>
      <c r="B1757">
        <v>0.99334974765950101</v>
      </c>
      <c r="C1757">
        <v>1.0849928971448599</v>
      </c>
      <c r="D1757">
        <v>1.31019848843584</v>
      </c>
      <c r="E1757">
        <v>1.6879556126420601</v>
      </c>
      <c r="F1757">
        <v>1.2371633441038501</v>
      </c>
      <c r="G1757">
        <v>0.42970825315913902</v>
      </c>
      <c r="H1757">
        <v>0.21289315568650199</v>
      </c>
      <c r="I1757">
        <v>0.185246188701576</v>
      </c>
      <c r="J1757">
        <v>0.132951832562128</v>
      </c>
      <c r="K1757">
        <v>0.108131417728159</v>
      </c>
      <c r="L1757">
        <v>14207.3590574761</v>
      </c>
      <c r="M1757">
        <v>250</v>
      </c>
      <c r="N1757">
        <v>56.917107461297398</v>
      </c>
      <c r="O1757">
        <v>56.825801117280399</v>
      </c>
      <c r="P1757">
        <v>-0.92408990744432695</v>
      </c>
      <c r="Q1757">
        <v>0.15980563582916699</v>
      </c>
      <c r="R1757">
        <v>0.79383622376407303</v>
      </c>
      <c r="S1757" t="s">
        <v>7618</v>
      </c>
      <c r="T1757" t="s">
        <v>11720</v>
      </c>
      <c r="U1757" t="s">
        <v>11720</v>
      </c>
      <c r="V1757" t="s">
        <v>11720</v>
      </c>
      <c r="W1757" t="s">
        <v>13443</v>
      </c>
      <c r="X1757">
        <v>15</v>
      </c>
      <c r="Y1757" t="s">
        <v>19221</v>
      </c>
      <c r="Z1757" t="s">
        <v>24964</v>
      </c>
      <c r="AA1757">
        <v>0.63122268151058003</v>
      </c>
      <c r="AB1757" t="str">
        <f>HYPERLINK("Melting_Curves/meltCurve_P05091_ALDH2.pdf", "Melting_Curves/meltCurve_P05091_ALDH2.pdf")</f>
        <v>Melting_Curves/meltCurve_P05091_ALDH2.pdf</v>
      </c>
    </row>
    <row r="1758" spans="1:28" x14ac:dyDescent="0.25">
      <c r="A1758" t="s">
        <v>1762</v>
      </c>
      <c r="B1758">
        <v>0.99334974765950101</v>
      </c>
      <c r="C1758">
        <v>0.93447208257245096</v>
      </c>
      <c r="D1758">
        <v>1.1516356334593301</v>
      </c>
      <c r="E1758">
        <v>1.48629051717976</v>
      </c>
      <c r="F1758">
        <v>1.5133587082167399</v>
      </c>
      <c r="G1758">
        <v>1.2215502107923299</v>
      </c>
      <c r="H1758">
        <v>0.72688906588670998</v>
      </c>
      <c r="I1758">
        <v>0.59073086488795001</v>
      </c>
      <c r="J1758">
        <v>0.39978961198625201</v>
      </c>
      <c r="K1758">
        <v>0.23737193414974</v>
      </c>
      <c r="L1758">
        <v>2038.8586241845101</v>
      </c>
      <c r="M1758">
        <v>32.172542359112001</v>
      </c>
      <c r="N1758">
        <v>64.710632085662994</v>
      </c>
      <c r="O1758">
        <v>63.129294849633197</v>
      </c>
      <c r="P1758">
        <v>-9.6457992255375394E-2</v>
      </c>
      <c r="Q1758">
        <v>0.242920263768926</v>
      </c>
      <c r="R1758">
        <v>0.64652341238163602</v>
      </c>
      <c r="S1758" t="s">
        <v>7619</v>
      </c>
      <c r="T1758" t="s">
        <v>11720</v>
      </c>
      <c r="U1758" t="s">
        <v>11720</v>
      </c>
      <c r="V1758" t="s">
        <v>11720</v>
      </c>
      <c r="W1758" t="s">
        <v>13444</v>
      </c>
      <c r="X1758">
        <v>5</v>
      </c>
      <c r="Y1758" t="s">
        <v>19222</v>
      </c>
      <c r="Z1758" t="s">
        <v>24965</v>
      </c>
      <c r="AA1758">
        <v>0.83486810620293417</v>
      </c>
      <c r="AB1758" t="str">
        <f>HYPERLINK("Melting_Curves/meltCurve_P05106_ITGB3.pdf", "Melting_Curves/meltCurve_P05106_ITGB3.pdf")</f>
        <v>Melting_Curves/meltCurve_P05106_ITGB3.pdf</v>
      </c>
    </row>
    <row r="1759" spans="1:28" x14ac:dyDescent="0.25">
      <c r="A1759" t="s">
        <v>1763</v>
      </c>
      <c r="B1759">
        <v>0.99334974765950101</v>
      </c>
      <c r="C1759">
        <v>1.1289236106401599</v>
      </c>
      <c r="D1759">
        <v>0.89806559116233797</v>
      </c>
      <c r="E1759">
        <v>0.87350438823534104</v>
      </c>
      <c r="F1759">
        <v>0.90919892245188605</v>
      </c>
      <c r="G1759">
        <v>0.46979546482533602</v>
      </c>
      <c r="H1759">
        <v>0.48304077434111697</v>
      </c>
      <c r="I1759">
        <v>0.63736732336856095</v>
      </c>
      <c r="J1759">
        <v>0.84216675720527701</v>
      </c>
      <c r="K1759">
        <v>0.69841909292159898</v>
      </c>
      <c r="L1759">
        <v>13310.256705973299</v>
      </c>
      <c r="M1759">
        <v>250</v>
      </c>
      <c r="O1759">
        <v>53.237619765672498</v>
      </c>
      <c r="P1759">
        <v>-0.43888386526832102</v>
      </c>
      <c r="Q1759">
        <v>0.62615788309190901</v>
      </c>
      <c r="R1759">
        <v>0.66677535766776597</v>
      </c>
      <c r="S1759" t="s">
        <v>7620</v>
      </c>
      <c r="T1759" t="s">
        <v>11720</v>
      </c>
      <c r="U1759" t="s">
        <v>11720</v>
      </c>
      <c r="V1759" t="s">
        <v>11720</v>
      </c>
      <c r="W1759" t="s">
        <v>13445</v>
      </c>
      <c r="X1759">
        <v>3</v>
      </c>
      <c r="Y1759" t="s">
        <v>19223</v>
      </c>
      <c r="Z1759" t="s">
        <v>24966</v>
      </c>
      <c r="AA1759">
        <v>0.79119459710533591</v>
      </c>
      <c r="AB1759" t="str">
        <f>HYPERLINK("Melting_Curves/meltCurve_P05114_HMGN1.pdf", "Melting_Curves/meltCurve_P05114_HMGN1.pdf")</f>
        <v>Melting_Curves/meltCurve_P05114_HMGN1.pdf</v>
      </c>
    </row>
    <row r="1760" spans="1:28" x14ac:dyDescent="0.25">
      <c r="A1760" t="s">
        <v>1764</v>
      </c>
      <c r="B1760">
        <v>0.99334974765950101</v>
      </c>
      <c r="C1760">
        <v>0.98420341163419101</v>
      </c>
      <c r="D1760">
        <v>0.86887834345242498</v>
      </c>
      <c r="E1760">
        <v>0.72296031625058399</v>
      </c>
      <c r="F1760">
        <v>0.63160968230661796</v>
      </c>
      <c r="G1760">
        <v>0.51652535341753303</v>
      </c>
      <c r="H1760">
        <v>0.32894203637501301</v>
      </c>
      <c r="I1760">
        <v>0.11383028434637001</v>
      </c>
      <c r="J1760">
        <v>0.107942373987749</v>
      </c>
      <c r="K1760">
        <v>9.0632016171681096E-2</v>
      </c>
      <c r="L1760">
        <v>596.71039819349096</v>
      </c>
      <c r="M1760">
        <v>10.718549296888799</v>
      </c>
      <c r="N1760">
        <v>55.670817165400599</v>
      </c>
      <c r="O1760">
        <v>53.837996966402002</v>
      </c>
      <c r="P1760">
        <v>-4.9790786466334197E-2</v>
      </c>
      <c r="Q1760">
        <v>0</v>
      </c>
      <c r="R1760">
        <v>0.98199609654876596</v>
      </c>
      <c r="S1760" t="s">
        <v>7621</v>
      </c>
      <c r="T1760" t="s">
        <v>11720</v>
      </c>
      <c r="U1760" t="s">
        <v>11720</v>
      </c>
      <c r="V1760" t="s">
        <v>11720</v>
      </c>
      <c r="W1760" t="s">
        <v>13446</v>
      </c>
      <c r="X1760">
        <v>20</v>
      </c>
      <c r="Y1760" t="s">
        <v>19224</v>
      </c>
      <c r="Z1760" t="s">
        <v>24967</v>
      </c>
      <c r="AA1760">
        <v>0.54476157293264216</v>
      </c>
      <c r="AB1760" t="str">
        <f>HYPERLINK("Melting_Curves/meltCurve_P05120_SERPINB2.pdf", "Melting_Curves/meltCurve_P05120_SERPINB2.pdf")</f>
        <v>Melting_Curves/meltCurve_P05120_SERPINB2.pdf</v>
      </c>
    </row>
    <row r="1761" spans="1:28" x14ac:dyDescent="0.25">
      <c r="A1761" t="s">
        <v>1765</v>
      </c>
      <c r="B1761">
        <v>0.99334974765950101</v>
      </c>
      <c r="C1761">
        <v>0.95063318112279505</v>
      </c>
      <c r="D1761">
        <v>0.76674044539132702</v>
      </c>
      <c r="E1761">
        <v>0.50642724409142104</v>
      </c>
      <c r="F1761">
        <v>0.32445403892741198</v>
      </c>
      <c r="G1761">
        <v>0.30713909291536501</v>
      </c>
      <c r="H1761">
        <v>0.25197706015911397</v>
      </c>
      <c r="I1761">
        <v>0.27388687004991302</v>
      </c>
      <c r="J1761">
        <v>0.154110682776955</v>
      </c>
      <c r="K1761">
        <v>9.7546762338647994E-2</v>
      </c>
      <c r="L1761">
        <v>778.59678503600696</v>
      </c>
      <c r="M1761">
        <v>15.954112115006099</v>
      </c>
      <c r="N1761">
        <v>50.215021956093899</v>
      </c>
      <c r="O1761">
        <v>48.054835509968697</v>
      </c>
      <c r="P1761">
        <v>-6.7996869321288803E-2</v>
      </c>
      <c r="Q1761">
        <v>0.18082080154699801</v>
      </c>
      <c r="R1761">
        <v>0.97718573121395202</v>
      </c>
      <c r="S1761" t="s">
        <v>7622</v>
      </c>
      <c r="T1761" t="s">
        <v>11720</v>
      </c>
      <c r="U1761" t="s">
        <v>11720</v>
      </c>
      <c r="V1761" t="s">
        <v>11720</v>
      </c>
      <c r="W1761" t="s">
        <v>13447</v>
      </c>
      <c r="X1761">
        <v>17</v>
      </c>
      <c r="Y1761" t="s">
        <v>19225</v>
      </c>
      <c r="Z1761" t="s">
        <v>24968</v>
      </c>
      <c r="AA1761">
        <v>0.43926638921547712</v>
      </c>
      <c r="AB1761" t="str">
        <f>HYPERLINK("Melting_Curves/meltCurve_P05121_SERPINE1.pdf", "Melting_Curves/meltCurve_P05121_SERPINE1.pdf")</f>
        <v>Melting_Curves/meltCurve_P05121_SERPINE1.pdf</v>
      </c>
    </row>
    <row r="1762" spans="1:28" x14ac:dyDescent="0.25">
      <c r="A1762" t="s">
        <v>1766</v>
      </c>
      <c r="B1762">
        <v>0.99334974765950101</v>
      </c>
      <c r="C1762">
        <v>0.95334984329958095</v>
      </c>
      <c r="D1762">
        <v>0.94479186995813302</v>
      </c>
      <c r="E1762">
        <v>1.1102418275435799</v>
      </c>
      <c r="F1762">
        <v>1.3036716423966499</v>
      </c>
      <c r="G1762">
        <v>1.23679041025144</v>
      </c>
      <c r="H1762">
        <v>1.17437822642865</v>
      </c>
      <c r="I1762">
        <v>1.3042000743953699</v>
      </c>
      <c r="J1762">
        <v>1.0501433781295799</v>
      </c>
      <c r="K1762">
        <v>0.41666787411113099</v>
      </c>
      <c r="L1762">
        <v>15000</v>
      </c>
      <c r="M1762">
        <v>214.62210051572899</v>
      </c>
      <c r="N1762">
        <v>69.890286066452205</v>
      </c>
      <c r="O1762">
        <v>69.884217611131007</v>
      </c>
      <c r="P1762">
        <v>-0.76777743190013004</v>
      </c>
      <c r="Q1762">
        <v>0</v>
      </c>
      <c r="R1762">
        <v>0.52083013138004897</v>
      </c>
      <c r="S1762" t="s">
        <v>7623</v>
      </c>
      <c r="T1762" t="s">
        <v>11720</v>
      </c>
      <c r="U1762" t="s">
        <v>11720</v>
      </c>
      <c r="V1762" t="s">
        <v>11720</v>
      </c>
      <c r="W1762" t="s">
        <v>13448</v>
      </c>
      <c r="X1762">
        <v>23</v>
      </c>
      <c r="Y1762" t="s">
        <v>19226</v>
      </c>
      <c r="Z1762" t="s">
        <v>24969</v>
      </c>
      <c r="AA1762">
        <v>0.99057628059892544</v>
      </c>
      <c r="AB1762" t="str">
        <f>HYPERLINK("Melting_Curves/meltCurve_P05141_SLC25A5.pdf", "Melting_Curves/meltCurve_P05141_SLC25A5.pdf")</f>
        <v>Melting_Curves/meltCurve_P05141_SLC25A5.pdf</v>
      </c>
    </row>
    <row r="1763" spans="1:28" x14ac:dyDescent="0.25">
      <c r="A1763" t="s">
        <v>1767</v>
      </c>
      <c r="B1763">
        <v>0.99334974765950101</v>
      </c>
      <c r="C1763">
        <v>0.94960256739564297</v>
      </c>
      <c r="D1763">
        <v>0.925471094258419</v>
      </c>
      <c r="E1763">
        <v>0.57392957886420504</v>
      </c>
      <c r="F1763">
        <v>0.19227978085588299</v>
      </c>
      <c r="G1763">
        <v>0.111192281021256</v>
      </c>
      <c r="H1763">
        <v>9.7642999472321801E-2</v>
      </c>
      <c r="I1763">
        <v>6.3638888183006795E-2</v>
      </c>
      <c r="J1763">
        <v>7.3318007295176305E-2</v>
      </c>
      <c r="K1763">
        <v>5.8475812358523997E-2</v>
      </c>
      <c r="L1763">
        <v>1554.47933985038</v>
      </c>
      <c r="M1763">
        <v>31.003402329170001</v>
      </c>
      <c r="N1763">
        <v>50.392837091045102</v>
      </c>
      <c r="O1763">
        <v>49.931768578873204</v>
      </c>
      <c r="P1763">
        <v>-0.144007451271364</v>
      </c>
      <c r="Q1763">
        <v>7.2294458033191095E-2</v>
      </c>
      <c r="R1763">
        <v>0.99695197153541504</v>
      </c>
      <c r="S1763" t="s">
        <v>7624</v>
      </c>
      <c r="T1763" t="s">
        <v>11720</v>
      </c>
      <c r="U1763" t="s">
        <v>11720</v>
      </c>
      <c r="V1763" t="s">
        <v>11720</v>
      </c>
      <c r="W1763" t="s">
        <v>13449</v>
      </c>
      <c r="X1763">
        <v>3</v>
      </c>
      <c r="Y1763" t="s">
        <v>19227</v>
      </c>
      <c r="Z1763" t="s">
        <v>24970</v>
      </c>
      <c r="AA1763">
        <v>0.39120879552973409</v>
      </c>
      <c r="AB1763" t="str">
        <f>HYPERLINK("Melting_Curves/meltCurve_P05161_ISG15.pdf", "Melting_Curves/meltCurve_P05161_ISG15.pdf")</f>
        <v>Melting_Curves/meltCurve_P05161_ISG15.pdf</v>
      </c>
    </row>
    <row r="1764" spans="1:28" x14ac:dyDescent="0.25">
      <c r="A1764" t="s">
        <v>1768</v>
      </c>
      <c r="B1764">
        <v>0.99334974765950101</v>
      </c>
      <c r="C1764">
        <v>1.20066387924433</v>
      </c>
      <c r="D1764">
        <v>1.3708229766197599</v>
      </c>
      <c r="E1764">
        <v>1.61666530584608</v>
      </c>
      <c r="F1764">
        <v>2.3203316382385402</v>
      </c>
      <c r="G1764">
        <v>1.80015082550284</v>
      </c>
      <c r="H1764">
        <v>1.8772193725928199</v>
      </c>
      <c r="I1764">
        <v>1.5056963403421799</v>
      </c>
      <c r="J1764">
        <v>2.0393471858110899</v>
      </c>
      <c r="K1764">
        <v>1.4426113271182099</v>
      </c>
      <c r="L1764">
        <v>1588.8608853611499</v>
      </c>
      <c r="M1764">
        <v>36.427756170767097</v>
      </c>
      <c r="O1764">
        <v>43.485950745440199</v>
      </c>
      <c r="P1764">
        <v>0.104711607166024</v>
      </c>
      <c r="Q1764">
        <v>1.5</v>
      </c>
      <c r="R1764">
        <v>0.15216241380906001</v>
      </c>
      <c r="S1764" t="s">
        <v>7625</v>
      </c>
      <c r="T1764" t="s">
        <v>11720</v>
      </c>
      <c r="U1764" t="s">
        <v>11720</v>
      </c>
      <c r="V1764" t="s">
        <v>11720</v>
      </c>
      <c r="W1764" t="s">
        <v>13450</v>
      </c>
      <c r="X1764">
        <v>22</v>
      </c>
      <c r="Y1764" t="s">
        <v>19228</v>
      </c>
      <c r="Z1764" t="s">
        <v>24971</v>
      </c>
      <c r="AA1764">
        <v>1.437316472983285</v>
      </c>
      <c r="AB1764" t="str">
        <f>HYPERLINK("Melting_Curves/meltCurve_P05186_ALPL.pdf", "Melting_Curves/meltCurve_P05186_ALPL.pdf")</f>
        <v>Melting_Curves/meltCurve_P05186_ALPL.pdf</v>
      </c>
    </row>
    <row r="1765" spans="1:28" x14ac:dyDescent="0.25">
      <c r="A1765" t="s">
        <v>1769</v>
      </c>
      <c r="B1765">
        <v>0.99334974765950101</v>
      </c>
      <c r="C1765">
        <v>0.97417363824395098</v>
      </c>
      <c r="D1765">
        <v>0.84448599921329304</v>
      </c>
      <c r="E1765">
        <v>0.59714572155103396</v>
      </c>
      <c r="F1765">
        <v>0.35523036500245597</v>
      </c>
      <c r="G1765">
        <v>0.170488902035276</v>
      </c>
      <c r="H1765">
        <v>0.128145587174543</v>
      </c>
      <c r="I1765">
        <v>0.11513099958376601</v>
      </c>
      <c r="J1765">
        <v>0.123269533321581</v>
      </c>
      <c r="K1765">
        <v>0.104336330162893</v>
      </c>
      <c r="L1765">
        <v>937.57127828325895</v>
      </c>
      <c r="M1765">
        <v>18.6163247304451</v>
      </c>
      <c r="N1765">
        <v>50.963458033361803</v>
      </c>
      <c r="O1765">
        <v>49.792519818099599</v>
      </c>
      <c r="P1765">
        <v>-8.4266705728069102E-2</v>
      </c>
      <c r="Q1765">
        <v>9.8496539134047295E-2</v>
      </c>
      <c r="R1765">
        <v>0.99871447549540404</v>
      </c>
      <c r="S1765" t="s">
        <v>7626</v>
      </c>
      <c r="T1765" t="s">
        <v>11720</v>
      </c>
      <c r="U1765" t="s">
        <v>11720</v>
      </c>
      <c r="V1765" t="s">
        <v>11720</v>
      </c>
      <c r="W1765" t="s">
        <v>11879</v>
      </c>
      <c r="X1765">
        <v>22</v>
      </c>
      <c r="Y1765" t="s">
        <v>19229</v>
      </c>
      <c r="Z1765" t="s">
        <v>24972</v>
      </c>
      <c r="AA1765">
        <v>0.42426956143642192</v>
      </c>
      <c r="AB1765" t="str">
        <f>HYPERLINK("Melting_Curves/meltCurve_P05198_EIF2S1.pdf", "Melting_Curves/meltCurve_P05198_EIF2S1.pdf")</f>
        <v>Melting_Curves/meltCurve_P05198_EIF2S1.pdf</v>
      </c>
    </row>
    <row r="1766" spans="1:28" x14ac:dyDescent="0.25">
      <c r="A1766" t="s">
        <v>1770</v>
      </c>
      <c r="B1766">
        <v>0.99334974765950101</v>
      </c>
      <c r="C1766">
        <v>1.2860895998724999</v>
      </c>
      <c r="D1766">
        <v>0.84398263338262902</v>
      </c>
      <c r="E1766">
        <v>1.0515555904823599</v>
      </c>
      <c r="F1766">
        <v>1.42021396236596</v>
      </c>
      <c r="G1766">
        <v>0.73203139771123504</v>
      </c>
      <c r="H1766">
        <v>0.85361789242282005</v>
      </c>
      <c r="I1766">
        <v>0.99562962959961698</v>
      </c>
      <c r="J1766">
        <v>1.3916082930562701</v>
      </c>
      <c r="K1766">
        <v>1.3659168499251</v>
      </c>
      <c r="L1766">
        <v>15000</v>
      </c>
      <c r="M1766">
        <v>229.455432291167</v>
      </c>
      <c r="O1766">
        <v>65.3672084752221</v>
      </c>
      <c r="P1766">
        <v>0.33297207309083199</v>
      </c>
      <c r="Q1766">
        <v>1.37942800266237</v>
      </c>
      <c r="R1766">
        <v>0.34491690230517003</v>
      </c>
      <c r="S1766" t="s">
        <v>7627</v>
      </c>
      <c r="T1766" t="s">
        <v>11720</v>
      </c>
      <c r="U1766" t="s">
        <v>11720</v>
      </c>
      <c r="V1766" t="s">
        <v>11720</v>
      </c>
      <c r="W1766" t="s">
        <v>13451</v>
      </c>
      <c r="X1766">
        <v>1</v>
      </c>
      <c r="Y1766" t="s">
        <v>19230</v>
      </c>
      <c r="Z1766" t="s">
        <v>24973</v>
      </c>
      <c r="AA1766">
        <v>1.0584792411826489</v>
      </c>
      <c r="AB1766" t="str">
        <f>HYPERLINK("Melting_Curves/meltCurve_P05204_HMGN2.pdf", "Melting_Curves/meltCurve_P05204_HMGN2.pdf")</f>
        <v>Melting_Curves/meltCurve_P05204_HMGN2.pdf</v>
      </c>
    </row>
    <row r="1767" spans="1:28" x14ac:dyDescent="0.25">
      <c r="A1767" t="s">
        <v>1771</v>
      </c>
      <c r="B1767">
        <v>0.99334974765950101</v>
      </c>
      <c r="C1767">
        <v>0.99234126084605501</v>
      </c>
      <c r="D1767">
        <v>0.765875459227922</v>
      </c>
      <c r="E1767">
        <v>0.78115847257656201</v>
      </c>
      <c r="F1767">
        <v>0.50076216820422703</v>
      </c>
      <c r="G1767">
        <v>0.23355201723600399</v>
      </c>
      <c r="H1767">
        <v>0.19317948324644399</v>
      </c>
      <c r="I1767">
        <v>0.137836238323396</v>
      </c>
      <c r="J1767">
        <v>0.15247647018958199</v>
      </c>
      <c r="K1767">
        <v>8.7469157789507604E-2</v>
      </c>
      <c r="L1767">
        <v>751.56676012220805</v>
      </c>
      <c r="M1767">
        <v>14.3536069295341</v>
      </c>
      <c r="N1767">
        <v>52.9765082955753</v>
      </c>
      <c r="O1767">
        <v>51.375954614027897</v>
      </c>
      <c r="P1767">
        <v>-6.4488011139054197E-2</v>
      </c>
      <c r="Q1767">
        <v>7.6821393514846001E-2</v>
      </c>
      <c r="R1767">
        <v>0.97545956528270295</v>
      </c>
      <c r="S1767" t="s">
        <v>7628</v>
      </c>
      <c r="T1767" t="s">
        <v>11720</v>
      </c>
      <c r="U1767" t="s">
        <v>11720</v>
      </c>
      <c r="V1767" t="s">
        <v>11720</v>
      </c>
      <c r="W1767" t="s">
        <v>13452</v>
      </c>
      <c r="X1767">
        <v>2</v>
      </c>
      <c r="Y1767" t="s">
        <v>19231</v>
      </c>
      <c r="Z1767" t="s">
        <v>24974</v>
      </c>
      <c r="AA1767">
        <v>0.47891910321042069</v>
      </c>
      <c r="AB1767" t="str">
        <f>HYPERLINK("Melting_Curves/meltCurve_P05230_FGF1.pdf", "Melting_Curves/meltCurve_P05230_FGF1.pdf")</f>
        <v>Melting_Curves/meltCurve_P05230_FGF1.pdf</v>
      </c>
    </row>
    <row r="1768" spans="1:28" x14ac:dyDescent="0.25">
      <c r="A1768" t="s">
        <v>1772</v>
      </c>
      <c r="B1768">
        <v>0.99334974765950101</v>
      </c>
      <c r="C1768">
        <v>0.987127772663141</v>
      </c>
      <c r="D1768">
        <v>1.05831326320707</v>
      </c>
      <c r="E1768">
        <v>1.18607370930056</v>
      </c>
      <c r="F1768">
        <v>1.1360400552499601</v>
      </c>
      <c r="G1768">
        <v>1.06468556875622</v>
      </c>
      <c r="H1768">
        <v>0.86581166831429901</v>
      </c>
      <c r="I1768">
        <v>0.857217615162433</v>
      </c>
      <c r="J1768">
        <v>0.87174344029248196</v>
      </c>
      <c r="K1768">
        <v>0.69259142965114995</v>
      </c>
      <c r="L1768">
        <v>1126.1596590224101</v>
      </c>
      <c r="M1768">
        <v>16.210630303532</v>
      </c>
      <c r="O1768">
        <v>68.439057698644305</v>
      </c>
      <c r="P1768">
        <v>-3.1969806758352003E-2</v>
      </c>
      <c r="Q1768">
        <v>0.46015166276825697</v>
      </c>
      <c r="R1768">
        <v>0.61908969857648299</v>
      </c>
      <c r="S1768" t="s">
        <v>7629</v>
      </c>
      <c r="T1768" t="s">
        <v>11720</v>
      </c>
      <c r="U1768" t="s">
        <v>11720</v>
      </c>
      <c r="V1768" t="s">
        <v>11720</v>
      </c>
      <c r="W1768" t="s">
        <v>13453</v>
      </c>
      <c r="X1768">
        <v>9</v>
      </c>
      <c r="Y1768" t="s">
        <v>19232</v>
      </c>
      <c r="Z1768" t="s">
        <v>24975</v>
      </c>
      <c r="AA1768">
        <v>0.94818915071877352</v>
      </c>
      <c r="AB1768" t="str">
        <f>HYPERLINK("Melting_Curves/meltCurve_P05362_ICAM1.pdf", "Melting_Curves/meltCurve_P05362_ICAM1.pdf")</f>
        <v>Melting_Curves/meltCurve_P05362_ICAM1.pdf</v>
      </c>
    </row>
    <row r="1769" spans="1:28" x14ac:dyDescent="0.25">
      <c r="A1769" t="s">
        <v>1773</v>
      </c>
      <c r="B1769">
        <v>0.99334974765950101</v>
      </c>
      <c r="C1769">
        <v>1.0096161739768299</v>
      </c>
      <c r="D1769">
        <v>0.85933175601738798</v>
      </c>
      <c r="E1769">
        <v>0.63651890730192695</v>
      </c>
      <c r="F1769">
        <v>0.84175207143160402</v>
      </c>
      <c r="G1769">
        <v>0.76073051167848904</v>
      </c>
      <c r="H1769">
        <v>1.4666802476921399</v>
      </c>
      <c r="I1769">
        <v>1.72093651937273</v>
      </c>
      <c r="J1769">
        <v>1.7285634831668899</v>
      </c>
      <c r="K1769">
        <v>1.60594761561201</v>
      </c>
      <c r="L1769">
        <v>15000</v>
      </c>
      <c r="M1769">
        <v>248.54115820864601</v>
      </c>
      <c r="O1769">
        <v>60.348269341637099</v>
      </c>
      <c r="P1769">
        <v>0.51480589364463003</v>
      </c>
      <c r="Q1769">
        <v>1.5</v>
      </c>
      <c r="R1769">
        <v>0.78421573042996295</v>
      </c>
      <c r="S1769" t="s">
        <v>7630</v>
      </c>
      <c r="T1769" t="s">
        <v>11720</v>
      </c>
      <c r="U1769" t="s">
        <v>11720</v>
      </c>
      <c r="V1769" t="s">
        <v>11720</v>
      </c>
      <c r="W1769" t="s">
        <v>13454</v>
      </c>
      <c r="X1769">
        <v>2</v>
      </c>
      <c r="Y1769" t="s">
        <v>19233</v>
      </c>
      <c r="Z1769" t="s">
        <v>24976</v>
      </c>
      <c r="AA1769">
        <v>1.1607434658988589</v>
      </c>
      <c r="AB1769" t="str">
        <f>HYPERLINK("Melting_Curves/meltCurve_P05386_RPLP1.pdf", "Melting_Curves/meltCurve_P05386_RPLP1.pdf")</f>
        <v>Melting_Curves/meltCurve_P05386_RPLP1.pdf</v>
      </c>
    </row>
    <row r="1770" spans="1:28" x14ac:dyDescent="0.25">
      <c r="A1770" t="s">
        <v>1774</v>
      </c>
      <c r="B1770">
        <v>0.99334974765950101</v>
      </c>
      <c r="C1770">
        <v>0.99713482265102005</v>
      </c>
      <c r="D1770">
        <v>0.92179904267611601</v>
      </c>
      <c r="E1770">
        <v>0.85738137929739699</v>
      </c>
      <c r="F1770">
        <v>0.97051871157562097</v>
      </c>
      <c r="G1770">
        <v>1.34141299334284</v>
      </c>
      <c r="H1770">
        <v>2.1881450929367698</v>
      </c>
      <c r="I1770">
        <v>5.2700682091853004</v>
      </c>
      <c r="J1770">
        <v>4.2807582585294197</v>
      </c>
      <c r="K1770">
        <v>4.2057204279397</v>
      </c>
      <c r="L1770">
        <v>14206.2929422991</v>
      </c>
      <c r="M1770">
        <v>250</v>
      </c>
      <c r="O1770">
        <v>56.821536473675998</v>
      </c>
      <c r="P1770">
        <v>0.54996754051318797</v>
      </c>
      <c r="Q1770">
        <v>1.5</v>
      </c>
      <c r="R1770">
        <v>-0.12902644945736799</v>
      </c>
      <c r="S1770" t="s">
        <v>7631</v>
      </c>
      <c r="T1770" t="s">
        <v>11720</v>
      </c>
      <c r="U1770" t="s">
        <v>11720</v>
      </c>
      <c r="V1770" t="s">
        <v>11720</v>
      </c>
      <c r="W1770" t="s">
        <v>13455</v>
      </c>
      <c r="X1770">
        <v>9</v>
      </c>
      <c r="Y1770" t="s">
        <v>19234</v>
      </c>
      <c r="Z1770" t="s">
        <v>24977</v>
      </c>
      <c r="AA1770">
        <v>1.219530606867363</v>
      </c>
      <c r="AB1770" t="str">
        <f>HYPERLINK("Melting_Curves/meltCurve_P05387_RPLP2.pdf", "Melting_Curves/meltCurve_P05387_RPLP2.pdf")</f>
        <v>Melting_Curves/meltCurve_P05387_RPLP2.pdf</v>
      </c>
    </row>
    <row r="1771" spans="1:28" x14ac:dyDescent="0.25">
      <c r="A1771" t="s">
        <v>1775</v>
      </c>
      <c r="B1771">
        <v>0.99334974765950101</v>
      </c>
      <c r="C1771">
        <v>0.99042591184508</v>
      </c>
      <c r="D1771">
        <v>0.81828254482963603</v>
      </c>
      <c r="E1771">
        <v>0.53412166333778399</v>
      </c>
      <c r="F1771">
        <v>0.33676934658053098</v>
      </c>
      <c r="G1771">
        <v>0.240554976338374</v>
      </c>
      <c r="H1771">
        <v>0.200992895142699</v>
      </c>
      <c r="I1771">
        <v>0.13398940389529301</v>
      </c>
      <c r="J1771">
        <v>0.10028321737329</v>
      </c>
      <c r="K1771">
        <v>8.4117366259569296E-2</v>
      </c>
      <c r="L1771">
        <v>828.45142930630095</v>
      </c>
      <c r="M1771">
        <v>16.610088940229701</v>
      </c>
      <c r="N1771">
        <v>50.643001668204299</v>
      </c>
      <c r="O1771">
        <v>49.170298808564702</v>
      </c>
      <c r="P1771">
        <v>-7.5069534509335498E-2</v>
      </c>
      <c r="Q1771">
        <v>0.111157063175802</v>
      </c>
      <c r="R1771">
        <v>0.99358090457307202</v>
      </c>
      <c r="S1771" t="s">
        <v>7632</v>
      </c>
      <c r="T1771" t="s">
        <v>11720</v>
      </c>
      <c r="U1771" t="s">
        <v>11720</v>
      </c>
      <c r="V1771" t="s">
        <v>11720</v>
      </c>
      <c r="W1771" t="s">
        <v>13456</v>
      </c>
      <c r="X1771">
        <v>11</v>
      </c>
      <c r="Y1771" t="s">
        <v>19235</v>
      </c>
      <c r="Z1771" t="s">
        <v>24978</v>
      </c>
      <c r="AA1771">
        <v>0.42144450579763859</v>
      </c>
      <c r="AB1771" t="str">
        <f>HYPERLINK("Melting_Curves/meltCurve_P05388_RPLP0.pdf", "Melting_Curves/meltCurve_P05388_RPLP0.pdf")</f>
        <v>Melting_Curves/meltCurve_P05388_RPLP0.pdf</v>
      </c>
    </row>
    <row r="1772" spans="1:28" x14ac:dyDescent="0.25">
      <c r="A1772" t="s">
        <v>1776</v>
      </c>
      <c r="B1772">
        <v>0.99334974765950101</v>
      </c>
      <c r="C1772">
        <v>0.99067402346572297</v>
      </c>
      <c r="D1772">
        <v>1.10012050301986</v>
      </c>
      <c r="E1772">
        <v>0.97928293883503004</v>
      </c>
      <c r="F1772">
        <v>1.18645972612591</v>
      </c>
      <c r="G1772">
        <v>0.790880294048943</v>
      </c>
      <c r="H1772">
        <v>0.71714141812298504</v>
      </c>
      <c r="I1772">
        <v>0.70028891191791598</v>
      </c>
      <c r="J1772">
        <v>0.847393050601842</v>
      </c>
      <c r="K1772">
        <v>1.09657441814906</v>
      </c>
      <c r="L1772">
        <v>4029.47762724212</v>
      </c>
      <c r="M1772">
        <v>72.670718195152105</v>
      </c>
      <c r="O1772">
        <v>55.406490331562502</v>
      </c>
      <c r="P1772">
        <v>-5.5368842213174702E-2</v>
      </c>
      <c r="Q1772">
        <v>0.83114009574447401</v>
      </c>
      <c r="R1772">
        <v>0.405430562467674</v>
      </c>
      <c r="S1772" t="s">
        <v>7633</v>
      </c>
      <c r="T1772" t="s">
        <v>11720</v>
      </c>
      <c r="U1772" t="s">
        <v>11720</v>
      </c>
      <c r="V1772" t="s">
        <v>11720</v>
      </c>
      <c r="W1772" t="s">
        <v>13457</v>
      </c>
      <c r="X1772">
        <v>2</v>
      </c>
      <c r="Y1772" t="s">
        <v>19236</v>
      </c>
      <c r="Z1772" t="s">
        <v>24979</v>
      </c>
      <c r="AA1772">
        <v>0.91828907584588038</v>
      </c>
      <c r="AB1772" t="str">
        <f>HYPERLINK("Melting_Curves/meltCurve_P05412_JUN.pdf", "Melting_Curves/meltCurve_P05412_JUN.pdf")</f>
        <v>Melting_Curves/meltCurve_P05412_JUN.pdf</v>
      </c>
    </row>
    <row r="1773" spans="1:28" x14ac:dyDescent="0.25">
      <c r="A1773" t="s">
        <v>1777</v>
      </c>
      <c r="B1773">
        <v>0.99334974765950101</v>
      </c>
      <c r="C1773">
        <v>0.91004367472751901</v>
      </c>
      <c r="D1773">
        <v>0.81632188851174103</v>
      </c>
      <c r="E1773">
        <v>0.74241520034916297</v>
      </c>
      <c r="F1773">
        <v>0.52899177235546602</v>
      </c>
      <c r="G1773">
        <v>0.28072849457735399</v>
      </c>
      <c r="H1773">
        <v>0.168941065920718</v>
      </c>
      <c r="I1773">
        <v>0.123339101317813</v>
      </c>
      <c r="J1773">
        <v>0.108799155539425</v>
      </c>
      <c r="K1773">
        <v>0.12559758946463301</v>
      </c>
      <c r="L1773">
        <v>678.49428128231398</v>
      </c>
      <c r="M1773">
        <v>12.867491953082</v>
      </c>
      <c r="N1773">
        <v>53.165100458752299</v>
      </c>
      <c r="O1773">
        <v>51.504490164740901</v>
      </c>
      <c r="P1773">
        <v>-5.9343087211832499E-2</v>
      </c>
      <c r="Q1773">
        <v>5.0048399109647E-2</v>
      </c>
      <c r="R1773">
        <v>0.98958391797747902</v>
      </c>
      <c r="S1773" t="s">
        <v>7634</v>
      </c>
      <c r="T1773" t="s">
        <v>11720</v>
      </c>
      <c r="U1773" t="s">
        <v>11720</v>
      </c>
      <c r="V1773" t="s">
        <v>11720</v>
      </c>
      <c r="W1773" t="s">
        <v>13458</v>
      </c>
      <c r="X1773">
        <v>16</v>
      </c>
      <c r="Y1773" t="s">
        <v>19237</v>
      </c>
      <c r="Z1773" t="s">
        <v>24980</v>
      </c>
      <c r="AA1773">
        <v>0.47850578319843612</v>
      </c>
      <c r="AB1773" t="str">
        <f>HYPERLINK("Melting_Curves/meltCurve_P05413_FABP3.pdf", "Melting_Curves/meltCurve_P05413_FABP3.pdf")</f>
        <v>Melting_Curves/meltCurve_P05413_FABP3.pdf</v>
      </c>
    </row>
    <row r="1774" spans="1:28" x14ac:dyDescent="0.25">
      <c r="A1774" t="s">
        <v>1778</v>
      </c>
      <c r="B1774">
        <v>0.99334974765950101</v>
      </c>
      <c r="C1774">
        <v>0.410209704779748</v>
      </c>
      <c r="D1774">
        <v>1.44827132880383</v>
      </c>
      <c r="E1774">
        <v>0.385406220318883</v>
      </c>
      <c r="F1774">
        <v>0.85486173303614699</v>
      </c>
      <c r="G1774">
        <v>0.18515570088413799</v>
      </c>
      <c r="H1774">
        <v>7.9329204078139398E-2</v>
      </c>
      <c r="I1774">
        <v>4.1497019898854098E-2</v>
      </c>
      <c r="J1774">
        <v>4.2823182384268001E-2</v>
      </c>
      <c r="K1774">
        <v>3.4117789699813099E-2</v>
      </c>
      <c r="L1774">
        <v>906.21910760080095</v>
      </c>
      <c r="M1774">
        <v>16.857681665623701</v>
      </c>
      <c r="N1774">
        <v>53.757043193186902</v>
      </c>
      <c r="O1774">
        <v>53.017660969187901</v>
      </c>
      <c r="P1774">
        <v>-7.9495944134624297E-2</v>
      </c>
      <c r="Q1774">
        <v>0</v>
      </c>
      <c r="R1774">
        <v>0.61431797948684497</v>
      </c>
      <c r="S1774" t="s">
        <v>7635</v>
      </c>
      <c r="T1774" t="s">
        <v>11720</v>
      </c>
      <c r="U1774" t="s">
        <v>11720</v>
      </c>
      <c r="V1774" t="s">
        <v>11720</v>
      </c>
      <c r="W1774" t="s">
        <v>13459</v>
      </c>
      <c r="X1774">
        <v>26</v>
      </c>
      <c r="Y1774" t="s">
        <v>19238</v>
      </c>
      <c r="Z1774" t="s">
        <v>24981</v>
      </c>
      <c r="AA1774">
        <v>0.47630474122564292</v>
      </c>
      <c r="AB1774" t="str">
        <f>HYPERLINK("Melting_Curves/meltCurve_P05455_SSB.pdf", "Melting_Curves/meltCurve_P05455_SSB.pdf")</f>
        <v>Melting_Curves/meltCurve_P05455_SSB.pdf</v>
      </c>
    </row>
    <row r="1775" spans="1:28" x14ac:dyDescent="0.25">
      <c r="A1775" t="s">
        <v>1779</v>
      </c>
      <c r="B1775">
        <v>0.99334974765950101</v>
      </c>
      <c r="C1775">
        <v>0.97995877246136398</v>
      </c>
      <c r="D1775">
        <v>1.0408526535713201</v>
      </c>
      <c r="E1775">
        <v>1.0487031298296601</v>
      </c>
      <c r="F1775">
        <v>0.93714944562038205</v>
      </c>
      <c r="G1775">
        <v>0.86739652716436499</v>
      </c>
      <c r="H1775">
        <v>0.80213639986663199</v>
      </c>
      <c r="I1775">
        <v>1.0172156391148699</v>
      </c>
      <c r="J1775">
        <v>0.99890385207495502</v>
      </c>
      <c r="K1775">
        <v>0.79912647593908204</v>
      </c>
      <c r="L1775">
        <v>13226.306570610501</v>
      </c>
      <c r="M1775">
        <v>250</v>
      </c>
      <c r="O1775">
        <v>52.901845332881699</v>
      </c>
      <c r="P1775">
        <v>-0.121739891452672</v>
      </c>
      <c r="Q1775">
        <v>0.89695577059924403</v>
      </c>
      <c r="R1775">
        <v>0.38469939810704201</v>
      </c>
      <c r="S1775" t="s">
        <v>7636</v>
      </c>
      <c r="T1775" t="s">
        <v>11720</v>
      </c>
      <c r="U1775" t="s">
        <v>11720</v>
      </c>
      <c r="V1775" t="s">
        <v>11720</v>
      </c>
      <c r="W1775" t="s">
        <v>13460</v>
      </c>
      <c r="X1775">
        <v>48</v>
      </c>
      <c r="Y1775" t="s">
        <v>17814</v>
      </c>
      <c r="Z1775" t="s">
        <v>24982</v>
      </c>
      <c r="AA1775">
        <v>0.94129230795148966</v>
      </c>
      <c r="AB1775" t="str">
        <f>HYPERLINK("Melting_Curves/meltCurve_P05556_ITGB1.pdf", "Melting_Curves/meltCurve_P05556_ITGB1.pdf")</f>
        <v>Melting_Curves/meltCurve_P05556_ITGB1.pdf</v>
      </c>
    </row>
    <row r="1776" spans="1:28" x14ac:dyDescent="0.25">
      <c r="A1776" t="s">
        <v>1780</v>
      </c>
      <c r="B1776">
        <v>0.99334974765950101</v>
      </c>
      <c r="C1776">
        <v>0.99311185989933504</v>
      </c>
      <c r="D1776">
        <v>1.01954159981984</v>
      </c>
      <c r="E1776">
        <v>1.0371506009201299</v>
      </c>
      <c r="F1776">
        <v>1.1976300086590299</v>
      </c>
      <c r="G1776">
        <v>1.2825784591239999</v>
      </c>
      <c r="H1776">
        <v>1.2034608843040899</v>
      </c>
      <c r="I1776">
        <v>1.4527609363592799</v>
      </c>
      <c r="J1776">
        <v>1.1979332611345399</v>
      </c>
      <c r="K1776">
        <v>1.08426940908118</v>
      </c>
      <c r="L1776">
        <v>2892.4453195118799</v>
      </c>
      <c r="M1776">
        <v>56.090629171561801</v>
      </c>
      <c r="O1776">
        <v>51.501922540237999</v>
      </c>
      <c r="P1776">
        <v>6.6445909410156295E-2</v>
      </c>
      <c r="Q1776">
        <v>1.2440401038983</v>
      </c>
      <c r="R1776">
        <v>0.62498429417398105</v>
      </c>
      <c r="S1776" t="s">
        <v>7637</v>
      </c>
      <c r="T1776" t="s">
        <v>11720</v>
      </c>
      <c r="U1776" t="s">
        <v>11720</v>
      </c>
      <c r="V1776" t="s">
        <v>11720</v>
      </c>
      <c r="W1776" t="s">
        <v>13461</v>
      </c>
      <c r="X1776">
        <v>41</v>
      </c>
      <c r="Y1776" t="s">
        <v>19239</v>
      </c>
      <c r="Z1776" t="s">
        <v>24983</v>
      </c>
      <c r="AA1776">
        <v>1.1495029112222619</v>
      </c>
      <c r="AB1776" t="str">
        <f>HYPERLINK("Melting_Curves/meltCurve_P05997_COL5A2.pdf", "Melting_Curves/meltCurve_P05997_COL5A2.pdf")</f>
        <v>Melting_Curves/meltCurve_P05997_COL5A2.pdf</v>
      </c>
    </row>
    <row r="1777" spans="1:28" x14ac:dyDescent="0.25">
      <c r="A1777" t="s">
        <v>1781</v>
      </c>
      <c r="B1777">
        <v>0.99334974765950101</v>
      </c>
      <c r="C1777">
        <v>0.98243348051208601</v>
      </c>
      <c r="D1777">
        <v>1.02094871107027</v>
      </c>
      <c r="E1777">
        <v>0.87143163520276501</v>
      </c>
      <c r="F1777">
        <v>0.834623069281204</v>
      </c>
      <c r="G1777">
        <v>0.72916878390664297</v>
      </c>
      <c r="H1777">
        <v>0.614284679422754</v>
      </c>
      <c r="I1777">
        <v>0.45529738531429897</v>
      </c>
      <c r="J1777">
        <v>0.18444144288889999</v>
      </c>
      <c r="K1777">
        <v>0.10628092137880001</v>
      </c>
      <c r="L1777">
        <v>808.23157340807404</v>
      </c>
      <c r="M1777">
        <v>13.1048154634956</v>
      </c>
      <c r="N1777">
        <v>61.674395664386701</v>
      </c>
      <c r="O1777">
        <v>60.291287334239499</v>
      </c>
      <c r="P1777">
        <v>-5.4348894979740797E-2</v>
      </c>
      <c r="Q1777">
        <v>0</v>
      </c>
      <c r="R1777">
        <v>0.966001131079961</v>
      </c>
      <c r="S1777" t="s">
        <v>7638</v>
      </c>
      <c r="T1777" t="s">
        <v>11720</v>
      </c>
      <c r="U1777" t="s">
        <v>11720</v>
      </c>
      <c r="V1777" t="s">
        <v>11720</v>
      </c>
      <c r="W1777" t="s">
        <v>13462</v>
      </c>
      <c r="X1777">
        <v>15</v>
      </c>
      <c r="Y1777" t="s">
        <v>19240</v>
      </c>
      <c r="Z1777" t="s">
        <v>24984</v>
      </c>
      <c r="AA1777">
        <v>0.71718487394561059</v>
      </c>
      <c r="AB1777" t="str">
        <f>HYPERLINK("Melting_Curves/meltCurve_P06132_UROD.pdf", "Melting_Curves/meltCurve_P06132_UROD.pdf")</f>
        <v>Melting_Curves/meltCurve_P06132_UROD.pdf</v>
      </c>
    </row>
    <row r="1778" spans="1:28" x14ac:dyDescent="0.25">
      <c r="A1778" t="s">
        <v>1782</v>
      </c>
      <c r="B1778">
        <v>0.99334974765950101</v>
      </c>
      <c r="C1778">
        <v>0.93096593509233205</v>
      </c>
      <c r="D1778">
        <v>0.82783182445845505</v>
      </c>
      <c r="E1778">
        <v>0.75115901189010204</v>
      </c>
      <c r="F1778">
        <v>0.50231777766188801</v>
      </c>
      <c r="G1778">
        <v>0.149251711025186</v>
      </c>
      <c r="H1778">
        <v>9.8021040297326806E-2</v>
      </c>
      <c r="I1778">
        <v>7.2714601924264294E-2</v>
      </c>
      <c r="J1778">
        <v>8.15348507676361E-2</v>
      </c>
      <c r="K1778">
        <v>3.7703096805072202E-2</v>
      </c>
      <c r="L1778">
        <v>895.22204304378704</v>
      </c>
      <c r="M1778">
        <v>17.0796172444647</v>
      </c>
      <c r="N1778">
        <v>52.569403727776503</v>
      </c>
      <c r="O1778">
        <v>51.711933163484602</v>
      </c>
      <c r="P1778">
        <v>-8.0551433859160804E-2</v>
      </c>
      <c r="Q1778">
        <v>2.4517330891879002E-2</v>
      </c>
      <c r="R1778">
        <v>0.98568840680499803</v>
      </c>
      <c r="S1778" t="s">
        <v>7639</v>
      </c>
      <c r="T1778" t="s">
        <v>11720</v>
      </c>
      <c r="U1778" t="s">
        <v>11720</v>
      </c>
      <c r="V1778" t="s">
        <v>11720</v>
      </c>
      <c r="W1778" t="s">
        <v>13463</v>
      </c>
      <c r="X1778">
        <v>9</v>
      </c>
      <c r="Y1778" t="s">
        <v>19241</v>
      </c>
      <c r="Z1778" t="s">
        <v>24985</v>
      </c>
      <c r="AA1778">
        <v>0.4457758824876169</v>
      </c>
      <c r="AB1778" t="str">
        <f>HYPERLINK("Melting_Curves/meltCurve_P06241_FYN.pdf", "Melting_Curves/meltCurve_P06241_FYN.pdf")</f>
        <v>Melting_Curves/meltCurve_P06241_FYN.pdf</v>
      </c>
    </row>
    <row r="1779" spans="1:28" x14ac:dyDescent="0.25">
      <c r="A1779" t="s">
        <v>1783</v>
      </c>
      <c r="B1779">
        <v>0.99334974765950101</v>
      </c>
      <c r="C1779">
        <v>0.96775294814101598</v>
      </c>
      <c r="D1779">
        <v>1.0269966531174299</v>
      </c>
      <c r="E1779">
        <v>0.90633998307143904</v>
      </c>
      <c r="F1779">
        <v>0.77757653546781702</v>
      </c>
      <c r="G1779">
        <v>0.59880322271583497</v>
      </c>
      <c r="H1779">
        <v>0.43710629215892399</v>
      </c>
      <c r="I1779">
        <v>0.25001390601659501</v>
      </c>
      <c r="J1779">
        <v>0.17094312943735801</v>
      </c>
      <c r="K1779">
        <v>0.14078915157837399</v>
      </c>
      <c r="L1779">
        <v>739.368794079238</v>
      </c>
      <c r="M1779">
        <v>12.559304028036401</v>
      </c>
      <c r="N1779">
        <v>58.953962697304299</v>
      </c>
      <c r="O1779">
        <v>57.4375126835386</v>
      </c>
      <c r="P1779">
        <v>-5.4192648878703703E-2</v>
      </c>
      <c r="Q1779">
        <v>8.8426354554591302E-3</v>
      </c>
      <c r="R1779">
        <v>0.99393439145663698</v>
      </c>
      <c r="S1779" t="s">
        <v>7640</v>
      </c>
      <c r="T1779" t="s">
        <v>11720</v>
      </c>
      <c r="U1779" t="s">
        <v>11720</v>
      </c>
      <c r="V1779" t="s">
        <v>11720</v>
      </c>
      <c r="W1779" t="s">
        <v>13464</v>
      </c>
      <c r="X1779">
        <v>7</v>
      </c>
      <c r="Y1779" t="s">
        <v>19242</v>
      </c>
      <c r="Z1779" t="s">
        <v>24986</v>
      </c>
      <c r="AA1779">
        <v>0.64150833099638738</v>
      </c>
      <c r="AB1779" t="str">
        <f>HYPERLINK("Melting_Curves/meltCurve_P06280_GLA.pdf", "Melting_Curves/meltCurve_P06280_GLA.pdf")</f>
        <v>Melting_Curves/meltCurve_P06280_GLA.pdf</v>
      </c>
    </row>
    <row r="1780" spans="1:28" x14ac:dyDescent="0.25">
      <c r="A1780" t="s">
        <v>1784</v>
      </c>
      <c r="B1780">
        <v>0.99334974765950101</v>
      </c>
      <c r="C1780">
        <v>0.86995471393199097</v>
      </c>
      <c r="D1780">
        <v>0.91087848098726099</v>
      </c>
      <c r="E1780">
        <v>0.82474056218835001</v>
      </c>
      <c r="F1780">
        <v>0.47664473882130198</v>
      </c>
      <c r="G1780">
        <v>0.31777082736510098</v>
      </c>
      <c r="H1780">
        <v>0.22168103528706001</v>
      </c>
      <c r="I1780">
        <v>0.241717196507865</v>
      </c>
      <c r="J1780">
        <v>0.16231962855120599</v>
      </c>
      <c r="K1780">
        <v>0.15418913438838999</v>
      </c>
      <c r="L1780">
        <v>970.75235403212002</v>
      </c>
      <c r="M1780">
        <v>18.567480737267001</v>
      </c>
      <c r="N1780">
        <v>53.448968759836703</v>
      </c>
      <c r="O1780">
        <v>51.687259523371402</v>
      </c>
      <c r="P1780">
        <v>-7.4848668680575103E-2</v>
      </c>
      <c r="Q1780">
        <v>0.16659588776377601</v>
      </c>
      <c r="R1780">
        <v>0.97567855655133995</v>
      </c>
      <c r="S1780" t="s">
        <v>7641</v>
      </c>
      <c r="T1780" t="s">
        <v>11720</v>
      </c>
      <c r="U1780" t="s">
        <v>11720</v>
      </c>
      <c r="V1780" t="s">
        <v>11720</v>
      </c>
      <c r="W1780" t="s">
        <v>13465</v>
      </c>
      <c r="X1780">
        <v>40</v>
      </c>
      <c r="Y1780" t="s">
        <v>19243</v>
      </c>
      <c r="Z1780" t="s">
        <v>24987</v>
      </c>
      <c r="AA1780">
        <v>0.52090851621275369</v>
      </c>
      <c r="AB1780" t="str">
        <f>HYPERLINK("Melting_Curves/meltCurve_P06396_2_GSN.pdf", "Melting_Curves/meltCurve_P06396_2_GSN.pdf")</f>
        <v>Melting_Curves/meltCurve_P06396_2_GSN.pdf</v>
      </c>
    </row>
    <row r="1781" spans="1:28" x14ac:dyDescent="0.25">
      <c r="A1781" t="s">
        <v>1785</v>
      </c>
      <c r="B1781">
        <v>0.99334974765950101</v>
      </c>
      <c r="C1781">
        <v>0.96922645534616303</v>
      </c>
      <c r="D1781">
        <v>0.94329312007550703</v>
      </c>
      <c r="E1781">
        <v>0.923472935891261</v>
      </c>
      <c r="F1781">
        <v>0.64929497107604095</v>
      </c>
      <c r="G1781">
        <v>0.34251050246208398</v>
      </c>
      <c r="H1781">
        <v>0.26518214252708899</v>
      </c>
      <c r="I1781">
        <v>0.222600564546234</v>
      </c>
      <c r="J1781">
        <v>0.219099748928588</v>
      </c>
      <c r="K1781">
        <v>0.17177887880534501</v>
      </c>
      <c r="L1781">
        <v>1380.6744842927801</v>
      </c>
      <c r="M1781">
        <v>25.745020516647202</v>
      </c>
      <c r="N1781">
        <v>54.748651891577197</v>
      </c>
      <c r="O1781">
        <v>53.308368871094203</v>
      </c>
      <c r="P1781">
        <v>-9.6023279125601699E-2</v>
      </c>
      <c r="Q1781">
        <v>0.204695437090439</v>
      </c>
      <c r="R1781">
        <v>0.99468847952480299</v>
      </c>
      <c r="S1781" t="s">
        <v>7642</v>
      </c>
      <c r="T1781" t="s">
        <v>11720</v>
      </c>
      <c r="U1781" t="s">
        <v>11720</v>
      </c>
      <c r="V1781" t="s">
        <v>11720</v>
      </c>
      <c r="W1781" t="s">
        <v>13466</v>
      </c>
      <c r="X1781">
        <v>39</v>
      </c>
      <c r="Y1781" t="s">
        <v>19243</v>
      </c>
      <c r="Z1781" t="s">
        <v>24988</v>
      </c>
      <c r="AA1781">
        <v>0.57295716565308108</v>
      </c>
      <c r="AB1781" t="str">
        <f>HYPERLINK("Melting_Curves/meltCurve_P06396_3_GSN.pdf", "Melting_Curves/meltCurve_P06396_3_GSN.pdf")</f>
        <v>Melting_Curves/meltCurve_P06396_3_GSN.pdf</v>
      </c>
    </row>
    <row r="1782" spans="1:28" x14ac:dyDescent="0.25">
      <c r="A1782" t="s">
        <v>1786</v>
      </c>
      <c r="B1782">
        <v>0.99334974765950101</v>
      </c>
      <c r="C1782">
        <v>1.02164361165867</v>
      </c>
      <c r="D1782">
        <v>1.02505232814319</v>
      </c>
      <c r="E1782">
        <v>1.0899346366006399</v>
      </c>
      <c r="F1782">
        <v>0.84668759424839501</v>
      </c>
      <c r="G1782">
        <v>1.17378042813664</v>
      </c>
      <c r="H1782">
        <v>1.19561409448589</v>
      </c>
      <c r="I1782">
        <v>1.3789637373774699</v>
      </c>
      <c r="J1782">
        <v>0.19984144625339201</v>
      </c>
      <c r="K1782">
        <v>0.10925431565853801</v>
      </c>
      <c r="L1782">
        <v>15000</v>
      </c>
      <c r="M1782">
        <v>226.03851157546401</v>
      </c>
      <c r="N1782">
        <v>66.432238200128296</v>
      </c>
      <c r="O1782">
        <v>66.355184030519595</v>
      </c>
      <c r="P1782">
        <v>-0.75925516769515999</v>
      </c>
      <c r="Q1782">
        <v>0.108461440533045</v>
      </c>
      <c r="R1782">
        <v>0.84546138057540599</v>
      </c>
      <c r="S1782" t="s">
        <v>7643</v>
      </c>
      <c r="T1782" t="s">
        <v>11720</v>
      </c>
      <c r="U1782" t="s">
        <v>11720</v>
      </c>
      <c r="V1782" t="s">
        <v>11720</v>
      </c>
      <c r="W1782" t="s">
        <v>13467</v>
      </c>
      <c r="X1782">
        <v>27</v>
      </c>
      <c r="Y1782" t="s">
        <v>19244</v>
      </c>
      <c r="Z1782" t="s">
        <v>24989</v>
      </c>
      <c r="AA1782">
        <v>0.89196468641631343</v>
      </c>
      <c r="AB1782" t="str">
        <f>HYPERLINK("Melting_Curves/meltCurve_P06576_ATP5B.pdf", "Melting_Curves/meltCurve_P06576_ATP5B.pdf")</f>
        <v>Melting_Curves/meltCurve_P06576_ATP5B.pdf</v>
      </c>
    </row>
    <row r="1783" spans="1:28" x14ac:dyDescent="0.25">
      <c r="A1783" t="s">
        <v>1787</v>
      </c>
      <c r="B1783">
        <v>0.99334974765950101</v>
      </c>
      <c r="C1783">
        <v>0.99792426149425295</v>
      </c>
      <c r="D1783">
        <v>1.02738081544574</v>
      </c>
      <c r="E1783">
        <v>0.92714442336488001</v>
      </c>
      <c r="F1783">
        <v>0.95023245168464299</v>
      </c>
      <c r="G1783">
        <v>0.719620442913527</v>
      </c>
      <c r="H1783">
        <v>0.54793918165047595</v>
      </c>
      <c r="I1783">
        <v>0.24966122852591499</v>
      </c>
      <c r="J1783">
        <v>9.2215511919700996E-2</v>
      </c>
      <c r="K1783">
        <v>7.1745688366457894E-2</v>
      </c>
      <c r="L1783">
        <v>1152.0004434734401</v>
      </c>
      <c r="M1783">
        <v>18.9995634582462</v>
      </c>
      <c r="N1783">
        <v>60.632997457228598</v>
      </c>
      <c r="O1783">
        <v>59.973280724199398</v>
      </c>
      <c r="P1783">
        <v>-7.9203274714444397E-2</v>
      </c>
      <c r="Q1783">
        <v>0</v>
      </c>
      <c r="R1783">
        <v>0.98878371466771697</v>
      </c>
      <c r="S1783" t="s">
        <v>7644</v>
      </c>
      <c r="T1783" t="s">
        <v>11720</v>
      </c>
      <c r="U1783" t="s">
        <v>11720</v>
      </c>
      <c r="V1783" t="s">
        <v>11720</v>
      </c>
      <c r="W1783" t="s">
        <v>13468</v>
      </c>
      <c r="X1783">
        <v>50</v>
      </c>
      <c r="Y1783" t="s">
        <v>19245</v>
      </c>
      <c r="Z1783" t="s">
        <v>24990</v>
      </c>
      <c r="AA1783">
        <v>0.69456473097425853</v>
      </c>
      <c r="AB1783" t="str">
        <f>HYPERLINK("Melting_Curves/meltCurve_P06733_ENO1.pdf", "Melting_Curves/meltCurve_P06733_ENO1.pdf")</f>
        <v>Melting_Curves/meltCurve_P06733_ENO1.pdf</v>
      </c>
    </row>
    <row r="1784" spans="1:28" x14ac:dyDescent="0.25">
      <c r="A1784" t="s">
        <v>1788</v>
      </c>
      <c r="B1784">
        <v>0.99334974765950101</v>
      </c>
      <c r="C1784">
        <v>0.94064261550739703</v>
      </c>
      <c r="D1784">
        <v>1.0447018062139599</v>
      </c>
      <c r="E1784">
        <v>1.1178130479680799</v>
      </c>
      <c r="F1784">
        <v>1.03305315842476</v>
      </c>
      <c r="G1784">
        <v>0.55371379384119201</v>
      </c>
      <c r="H1784">
        <v>0.29755572877299902</v>
      </c>
      <c r="I1784">
        <v>0.19698611295854199</v>
      </c>
      <c r="J1784">
        <v>0.15600957938441501</v>
      </c>
      <c r="K1784">
        <v>0.12654630521923099</v>
      </c>
      <c r="L1784">
        <v>2319.9534715067002</v>
      </c>
      <c r="M1784">
        <v>40.712303600885697</v>
      </c>
      <c r="N1784">
        <v>57.588862356120899</v>
      </c>
      <c r="O1784">
        <v>56.8470943794836</v>
      </c>
      <c r="P1784">
        <v>-0.147899562849684</v>
      </c>
      <c r="Q1784">
        <v>0.173945258438747</v>
      </c>
      <c r="R1784">
        <v>0.97859363311665104</v>
      </c>
      <c r="S1784" t="s">
        <v>7645</v>
      </c>
      <c r="T1784" t="s">
        <v>11720</v>
      </c>
      <c r="U1784" t="s">
        <v>11720</v>
      </c>
      <c r="V1784" t="s">
        <v>11720</v>
      </c>
      <c r="W1784" t="s">
        <v>13469</v>
      </c>
      <c r="X1784">
        <v>26</v>
      </c>
      <c r="Y1784" t="s">
        <v>19246</v>
      </c>
      <c r="Z1784" t="s">
        <v>24991</v>
      </c>
      <c r="AA1784">
        <v>0.64471364183366831</v>
      </c>
      <c r="AB1784" t="str">
        <f>HYPERLINK("Melting_Curves/meltCurve_P06737_2_PYGL.pdf", "Melting_Curves/meltCurve_P06737_2_PYGL.pdf")</f>
        <v>Melting_Curves/meltCurve_P06737_2_PYGL.pdf</v>
      </c>
    </row>
    <row r="1785" spans="1:28" x14ac:dyDescent="0.25">
      <c r="A1785" t="s">
        <v>1789</v>
      </c>
      <c r="B1785">
        <v>0.99334974765950101</v>
      </c>
      <c r="C1785">
        <v>1.0231771710925499</v>
      </c>
      <c r="D1785">
        <v>1.09636441983334</v>
      </c>
      <c r="E1785">
        <v>1.18860298662122</v>
      </c>
      <c r="F1785">
        <v>0.73820274197759905</v>
      </c>
      <c r="G1785">
        <v>0.32176124990819999</v>
      </c>
      <c r="H1785">
        <v>9.7335205479413503E-2</v>
      </c>
      <c r="I1785">
        <v>7.1418846283034396E-2</v>
      </c>
      <c r="J1785">
        <v>6.9882343619028398E-2</v>
      </c>
      <c r="K1785">
        <v>5.9480416934394403E-2</v>
      </c>
      <c r="L1785">
        <v>1903.15986102999</v>
      </c>
      <c r="M1785">
        <v>34.546029460127997</v>
      </c>
      <c r="N1785">
        <v>55.324310281221898</v>
      </c>
      <c r="O1785">
        <v>54.906931371079402</v>
      </c>
      <c r="P1785">
        <v>-0.14661330436158199</v>
      </c>
      <c r="Q1785">
        <v>6.7903680694259103E-2</v>
      </c>
      <c r="R1785">
        <v>0.97037414984182102</v>
      </c>
      <c r="S1785" t="s">
        <v>7646</v>
      </c>
      <c r="T1785" t="s">
        <v>11720</v>
      </c>
      <c r="U1785" t="s">
        <v>11720</v>
      </c>
      <c r="V1785" t="s">
        <v>11720</v>
      </c>
      <c r="W1785" t="s">
        <v>13470</v>
      </c>
      <c r="X1785">
        <v>35</v>
      </c>
      <c r="Y1785" t="s">
        <v>19247</v>
      </c>
      <c r="Z1785" t="s">
        <v>24992</v>
      </c>
      <c r="AA1785">
        <v>0.54148472163552031</v>
      </c>
      <c r="AB1785" t="str">
        <f>HYPERLINK("Melting_Curves/meltCurve_P06744_GPI.pdf", "Melting_Curves/meltCurve_P06744_GPI.pdf")</f>
        <v>Melting_Curves/meltCurve_P06744_GPI.pdf</v>
      </c>
    </row>
    <row r="1786" spans="1:28" x14ac:dyDescent="0.25">
      <c r="A1786" t="s">
        <v>1790</v>
      </c>
      <c r="B1786">
        <v>0.99334974765950101</v>
      </c>
      <c r="C1786">
        <v>1.0129029514267101</v>
      </c>
      <c r="D1786">
        <v>0.94677050824187903</v>
      </c>
      <c r="E1786">
        <v>0.79846082191372902</v>
      </c>
      <c r="F1786">
        <v>0.72631247358934603</v>
      </c>
      <c r="G1786">
        <v>0.508307962136755</v>
      </c>
      <c r="H1786">
        <v>0.47815484607689301</v>
      </c>
      <c r="I1786">
        <v>0.537580754749162</v>
      </c>
      <c r="J1786">
        <v>0.62789862394237295</v>
      </c>
      <c r="K1786">
        <v>0.60202062519779198</v>
      </c>
      <c r="L1786">
        <v>1237.9259069520499</v>
      </c>
      <c r="M1786">
        <v>24.381811629397902</v>
      </c>
      <c r="O1786">
        <v>50.434689693730597</v>
      </c>
      <c r="P1786">
        <v>-5.4347402502802997E-2</v>
      </c>
      <c r="Q1786">
        <v>0.55032833593803399</v>
      </c>
      <c r="R1786">
        <v>0.93504540350786303</v>
      </c>
      <c r="S1786" t="s">
        <v>7647</v>
      </c>
      <c r="T1786" t="s">
        <v>11720</v>
      </c>
      <c r="U1786" t="s">
        <v>11720</v>
      </c>
      <c r="V1786" t="s">
        <v>11720</v>
      </c>
      <c r="W1786" t="s">
        <v>13471</v>
      </c>
      <c r="X1786">
        <v>15</v>
      </c>
      <c r="Y1786" t="s">
        <v>19248</v>
      </c>
      <c r="Z1786" t="s">
        <v>24993</v>
      </c>
      <c r="AA1786">
        <v>0.71605569988440654</v>
      </c>
      <c r="AB1786" t="str">
        <f>HYPERLINK("Melting_Curves/meltCurve_P06748_NPM1.pdf", "Melting_Curves/meltCurve_P06748_NPM1.pdf")</f>
        <v>Melting_Curves/meltCurve_P06748_NPM1.pdf</v>
      </c>
    </row>
    <row r="1787" spans="1:28" x14ac:dyDescent="0.25">
      <c r="A1787" t="s">
        <v>1791</v>
      </c>
      <c r="B1787">
        <v>0.99334974765950101</v>
      </c>
      <c r="C1787">
        <v>0.92325635137277096</v>
      </c>
      <c r="D1787">
        <v>0.788578313674271</v>
      </c>
      <c r="E1787">
        <v>0.74729281957711002</v>
      </c>
      <c r="F1787">
        <v>0.66327729459685603</v>
      </c>
      <c r="G1787">
        <v>1.1905835735358901</v>
      </c>
      <c r="H1787">
        <v>1.07174322461782</v>
      </c>
      <c r="I1787">
        <v>1.64257455516693</v>
      </c>
      <c r="J1787">
        <v>0.99968027022047301</v>
      </c>
      <c r="K1787">
        <v>0.65845567712910602</v>
      </c>
      <c r="L1787">
        <v>13269.8892865546</v>
      </c>
      <c r="M1787">
        <v>188.95909701958701</v>
      </c>
      <c r="Q1787">
        <v>2.9388727528428998E-2</v>
      </c>
      <c r="R1787">
        <v>0.13484335142429399</v>
      </c>
      <c r="S1787" t="s">
        <v>7648</v>
      </c>
      <c r="T1787" t="s">
        <v>11720</v>
      </c>
      <c r="U1787" t="s">
        <v>11720</v>
      </c>
      <c r="V1787" t="s">
        <v>11720</v>
      </c>
      <c r="W1787" t="s">
        <v>13472</v>
      </c>
      <c r="X1787">
        <v>45</v>
      </c>
      <c r="Y1787" t="s">
        <v>19249</v>
      </c>
      <c r="Z1787" t="s">
        <v>24994</v>
      </c>
      <c r="AA1787">
        <v>0.99487863091705764</v>
      </c>
      <c r="AB1787" t="str">
        <f>HYPERLINK("Melting_Curves/meltCurve_P06756_2_ITGAV.pdf", "Melting_Curves/meltCurve_P06756_2_ITGAV.pdf")</f>
        <v>Melting_Curves/meltCurve_P06756_2_ITGAV.pdf</v>
      </c>
    </row>
    <row r="1788" spans="1:28" x14ac:dyDescent="0.25">
      <c r="A1788" t="s">
        <v>1792</v>
      </c>
      <c r="B1788">
        <v>0.99334974765950101</v>
      </c>
      <c r="C1788">
        <v>0.89923844773431305</v>
      </c>
      <c r="D1788">
        <v>0.97701173860363399</v>
      </c>
      <c r="E1788">
        <v>0.939428187770181</v>
      </c>
      <c r="F1788">
        <v>1.08683369197265</v>
      </c>
      <c r="G1788">
        <v>0.57430298108243605</v>
      </c>
      <c r="H1788">
        <v>0.42912183878081001</v>
      </c>
      <c r="I1788">
        <v>0.39417636214999602</v>
      </c>
      <c r="J1788">
        <v>0.595796017838785</v>
      </c>
      <c r="K1788">
        <v>0.47499981497923199</v>
      </c>
      <c r="L1788">
        <v>14167.8748002303</v>
      </c>
      <c r="M1788">
        <v>250</v>
      </c>
      <c r="N1788">
        <v>57.345508195501999</v>
      </c>
      <c r="O1788">
        <v>56.667870470164999</v>
      </c>
      <c r="P1788">
        <v>-0.58066024930642002</v>
      </c>
      <c r="Q1788">
        <v>0.47352350409201799</v>
      </c>
      <c r="R1788">
        <v>0.92948628856670001</v>
      </c>
      <c r="S1788" t="s">
        <v>7649</v>
      </c>
      <c r="T1788" t="s">
        <v>11720</v>
      </c>
      <c r="U1788" t="s">
        <v>11720</v>
      </c>
      <c r="V1788" t="s">
        <v>11720</v>
      </c>
      <c r="W1788" t="s">
        <v>13473</v>
      </c>
      <c r="X1788">
        <v>45</v>
      </c>
      <c r="Y1788" t="s">
        <v>19249</v>
      </c>
      <c r="Z1788" t="s">
        <v>24995</v>
      </c>
      <c r="AA1788">
        <v>0.76614761554140454</v>
      </c>
      <c r="AB1788" t="str">
        <f>HYPERLINK("Melting_Curves/meltCurve_P06756_3_ITGAV.pdf", "Melting_Curves/meltCurve_P06756_3_ITGAV.pdf")</f>
        <v>Melting_Curves/meltCurve_P06756_3_ITGAV.pdf</v>
      </c>
    </row>
    <row r="1789" spans="1:28" x14ac:dyDescent="0.25">
      <c r="A1789" t="s">
        <v>1793</v>
      </c>
      <c r="B1789">
        <v>0.99334974765950101</v>
      </c>
      <c r="C1789">
        <v>0.96138759537874596</v>
      </c>
      <c r="D1789">
        <v>0.97599193216430902</v>
      </c>
      <c r="E1789">
        <v>0.894699124055092</v>
      </c>
      <c r="F1789">
        <v>0.78136597777654104</v>
      </c>
      <c r="G1789">
        <v>0.66662845624009004</v>
      </c>
      <c r="H1789">
        <v>0.50291338894066995</v>
      </c>
      <c r="I1789">
        <v>0.67427632479794597</v>
      </c>
      <c r="J1789">
        <v>0.49409428518867599</v>
      </c>
      <c r="K1789">
        <v>0.482066896553422</v>
      </c>
      <c r="L1789">
        <v>783.23422851466103</v>
      </c>
      <c r="M1789">
        <v>14.451719192539001</v>
      </c>
      <c r="O1789">
        <v>53.190592268112702</v>
      </c>
      <c r="P1789">
        <v>-3.4355554943670999E-2</v>
      </c>
      <c r="Q1789">
        <v>0.49426682626502499</v>
      </c>
      <c r="R1789">
        <v>0.93388027271307605</v>
      </c>
      <c r="S1789" t="s">
        <v>7650</v>
      </c>
      <c r="T1789" t="s">
        <v>11720</v>
      </c>
      <c r="U1789" t="s">
        <v>11720</v>
      </c>
      <c r="V1789" t="s">
        <v>11720</v>
      </c>
      <c r="W1789" t="s">
        <v>13474</v>
      </c>
      <c r="X1789">
        <v>18</v>
      </c>
      <c r="Y1789" t="s">
        <v>19250</v>
      </c>
      <c r="Z1789" t="s">
        <v>24996</v>
      </c>
      <c r="AA1789">
        <v>0.74431527026550126</v>
      </c>
      <c r="AB1789" t="str">
        <f>HYPERLINK("Melting_Curves/meltCurve_P07093_2_SERPINE2.pdf", "Melting_Curves/meltCurve_P07093_2_SERPINE2.pdf")</f>
        <v>Melting_Curves/meltCurve_P07093_2_SERPINE2.pdf</v>
      </c>
    </row>
    <row r="1790" spans="1:28" x14ac:dyDescent="0.25">
      <c r="A1790" t="s">
        <v>1794</v>
      </c>
      <c r="B1790">
        <v>0.99334974765950101</v>
      </c>
      <c r="C1790">
        <v>0.89730438164854498</v>
      </c>
      <c r="D1790">
        <v>1.03668960462557</v>
      </c>
      <c r="E1790">
        <v>0.90433475160157395</v>
      </c>
      <c r="F1790">
        <v>0.82857410498690898</v>
      </c>
      <c r="G1790">
        <v>0.756072285885942</v>
      </c>
      <c r="H1790">
        <v>0.61861889137695603</v>
      </c>
      <c r="I1790">
        <v>0.86385505902568704</v>
      </c>
      <c r="J1790">
        <v>0.336218100748851</v>
      </c>
      <c r="K1790">
        <v>0.16350037601826101</v>
      </c>
      <c r="L1790">
        <v>703.62885412002902</v>
      </c>
      <c r="M1790">
        <v>10.8371810978726</v>
      </c>
      <c r="N1790">
        <v>64.927277429992102</v>
      </c>
      <c r="O1790">
        <v>62.833810730886199</v>
      </c>
      <c r="P1790">
        <v>-4.3133836738476899E-2</v>
      </c>
      <c r="Q1790">
        <v>0</v>
      </c>
      <c r="R1790">
        <v>0.777043185633012</v>
      </c>
      <c r="S1790" t="s">
        <v>7651</v>
      </c>
      <c r="T1790" t="s">
        <v>11720</v>
      </c>
      <c r="U1790" t="s">
        <v>11720</v>
      </c>
      <c r="V1790" t="s">
        <v>11720</v>
      </c>
      <c r="W1790" t="s">
        <v>13475</v>
      </c>
      <c r="X1790">
        <v>16</v>
      </c>
      <c r="Y1790" t="s">
        <v>19251</v>
      </c>
      <c r="Z1790" t="s">
        <v>24997</v>
      </c>
      <c r="AA1790">
        <v>0.78410049962788497</v>
      </c>
      <c r="AB1790" t="str">
        <f>HYPERLINK("Melting_Curves/meltCurve_P07099_EPHX1.pdf", "Melting_Curves/meltCurve_P07099_EPHX1.pdf")</f>
        <v>Melting_Curves/meltCurve_P07099_EPHX1.pdf</v>
      </c>
    </row>
    <row r="1791" spans="1:28" x14ac:dyDescent="0.25">
      <c r="A1791" t="s">
        <v>1795</v>
      </c>
      <c r="B1791">
        <v>0.99334974765950101</v>
      </c>
      <c r="C1791">
        <v>1.0594060337126501</v>
      </c>
      <c r="D1791">
        <v>0.928038386281129</v>
      </c>
      <c r="E1791">
        <v>0.80911486961291701</v>
      </c>
      <c r="F1791">
        <v>0.758694232747819</v>
      </c>
      <c r="G1791">
        <v>0.74965121496116405</v>
      </c>
      <c r="H1791">
        <v>0.72664793880286405</v>
      </c>
      <c r="I1791">
        <v>1.2804585789135201</v>
      </c>
      <c r="J1791">
        <v>1.08015924800272</v>
      </c>
      <c r="K1791">
        <v>1.6506228354993899</v>
      </c>
      <c r="L1791">
        <v>15000</v>
      </c>
      <c r="M1791">
        <v>222.23075940882799</v>
      </c>
      <c r="O1791">
        <v>67.491940937023699</v>
      </c>
      <c r="P1791">
        <v>0.41158758599533801</v>
      </c>
      <c r="Q1791">
        <v>1.5</v>
      </c>
      <c r="R1791">
        <v>0.54315726310464596</v>
      </c>
      <c r="S1791" t="s">
        <v>7652</v>
      </c>
      <c r="T1791" t="s">
        <v>11720</v>
      </c>
      <c r="U1791" t="s">
        <v>11720</v>
      </c>
      <c r="V1791" t="s">
        <v>11720</v>
      </c>
      <c r="W1791" t="s">
        <v>13476</v>
      </c>
      <c r="X1791">
        <v>7</v>
      </c>
      <c r="Y1791" t="s">
        <v>19252</v>
      </c>
      <c r="Z1791" t="s">
        <v>24998</v>
      </c>
      <c r="AA1791">
        <v>1.04163687237229</v>
      </c>
      <c r="AB1791" t="str">
        <f>HYPERLINK("Melting_Curves/meltCurve_P07108_DBI.pdf", "Melting_Curves/meltCurve_P07108_DBI.pdf")</f>
        <v>Melting_Curves/meltCurve_P07108_DBI.pdf</v>
      </c>
    </row>
    <row r="1792" spans="1:28" x14ac:dyDescent="0.25">
      <c r="A1792" t="s">
        <v>1796</v>
      </c>
      <c r="B1792">
        <v>0.99334974765950101</v>
      </c>
      <c r="C1792">
        <v>0.72273580748834398</v>
      </c>
      <c r="D1792">
        <v>1.37059384999314</v>
      </c>
      <c r="E1792">
        <v>0.83989852268337595</v>
      </c>
      <c r="F1792">
        <v>1.4861207765431601</v>
      </c>
      <c r="G1792">
        <v>0.89881842498004205</v>
      </c>
      <c r="H1792">
        <v>1.33571340280355</v>
      </c>
      <c r="I1792">
        <v>0.81996566152824502</v>
      </c>
      <c r="J1792">
        <v>0.31652053014732101</v>
      </c>
      <c r="K1792">
        <v>0.10094876873453799</v>
      </c>
      <c r="L1792">
        <v>4186.61445106048</v>
      </c>
      <c r="M1792">
        <v>63.7085198704265</v>
      </c>
      <c r="N1792">
        <v>65.9273414413002</v>
      </c>
      <c r="O1792">
        <v>65.650494553233102</v>
      </c>
      <c r="P1792">
        <v>-0.22011569634626099</v>
      </c>
      <c r="Q1792">
        <v>9.2699213111955697E-2</v>
      </c>
      <c r="R1792">
        <v>0.66025534916525896</v>
      </c>
      <c r="S1792" t="s">
        <v>7653</v>
      </c>
      <c r="T1792" t="s">
        <v>11720</v>
      </c>
      <c r="U1792" t="s">
        <v>11720</v>
      </c>
      <c r="V1792" t="s">
        <v>11720</v>
      </c>
      <c r="W1792" t="s">
        <v>13477</v>
      </c>
      <c r="X1792">
        <v>26</v>
      </c>
      <c r="Y1792" t="s">
        <v>19253</v>
      </c>
      <c r="Z1792" t="s">
        <v>24999</v>
      </c>
      <c r="AA1792">
        <v>0.87129331840447766</v>
      </c>
      <c r="AB1792" t="str">
        <f>HYPERLINK("Melting_Curves/meltCurve_P07195_LDHB.pdf", "Melting_Curves/meltCurve_P07195_LDHB.pdf")</f>
        <v>Melting_Curves/meltCurve_P07195_LDHB.pdf</v>
      </c>
    </row>
    <row r="1793" spans="1:28" x14ac:dyDescent="0.25">
      <c r="A1793" t="s">
        <v>1797</v>
      </c>
      <c r="B1793">
        <v>0.99334974765950101</v>
      </c>
      <c r="C1793">
        <v>0.98411061068800598</v>
      </c>
      <c r="D1793">
        <v>1.0179905706863099</v>
      </c>
      <c r="E1793">
        <v>0.84267464766178901</v>
      </c>
      <c r="F1793">
        <v>0.73548915355873401</v>
      </c>
      <c r="G1793">
        <v>0.54689002526474295</v>
      </c>
      <c r="H1793">
        <v>0.40835392133368997</v>
      </c>
      <c r="I1793">
        <v>0.42541491680581001</v>
      </c>
      <c r="J1793">
        <v>0.32479487682875002</v>
      </c>
      <c r="K1793">
        <v>0.225629097328852</v>
      </c>
      <c r="L1793">
        <v>706.51191717646702</v>
      </c>
      <c r="M1793">
        <v>12.6274954086444</v>
      </c>
      <c r="N1793">
        <v>58.682339058398497</v>
      </c>
      <c r="O1793">
        <v>54.602724748548802</v>
      </c>
      <c r="P1793">
        <v>-4.4974582890329302E-2</v>
      </c>
      <c r="Q1793">
        <v>0.222253025629329</v>
      </c>
      <c r="R1793">
        <v>0.98347711439932595</v>
      </c>
      <c r="S1793" t="s">
        <v>7654</v>
      </c>
      <c r="T1793" t="s">
        <v>11720</v>
      </c>
      <c r="U1793" t="s">
        <v>11720</v>
      </c>
      <c r="V1793" t="s">
        <v>11720</v>
      </c>
      <c r="W1793" t="s">
        <v>13478</v>
      </c>
      <c r="X1793">
        <v>17</v>
      </c>
      <c r="Y1793" t="s">
        <v>19254</v>
      </c>
      <c r="Z1793" t="s">
        <v>25000</v>
      </c>
      <c r="AA1793">
        <v>0.65137307099645769</v>
      </c>
      <c r="AB1793" t="str">
        <f>HYPERLINK("Melting_Curves/meltCurve_P07203_GPX1.pdf", "Melting_Curves/meltCurve_P07203_GPX1.pdf")</f>
        <v>Melting_Curves/meltCurve_P07203_GPX1.pdf</v>
      </c>
    </row>
    <row r="1794" spans="1:28" x14ac:dyDescent="0.25">
      <c r="A1794" t="s">
        <v>1798</v>
      </c>
      <c r="B1794">
        <v>0.99334974765950101</v>
      </c>
      <c r="C1794">
        <v>0.92634586658177798</v>
      </c>
      <c r="D1794">
        <v>0.93420338729395502</v>
      </c>
      <c r="E1794">
        <v>0.797081773926401</v>
      </c>
      <c r="F1794">
        <v>0.33031000396980997</v>
      </c>
      <c r="G1794">
        <v>9.8046502607014197E-2</v>
      </c>
      <c r="H1794">
        <v>7.0072499704989896E-2</v>
      </c>
      <c r="I1794">
        <v>6.5449155596295702E-2</v>
      </c>
      <c r="J1794">
        <v>6.1420391769887298E-2</v>
      </c>
      <c r="K1794">
        <v>4.8322144647785101E-2</v>
      </c>
      <c r="L1794">
        <v>1843.3704269745499</v>
      </c>
      <c r="M1794">
        <v>35.650010045698203</v>
      </c>
      <c r="N1794">
        <v>51.894316735163599</v>
      </c>
      <c r="O1794">
        <v>51.545539906936</v>
      </c>
      <c r="P1794">
        <v>-0.16248855548732499</v>
      </c>
      <c r="Q1794">
        <v>6.0249036867494402E-2</v>
      </c>
      <c r="R1794">
        <v>0.99457161242515002</v>
      </c>
      <c r="S1794" t="s">
        <v>7655</v>
      </c>
      <c r="T1794" t="s">
        <v>11720</v>
      </c>
      <c r="U1794" t="s">
        <v>11720</v>
      </c>
      <c r="V1794" t="s">
        <v>11720</v>
      </c>
      <c r="W1794" t="s">
        <v>13479</v>
      </c>
      <c r="X1794">
        <v>7</v>
      </c>
      <c r="Y1794" t="s">
        <v>19255</v>
      </c>
      <c r="Z1794" t="s">
        <v>25001</v>
      </c>
      <c r="AA1794">
        <v>0.43121686557001088</v>
      </c>
      <c r="AB1794" t="str">
        <f>HYPERLINK("Melting_Curves/meltCurve_P07205_PGK2.pdf", "Melting_Curves/meltCurve_P07205_PGK2.pdf")</f>
        <v>Melting_Curves/meltCurve_P07205_PGK2.pdf</v>
      </c>
    </row>
    <row r="1795" spans="1:28" x14ac:dyDescent="0.25">
      <c r="A1795" t="s">
        <v>1799</v>
      </c>
      <c r="B1795">
        <v>0.99334974765950101</v>
      </c>
      <c r="C1795">
        <v>1.0209610848336399</v>
      </c>
      <c r="D1795">
        <v>1.0338427568209101</v>
      </c>
      <c r="E1795">
        <v>0.88933882783219598</v>
      </c>
      <c r="F1795">
        <v>0.75635217954411005</v>
      </c>
      <c r="G1795">
        <v>0.52224155967790498</v>
      </c>
      <c r="H1795">
        <v>0.37087803404854902</v>
      </c>
      <c r="I1795">
        <v>0.324245886999667</v>
      </c>
      <c r="J1795">
        <v>0.32881422509546898</v>
      </c>
      <c r="K1795">
        <v>0.28514432463721701</v>
      </c>
      <c r="L1795">
        <v>1079.26528864491</v>
      </c>
      <c r="M1795">
        <v>19.701272248662601</v>
      </c>
      <c r="N1795">
        <v>57.306626748215599</v>
      </c>
      <c r="O1795">
        <v>54.226456492960097</v>
      </c>
      <c r="P1795">
        <v>-6.4479074245112594E-2</v>
      </c>
      <c r="Q1795">
        <v>0.29012686517821501</v>
      </c>
      <c r="R1795">
        <v>0.99549363077706099</v>
      </c>
      <c r="S1795" t="s">
        <v>7656</v>
      </c>
      <c r="T1795" t="s">
        <v>11720</v>
      </c>
      <c r="U1795" t="s">
        <v>11720</v>
      </c>
      <c r="V1795" t="s">
        <v>11720</v>
      </c>
      <c r="W1795" t="s">
        <v>12643</v>
      </c>
      <c r="X1795">
        <v>61</v>
      </c>
      <c r="Y1795" t="s">
        <v>18437</v>
      </c>
      <c r="Z1795" t="s">
        <v>25002</v>
      </c>
      <c r="AA1795">
        <v>0.64961519712811855</v>
      </c>
      <c r="AB1795" t="str">
        <f>HYPERLINK("Melting_Curves/meltCurve_P07237_P4HB.pdf", "Melting_Curves/meltCurve_P07237_P4HB.pdf")</f>
        <v>Melting_Curves/meltCurve_P07237_P4HB.pdf</v>
      </c>
    </row>
    <row r="1796" spans="1:28" x14ac:dyDescent="0.25">
      <c r="A1796" t="s">
        <v>1800</v>
      </c>
      <c r="B1796">
        <v>0.99334974765950101</v>
      </c>
      <c r="C1796">
        <v>1.20429452614163</v>
      </c>
      <c r="D1796">
        <v>0.95003999040727205</v>
      </c>
      <c r="E1796">
        <v>0.98657485041176596</v>
      </c>
      <c r="F1796">
        <v>1.57701198704287</v>
      </c>
      <c r="G1796">
        <v>1.16785605421446</v>
      </c>
      <c r="H1796">
        <v>1.2853328111892499</v>
      </c>
      <c r="I1796">
        <v>0.72807409678886903</v>
      </c>
      <c r="J1796">
        <v>1.2730823778892599</v>
      </c>
      <c r="K1796">
        <v>1.14799879506792</v>
      </c>
      <c r="L1796">
        <v>689.01685335547097</v>
      </c>
      <c r="M1796">
        <v>15.6616786937443</v>
      </c>
      <c r="O1796">
        <v>43.295291631648197</v>
      </c>
      <c r="P1796">
        <v>1.4796752552502601E-2</v>
      </c>
      <c r="Q1796">
        <v>1.16360317170016</v>
      </c>
      <c r="R1796">
        <v>3.8849478506225901E-2</v>
      </c>
      <c r="S1796" t="s">
        <v>7657</v>
      </c>
      <c r="T1796" t="s">
        <v>11720</v>
      </c>
      <c r="U1796" t="s">
        <v>11720</v>
      </c>
      <c r="V1796" t="s">
        <v>11720</v>
      </c>
      <c r="W1796" t="s">
        <v>13480</v>
      </c>
      <c r="X1796">
        <v>1</v>
      </c>
      <c r="Y1796" t="s">
        <v>19256</v>
      </c>
      <c r="Z1796" t="s">
        <v>25003</v>
      </c>
      <c r="AA1796">
        <v>1.1363874602096991</v>
      </c>
      <c r="AB1796" t="str">
        <f>HYPERLINK("Melting_Curves/meltCurve_P07305_2_H1F0.pdf", "Melting_Curves/meltCurve_P07305_2_H1F0.pdf")</f>
        <v>Melting_Curves/meltCurve_P07305_2_H1F0.pdf</v>
      </c>
    </row>
    <row r="1797" spans="1:28" x14ac:dyDescent="0.25">
      <c r="A1797" t="s">
        <v>1801</v>
      </c>
      <c r="B1797">
        <v>0.99334974765950101</v>
      </c>
      <c r="C1797">
        <v>0.97094459858600501</v>
      </c>
      <c r="D1797">
        <v>0.93808944646043202</v>
      </c>
      <c r="E1797">
        <v>0.80285946970341304</v>
      </c>
      <c r="F1797">
        <v>0.70809845237012903</v>
      </c>
      <c r="G1797">
        <v>0.51116620656884204</v>
      </c>
      <c r="H1797">
        <v>0.34350434767450899</v>
      </c>
      <c r="I1797">
        <v>0.16117372720501599</v>
      </c>
      <c r="J1797">
        <v>0.123481693660493</v>
      </c>
      <c r="K1797">
        <v>9.5215787150846096E-2</v>
      </c>
      <c r="L1797">
        <v>676.513417629429</v>
      </c>
      <c r="M1797">
        <v>11.9089960579088</v>
      </c>
      <c r="N1797">
        <v>56.806922298036199</v>
      </c>
      <c r="O1797">
        <v>55.276199865301599</v>
      </c>
      <c r="P1797">
        <v>-5.3874690114765499E-2</v>
      </c>
      <c r="Q1797">
        <v>0</v>
      </c>
      <c r="R1797">
        <v>0.99541943810889599</v>
      </c>
      <c r="S1797" t="s">
        <v>7658</v>
      </c>
      <c r="T1797" t="s">
        <v>11720</v>
      </c>
      <c r="U1797" t="s">
        <v>11720</v>
      </c>
      <c r="V1797" t="s">
        <v>11720</v>
      </c>
      <c r="W1797" t="s">
        <v>13481</v>
      </c>
      <c r="X1797">
        <v>28</v>
      </c>
      <c r="Y1797" t="s">
        <v>19257</v>
      </c>
      <c r="Z1797" t="s">
        <v>25004</v>
      </c>
      <c r="AA1797">
        <v>0.57779614865299322</v>
      </c>
      <c r="AB1797" t="str">
        <f>HYPERLINK("Melting_Curves/meltCurve_P07339_CTSD.pdf", "Melting_Curves/meltCurve_P07339_CTSD.pdf")</f>
        <v>Melting_Curves/meltCurve_P07339_CTSD.pdf</v>
      </c>
    </row>
    <row r="1798" spans="1:28" x14ac:dyDescent="0.25">
      <c r="A1798" t="s">
        <v>1802</v>
      </c>
      <c r="B1798">
        <v>0.99334974765950101</v>
      </c>
      <c r="C1798">
        <v>1.4320702988463201</v>
      </c>
      <c r="D1798">
        <v>1.40279543992449</v>
      </c>
      <c r="E1798">
        <v>1.21880602813048</v>
      </c>
      <c r="F1798">
        <v>0.66411815740426805</v>
      </c>
      <c r="G1798">
        <v>0.14083261848037701</v>
      </c>
      <c r="H1798">
        <v>8.3574610734964902E-2</v>
      </c>
      <c r="I1798">
        <v>5.6113531398756203E-2</v>
      </c>
      <c r="J1798">
        <v>4.8281661623176202E-2</v>
      </c>
      <c r="K1798">
        <v>3.7597538661841998E-2</v>
      </c>
      <c r="L1798">
        <v>13279.9335295406</v>
      </c>
      <c r="M1798">
        <v>250</v>
      </c>
      <c r="N1798">
        <v>53.153431092424498</v>
      </c>
      <c r="O1798">
        <v>53.116337478641803</v>
      </c>
      <c r="P1798">
        <v>-1.09043671412189</v>
      </c>
      <c r="Q1798">
        <v>7.3279975550632898E-2</v>
      </c>
      <c r="R1798">
        <v>0.87661661797768697</v>
      </c>
      <c r="S1798" t="s">
        <v>7659</v>
      </c>
      <c r="T1798" t="s">
        <v>11720</v>
      </c>
      <c r="U1798" t="s">
        <v>11720</v>
      </c>
      <c r="V1798" t="s">
        <v>11720</v>
      </c>
      <c r="W1798" t="s">
        <v>13482</v>
      </c>
      <c r="X1798">
        <v>65</v>
      </c>
      <c r="Y1798" t="s">
        <v>18362</v>
      </c>
      <c r="Z1798" t="s">
        <v>25005</v>
      </c>
      <c r="AA1798">
        <v>0.47864371247412763</v>
      </c>
      <c r="AB1798" t="str">
        <f>HYPERLINK("Melting_Curves/meltCurve_P07355_ANXA2.pdf", "Melting_Curves/meltCurve_P07355_ANXA2.pdf")</f>
        <v>Melting_Curves/meltCurve_P07355_ANXA2.pdf</v>
      </c>
    </row>
    <row r="1799" spans="1:28" x14ac:dyDescent="0.25">
      <c r="A1799" t="s">
        <v>1803</v>
      </c>
      <c r="B1799">
        <v>0.99334974765950101</v>
      </c>
      <c r="C1799">
        <v>0.99385005992087805</v>
      </c>
      <c r="D1799">
        <v>1.0761102121818999</v>
      </c>
      <c r="E1799">
        <v>1.0141098024069499</v>
      </c>
      <c r="F1799">
        <v>1.0426242513866799</v>
      </c>
      <c r="G1799">
        <v>1.0008334684815301</v>
      </c>
      <c r="H1799">
        <v>0.85162767048027999</v>
      </c>
      <c r="I1799">
        <v>0.517309811048278</v>
      </c>
      <c r="J1799">
        <v>0.175589922693069</v>
      </c>
      <c r="K1799">
        <v>0.11474859125378301</v>
      </c>
      <c r="L1799">
        <v>2503.9964731342602</v>
      </c>
      <c r="M1799">
        <v>39.276560124889102</v>
      </c>
      <c r="N1799">
        <v>64.020805733215497</v>
      </c>
      <c r="O1799">
        <v>63.588350693013801</v>
      </c>
      <c r="P1799">
        <v>-0.14271753812708499</v>
      </c>
      <c r="Q1799">
        <v>7.5769100704237799E-2</v>
      </c>
      <c r="R1799">
        <v>0.99273205583746604</v>
      </c>
      <c r="S1799" t="s">
        <v>7660</v>
      </c>
      <c r="T1799" t="s">
        <v>11720</v>
      </c>
      <c r="U1799" t="s">
        <v>11720</v>
      </c>
      <c r="V1799" t="s">
        <v>11720</v>
      </c>
      <c r="W1799" t="s">
        <v>13483</v>
      </c>
      <c r="X1799">
        <v>53</v>
      </c>
      <c r="Y1799" t="s">
        <v>19258</v>
      </c>
      <c r="Z1799" t="s">
        <v>25006</v>
      </c>
      <c r="AA1799">
        <v>0.80987512888386504</v>
      </c>
      <c r="AB1799" t="str">
        <f>HYPERLINK("Melting_Curves/meltCurve_P07384_CAPN1.pdf", "Melting_Curves/meltCurve_P07384_CAPN1.pdf")</f>
        <v>Melting_Curves/meltCurve_P07384_CAPN1.pdf</v>
      </c>
    </row>
    <row r="1800" spans="1:28" x14ac:dyDescent="0.25">
      <c r="A1800" t="s">
        <v>1804</v>
      </c>
      <c r="B1800">
        <v>0.99334974765950101</v>
      </c>
      <c r="C1800">
        <v>0.98550005019419695</v>
      </c>
      <c r="D1800">
        <v>0.82506817535490795</v>
      </c>
      <c r="E1800">
        <v>0.82428482863878505</v>
      </c>
      <c r="F1800">
        <v>0.91472302320326104</v>
      </c>
      <c r="G1800">
        <v>0.734998016653304</v>
      </c>
      <c r="H1800">
        <v>0.70577410966132803</v>
      </c>
      <c r="I1800">
        <v>0.910321858358622</v>
      </c>
      <c r="J1800">
        <v>0.95855711849729297</v>
      </c>
      <c r="K1800">
        <v>0.81412098479867101</v>
      </c>
      <c r="L1800">
        <v>10825.097476544201</v>
      </c>
      <c r="M1800">
        <v>250</v>
      </c>
      <c r="O1800">
        <v>43.297615578443597</v>
      </c>
      <c r="P1800">
        <v>-0.236760988853496</v>
      </c>
      <c r="Q1800">
        <v>0.83598100686499299</v>
      </c>
      <c r="R1800">
        <v>0.40782668012283801</v>
      </c>
      <c r="S1800" t="s">
        <v>7661</v>
      </c>
      <c r="T1800" t="s">
        <v>11720</v>
      </c>
      <c r="U1800" t="s">
        <v>11720</v>
      </c>
      <c r="V1800" t="s">
        <v>11720</v>
      </c>
      <c r="W1800" t="s">
        <v>13484</v>
      </c>
      <c r="X1800">
        <v>18</v>
      </c>
      <c r="Y1800" t="s">
        <v>19259</v>
      </c>
      <c r="Z1800" t="s">
        <v>25007</v>
      </c>
      <c r="AA1800">
        <v>0.85403769189576384</v>
      </c>
      <c r="AB1800" t="str">
        <f>HYPERLINK("Melting_Curves/meltCurve_P07476_IVL.pdf", "Melting_Curves/meltCurve_P07476_IVL.pdf")</f>
        <v>Melting_Curves/meltCurve_P07476_IVL.pdf</v>
      </c>
    </row>
    <row r="1801" spans="1:28" x14ac:dyDescent="0.25">
      <c r="A1801" t="s">
        <v>1805</v>
      </c>
      <c r="B1801">
        <v>0.99334974765950101</v>
      </c>
      <c r="C1801">
        <v>1.0293395818805</v>
      </c>
      <c r="D1801">
        <v>1.0363808575992799</v>
      </c>
      <c r="E1801">
        <v>0.78944052587818403</v>
      </c>
      <c r="F1801">
        <v>0.44736584532941098</v>
      </c>
      <c r="G1801">
        <v>0.37517907544637302</v>
      </c>
      <c r="H1801">
        <v>0.288075958788576</v>
      </c>
      <c r="I1801">
        <v>0.32230546746233002</v>
      </c>
      <c r="J1801">
        <v>0.22577979849919899</v>
      </c>
      <c r="K1801">
        <v>0.269824549613562</v>
      </c>
      <c r="L1801">
        <v>1778.78186094946</v>
      </c>
      <c r="M1801">
        <v>34.701609366050697</v>
      </c>
      <c r="N1801">
        <v>52.565661639817101</v>
      </c>
      <c r="O1801">
        <v>51.090017496517603</v>
      </c>
      <c r="P1801">
        <v>-0.120746126427242</v>
      </c>
      <c r="Q1801">
        <v>0.28892069927085201</v>
      </c>
      <c r="R1801">
        <v>0.98739444476585503</v>
      </c>
      <c r="S1801" t="s">
        <v>7662</v>
      </c>
      <c r="T1801" t="s">
        <v>11720</v>
      </c>
      <c r="U1801" t="s">
        <v>11720</v>
      </c>
      <c r="V1801" t="s">
        <v>11720</v>
      </c>
      <c r="W1801" t="s">
        <v>13485</v>
      </c>
      <c r="X1801">
        <v>11</v>
      </c>
      <c r="Y1801" t="s">
        <v>19260</v>
      </c>
      <c r="Z1801" t="s">
        <v>25008</v>
      </c>
      <c r="AA1801">
        <v>0.55915004884492092</v>
      </c>
      <c r="AB1801" t="str">
        <f>HYPERLINK("Melting_Curves/meltCurve_P07585_DCN.pdf", "Melting_Curves/meltCurve_P07585_DCN.pdf")</f>
        <v>Melting_Curves/meltCurve_P07585_DCN.pdf</v>
      </c>
    </row>
    <row r="1802" spans="1:28" x14ac:dyDescent="0.25">
      <c r="A1802" t="s">
        <v>1806</v>
      </c>
      <c r="B1802">
        <v>0.99334974765950101</v>
      </c>
      <c r="C1802">
        <v>1.00095158957373</v>
      </c>
      <c r="D1802">
        <v>1.0852896526696201</v>
      </c>
      <c r="E1802">
        <v>1.0687416094547999</v>
      </c>
      <c r="F1802">
        <v>0.97522445034101102</v>
      </c>
      <c r="G1802">
        <v>0.83544455387710204</v>
      </c>
      <c r="H1802">
        <v>0.64912827905157799</v>
      </c>
      <c r="I1802">
        <v>0.40335586955831698</v>
      </c>
      <c r="J1802">
        <v>0.23765642915750801</v>
      </c>
      <c r="K1802">
        <v>0.19810662527116901</v>
      </c>
      <c r="L1802">
        <v>1289.9121760196799</v>
      </c>
      <c r="M1802">
        <v>20.844363541486199</v>
      </c>
      <c r="N1802">
        <v>62.627255265207303</v>
      </c>
      <c r="O1802">
        <v>61.321900544902398</v>
      </c>
      <c r="P1802">
        <v>-7.5658783819534295E-2</v>
      </c>
      <c r="Q1802">
        <v>0.109704238325491</v>
      </c>
      <c r="R1802">
        <v>0.98540003918569996</v>
      </c>
      <c r="S1802" t="s">
        <v>7663</v>
      </c>
      <c r="T1802" t="s">
        <v>11720</v>
      </c>
      <c r="U1802" t="s">
        <v>11720</v>
      </c>
      <c r="V1802" t="s">
        <v>11720</v>
      </c>
      <c r="W1802" t="s">
        <v>12078</v>
      </c>
      <c r="X1802">
        <v>31</v>
      </c>
      <c r="Y1802" t="s">
        <v>17875</v>
      </c>
      <c r="Z1802" t="s">
        <v>25009</v>
      </c>
      <c r="AA1802">
        <v>0.76257266712495919</v>
      </c>
      <c r="AB1802" t="str">
        <f>HYPERLINK("Melting_Curves/meltCurve_P07686_HEXB.pdf", "Melting_Curves/meltCurve_P07686_HEXB.pdf")</f>
        <v>Melting_Curves/meltCurve_P07686_HEXB.pdf</v>
      </c>
    </row>
    <row r="1803" spans="1:28" x14ac:dyDescent="0.25">
      <c r="A1803" t="s">
        <v>1807</v>
      </c>
      <c r="B1803">
        <v>0.99334974765950101</v>
      </c>
      <c r="C1803">
        <v>0.995410901989915</v>
      </c>
      <c r="D1803">
        <v>0.95693397549992198</v>
      </c>
      <c r="E1803">
        <v>0.765316169957864</v>
      </c>
      <c r="F1803">
        <v>0.506177648508363</v>
      </c>
      <c r="G1803">
        <v>0.26789656236103898</v>
      </c>
      <c r="H1803">
        <v>0.159122678551325</v>
      </c>
      <c r="I1803">
        <v>0.17505655099960299</v>
      </c>
      <c r="J1803">
        <v>0.23762947111972901</v>
      </c>
      <c r="K1803">
        <v>0.26688587737312802</v>
      </c>
      <c r="L1803">
        <v>1341.1261381069501</v>
      </c>
      <c r="M1803">
        <v>25.894249299886201</v>
      </c>
      <c r="N1803">
        <v>52.8681302624613</v>
      </c>
      <c r="O1803">
        <v>51.4865158843252</v>
      </c>
      <c r="P1803">
        <v>-9.99871455869904E-2</v>
      </c>
      <c r="Q1803">
        <v>0.20477669577562799</v>
      </c>
      <c r="R1803">
        <v>0.99105209339924405</v>
      </c>
      <c r="S1803" t="s">
        <v>7664</v>
      </c>
      <c r="T1803" t="s">
        <v>11720</v>
      </c>
      <c r="U1803" t="s">
        <v>11720</v>
      </c>
      <c r="V1803" t="s">
        <v>11720</v>
      </c>
      <c r="W1803" t="s">
        <v>13486</v>
      </c>
      <c r="X1803">
        <v>12</v>
      </c>
      <c r="Y1803" t="s">
        <v>19261</v>
      </c>
      <c r="Z1803" t="s">
        <v>25010</v>
      </c>
      <c r="AA1803">
        <v>0.52413089599694773</v>
      </c>
      <c r="AB1803" t="str">
        <f>HYPERLINK("Melting_Curves/meltCurve_P07711_CTSL1.pdf", "Melting_Curves/meltCurve_P07711_CTSL1.pdf")</f>
        <v>Melting_Curves/meltCurve_P07711_CTSL1.pdf</v>
      </c>
    </row>
    <row r="1804" spans="1:28" x14ac:dyDescent="0.25">
      <c r="A1804" t="s">
        <v>1808</v>
      </c>
      <c r="B1804">
        <v>0.99334974765950101</v>
      </c>
      <c r="C1804">
        <v>0.80562704053645695</v>
      </c>
      <c r="D1804">
        <v>1.1583054345911299</v>
      </c>
      <c r="E1804">
        <v>0.85318816221947003</v>
      </c>
      <c r="F1804">
        <v>0.57134810217558496</v>
      </c>
      <c r="G1804">
        <v>0.15592421269499501</v>
      </c>
      <c r="H1804">
        <v>8.4301236722063397E-2</v>
      </c>
      <c r="I1804">
        <v>6.7090506903477495E-2</v>
      </c>
      <c r="J1804">
        <v>6.6275090530100597E-2</v>
      </c>
      <c r="K1804">
        <v>5.71252524945111E-2</v>
      </c>
      <c r="L1804">
        <v>1657.2626759156999</v>
      </c>
      <c r="M1804">
        <v>31.152598872091101</v>
      </c>
      <c r="N1804">
        <v>53.422523352134903</v>
      </c>
      <c r="O1804">
        <v>52.980436152726199</v>
      </c>
      <c r="P1804">
        <v>-0.13798944692197601</v>
      </c>
      <c r="Q1804">
        <v>6.13044621055477E-2</v>
      </c>
      <c r="R1804">
        <v>0.96220400701977804</v>
      </c>
      <c r="S1804" t="s">
        <v>7665</v>
      </c>
      <c r="T1804" t="s">
        <v>11720</v>
      </c>
      <c r="U1804" t="s">
        <v>11720</v>
      </c>
      <c r="V1804" t="s">
        <v>11720</v>
      </c>
      <c r="W1804" t="s">
        <v>13487</v>
      </c>
      <c r="X1804">
        <v>19</v>
      </c>
      <c r="Y1804" t="s">
        <v>19262</v>
      </c>
      <c r="Z1804" t="s">
        <v>25011</v>
      </c>
      <c r="AA1804">
        <v>0.47994407289720109</v>
      </c>
      <c r="AB1804" t="str">
        <f>HYPERLINK("Melting_Curves/meltCurve_P07737_PFN1.pdf", "Melting_Curves/meltCurve_P07737_PFN1.pdf")</f>
        <v>Melting_Curves/meltCurve_P07737_PFN1.pdf</v>
      </c>
    </row>
    <row r="1805" spans="1:28" x14ac:dyDescent="0.25">
      <c r="A1805" t="s">
        <v>1809</v>
      </c>
      <c r="B1805">
        <v>0.99334974765950101</v>
      </c>
      <c r="C1805">
        <v>0.96473797379450499</v>
      </c>
      <c r="D1805">
        <v>0.93949166049164301</v>
      </c>
      <c r="E1805">
        <v>0.76545684073334697</v>
      </c>
      <c r="F1805">
        <v>0.64587736618219904</v>
      </c>
      <c r="G1805">
        <v>0.47097339313064901</v>
      </c>
      <c r="H1805">
        <v>0.29284635499893602</v>
      </c>
      <c r="I1805">
        <v>0.15107647689526399</v>
      </c>
      <c r="J1805">
        <v>0.11542040920725399</v>
      </c>
      <c r="K1805">
        <v>9.8743803370660396E-2</v>
      </c>
      <c r="L1805">
        <v>642.75924524139305</v>
      </c>
      <c r="M1805">
        <v>11.507987466587799</v>
      </c>
      <c r="N1805">
        <v>55.8533298981678</v>
      </c>
      <c r="O1805">
        <v>54.246620926183297</v>
      </c>
      <c r="P1805">
        <v>-5.3050540002352299E-2</v>
      </c>
      <c r="Q1805">
        <v>0</v>
      </c>
      <c r="R1805">
        <v>0.996725182645956</v>
      </c>
      <c r="S1805" t="s">
        <v>7666</v>
      </c>
      <c r="T1805" t="s">
        <v>11720</v>
      </c>
      <c r="U1805" t="s">
        <v>11720</v>
      </c>
      <c r="V1805" t="s">
        <v>11720</v>
      </c>
      <c r="W1805" t="s">
        <v>13488</v>
      </c>
      <c r="X1805">
        <v>16</v>
      </c>
      <c r="Y1805" t="s">
        <v>19263</v>
      </c>
      <c r="Z1805" t="s">
        <v>25012</v>
      </c>
      <c r="AA1805">
        <v>0.54965522203180706</v>
      </c>
      <c r="AB1805" t="str">
        <f>HYPERLINK("Melting_Curves/meltCurve_P07738_BPGM.pdf", "Melting_Curves/meltCurve_P07738_BPGM.pdf")</f>
        <v>Melting_Curves/meltCurve_P07738_BPGM.pdf</v>
      </c>
    </row>
    <row r="1806" spans="1:28" x14ac:dyDescent="0.25">
      <c r="A1806" t="s">
        <v>1810</v>
      </c>
      <c r="B1806">
        <v>0.99334974765950101</v>
      </c>
      <c r="C1806">
        <v>0.45820124635145798</v>
      </c>
      <c r="D1806">
        <v>1.13499447869321</v>
      </c>
      <c r="E1806">
        <v>0.36739333487653802</v>
      </c>
      <c r="F1806">
        <v>0.95491191654381402</v>
      </c>
      <c r="G1806">
        <v>0.522586558964658</v>
      </c>
      <c r="H1806">
        <v>0.461669429616338</v>
      </c>
      <c r="I1806">
        <v>0.52723726070266697</v>
      </c>
      <c r="J1806">
        <v>0.559147693655489</v>
      </c>
      <c r="K1806">
        <v>0.47880937451069799</v>
      </c>
      <c r="L1806">
        <v>228.98650473830801</v>
      </c>
      <c r="M1806">
        <v>4.3044182836082099</v>
      </c>
      <c r="N1806">
        <v>67.390975368966906</v>
      </c>
      <c r="O1806">
        <v>44.6537478039291</v>
      </c>
      <c r="P1806">
        <v>-1.70878065930294E-2</v>
      </c>
      <c r="Q1806">
        <v>0.29803990790288298</v>
      </c>
      <c r="R1806">
        <v>0.248210748920623</v>
      </c>
      <c r="S1806" t="s">
        <v>7667</v>
      </c>
      <c r="T1806" t="s">
        <v>11720</v>
      </c>
      <c r="U1806" t="s">
        <v>11720</v>
      </c>
      <c r="V1806" t="s">
        <v>11720</v>
      </c>
      <c r="W1806" t="s">
        <v>13489</v>
      </c>
      <c r="X1806">
        <v>18</v>
      </c>
      <c r="Y1806" t="s">
        <v>19264</v>
      </c>
      <c r="Z1806" t="s">
        <v>25013</v>
      </c>
      <c r="AA1806">
        <v>0.64228586937462973</v>
      </c>
      <c r="AB1806" t="str">
        <f>HYPERLINK("Melting_Curves/meltCurve_P07741_APRT.pdf", "Melting_Curves/meltCurve_P07741_APRT.pdf")</f>
        <v>Melting_Curves/meltCurve_P07741_APRT.pdf</v>
      </c>
    </row>
    <row r="1807" spans="1:28" x14ac:dyDescent="0.25">
      <c r="A1807" t="s">
        <v>1811</v>
      </c>
      <c r="B1807">
        <v>0.99334974765950101</v>
      </c>
      <c r="C1807">
        <v>1.0012334513749801</v>
      </c>
      <c r="D1807">
        <v>0.86096229130121704</v>
      </c>
      <c r="E1807">
        <v>0.90350143552955198</v>
      </c>
      <c r="F1807">
        <v>0.79863573330550597</v>
      </c>
      <c r="G1807">
        <v>0.76807607238701403</v>
      </c>
      <c r="H1807">
        <v>0.61706057698067296</v>
      </c>
      <c r="I1807">
        <v>0.39600669698082902</v>
      </c>
      <c r="J1807">
        <v>0.19447204194610901</v>
      </c>
      <c r="K1807">
        <v>0.13523228296574999</v>
      </c>
      <c r="L1807">
        <v>776.66647569812505</v>
      </c>
      <c r="M1807">
        <v>12.618776774223599</v>
      </c>
      <c r="N1807">
        <v>61.5484757550322</v>
      </c>
      <c r="O1807">
        <v>60.064119716819803</v>
      </c>
      <c r="P1807">
        <v>-5.2532525724485697E-2</v>
      </c>
      <c r="Q1807">
        <v>0</v>
      </c>
      <c r="R1807">
        <v>0.95529594659180705</v>
      </c>
      <c r="S1807" t="s">
        <v>7668</v>
      </c>
      <c r="T1807" t="s">
        <v>11720</v>
      </c>
      <c r="U1807" t="s">
        <v>11720</v>
      </c>
      <c r="V1807" t="s">
        <v>11720</v>
      </c>
      <c r="W1807" t="s">
        <v>11897</v>
      </c>
      <c r="X1807">
        <v>33</v>
      </c>
      <c r="Y1807" t="s">
        <v>19265</v>
      </c>
      <c r="Z1807" t="s">
        <v>25014</v>
      </c>
      <c r="AA1807">
        <v>0.71241260434407094</v>
      </c>
      <c r="AB1807" t="str">
        <f>HYPERLINK("Melting_Curves/meltCurve_P07814_EPRS.pdf", "Melting_Curves/meltCurve_P07814_EPRS.pdf")</f>
        <v>Melting_Curves/meltCurve_P07814_EPRS.pdf</v>
      </c>
    </row>
    <row r="1808" spans="1:28" x14ac:dyDescent="0.25">
      <c r="A1808" t="s">
        <v>1812</v>
      </c>
      <c r="B1808">
        <v>0.99334974765950101</v>
      </c>
      <c r="C1808">
        <v>0.99146781518556804</v>
      </c>
      <c r="D1808">
        <v>0.95842748495963204</v>
      </c>
      <c r="E1808">
        <v>0.78561488268485602</v>
      </c>
      <c r="F1808">
        <v>0.63164703687479795</v>
      </c>
      <c r="G1808">
        <v>0.40214447569634698</v>
      </c>
      <c r="H1808">
        <v>0.24791063335615099</v>
      </c>
      <c r="I1808">
        <v>0.22028256273918601</v>
      </c>
      <c r="J1808">
        <v>0.17876120912042801</v>
      </c>
      <c r="K1808">
        <v>0.15371401772062299</v>
      </c>
      <c r="L1808">
        <v>830.03332070777003</v>
      </c>
      <c r="M1808">
        <v>15.3927649866419</v>
      </c>
      <c r="N1808">
        <v>55.060585117389898</v>
      </c>
      <c r="O1808">
        <v>53.038061598602603</v>
      </c>
      <c r="P1808">
        <v>-6.2682871996185899E-2</v>
      </c>
      <c r="Q1808">
        <v>0.136146106672692</v>
      </c>
      <c r="R1808">
        <v>0.99912917153819003</v>
      </c>
      <c r="S1808" t="s">
        <v>7669</v>
      </c>
      <c r="T1808" t="s">
        <v>11720</v>
      </c>
      <c r="U1808" t="s">
        <v>11720</v>
      </c>
      <c r="V1808" t="s">
        <v>11720</v>
      </c>
      <c r="W1808" t="s">
        <v>13490</v>
      </c>
      <c r="X1808">
        <v>20</v>
      </c>
      <c r="Y1808" t="s">
        <v>18079</v>
      </c>
      <c r="Z1808" t="s">
        <v>25015</v>
      </c>
      <c r="AA1808">
        <v>0.5542999777828731</v>
      </c>
      <c r="AB1808" t="str">
        <f>HYPERLINK("Melting_Curves/meltCurve_P07858_CTSB.pdf", "Melting_Curves/meltCurve_P07858_CTSB.pdf")</f>
        <v>Melting_Curves/meltCurve_P07858_CTSB.pdf</v>
      </c>
    </row>
    <row r="1809" spans="1:28" x14ac:dyDescent="0.25">
      <c r="A1809" t="s">
        <v>1813</v>
      </c>
      <c r="B1809">
        <v>0.99334974765950101</v>
      </c>
      <c r="C1809">
        <v>1.0044749224819001</v>
      </c>
      <c r="D1809">
        <v>1.13161579915608</v>
      </c>
      <c r="E1809">
        <v>1.0194269897564101</v>
      </c>
      <c r="F1809">
        <v>0.200526233432995</v>
      </c>
      <c r="G1809">
        <v>0.141585619614815</v>
      </c>
      <c r="H1809">
        <v>9.4697988961893007E-2</v>
      </c>
      <c r="I1809">
        <v>8.6241974387345197E-2</v>
      </c>
      <c r="J1809">
        <v>8.2792863350744594E-2</v>
      </c>
      <c r="K1809">
        <v>6.6663133563288804E-2</v>
      </c>
      <c r="L1809">
        <v>13142.977978664399</v>
      </c>
      <c r="M1809">
        <v>250</v>
      </c>
      <c r="N1809">
        <v>52.615951374138902</v>
      </c>
      <c r="O1809">
        <v>52.568548828271702</v>
      </c>
      <c r="P1809">
        <v>-1.0766939163412199</v>
      </c>
      <c r="Q1809">
        <v>9.4396233734810306E-2</v>
      </c>
      <c r="R1809">
        <v>0.98991692387601005</v>
      </c>
      <c r="S1809" t="s">
        <v>7670</v>
      </c>
      <c r="T1809" t="s">
        <v>11720</v>
      </c>
      <c r="U1809" t="s">
        <v>11720</v>
      </c>
      <c r="V1809" t="s">
        <v>11720</v>
      </c>
      <c r="W1809" t="s">
        <v>13491</v>
      </c>
      <c r="X1809">
        <v>65</v>
      </c>
      <c r="Y1809" t="s">
        <v>19266</v>
      </c>
      <c r="Z1809" t="s">
        <v>25016</v>
      </c>
      <c r="AA1809">
        <v>0.473985479988559</v>
      </c>
      <c r="AB1809" t="str">
        <f>HYPERLINK("Melting_Curves/meltCurve_P07900_HSP90AA1.pdf", "Melting_Curves/meltCurve_P07900_HSP90AA1.pdf")</f>
        <v>Melting_Curves/meltCurve_P07900_HSP90AA1.pdf</v>
      </c>
    </row>
    <row r="1810" spans="1:28" x14ac:dyDescent="0.25">
      <c r="A1810" t="s">
        <v>1814</v>
      </c>
      <c r="B1810">
        <v>0.99334974765950101</v>
      </c>
      <c r="C1810">
        <v>0.99682376633160596</v>
      </c>
      <c r="D1810">
        <v>0.86669535217684401</v>
      </c>
      <c r="E1810">
        <v>0.86846578910727301</v>
      </c>
      <c r="F1810">
        <v>0.95400548251946105</v>
      </c>
      <c r="G1810">
        <v>0.41149928107228401</v>
      </c>
      <c r="H1810">
        <v>0.17516483888194001</v>
      </c>
      <c r="I1810">
        <v>0.126897510439796</v>
      </c>
      <c r="J1810">
        <v>0.103954520253114</v>
      </c>
      <c r="K1810">
        <v>2.8188963501571299E-2</v>
      </c>
      <c r="L1810">
        <v>1946.10465832812</v>
      </c>
      <c r="M1810">
        <v>34.620239794119797</v>
      </c>
      <c r="N1810">
        <v>56.523474771741597</v>
      </c>
      <c r="O1810">
        <v>56.026352277215601</v>
      </c>
      <c r="P1810">
        <v>-0.14110309105838401</v>
      </c>
      <c r="Q1810">
        <v>8.6608017104040605E-2</v>
      </c>
      <c r="R1810">
        <v>0.97395191065650699</v>
      </c>
      <c r="S1810" t="s">
        <v>7671</v>
      </c>
      <c r="T1810" t="s">
        <v>11720</v>
      </c>
      <c r="U1810" t="s">
        <v>11720</v>
      </c>
      <c r="V1810" t="s">
        <v>11720</v>
      </c>
      <c r="W1810" t="s">
        <v>13492</v>
      </c>
      <c r="X1810">
        <v>4</v>
      </c>
      <c r="Y1810" t="s">
        <v>19267</v>
      </c>
      <c r="Z1810" t="s">
        <v>25017</v>
      </c>
      <c r="AA1810">
        <v>0.58489583010986557</v>
      </c>
      <c r="AB1810" t="str">
        <f>HYPERLINK("Melting_Curves/meltCurve_P07902_GALT.pdf", "Melting_Curves/meltCurve_P07902_GALT.pdf")</f>
        <v>Melting_Curves/meltCurve_P07902_GALT.pdf</v>
      </c>
    </row>
    <row r="1811" spans="1:28" x14ac:dyDescent="0.25">
      <c r="A1811" t="s">
        <v>1815</v>
      </c>
      <c r="B1811">
        <v>0.99334974765950101</v>
      </c>
      <c r="C1811">
        <v>0.98497935063480202</v>
      </c>
      <c r="D1811">
        <v>0.91509694896723204</v>
      </c>
      <c r="E1811">
        <v>0.88776619288818803</v>
      </c>
      <c r="F1811">
        <v>1.0365744874370499</v>
      </c>
      <c r="G1811">
        <v>1.0464468728004599</v>
      </c>
      <c r="H1811">
        <v>1.6181539584304301</v>
      </c>
      <c r="I1811">
        <v>1.81028179833162</v>
      </c>
      <c r="J1811">
        <v>3.3319636014941998</v>
      </c>
      <c r="K1811">
        <v>2.5837062981918999</v>
      </c>
      <c r="L1811">
        <v>14379.890654315001</v>
      </c>
      <c r="M1811">
        <v>250</v>
      </c>
      <c r="O1811">
        <v>57.515882041684897</v>
      </c>
      <c r="P1811">
        <v>0.54332819192799098</v>
      </c>
      <c r="Q1811">
        <v>1.5</v>
      </c>
      <c r="R1811">
        <v>0.25947677771532301</v>
      </c>
      <c r="S1811" t="s">
        <v>7672</v>
      </c>
      <c r="T1811" t="s">
        <v>11720</v>
      </c>
      <c r="U1811" t="s">
        <v>11720</v>
      </c>
      <c r="V1811" t="s">
        <v>11720</v>
      </c>
      <c r="W1811" t="s">
        <v>13493</v>
      </c>
      <c r="X1811">
        <v>7</v>
      </c>
      <c r="Y1811" t="s">
        <v>19268</v>
      </c>
      <c r="Z1811" t="s">
        <v>25018</v>
      </c>
      <c r="AA1811">
        <v>1.207956816743738</v>
      </c>
      <c r="AB1811" t="str">
        <f>HYPERLINK("Melting_Curves/meltCurve_P07919_UQCRH.pdf", "Melting_Curves/meltCurve_P07919_UQCRH.pdf")</f>
        <v>Melting_Curves/meltCurve_P07919_UQCRH.pdf</v>
      </c>
    </row>
    <row r="1812" spans="1:28" x14ac:dyDescent="0.25">
      <c r="A1812" t="s">
        <v>1816</v>
      </c>
      <c r="B1812">
        <v>0.99334974765950101</v>
      </c>
      <c r="C1812">
        <v>1.0751274315236401</v>
      </c>
      <c r="D1812">
        <v>1.2181296667333901</v>
      </c>
      <c r="E1812">
        <v>1.4731117823594999</v>
      </c>
      <c r="F1812">
        <v>0.40126584675066401</v>
      </c>
      <c r="G1812">
        <v>0.16672745919438001</v>
      </c>
      <c r="H1812">
        <v>0.11678492002087699</v>
      </c>
      <c r="I1812">
        <v>8.73789788939736E-2</v>
      </c>
      <c r="J1812">
        <v>0.106241681163268</v>
      </c>
      <c r="K1812">
        <v>7.5208069073997297E-2</v>
      </c>
      <c r="L1812">
        <v>13211.724833308899</v>
      </c>
      <c r="M1812">
        <v>250</v>
      </c>
      <c r="N1812">
        <v>52.899728494890603</v>
      </c>
      <c r="O1812">
        <v>52.843525848417002</v>
      </c>
      <c r="P1812">
        <v>-1.0520827454670001</v>
      </c>
      <c r="Q1812">
        <v>0.11046795345009899</v>
      </c>
      <c r="R1812">
        <v>0.89776495081632302</v>
      </c>
      <c r="S1812" t="s">
        <v>7673</v>
      </c>
      <c r="T1812" t="s">
        <v>11720</v>
      </c>
      <c r="U1812" t="s">
        <v>11720</v>
      </c>
      <c r="V1812" t="s">
        <v>11720</v>
      </c>
      <c r="W1812" t="s">
        <v>13494</v>
      </c>
      <c r="X1812">
        <v>19</v>
      </c>
      <c r="Y1812" t="s">
        <v>19269</v>
      </c>
      <c r="Z1812" t="s">
        <v>25019</v>
      </c>
      <c r="AA1812">
        <v>0.49147474205572311</v>
      </c>
      <c r="AB1812" t="str">
        <f>HYPERLINK("Melting_Curves/meltCurve_P07954_2_FH.pdf", "Melting_Curves/meltCurve_P07954_2_FH.pdf")</f>
        <v>Melting_Curves/meltCurve_P07954_2_FH.pdf</v>
      </c>
    </row>
    <row r="1813" spans="1:28" x14ac:dyDescent="0.25">
      <c r="A1813" t="s">
        <v>1817</v>
      </c>
      <c r="B1813">
        <v>0.99334974765950101</v>
      </c>
      <c r="C1813">
        <v>0.932798044681449</v>
      </c>
      <c r="D1813">
        <v>0.66700647551724102</v>
      </c>
      <c r="E1813">
        <v>0.39452987318913102</v>
      </c>
      <c r="F1813">
        <v>0.261588759317675</v>
      </c>
      <c r="G1813">
        <v>0.154226112068449</v>
      </c>
      <c r="H1813">
        <v>0.134313910528193</v>
      </c>
      <c r="I1813">
        <v>0.11913251056124601</v>
      </c>
      <c r="J1813">
        <v>0.12360897115468999</v>
      </c>
      <c r="K1813">
        <v>8.5051790083796902E-2</v>
      </c>
      <c r="L1813">
        <v>841.01255187997106</v>
      </c>
      <c r="M1813">
        <v>17.591279182805899</v>
      </c>
      <c r="N1813">
        <v>48.479351539933702</v>
      </c>
      <c r="O1813">
        <v>47.203511493274199</v>
      </c>
      <c r="P1813">
        <v>-8.31066254094283E-2</v>
      </c>
      <c r="Q1813">
        <v>0.10803244115728899</v>
      </c>
      <c r="R1813">
        <v>0.99608281194723403</v>
      </c>
      <c r="S1813" t="s">
        <v>7674</v>
      </c>
      <c r="T1813" t="s">
        <v>11720</v>
      </c>
      <c r="U1813" t="s">
        <v>11720</v>
      </c>
      <c r="V1813" t="s">
        <v>11720</v>
      </c>
      <c r="W1813" t="s">
        <v>13495</v>
      </c>
      <c r="X1813">
        <v>2</v>
      </c>
      <c r="Y1813" t="s">
        <v>19270</v>
      </c>
      <c r="Z1813" t="s">
        <v>25020</v>
      </c>
      <c r="AA1813">
        <v>0.35690628991621881</v>
      </c>
      <c r="AB1813" t="str">
        <f>HYPERLINK("Melting_Curves/meltCurve_P07992_2_ERCC1.pdf", "Melting_Curves/meltCurve_P07992_2_ERCC1.pdf")</f>
        <v>Melting_Curves/meltCurve_P07992_2_ERCC1.pdf</v>
      </c>
    </row>
    <row r="1814" spans="1:28" x14ac:dyDescent="0.25">
      <c r="A1814" t="s">
        <v>1818</v>
      </c>
      <c r="B1814">
        <v>0.99334974765950101</v>
      </c>
      <c r="C1814">
        <v>0.97790625308107504</v>
      </c>
      <c r="D1814">
        <v>0.85671151960109104</v>
      </c>
      <c r="E1814">
        <v>0.78074961768012596</v>
      </c>
      <c r="F1814">
        <v>0.74954445320540797</v>
      </c>
      <c r="G1814">
        <v>0.58078552445933296</v>
      </c>
      <c r="H1814">
        <v>0.56763088913628201</v>
      </c>
      <c r="I1814">
        <v>0.72324671792095396</v>
      </c>
      <c r="J1814">
        <v>0.73493030544657201</v>
      </c>
      <c r="K1814">
        <v>0.66960764503349102</v>
      </c>
      <c r="L1814">
        <v>895.69790388849503</v>
      </c>
      <c r="M1814">
        <v>18.7986942802488</v>
      </c>
      <c r="O1814">
        <v>47.117466550204199</v>
      </c>
      <c r="P1814">
        <v>-3.38767675069842E-2</v>
      </c>
      <c r="Q1814">
        <v>0.66037620588821899</v>
      </c>
      <c r="R1814">
        <v>0.83706743649314497</v>
      </c>
      <c r="S1814" t="s">
        <v>7675</v>
      </c>
      <c r="T1814" t="s">
        <v>11720</v>
      </c>
      <c r="U1814" t="s">
        <v>11720</v>
      </c>
      <c r="V1814" t="s">
        <v>11720</v>
      </c>
      <c r="W1814" t="s">
        <v>13496</v>
      </c>
      <c r="X1814">
        <v>45</v>
      </c>
      <c r="Y1814" t="s">
        <v>19271</v>
      </c>
      <c r="Z1814" t="s">
        <v>25021</v>
      </c>
      <c r="AA1814">
        <v>0.75250263123057171</v>
      </c>
      <c r="AB1814" t="str">
        <f>HYPERLINK("Melting_Curves/meltCurve_P07996_THBS1.pdf", "Melting_Curves/meltCurve_P07996_THBS1.pdf")</f>
        <v>Melting_Curves/meltCurve_P07996_THBS1.pdf</v>
      </c>
    </row>
    <row r="1815" spans="1:28" x14ac:dyDescent="0.25">
      <c r="A1815" t="s">
        <v>1819</v>
      </c>
      <c r="B1815">
        <v>0.99334974765950101</v>
      </c>
      <c r="C1815">
        <v>0.91328247609727298</v>
      </c>
      <c r="D1815">
        <v>0.85493082061498704</v>
      </c>
      <c r="E1815">
        <v>0.74044638021072195</v>
      </c>
      <c r="F1815">
        <v>0.808335276102502</v>
      </c>
      <c r="G1815">
        <v>0.48387238544757799</v>
      </c>
      <c r="H1815">
        <v>0.43691168133728497</v>
      </c>
      <c r="I1815">
        <v>0.46322676082215603</v>
      </c>
      <c r="J1815">
        <v>0.64653271396803902</v>
      </c>
      <c r="K1815">
        <v>0.52773594994946404</v>
      </c>
      <c r="L1815">
        <v>645.05999089188504</v>
      </c>
      <c r="M1815">
        <v>12.834326203484499</v>
      </c>
      <c r="O1815">
        <v>49.087221042123801</v>
      </c>
      <c r="P1815">
        <v>-3.3218253347934601E-2</v>
      </c>
      <c r="Q1815">
        <v>0.49189728697048501</v>
      </c>
      <c r="R1815">
        <v>0.82336755246167304</v>
      </c>
      <c r="S1815" t="s">
        <v>7676</v>
      </c>
      <c r="T1815" t="s">
        <v>11720</v>
      </c>
      <c r="U1815" t="s">
        <v>11720</v>
      </c>
      <c r="V1815" t="s">
        <v>11720</v>
      </c>
      <c r="W1815" t="s">
        <v>13497</v>
      </c>
      <c r="X1815">
        <v>1</v>
      </c>
      <c r="Y1815" t="s">
        <v>19272</v>
      </c>
      <c r="Z1815" t="s">
        <v>25022</v>
      </c>
      <c r="AA1815">
        <v>0.68127028894574271</v>
      </c>
      <c r="AB1815" t="str">
        <f>HYPERLINK("Melting_Curves/meltCurve_P08047_SP1.pdf", "Melting_Curves/meltCurve_P08047_SP1.pdf")</f>
        <v>Melting_Curves/meltCurve_P08047_SP1.pdf</v>
      </c>
    </row>
    <row r="1816" spans="1:28" x14ac:dyDescent="0.25">
      <c r="A1816" t="s">
        <v>1820</v>
      </c>
      <c r="B1816">
        <v>0.99334974765950101</v>
      </c>
      <c r="C1816">
        <v>1.0064535583890899</v>
      </c>
      <c r="D1816">
        <v>0.96104579296141401</v>
      </c>
      <c r="E1816">
        <v>0.849486075970737</v>
      </c>
      <c r="F1816">
        <v>0.53964600696131304</v>
      </c>
      <c r="G1816">
        <v>0.200720491743897</v>
      </c>
      <c r="H1816">
        <v>0.102813050024021</v>
      </c>
      <c r="I1816">
        <v>8.6316215576137501E-2</v>
      </c>
      <c r="J1816">
        <v>8.5728800175080194E-2</v>
      </c>
      <c r="K1816">
        <v>7.29494924940923E-2</v>
      </c>
      <c r="L1816">
        <v>1400.4721003126399</v>
      </c>
      <c r="M1816">
        <v>26.413421861705601</v>
      </c>
      <c r="N1816">
        <v>53.353536099616001</v>
      </c>
      <c r="O1816">
        <v>52.720117071998203</v>
      </c>
      <c r="P1816">
        <v>-0.115754283940565</v>
      </c>
      <c r="Q1816">
        <v>7.5846686081026002E-2</v>
      </c>
      <c r="R1816">
        <v>0.99955114210181994</v>
      </c>
      <c r="S1816" t="s">
        <v>7677</v>
      </c>
      <c r="T1816" t="s">
        <v>11720</v>
      </c>
      <c r="U1816" t="s">
        <v>11720</v>
      </c>
      <c r="V1816" t="s">
        <v>11720</v>
      </c>
      <c r="W1816" t="s">
        <v>13498</v>
      </c>
      <c r="X1816">
        <v>42</v>
      </c>
      <c r="Y1816" t="s">
        <v>19273</v>
      </c>
      <c r="Z1816" t="s">
        <v>25023</v>
      </c>
      <c r="AA1816">
        <v>0.48463630146072162</v>
      </c>
      <c r="AB1816" t="str">
        <f>HYPERLINK("Melting_Curves/meltCurve_P08107_HSPA1A.pdf", "Melting_Curves/meltCurve_P08107_HSPA1A.pdf")</f>
        <v>Melting_Curves/meltCurve_P08107_HSPA1A.pdf</v>
      </c>
    </row>
    <row r="1817" spans="1:28" x14ac:dyDescent="0.25">
      <c r="A1817" t="s">
        <v>1821</v>
      </c>
      <c r="B1817">
        <v>0.99334974765950101</v>
      </c>
      <c r="C1817">
        <v>1.0551364797798899</v>
      </c>
      <c r="D1817">
        <v>1.0235784620411399</v>
      </c>
      <c r="E1817">
        <v>1.0187311781445201</v>
      </c>
      <c r="F1817">
        <v>1.27666089901288</v>
      </c>
      <c r="G1817">
        <v>0.89414051051552101</v>
      </c>
      <c r="H1817">
        <v>0.58356778477119697</v>
      </c>
      <c r="I1817">
        <v>0.64530653955386297</v>
      </c>
      <c r="J1817">
        <v>0.51731142301052802</v>
      </c>
      <c r="K1817">
        <v>0.44085686198738999</v>
      </c>
      <c r="L1817">
        <v>2794.5303107462501</v>
      </c>
      <c r="M1817">
        <v>47.596376111388103</v>
      </c>
      <c r="O1817">
        <v>58.609725568957401</v>
      </c>
      <c r="P1817">
        <v>-9.6091316980367103E-2</v>
      </c>
      <c r="Q1817">
        <v>0.52669675023864004</v>
      </c>
      <c r="R1817">
        <v>0.85352948058499301</v>
      </c>
      <c r="S1817" t="s">
        <v>7678</v>
      </c>
      <c r="T1817" t="s">
        <v>11720</v>
      </c>
      <c r="U1817" t="s">
        <v>11720</v>
      </c>
      <c r="V1817" t="s">
        <v>11720</v>
      </c>
      <c r="W1817" t="s">
        <v>13499</v>
      </c>
      <c r="X1817">
        <v>87</v>
      </c>
      <c r="Y1817" t="s">
        <v>19274</v>
      </c>
      <c r="Z1817" t="s">
        <v>25024</v>
      </c>
      <c r="AA1817">
        <v>0.82326892618865943</v>
      </c>
      <c r="AB1817" t="str">
        <f>HYPERLINK("Melting_Curves/meltCurve_P08123_COL1A2.pdf", "Melting_Curves/meltCurve_P08123_COL1A2.pdf")</f>
        <v>Melting_Curves/meltCurve_P08123_COL1A2.pdf</v>
      </c>
    </row>
    <row r="1818" spans="1:28" x14ac:dyDescent="0.25">
      <c r="A1818" t="s">
        <v>1822</v>
      </c>
      <c r="B1818">
        <v>0.99334974765950101</v>
      </c>
      <c r="C1818">
        <v>1.0036460854140199</v>
      </c>
      <c r="D1818">
        <v>0.75390432552476705</v>
      </c>
      <c r="E1818">
        <v>0.59212772950391102</v>
      </c>
      <c r="F1818">
        <v>0.32960414106798203</v>
      </c>
      <c r="G1818">
        <v>0.16948969507974099</v>
      </c>
      <c r="H1818">
        <v>0.15022149134354201</v>
      </c>
      <c r="I1818">
        <v>0.134482041658808</v>
      </c>
      <c r="J1818">
        <v>0.15645735972701899</v>
      </c>
      <c r="K1818">
        <v>0.109322951759537</v>
      </c>
      <c r="L1818">
        <v>857.32675997378101</v>
      </c>
      <c r="M1818">
        <v>17.229906232717301</v>
      </c>
      <c r="N1818">
        <v>50.517276983683303</v>
      </c>
      <c r="O1818">
        <v>49.102316540007202</v>
      </c>
      <c r="P1818">
        <v>-7.7722623694760601E-2</v>
      </c>
      <c r="Q1818">
        <v>0.114066880060968</v>
      </c>
      <c r="R1818">
        <v>0.98851530553781297</v>
      </c>
      <c r="S1818" t="s">
        <v>7679</v>
      </c>
      <c r="T1818" t="s">
        <v>11720</v>
      </c>
      <c r="U1818" t="s">
        <v>11720</v>
      </c>
      <c r="V1818" t="s">
        <v>11720</v>
      </c>
      <c r="W1818" t="s">
        <v>13500</v>
      </c>
      <c r="X1818">
        <v>75</v>
      </c>
      <c r="Y1818" t="s">
        <v>17564</v>
      </c>
      <c r="Z1818" t="s">
        <v>25025</v>
      </c>
      <c r="AA1818">
        <v>0.4187110100494999</v>
      </c>
      <c r="AB1818" t="str">
        <f>HYPERLINK("Melting_Curves/meltCurve_P08133_ANXA6.pdf", "Melting_Curves/meltCurve_P08133_ANXA6.pdf")</f>
        <v>Melting_Curves/meltCurve_P08133_ANXA6.pdf</v>
      </c>
    </row>
    <row r="1819" spans="1:28" x14ac:dyDescent="0.25">
      <c r="A1819" t="s">
        <v>1823</v>
      </c>
      <c r="B1819">
        <v>0.99334974765950101</v>
      </c>
      <c r="C1819">
        <v>1.06077997058565</v>
      </c>
      <c r="D1819">
        <v>1.13011138100873</v>
      </c>
      <c r="E1819">
        <v>1.0947741858986599</v>
      </c>
      <c r="F1819">
        <v>1.21732586785731</v>
      </c>
      <c r="G1819">
        <v>1.55296285015177</v>
      </c>
      <c r="H1819">
        <v>1.52669972071272</v>
      </c>
      <c r="I1819">
        <v>2.0140147166576101</v>
      </c>
      <c r="J1819">
        <v>0.95000856311784598</v>
      </c>
      <c r="K1819">
        <v>0.26147265806312803</v>
      </c>
      <c r="L1819">
        <v>15000</v>
      </c>
      <c r="M1819">
        <v>221.256180974762</v>
      </c>
      <c r="N1819">
        <v>68.021362195911607</v>
      </c>
      <c r="O1819">
        <v>67.789177541875702</v>
      </c>
      <c r="P1819">
        <v>-0.60318346906967402</v>
      </c>
      <c r="Q1819">
        <v>0.26077886723199201</v>
      </c>
      <c r="R1819">
        <v>0.116850128969987</v>
      </c>
      <c r="S1819" t="s">
        <v>7680</v>
      </c>
      <c r="T1819" t="s">
        <v>11720</v>
      </c>
      <c r="U1819" t="s">
        <v>11720</v>
      </c>
      <c r="V1819" t="s">
        <v>11720</v>
      </c>
      <c r="W1819" t="s">
        <v>13501</v>
      </c>
      <c r="X1819">
        <v>27</v>
      </c>
      <c r="Y1819" t="s">
        <v>19275</v>
      </c>
      <c r="Z1819" t="s">
        <v>25026</v>
      </c>
      <c r="AA1819">
        <v>0.94576492076508167</v>
      </c>
      <c r="AB1819" t="str">
        <f>HYPERLINK("Melting_Curves/meltCurve_P08237_PFKM.pdf", "Melting_Curves/meltCurve_P08237_PFKM.pdf")</f>
        <v>Melting_Curves/meltCurve_P08237_PFKM.pdf</v>
      </c>
    </row>
    <row r="1820" spans="1:28" x14ac:dyDescent="0.25">
      <c r="A1820" t="s">
        <v>1824</v>
      </c>
      <c r="B1820">
        <v>0.99334974765950101</v>
      </c>
      <c r="C1820">
        <v>0.99935428827957595</v>
      </c>
      <c r="D1820">
        <v>1.1227727708087401</v>
      </c>
      <c r="E1820">
        <v>0.96437896880084195</v>
      </c>
      <c r="F1820">
        <v>0.17680439024623901</v>
      </c>
      <c r="G1820">
        <v>0.110470639494262</v>
      </c>
      <c r="H1820">
        <v>7.4699094802926497E-2</v>
      </c>
      <c r="I1820">
        <v>7.0175226324116505E-2</v>
      </c>
      <c r="J1820">
        <v>6.81423675623027E-2</v>
      </c>
      <c r="K1820">
        <v>6.7052835914750794E-2</v>
      </c>
      <c r="L1820">
        <v>4707.0076784928897</v>
      </c>
      <c r="M1820">
        <v>90.930196462789098</v>
      </c>
      <c r="N1820">
        <v>51.8618497525677</v>
      </c>
      <c r="O1820">
        <v>51.7400440579651</v>
      </c>
      <c r="P1820">
        <v>-0.40507429078398599</v>
      </c>
      <c r="Q1820">
        <v>7.8037401571665402E-2</v>
      </c>
      <c r="R1820">
        <v>0.99208978062223996</v>
      </c>
      <c r="S1820" t="s">
        <v>7681</v>
      </c>
      <c r="T1820" t="s">
        <v>11720</v>
      </c>
      <c r="U1820" t="s">
        <v>11720</v>
      </c>
      <c r="V1820" t="s">
        <v>11720</v>
      </c>
      <c r="W1820" t="s">
        <v>13502</v>
      </c>
      <c r="X1820">
        <v>65</v>
      </c>
      <c r="Y1820" t="s">
        <v>19276</v>
      </c>
      <c r="Z1820" t="s">
        <v>25027</v>
      </c>
      <c r="AA1820">
        <v>0.44023649161648248</v>
      </c>
      <c r="AB1820" t="str">
        <f>HYPERLINK("Melting_Curves/meltCurve_P08238_HSP90AB1.pdf", "Melting_Curves/meltCurve_P08238_HSP90AB1.pdf")</f>
        <v>Melting_Curves/meltCurve_P08238_HSP90AB1.pdf</v>
      </c>
    </row>
    <row r="1821" spans="1:28" x14ac:dyDescent="0.25">
      <c r="A1821" t="s">
        <v>1825</v>
      </c>
      <c r="B1821">
        <v>0.99334974765950101</v>
      </c>
      <c r="C1821">
        <v>0.93806232516158705</v>
      </c>
      <c r="D1821">
        <v>0.81813734341042499</v>
      </c>
      <c r="E1821">
        <v>0.377812188725349</v>
      </c>
      <c r="F1821">
        <v>0.12716882392706499</v>
      </c>
      <c r="G1821">
        <v>7.7114690552926302E-2</v>
      </c>
      <c r="H1821">
        <v>5.8806921650255001E-2</v>
      </c>
      <c r="I1821">
        <v>4.8714093117676001E-2</v>
      </c>
      <c r="J1821">
        <v>4.8468366913183999E-2</v>
      </c>
      <c r="K1821">
        <v>3.1580592308992801E-2</v>
      </c>
      <c r="L1821">
        <v>1205.8650251327099</v>
      </c>
      <c r="M1821">
        <v>24.791642043027</v>
      </c>
      <c r="N1821">
        <v>48.816399606404701</v>
      </c>
      <c r="O1821">
        <v>48.326812632088703</v>
      </c>
      <c r="P1821">
        <v>-0.122756231647717</v>
      </c>
      <c r="Q1821">
        <v>4.2849006014383198E-2</v>
      </c>
      <c r="R1821">
        <v>0.99864137185134105</v>
      </c>
      <c r="S1821" t="s">
        <v>7682</v>
      </c>
      <c r="T1821" t="s">
        <v>11720</v>
      </c>
      <c r="U1821" t="s">
        <v>11720</v>
      </c>
      <c r="V1821" t="s">
        <v>11720</v>
      </c>
      <c r="W1821" t="s">
        <v>13503</v>
      </c>
      <c r="X1821">
        <v>25</v>
      </c>
      <c r="Y1821" t="s">
        <v>19277</v>
      </c>
      <c r="Z1821" t="s">
        <v>25028</v>
      </c>
      <c r="AA1821">
        <v>0.32712238757581352</v>
      </c>
      <c r="AB1821" t="str">
        <f>HYPERLINK("Melting_Curves/meltCurve_P08240_SRPR.pdf", "Melting_Curves/meltCurve_P08240_SRPR.pdf")</f>
        <v>Melting_Curves/meltCurve_P08240_SRPR.pdf</v>
      </c>
    </row>
    <row r="1822" spans="1:28" x14ac:dyDescent="0.25">
      <c r="A1822" t="s">
        <v>1826</v>
      </c>
      <c r="B1822">
        <v>0.99334974765950101</v>
      </c>
      <c r="C1822">
        <v>0.93201246011898697</v>
      </c>
      <c r="D1822">
        <v>0.96872480785355197</v>
      </c>
      <c r="E1822">
        <v>0.71978005510884402</v>
      </c>
      <c r="F1822">
        <v>0.11265748793738301</v>
      </c>
      <c r="G1822">
        <v>3.9903917090242901E-2</v>
      </c>
      <c r="H1822">
        <v>1.08142597734096E-2</v>
      </c>
      <c r="I1822">
        <v>0</v>
      </c>
      <c r="J1822">
        <v>0</v>
      </c>
      <c r="K1822">
        <v>0</v>
      </c>
      <c r="L1822">
        <v>2671.7852187029298</v>
      </c>
      <c r="M1822">
        <v>52.514187927656501</v>
      </c>
      <c r="N1822">
        <v>50.894546783706097</v>
      </c>
      <c r="O1822">
        <v>50.803780189731199</v>
      </c>
      <c r="P1822">
        <v>-0.25615069342279501</v>
      </c>
      <c r="Q1822">
        <v>8.7696433520064107E-3</v>
      </c>
      <c r="R1822">
        <v>0.99661358657835997</v>
      </c>
      <c r="S1822" t="s">
        <v>7683</v>
      </c>
      <c r="T1822" t="s">
        <v>11720</v>
      </c>
      <c r="U1822" t="s">
        <v>11720</v>
      </c>
      <c r="V1822" t="s">
        <v>11720</v>
      </c>
      <c r="W1822" t="s">
        <v>13504</v>
      </c>
      <c r="X1822">
        <v>31</v>
      </c>
      <c r="Y1822" t="s">
        <v>19278</v>
      </c>
      <c r="Z1822" t="s">
        <v>25029</v>
      </c>
      <c r="AA1822">
        <v>0.37018541627702117</v>
      </c>
      <c r="AB1822" t="str">
        <f>HYPERLINK("Melting_Curves/meltCurve_P08243_2_ASNS.pdf", "Melting_Curves/meltCurve_P08243_2_ASNS.pdf")</f>
        <v>Melting_Curves/meltCurve_P08243_2_ASNS.pdf</v>
      </c>
    </row>
    <row r="1823" spans="1:28" x14ac:dyDescent="0.25">
      <c r="A1823" t="s">
        <v>1827</v>
      </c>
      <c r="B1823">
        <v>0.99334974765950101</v>
      </c>
      <c r="C1823">
        <v>0.93423303278071501</v>
      </c>
      <c r="D1823">
        <v>0.92055582276505898</v>
      </c>
      <c r="E1823">
        <v>0.72949460472390204</v>
      </c>
      <c r="F1823">
        <v>0.567361597838412</v>
      </c>
      <c r="G1823">
        <v>0.39314778582835003</v>
      </c>
      <c r="H1823">
        <v>0.30003144523056902</v>
      </c>
      <c r="I1823">
        <v>0.28665444059524298</v>
      </c>
      <c r="J1823">
        <v>0.213623310462666</v>
      </c>
      <c r="K1823">
        <v>0.16520286886458199</v>
      </c>
      <c r="L1823">
        <v>664.83977949788198</v>
      </c>
      <c r="M1823">
        <v>12.5432790241164</v>
      </c>
      <c r="N1823">
        <v>54.654965354857197</v>
      </c>
      <c r="O1823">
        <v>51.7105702165778</v>
      </c>
      <c r="P1823">
        <v>-5.1087869942353599E-2</v>
      </c>
      <c r="Q1823">
        <v>0.157717325445247</v>
      </c>
      <c r="R1823">
        <v>0.99521199062224297</v>
      </c>
      <c r="S1823" t="s">
        <v>7684</v>
      </c>
      <c r="T1823" t="s">
        <v>11720</v>
      </c>
      <c r="U1823" t="s">
        <v>11720</v>
      </c>
      <c r="V1823" t="s">
        <v>11720</v>
      </c>
      <c r="W1823" t="s">
        <v>13505</v>
      </c>
      <c r="X1823">
        <v>20</v>
      </c>
      <c r="Y1823" t="s">
        <v>19279</v>
      </c>
      <c r="Z1823" t="s">
        <v>25030</v>
      </c>
      <c r="AA1823">
        <v>0.54559963121174992</v>
      </c>
      <c r="AB1823" t="str">
        <f>HYPERLINK("Melting_Curves/meltCurve_P08253_MMP2.pdf", "Melting_Curves/meltCurve_P08253_MMP2.pdf")</f>
        <v>Melting_Curves/meltCurve_P08253_MMP2.pdf</v>
      </c>
    </row>
    <row r="1824" spans="1:28" x14ac:dyDescent="0.25">
      <c r="A1824" t="s">
        <v>1828</v>
      </c>
      <c r="B1824">
        <v>0.99334974765950101</v>
      </c>
      <c r="C1824">
        <v>0.95359619953757402</v>
      </c>
      <c r="D1824">
        <v>0.970703278973572</v>
      </c>
      <c r="E1824">
        <v>0.87065043550384502</v>
      </c>
      <c r="F1824">
        <v>0.97659985900284496</v>
      </c>
      <c r="G1824">
        <v>0.776196875207954</v>
      </c>
      <c r="H1824">
        <v>0.66375956060760599</v>
      </c>
      <c r="I1824">
        <v>0.62283067677594395</v>
      </c>
      <c r="J1824">
        <v>0.46545634208758502</v>
      </c>
      <c r="K1824">
        <v>0.25769042761543498</v>
      </c>
      <c r="L1824">
        <v>675.95897028625802</v>
      </c>
      <c r="M1824">
        <v>10.350633895330001</v>
      </c>
      <c r="N1824">
        <v>65.306035504261999</v>
      </c>
      <c r="O1824">
        <v>63.009408278513803</v>
      </c>
      <c r="P1824">
        <v>-4.1085316563995798E-2</v>
      </c>
      <c r="Q1824">
        <v>0</v>
      </c>
      <c r="R1824">
        <v>0.95199334538012803</v>
      </c>
      <c r="S1824" t="s">
        <v>7685</v>
      </c>
      <c r="T1824" t="s">
        <v>11720</v>
      </c>
      <c r="U1824" t="s">
        <v>11720</v>
      </c>
      <c r="V1824" t="s">
        <v>11720</v>
      </c>
      <c r="W1824" t="s">
        <v>13506</v>
      </c>
      <c r="X1824">
        <v>10</v>
      </c>
      <c r="Y1824" t="s">
        <v>19280</v>
      </c>
      <c r="Z1824" t="s">
        <v>25031</v>
      </c>
      <c r="AA1824">
        <v>0.7882186782778694</v>
      </c>
      <c r="AB1824" t="str">
        <f>HYPERLINK("Melting_Curves/meltCurve_P08294_SOD3.pdf", "Melting_Curves/meltCurve_P08294_SOD3.pdf")</f>
        <v>Melting_Curves/meltCurve_P08294_SOD3.pdf</v>
      </c>
    </row>
    <row r="1825" spans="1:28" x14ac:dyDescent="0.25">
      <c r="A1825" t="s">
        <v>1829</v>
      </c>
      <c r="B1825">
        <v>0.99334974765950101</v>
      </c>
      <c r="C1825">
        <v>0.91618174534695396</v>
      </c>
      <c r="D1825">
        <v>0.83377278574281299</v>
      </c>
      <c r="E1825">
        <v>0.706171162960888</v>
      </c>
      <c r="F1825">
        <v>0.596374191668398</v>
      </c>
      <c r="G1825">
        <v>0.56929091432630297</v>
      </c>
      <c r="H1825">
        <v>0.50109915237018698</v>
      </c>
      <c r="I1825">
        <v>0.50345229322983998</v>
      </c>
      <c r="J1825">
        <v>0.44054921663733998</v>
      </c>
      <c r="K1825">
        <v>0.36195003453903801</v>
      </c>
      <c r="L1825">
        <v>478.63451386044102</v>
      </c>
      <c r="M1825">
        <v>9.3729853049785401</v>
      </c>
      <c r="N1825">
        <v>59.847355185497399</v>
      </c>
      <c r="O1825">
        <v>48.902608269346302</v>
      </c>
      <c r="P1825">
        <v>-3.0032183310301899E-2</v>
      </c>
      <c r="Q1825">
        <v>0.373630367551403</v>
      </c>
      <c r="R1825">
        <v>0.9767024658297</v>
      </c>
      <c r="S1825" t="s">
        <v>7686</v>
      </c>
      <c r="T1825" t="s">
        <v>11720</v>
      </c>
      <c r="U1825" t="s">
        <v>11720</v>
      </c>
      <c r="V1825" t="s">
        <v>11720</v>
      </c>
      <c r="W1825" t="s">
        <v>13507</v>
      </c>
      <c r="X1825">
        <v>20</v>
      </c>
      <c r="Y1825" t="s">
        <v>19281</v>
      </c>
      <c r="Z1825" t="s">
        <v>25032</v>
      </c>
      <c r="AA1825">
        <v>0.63264623411435639</v>
      </c>
      <c r="AB1825" t="str">
        <f>HYPERLINK("Melting_Curves/meltCurve_P08397_2_HMBS.pdf", "Melting_Curves/meltCurve_P08397_2_HMBS.pdf")</f>
        <v>Melting_Curves/meltCurve_P08397_2_HMBS.pdf</v>
      </c>
    </row>
    <row r="1826" spans="1:28" x14ac:dyDescent="0.25">
      <c r="A1826" t="s">
        <v>1830</v>
      </c>
      <c r="B1826">
        <v>0.99334974765950101</v>
      </c>
      <c r="C1826">
        <v>0.97178415211249602</v>
      </c>
      <c r="D1826">
        <v>1.0525402609233301</v>
      </c>
      <c r="E1826">
        <v>1.0633284894705901</v>
      </c>
      <c r="F1826">
        <v>0.91038314966116596</v>
      </c>
      <c r="G1826">
        <v>0.62929318563015402</v>
      </c>
      <c r="H1826">
        <v>0.41439975925960898</v>
      </c>
      <c r="I1826">
        <v>0.43607510585662401</v>
      </c>
      <c r="J1826">
        <v>0.27029164111520398</v>
      </c>
      <c r="K1826">
        <v>0.192497383711936</v>
      </c>
      <c r="L1826">
        <v>1169.7229818283799</v>
      </c>
      <c r="M1826">
        <v>20.2024172618435</v>
      </c>
      <c r="N1826">
        <v>59.729906995815398</v>
      </c>
      <c r="O1826">
        <v>57.341790628432101</v>
      </c>
      <c r="P1826">
        <v>-6.77591586608184E-2</v>
      </c>
      <c r="Q1826">
        <v>0.230723748996809</v>
      </c>
      <c r="R1826">
        <v>0.97085707998330395</v>
      </c>
      <c r="S1826" t="s">
        <v>7687</v>
      </c>
      <c r="T1826" t="s">
        <v>11720</v>
      </c>
      <c r="U1826" t="s">
        <v>11720</v>
      </c>
      <c r="V1826" t="s">
        <v>11720</v>
      </c>
      <c r="W1826" t="s">
        <v>13508</v>
      </c>
      <c r="X1826">
        <v>24</v>
      </c>
      <c r="Y1826" t="s">
        <v>19282</v>
      </c>
      <c r="Z1826" t="s">
        <v>25033</v>
      </c>
      <c r="AA1826">
        <v>0.69843835646905483</v>
      </c>
      <c r="AB1826" t="str">
        <f>HYPERLINK("Melting_Curves/meltCurve_P08473_MME.pdf", "Melting_Curves/meltCurve_P08473_MME.pdf")</f>
        <v>Melting_Curves/meltCurve_P08473_MME.pdf</v>
      </c>
    </row>
    <row r="1827" spans="1:28" x14ac:dyDescent="0.25">
      <c r="A1827" t="s">
        <v>1831</v>
      </c>
      <c r="B1827">
        <v>0.99334974765950101</v>
      </c>
      <c r="C1827">
        <v>1.0407783375003601</v>
      </c>
      <c r="D1827">
        <v>0.93894209435138298</v>
      </c>
      <c r="E1827">
        <v>0.88165938100836105</v>
      </c>
      <c r="F1827">
        <v>0.86886107014648695</v>
      </c>
      <c r="G1827">
        <v>0.65304227568531104</v>
      </c>
      <c r="H1827">
        <v>0.611494706320453</v>
      </c>
      <c r="I1827">
        <v>0.74648824138283998</v>
      </c>
      <c r="J1827">
        <v>0.53952517749443396</v>
      </c>
      <c r="K1827">
        <v>0.39304315842753401</v>
      </c>
      <c r="L1827">
        <v>396.90247597482499</v>
      </c>
      <c r="M1827">
        <v>5.83258415587862</v>
      </c>
      <c r="N1827">
        <v>68.049164035391399</v>
      </c>
      <c r="O1827">
        <v>61.330249918379302</v>
      </c>
      <c r="P1827">
        <v>-2.3860462281824601E-2</v>
      </c>
      <c r="Q1827">
        <v>0</v>
      </c>
      <c r="R1827">
        <v>0.881783936204381</v>
      </c>
      <c r="S1827" t="s">
        <v>7688</v>
      </c>
      <c r="T1827" t="s">
        <v>11720</v>
      </c>
      <c r="U1827" t="s">
        <v>11720</v>
      </c>
      <c r="V1827" t="s">
        <v>11720</v>
      </c>
      <c r="W1827" t="s">
        <v>13509</v>
      </c>
      <c r="X1827">
        <v>2</v>
      </c>
      <c r="Y1827" t="s">
        <v>19283</v>
      </c>
      <c r="Z1827" t="s">
        <v>25034</v>
      </c>
      <c r="AA1827">
        <v>0.77090904140043504</v>
      </c>
      <c r="AB1827" t="str">
        <f>HYPERLINK("Melting_Curves/meltCurve_P08476_INHBA.pdf", "Melting_Curves/meltCurve_P08476_INHBA.pdf")</f>
        <v>Melting_Curves/meltCurve_P08476_INHBA.pdf</v>
      </c>
    </row>
    <row r="1828" spans="1:28" x14ac:dyDescent="0.25">
      <c r="A1828" t="s">
        <v>1832</v>
      </c>
      <c r="B1828">
        <v>0.99334974765950101</v>
      </c>
      <c r="C1828">
        <v>1.0419472150756</v>
      </c>
      <c r="D1828">
        <v>1.1089574607917401</v>
      </c>
      <c r="E1828">
        <v>0.95280762043634304</v>
      </c>
      <c r="F1828">
        <v>0.42860539248441498</v>
      </c>
      <c r="G1828">
        <v>0.261538957155036</v>
      </c>
      <c r="H1828">
        <v>0.13381071909977801</v>
      </c>
      <c r="I1828">
        <v>0.13669349064717901</v>
      </c>
      <c r="J1828">
        <v>0.123687089917625</v>
      </c>
      <c r="K1828">
        <v>0.106510349597323</v>
      </c>
      <c r="L1828">
        <v>2759.5894927239701</v>
      </c>
      <c r="M1828">
        <v>52.716256435999</v>
      </c>
      <c r="N1828">
        <v>52.700260593762501</v>
      </c>
      <c r="O1828">
        <v>52.272811589678803</v>
      </c>
      <c r="P1828">
        <v>-0.21468197890649299</v>
      </c>
      <c r="Q1828">
        <v>0.14849621985815301</v>
      </c>
      <c r="R1828">
        <v>0.98415574700983499</v>
      </c>
      <c r="S1828" t="s">
        <v>7689</v>
      </c>
      <c r="T1828" t="s">
        <v>11720</v>
      </c>
      <c r="U1828" t="s">
        <v>11720</v>
      </c>
      <c r="V1828" t="s">
        <v>11720</v>
      </c>
      <c r="W1828" t="s">
        <v>13510</v>
      </c>
      <c r="X1828">
        <v>15</v>
      </c>
      <c r="Y1828" t="s">
        <v>19284</v>
      </c>
      <c r="Z1828" t="s">
        <v>25035</v>
      </c>
      <c r="AA1828">
        <v>0.50074229622317301</v>
      </c>
      <c r="AB1828" t="str">
        <f>HYPERLINK("Melting_Curves/meltCurve_P08559_3_PDHA1.pdf", "Melting_Curves/meltCurve_P08559_3_PDHA1.pdf")</f>
        <v>Melting_Curves/meltCurve_P08559_3_PDHA1.pdf</v>
      </c>
    </row>
    <row r="1829" spans="1:28" x14ac:dyDescent="0.25">
      <c r="A1829" t="s">
        <v>1833</v>
      </c>
      <c r="B1829">
        <v>0.99334974765950101</v>
      </c>
      <c r="C1829">
        <v>1.0368688990131201</v>
      </c>
      <c r="D1829">
        <v>1.01451269705642</v>
      </c>
      <c r="E1829">
        <v>0.96109999307854399</v>
      </c>
      <c r="F1829">
        <v>1.1632536016427399</v>
      </c>
      <c r="G1829">
        <v>0.66228818688836999</v>
      </c>
      <c r="H1829">
        <v>0.41252021739593098</v>
      </c>
      <c r="I1829">
        <v>0.47503079011612598</v>
      </c>
      <c r="J1829">
        <v>0.60540431560477803</v>
      </c>
      <c r="K1829">
        <v>0.44447723807540601</v>
      </c>
      <c r="L1829">
        <v>14213.4742615429</v>
      </c>
      <c r="M1829">
        <v>250</v>
      </c>
      <c r="N1829">
        <v>57.652901434165699</v>
      </c>
      <c r="O1829">
        <v>56.850245823978</v>
      </c>
      <c r="P1829">
        <v>-0.56688601257550097</v>
      </c>
      <c r="Q1829">
        <v>0.484358136022362</v>
      </c>
      <c r="R1829">
        <v>0.92986796713950304</v>
      </c>
      <c r="S1829" t="s">
        <v>7690</v>
      </c>
      <c r="T1829" t="s">
        <v>11720</v>
      </c>
      <c r="U1829" t="s">
        <v>11720</v>
      </c>
      <c r="V1829" t="s">
        <v>11720</v>
      </c>
      <c r="W1829" t="s">
        <v>13511</v>
      </c>
      <c r="X1829">
        <v>2</v>
      </c>
      <c r="Y1829" t="s">
        <v>19285</v>
      </c>
      <c r="Z1829" t="s">
        <v>25036</v>
      </c>
      <c r="AA1829">
        <v>0.77409541518971803</v>
      </c>
      <c r="AB1829" t="str">
        <f>HYPERLINK("Melting_Curves/meltCurve_P08572_COL4A2.pdf", "Melting_Curves/meltCurve_P08572_COL4A2.pdf")</f>
        <v>Melting_Curves/meltCurve_P08572_COL4A2.pdf</v>
      </c>
    </row>
    <row r="1830" spans="1:28" x14ac:dyDescent="0.25">
      <c r="A1830" t="s">
        <v>1834</v>
      </c>
      <c r="B1830">
        <v>0.99334974765950101</v>
      </c>
      <c r="C1830">
        <v>0.91946896849280502</v>
      </c>
      <c r="D1830">
        <v>0.91558143363407096</v>
      </c>
      <c r="E1830">
        <v>1.0316405607236101</v>
      </c>
      <c r="F1830">
        <v>1.0061382524920399</v>
      </c>
      <c r="G1830">
        <v>1.04395784894182</v>
      </c>
      <c r="H1830">
        <v>0.64671686329072497</v>
      </c>
      <c r="I1830">
        <v>0.195780290980239</v>
      </c>
      <c r="J1830">
        <v>0.17531558084576801</v>
      </c>
      <c r="K1830">
        <v>0.11962585676435999</v>
      </c>
      <c r="L1830">
        <v>4307.9215171349497</v>
      </c>
      <c r="M1830">
        <v>70.266979966064994</v>
      </c>
      <c r="N1830">
        <v>61.616750332008102</v>
      </c>
      <c r="O1830">
        <v>61.258308321089203</v>
      </c>
      <c r="P1830">
        <v>-0.24420058588017099</v>
      </c>
      <c r="Q1830">
        <v>0.14843010604645401</v>
      </c>
      <c r="R1830">
        <v>0.98651771962622503</v>
      </c>
      <c r="S1830" t="s">
        <v>7691</v>
      </c>
      <c r="T1830" t="s">
        <v>11720</v>
      </c>
      <c r="U1830" t="s">
        <v>11720</v>
      </c>
      <c r="V1830" t="s">
        <v>11720</v>
      </c>
      <c r="W1830" t="s">
        <v>13512</v>
      </c>
      <c r="X1830">
        <v>5</v>
      </c>
      <c r="Y1830" t="s">
        <v>19286</v>
      </c>
      <c r="Z1830" t="s">
        <v>25037</v>
      </c>
      <c r="AA1830">
        <v>0.7544265917141374</v>
      </c>
      <c r="AB1830" t="str">
        <f>HYPERLINK("Melting_Curves/meltCurve_P08574_CYC1.pdf", "Melting_Curves/meltCurve_P08574_CYC1.pdf")</f>
        <v>Melting_Curves/meltCurve_P08574_CYC1.pdf</v>
      </c>
    </row>
    <row r="1831" spans="1:28" x14ac:dyDescent="0.25">
      <c r="A1831" t="s">
        <v>1835</v>
      </c>
      <c r="B1831">
        <v>0.99334974765950101</v>
      </c>
      <c r="C1831">
        <v>0.99810231306220598</v>
      </c>
      <c r="D1831">
        <v>1.1128193228871299</v>
      </c>
      <c r="E1831">
        <v>0.83545983984479599</v>
      </c>
      <c r="F1831">
        <v>0.78586954758252103</v>
      </c>
      <c r="G1831">
        <v>0.88320441870264099</v>
      </c>
      <c r="H1831">
        <v>0.84474567164894399</v>
      </c>
      <c r="I1831">
        <v>0.52412019739440796</v>
      </c>
      <c r="J1831">
        <v>0.32907888559800602</v>
      </c>
      <c r="K1831">
        <v>0.32108176632050101</v>
      </c>
      <c r="L1831">
        <v>821.48105376392402</v>
      </c>
      <c r="M1831">
        <v>12.6118566654758</v>
      </c>
      <c r="N1831">
        <v>65.135598846118</v>
      </c>
      <c r="O1831">
        <v>63.563093612157303</v>
      </c>
      <c r="P1831">
        <v>-4.9613552349777802E-2</v>
      </c>
      <c r="Q1831">
        <v>0</v>
      </c>
      <c r="R1831">
        <v>0.87054567700969898</v>
      </c>
      <c r="S1831" t="s">
        <v>7692</v>
      </c>
      <c r="T1831" t="s">
        <v>11720</v>
      </c>
      <c r="U1831" t="s">
        <v>11720</v>
      </c>
      <c r="V1831" t="s">
        <v>11720</v>
      </c>
      <c r="W1831" t="s">
        <v>13513</v>
      </c>
      <c r="X1831">
        <v>2</v>
      </c>
      <c r="Y1831" t="s">
        <v>19287</v>
      </c>
      <c r="Z1831" t="s">
        <v>25038</v>
      </c>
      <c r="AA1831">
        <v>0.80000028720595007</v>
      </c>
      <c r="AB1831" t="str">
        <f>HYPERLINK("Melting_Curves/meltCurve_P08582_MFI2.pdf", "Melting_Curves/meltCurve_P08582_MFI2.pdf")</f>
        <v>Melting_Curves/meltCurve_P08582_MFI2.pdf</v>
      </c>
    </row>
    <row r="1832" spans="1:28" x14ac:dyDescent="0.25">
      <c r="A1832" t="s">
        <v>1836</v>
      </c>
      <c r="B1832">
        <v>0.99334974765950101</v>
      </c>
      <c r="C1832">
        <v>1.05387725123899</v>
      </c>
      <c r="D1832">
        <v>1.1564632011920699</v>
      </c>
      <c r="E1832">
        <v>1.54309133705825</v>
      </c>
      <c r="F1832">
        <v>1.8047598638148901</v>
      </c>
      <c r="G1832">
        <v>1.8141787006031</v>
      </c>
      <c r="H1832">
        <v>1.5630950718719201</v>
      </c>
      <c r="I1832">
        <v>2.3813615729126298</v>
      </c>
      <c r="J1832">
        <v>2.3298868173842799</v>
      </c>
      <c r="K1832">
        <v>2.3127808034625401</v>
      </c>
      <c r="L1832">
        <v>8319.6697222259299</v>
      </c>
      <c r="M1832">
        <v>180.07592159042599</v>
      </c>
      <c r="O1832">
        <v>46.1952025942023</v>
      </c>
      <c r="P1832">
        <v>0.48726900308246701</v>
      </c>
      <c r="Q1832">
        <v>1.5</v>
      </c>
      <c r="R1832">
        <v>7.5292553620227701E-2</v>
      </c>
      <c r="S1832" t="s">
        <v>7693</v>
      </c>
      <c r="T1832" t="s">
        <v>11720</v>
      </c>
      <c r="U1832" t="s">
        <v>11720</v>
      </c>
      <c r="V1832" t="s">
        <v>11720</v>
      </c>
      <c r="W1832" t="s">
        <v>13514</v>
      </c>
      <c r="X1832">
        <v>2</v>
      </c>
      <c r="Y1832" t="s">
        <v>19288</v>
      </c>
      <c r="Z1832" t="s">
        <v>25039</v>
      </c>
      <c r="AA1832">
        <v>1.396573505527015</v>
      </c>
      <c r="AB1832" t="str">
        <f>HYPERLINK("Melting_Curves/meltCurve_P08590_MYL3.pdf", "Melting_Curves/meltCurve_P08590_MYL3.pdf")</f>
        <v>Melting_Curves/meltCurve_P08590_MYL3.pdf</v>
      </c>
    </row>
    <row r="1833" spans="1:28" x14ac:dyDescent="0.25">
      <c r="A1833" t="s">
        <v>1837</v>
      </c>
      <c r="B1833">
        <v>0.99334974765950101</v>
      </c>
      <c r="C1833">
        <v>0.898612578677217</v>
      </c>
      <c r="D1833">
        <v>0.92467232320623005</v>
      </c>
      <c r="E1833">
        <v>0.72605395203360601</v>
      </c>
      <c r="F1833">
        <v>0.58830408703189596</v>
      </c>
      <c r="G1833">
        <v>0.738378572324217</v>
      </c>
      <c r="H1833">
        <v>0.49025988210301302</v>
      </c>
      <c r="I1833">
        <v>0.34293580641162802</v>
      </c>
      <c r="J1833">
        <v>0.28439254243754297</v>
      </c>
      <c r="K1833">
        <v>0.306041698396817</v>
      </c>
      <c r="L1833">
        <v>384.60203358487502</v>
      </c>
      <c r="M1833">
        <v>6.4341774684489499</v>
      </c>
      <c r="N1833">
        <v>59.774858633328797</v>
      </c>
      <c r="O1833">
        <v>54.785241045808</v>
      </c>
      <c r="P1833">
        <v>-2.9434890657488999E-2</v>
      </c>
      <c r="Q1833">
        <v>0</v>
      </c>
      <c r="R1833">
        <v>0.92071393155641401</v>
      </c>
      <c r="S1833" t="s">
        <v>7694</v>
      </c>
      <c r="T1833" t="s">
        <v>11720</v>
      </c>
      <c r="U1833" t="s">
        <v>11720</v>
      </c>
      <c r="V1833" t="s">
        <v>11720</v>
      </c>
      <c r="W1833" t="s">
        <v>13515</v>
      </c>
      <c r="X1833">
        <v>1</v>
      </c>
      <c r="Y1833" t="s">
        <v>19289</v>
      </c>
      <c r="Z1833" t="s">
        <v>25040</v>
      </c>
      <c r="AA1833">
        <v>0.63294510460125253</v>
      </c>
      <c r="AB1833" t="str">
        <f>HYPERLINK("Melting_Curves/meltCurve_P08603_CFH.pdf", "Melting_Curves/meltCurve_P08603_CFH.pdf")</f>
        <v>Melting_Curves/meltCurve_P08603_CFH.pdf</v>
      </c>
    </row>
    <row r="1834" spans="1:28" x14ac:dyDescent="0.25">
      <c r="A1834" t="s">
        <v>1838</v>
      </c>
      <c r="B1834">
        <v>0.99334974765950101</v>
      </c>
      <c r="C1834">
        <v>1.1250576858674901</v>
      </c>
      <c r="D1834">
        <v>1.0871414457664901</v>
      </c>
      <c r="E1834">
        <v>1.3127685437288601</v>
      </c>
      <c r="F1834">
        <v>0.91863077825704598</v>
      </c>
      <c r="G1834">
        <v>0.61553834162931198</v>
      </c>
      <c r="H1834">
        <v>0.59538603015775704</v>
      </c>
      <c r="I1834">
        <v>0.94662087468957601</v>
      </c>
      <c r="J1834">
        <v>1.70781482635627</v>
      </c>
      <c r="K1834">
        <v>2.0893252560234798</v>
      </c>
      <c r="L1834">
        <v>15000</v>
      </c>
      <c r="M1834">
        <v>229.77347298892099</v>
      </c>
      <c r="O1834">
        <v>65.276731025494499</v>
      </c>
      <c r="P1834">
        <v>0.43999873974214598</v>
      </c>
      <c r="Q1834">
        <v>1.5</v>
      </c>
      <c r="R1834">
        <v>0.56937577990201405</v>
      </c>
      <c r="S1834" t="s">
        <v>7695</v>
      </c>
      <c r="T1834" t="s">
        <v>11720</v>
      </c>
      <c r="U1834" t="s">
        <v>11720</v>
      </c>
      <c r="V1834" t="s">
        <v>11720</v>
      </c>
      <c r="W1834" t="s">
        <v>13516</v>
      </c>
      <c r="X1834">
        <v>6</v>
      </c>
      <c r="Y1834" t="s">
        <v>19290</v>
      </c>
      <c r="Z1834" t="s">
        <v>25041</v>
      </c>
      <c r="AA1834">
        <v>1.078570730952463</v>
      </c>
      <c r="AB1834" t="str">
        <f>HYPERLINK("Melting_Curves/meltCurve_P08621_2_SNRNP70.pdf", "Melting_Curves/meltCurve_P08621_2_SNRNP70.pdf")</f>
        <v>Melting_Curves/meltCurve_P08621_2_SNRNP70.pdf</v>
      </c>
    </row>
    <row r="1835" spans="1:28" x14ac:dyDescent="0.25">
      <c r="A1835" t="s">
        <v>1839</v>
      </c>
      <c r="B1835">
        <v>0.99334974765950101</v>
      </c>
      <c r="C1835">
        <v>1.0295769243164301</v>
      </c>
      <c r="D1835">
        <v>1.1592998369841701</v>
      </c>
      <c r="E1835">
        <v>1.3125004778624501</v>
      </c>
      <c r="F1835">
        <v>1.1939548480653499</v>
      </c>
      <c r="G1835">
        <v>0.98904413910561995</v>
      </c>
      <c r="H1835">
        <v>0.83025577798933403</v>
      </c>
      <c r="I1835">
        <v>1.0521609916961601</v>
      </c>
      <c r="J1835">
        <v>0.92674450377204498</v>
      </c>
      <c r="K1835">
        <v>0.765804716137514</v>
      </c>
      <c r="L1835">
        <v>2350.3729597195402</v>
      </c>
      <c r="M1835">
        <v>32.394719792571102</v>
      </c>
      <c r="Q1835">
        <v>0</v>
      </c>
      <c r="R1835">
        <v>0.21429901876639501</v>
      </c>
      <c r="S1835" t="s">
        <v>7696</v>
      </c>
      <c r="T1835" t="s">
        <v>11720</v>
      </c>
      <c r="U1835" t="s">
        <v>11720</v>
      </c>
      <c r="V1835" t="s">
        <v>11720</v>
      </c>
      <c r="W1835" t="s">
        <v>13517</v>
      </c>
      <c r="X1835">
        <v>30</v>
      </c>
      <c r="Y1835" t="s">
        <v>19291</v>
      </c>
      <c r="Z1835" t="s">
        <v>25042</v>
      </c>
      <c r="AA1835">
        <v>0.98249841123505754</v>
      </c>
      <c r="AB1835" t="str">
        <f>HYPERLINK("Melting_Curves/meltCurve_P08648_ITGA5.pdf", "Melting_Curves/meltCurve_P08648_ITGA5.pdf")</f>
        <v>Melting_Curves/meltCurve_P08648_ITGA5.pdf</v>
      </c>
    </row>
    <row r="1836" spans="1:28" x14ac:dyDescent="0.25">
      <c r="A1836" t="s">
        <v>1840</v>
      </c>
      <c r="B1836">
        <v>0.99334974765950101</v>
      </c>
      <c r="C1836">
        <v>1.07786740018969</v>
      </c>
      <c r="D1836">
        <v>0.87856694106065902</v>
      </c>
      <c r="E1836">
        <v>0.78158261617477598</v>
      </c>
      <c r="F1836">
        <v>0.84964869842031698</v>
      </c>
      <c r="G1836">
        <v>0.610761485672629</v>
      </c>
      <c r="H1836">
        <v>0.64085767394725301</v>
      </c>
      <c r="I1836">
        <v>0.771722676363783</v>
      </c>
      <c r="J1836">
        <v>0.89865101567764405</v>
      </c>
      <c r="K1836">
        <v>0.80163070503455403</v>
      </c>
      <c r="L1836">
        <v>11496.927748771601</v>
      </c>
      <c r="M1836">
        <v>250</v>
      </c>
      <c r="O1836">
        <v>45.984768107350803</v>
      </c>
      <c r="P1836">
        <v>-0.319427419883966</v>
      </c>
      <c r="Q1836">
        <v>0.76497926709357</v>
      </c>
      <c r="R1836">
        <v>0.61283426223593995</v>
      </c>
      <c r="S1836" t="s">
        <v>7697</v>
      </c>
      <c r="T1836" t="s">
        <v>11720</v>
      </c>
      <c r="U1836" t="s">
        <v>11720</v>
      </c>
      <c r="V1836" t="s">
        <v>11720</v>
      </c>
      <c r="W1836" t="s">
        <v>13518</v>
      </c>
      <c r="X1836">
        <v>3</v>
      </c>
      <c r="Y1836" t="s">
        <v>19292</v>
      </c>
      <c r="Z1836" t="s">
        <v>25043</v>
      </c>
      <c r="AA1836">
        <v>0.81190610929695661</v>
      </c>
      <c r="AB1836" t="str">
        <f>HYPERLINK("Melting_Curves/meltCurve_P08651_2_NFIC.pdf", "Melting_Curves/meltCurve_P08651_2_NFIC.pdf")</f>
        <v>Melting_Curves/meltCurve_P08651_2_NFIC.pdf</v>
      </c>
    </row>
    <row r="1837" spans="1:28" x14ac:dyDescent="0.25">
      <c r="A1837" t="s">
        <v>1841</v>
      </c>
      <c r="B1837">
        <v>0.99334974765950101</v>
      </c>
      <c r="C1837">
        <v>0.98773573842082996</v>
      </c>
      <c r="D1837">
        <v>0.96267044723060802</v>
      </c>
      <c r="E1837">
        <v>1.02099177937348</v>
      </c>
      <c r="F1837">
        <v>1.57248763687643</v>
      </c>
      <c r="G1837">
        <v>1.6676650561028601</v>
      </c>
      <c r="H1837">
        <v>1.8554788468460299</v>
      </c>
      <c r="I1837">
        <v>2.3862293163129702</v>
      </c>
      <c r="J1837">
        <v>2.2073779739449901</v>
      </c>
      <c r="K1837">
        <v>2.3458648597304701</v>
      </c>
      <c r="L1837">
        <v>12656.321711573401</v>
      </c>
      <c r="M1837">
        <v>250</v>
      </c>
      <c r="O1837">
        <v>50.622040051015098</v>
      </c>
      <c r="P1837">
        <v>0.61731995796003603</v>
      </c>
      <c r="Q1837">
        <v>1.5</v>
      </c>
      <c r="R1837">
        <v>0.30200981846453101</v>
      </c>
      <c r="S1837" t="s">
        <v>7698</v>
      </c>
      <c r="T1837" t="s">
        <v>11720</v>
      </c>
      <c r="U1837" t="s">
        <v>11720</v>
      </c>
      <c r="V1837" t="s">
        <v>11720</v>
      </c>
      <c r="W1837" t="s">
        <v>13519</v>
      </c>
      <c r="X1837">
        <v>76</v>
      </c>
      <c r="Y1837" t="s">
        <v>19293</v>
      </c>
      <c r="Z1837" t="s">
        <v>25044</v>
      </c>
      <c r="AA1837">
        <v>1.3228674625998511</v>
      </c>
      <c r="AB1837" t="str">
        <f>HYPERLINK("Melting_Curves/meltCurve_P08670_VIM.pdf", "Melting_Curves/meltCurve_P08670_VIM.pdf")</f>
        <v>Melting_Curves/meltCurve_P08670_VIM.pdf</v>
      </c>
    </row>
    <row r="1838" spans="1:28" x14ac:dyDescent="0.25">
      <c r="A1838" t="s">
        <v>1842</v>
      </c>
      <c r="B1838">
        <v>0.99334974765950101</v>
      </c>
      <c r="C1838">
        <v>0.95672356876306497</v>
      </c>
      <c r="D1838">
        <v>0.92853635243135302</v>
      </c>
      <c r="E1838">
        <v>0.93862449221386901</v>
      </c>
      <c r="F1838">
        <v>0.78404010675386204</v>
      </c>
      <c r="G1838">
        <v>0.18736461391164899</v>
      </c>
      <c r="H1838">
        <v>0.121813713974344</v>
      </c>
      <c r="I1838">
        <v>0.105590185017389</v>
      </c>
      <c r="J1838">
        <v>0.127212488615222</v>
      </c>
      <c r="K1838">
        <v>0.104456736855014</v>
      </c>
      <c r="L1838">
        <v>2513.66502653615</v>
      </c>
      <c r="M1838">
        <v>46.343735698444</v>
      </c>
      <c r="N1838">
        <v>54.536412559727303</v>
      </c>
      <c r="O1838">
        <v>54.1388813452797</v>
      </c>
      <c r="P1838">
        <v>-0.190149261606952</v>
      </c>
      <c r="Q1838">
        <v>0.11146943271627301</v>
      </c>
      <c r="R1838">
        <v>0.99405733321445999</v>
      </c>
      <c r="S1838" t="s">
        <v>7699</v>
      </c>
      <c r="T1838" t="s">
        <v>11720</v>
      </c>
      <c r="U1838" t="s">
        <v>11720</v>
      </c>
      <c r="V1838" t="s">
        <v>11720</v>
      </c>
      <c r="W1838" t="s">
        <v>13520</v>
      </c>
      <c r="X1838">
        <v>22</v>
      </c>
      <c r="Y1838" t="s">
        <v>19294</v>
      </c>
      <c r="Z1838" t="s">
        <v>25045</v>
      </c>
      <c r="AA1838">
        <v>0.53568800330167898</v>
      </c>
      <c r="AB1838" t="str">
        <f>HYPERLINK("Melting_Curves/meltCurve_P08754_GNAI3.pdf", "Melting_Curves/meltCurve_P08754_GNAI3.pdf")</f>
        <v>Melting_Curves/meltCurve_P08754_GNAI3.pdf</v>
      </c>
    </row>
    <row r="1839" spans="1:28" x14ac:dyDescent="0.25">
      <c r="A1839" t="s">
        <v>1843</v>
      </c>
      <c r="B1839">
        <v>0.99334974765950101</v>
      </c>
      <c r="C1839">
        <v>0.97333935073532896</v>
      </c>
      <c r="D1839">
        <v>0.91860149756638299</v>
      </c>
      <c r="E1839">
        <v>0.457078421839829</v>
      </c>
      <c r="F1839">
        <v>0.113685605114068</v>
      </c>
      <c r="G1839">
        <v>7.4464184942160699E-2</v>
      </c>
      <c r="H1839">
        <v>5.1139793119100899E-2</v>
      </c>
      <c r="I1839">
        <v>4.3496331919459397E-2</v>
      </c>
      <c r="J1839">
        <v>4.0236108905971998E-2</v>
      </c>
      <c r="K1839">
        <v>3.5013663977350597E-2</v>
      </c>
      <c r="L1839">
        <v>1657.2487982684499</v>
      </c>
      <c r="M1839">
        <v>33.466764129067101</v>
      </c>
      <c r="N1839">
        <v>49.651783180945699</v>
      </c>
      <c r="O1839">
        <v>49.343437278540101</v>
      </c>
      <c r="P1839">
        <v>-0.162315626527398</v>
      </c>
      <c r="Q1839">
        <v>4.2730619177362802E-2</v>
      </c>
      <c r="R1839">
        <v>0.99883080570693406</v>
      </c>
      <c r="S1839" t="s">
        <v>7700</v>
      </c>
      <c r="T1839" t="s">
        <v>11720</v>
      </c>
      <c r="U1839" t="s">
        <v>11720</v>
      </c>
      <c r="V1839" t="s">
        <v>11720</v>
      </c>
      <c r="W1839" t="s">
        <v>13521</v>
      </c>
      <c r="X1839">
        <v>44</v>
      </c>
      <c r="Y1839" t="s">
        <v>19295</v>
      </c>
      <c r="Z1839" t="s">
        <v>25046</v>
      </c>
      <c r="AA1839">
        <v>0.35118458101361599</v>
      </c>
      <c r="AB1839" t="str">
        <f>HYPERLINK("Melting_Curves/meltCurve_P08758_ANXA5.pdf", "Melting_Curves/meltCurve_P08758_ANXA5.pdf")</f>
        <v>Melting_Curves/meltCurve_P08758_ANXA5.pdf</v>
      </c>
    </row>
    <row r="1840" spans="1:28" x14ac:dyDescent="0.25">
      <c r="A1840" t="s">
        <v>1844</v>
      </c>
      <c r="B1840">
        <v>0.99334974765950101</v>
      </c>
      <c r="C1840">
        <v>0.92014904193121805</v>
      </c>
      <c r="D1840">
        <v>0.90173446153921699</v>
      </c>
      <c r="E1840">
        <v>0.82970721458975005</v>
      </c>
      <c r="F1840">
        <v>0.68208126802848601</v>
      </c>
      <c r="G1840">
        <v>0.55525991832827104</v>
      </c>
      <c r="H1840">
        <v>0.44979837107658599</v>
      </c>
      <c r="I1840">
        <v>0.415346228192915</v>
      </c>
      <c r="J1840">
        <v>0.37203452030907003</v>
      </c>
      <c r="K1840">
        <v>0.27206604567586701</v>
      </c>
      <c r="L1840">
        <v>482.84995558939198</v>
      </c>
      <c r="M1840">
        <v>8.5293421875160593</v>
      </c>
      <c r="N1840">
        <v>59.436699142296497</v>
      </c>
      <c r="O1840">
        <v>53.756024431175298</v>
      </c>
      <c r="P1840">
        <v>-3.3083729955097597E-2</v>
      </c>
      <c r="Q1840">
        <v>0.16670302054476599</v>
      </c>
      <c r="R1840">
        <v>0.99132568243650299</v>
      </c>
      <c r="S1840" t="s">
        <v>7701</v>
      </c>
      <c r="T1840" t="s">
        <v>11720</v>
      </c>
      <c r="U1840" t="s">
        <v>11720</v>
      </c>
      <c r="V1840" t="s">
        <v>11720</v>
      </c>
      <c r="W1840" t="s">
        <v>13522</v>
      </c>
      <c r="X1840">
        <v>4</v>
      </c>
      <c r="Y1840" t="s">
        <v>19296</v>
      </c>
      <c r="Z1840" t="s">
        <v>25047</v>
      </c>
      <c r="AA1840">
        <v>0.64156801916540818</v>
      </c>
      <c r="AB1840" t="str">
        <f>HYPERLINK("Melting_Curves/meltCurve_P08842_STS.pdf", "Melting_Curves/meltCurve_P08842_STS.pdf")</f>
        <v>Melting_Curves/meltCurve_P08842_STS.pdf</v>
      </c>
    </row>
    <row r="1841" spans="1:28" x14ac:dyDescent="0.25">
      <c r="A1841" t="s">
        <v>1845</v>
      </c>
      <c r="B1841">
        <v>0.99334974765950101</v>
      </c>
      <c r="C1841">
        <v>0.98873610808083001</v>
      </c>
      <c r="D1841">
        <v>1.0241632770200699</v>
      </c>
      <c r="E1841">
        <v>1.2148155231736</v>
      </c>
      <c r="F1841">
        <v>1.2486796410966601</v>
      </c>
      <c r="G1841">
        <v>1.05339369364262</v>
      </c>
      <c r="H1841">
        <v>0.60720267201841405</v>
      </c>
      <c r="I1841">
        <v>0.78204204124793197</v>
      </c>
      <c r="J1841">
        <v>0.25246835589789701</v>
      </c>
      <c r="K1841">
        <v>0.23915024455703801</v>
      </c>
      <c r="L1841">
        <v>1462.39576306361</v>
      </c>
      <c r="M1841">
        <v>22.579694082799499</v>
      </c>
      <c r="N1841">
        <v>65.137797714479603</v>
      </c>
      <c r="O1841">
        <v>64.264389381518299</v>
      </c>
      <c r="P1841">
        <v>-8.2529471309976205E-2</v>
      </c>
      <c r="Q1841">
        <v>6.0465699654888599E-2</v>
      </c>
      <c r="R1841">
        <v>0.82252616462060502</v>
      </c>
      <c r="S1841" t="s">
        <v>7702</v>
      </c>
      <c r="T1841" t="s">
        <v>11720</v>
      </c>
      <c r="U1841" t="s">
        <v>11720</v>
      </c>
      <c r="V1841" t="s">
        <v>11720</v>
      </c>
      <c r="W1841" t="s">
        <v>13523</v>
      </c>
      <c r="X1841">
        <v>5</v>
      </c>
      <c r="Y1841" t="s">
        <v>19297</v>
      </c>
      <c r="Z1841" t="s">
        <v>25048</v>
      </c>
      <c r="AA1841">
        <v>0.82964612666414295</v>
      </c>
      <c r="AB1841" t="str">
        <f>HYPERLINK("Melting_Curves/meltCurve_P09012_SNRPA.pdf", "Melting_Curves/meltCurve_P09012_SNRPA.pdf")</f>
        <v>Melting_Curves/meltCurve_P09012_SNRPA.pdf</v>
      </c>
    </row>
    <row r="1842" spans="1:28" x14ac:dyDescent="0.25">
      <c r="A1842" t="s">
        <v>1846</v>
      </c>
      <c r="B1842">
        <v>0.99334974765950101</v>
      </c>
      <c r="C1842">
        <v>0.87649797835441001</v>
      </c>
      <c r="D1842">
        <v>0.74023423533327604</v>
      </c>
      <c r="E1842">
        <v>0.85225154285240601</v>
      </c>
      <c r="F1842">
        <v>0.26463643139169801</v>
      </c>
      <c r="G1842">
        <v>0.20285382849249001</v>
      </c>
      <c r="H1842">
        <v>0.14375662813785001</v>
      </c>
      <c r="I1842">
        <v>9.7300176362878493E-2</v>
      </c>
      <c r="J1842">
        <v>0.103252881201173</v>
      </c>
      <c r="K1842">
        <v>5.8906943698224398E-2</v>
      </c>
      <c r="L1842">
        <v>802.66155302864001</v>
      </c>
      <c r="M1842">
        <v>15.6291655018002</v>
      </c>
      <c r="N1842">
        <v>51.724626274182398</v>
      </c>
      <c r="O1842">
        <v>50.537923324802101</v>
      </c>
      <c r="P1842">
        <v>-7.3252474162075906E-2</v>
      </c>
      <c r="Q1842">
        <v>5.2614913316013499E-2</v>
      </c>
      <c r="R1842">
        <v>0.92493847726985401</v>
      </c>
      <c r="S1842" t="s">
        <v>7703</v>
      </c>
      <c r="T1842" t="s">
        <v>11720</v>
      </c>
      <c r="U1842" t="s">
        <v>11720</v>
      </c>
      <c r="V1842" t="s">
        <v>11720</v>
      </c>
      <c r="W1842" t="s">
        <v>13524</v>
      </c>
      <c r="X1842">
        <v>6</v>
      </c>
      <c r="Y1842" t="s">
        <v>19298</v>
      </c>
      <c r="Z1842" t="s">
        <v>25049</v>
      </c>
      <c r="AA1842">
        <v>0.43149219265917732</v>
      </c>
      <c r="AB1842" t="str">
        <f>HYPERLINK("Melting_Curves/meltCurve_P09038_2_FGF2.pdf", "Melting_Curves/meltCurve_P09038_2_FGF2.pdf")</f>
        <v>Melting_Curves/meltCurve_P09038_2_FGF2.pdf</v>
      </c>
    </row>
    <row r="1843" spans="1:28" x14ac:dyDescent="0.25">
      <c r="A1843" t="s">
        <v>1847</v>
      </c>
      <c r="B1843">
        <v>0.99334974765950101</v>
      </c>
      <c r="C1843">
        <v>0.98439444809877197</v>
      </c>
      <c r="D1843">
        <v>0.99410832205886401</v>
      </c>
      <c r="E1843">
        <v>0.92262596816020304</v>
      </c>
      <c r="F1843">
        <v>0.861978021514059</v>
      </c>
      <c r="G1843">
        <v>0.712832745824588</v>
      </c>
      <c r="H1843">
        <v>0.62828439863458996</v>
      </c>
      <c r="I1843">
        <v>0.41852740100101199</v>
      </c>
      <c r="J1843">
        <v>0.21023684135770501</v>
      </c>
      <c r="K1843">
        <v>0.16826948703793801</v>
      </c>
      <c r="L1843">
        <v>787.146200365494</v>
      </c>
      <c r="M1843">
        <v>12.7236662071188</v>
      </c>
      <c r="N1843">
        <v>61.864732072583102</v>
      </c>
      <c r="O1843">
        <v>60.396288311828499</v>
      </c>
      <c r="P1843">
        <v>-5.2677532988193901E-2</v>
      </c>
      <c r="Q1843">
        <v>0</v>
      </c>
      <c r="R1843">
        <v>0.98375022481729002</v>
      </c>
      <c r="S1843" t="s">
        <v>7704</v>
      </c>
      <c r="T1843" t="s">
        <v>11720</v>
      </c>
      <c r="U1843" t="s">
        <v>11720</v>
      </c>
      <c r="V1843" t="s">
        <v>11720</v>
      </c>
      <c r="W1843" t="s">
        <v>13525</v>
      </c>
      <c r="X1843">
        <v>24</v>
      </c>
      <c r="Y1843" t="s">
        <v>19299</v>
      </c>
      <c r="Z1843" t="s">
        <v>25050</v>
      </c>
      <c r="AA1843">
        <v>0.72106298666520752</v>
      </c>
      <c r="AB1843" t="str">
        <f>HYPERLINK("Melting_Curves/meltCurve_P09104_ENO2.pdf", "Melting_Curves/meltCurve_P09104_ENO2.pdf")</f>
        <v>Melting_Curves/meltCurve_P09104_ENO2.pdf</v>
      </c>
    </row>
    <row r="1844" spans="1:28" x14ac:dyDescent="0.25">
      <c r="A1844" t="s">
        <v>1848</v>
      </c>
      <c r="B1844">
        <v>0.99334974765950101</v>
      </c>
      <c r="C1844">
        <v>0.96471327254108297</v>
      </c>
      <c r="D1844">
        <v>1.02963283883581</v>
      </c>
      <c r="E1844">
        <v>0.83363629349641699</v>
      </c>
      <c r="F1844">
        <v>0.72418543630835897</v>
      </c>
      <c r="G1844">
        <v>0.40000264038893601</v>
      </c>
      <c r="H1844">
        <v>0.18053282615257499</v>
      </c>
      <c r="I1844">
        <v>8.00635297602314E-2</v>
      </c>
      <c r="J1844">
        <v>4.9890719559169301E-2</v>
      </c>
      <c r="K1844">
        <v>3.9112469754614097E-2</v>
      </c>
      <c r="L1844">
        <v>965.92863480009703</v>
      </c>
      <c r="M1844">
        <v>17.356294404266901</v>
      </c>
      <c r="N1844">
        <v>55.655335956346903</v>
      </c>
      <c r="O1844">
        <v>54.929871852301702</v>
      </c>
      <c r="P1844">
        <v>-7.8967871815510501E-2</v>
      </c>
      <c r="Q1844">
        <v>3.7419467417288701E-4</v>
      </c>
      <c r="R1844">
        <v>0.995909851582923</v>
      </c>
      <c r="S1844" t="s">
        <v>7705</v>
      </c>
      <c r="T1844" t="s">
        <v>11720</v>
      </c>
      <c r="U1844" t="s">
        <v>11720</v>
      </c>
      <c r="V1844" t="s">
        <v>11720</v>
      </c>
      <c r="W1844" t="s">
        <v>13526</v>
      </c>
      <c r="X1844">
        <v>20</v>
      </c>
      <c r="Y1844" t="s">
        <v>19300</v>
      </c>
      <c r="Z1844" t="s">
        <v>25051</v>
      </c>
      <c r="AA1844">
        <v>0.53763210751962598</v>
      </c>
      <c r="AB1844" t="str">
        <f>HYPERLINK("Melting_Curves/meltCurve_P09110_ACAA1.pdf", "Melting_Curves/meltCurve_P09110_ACAA1.pdf")</f>
        <v>Melting_Curves/meltCurve_P09110_ACAA1.pdf</v>
      </c>
    </row>
    <row r="1845" spans="1:28" x14ac:dyDescent="0.25">
      <c r="A1845" t="s">
        <v>1849</v>
      </c>
      <c r="B1845">
        <v>0.99334974765950101</v>
      </c>
      <c r="C1845">
        <v>1.1132325313004601</v>
      </c>
      <c r="D1845">
        <v>1.17482191584407</v>
      </c>
      <c r="E1845">
        <v>1.53835634046415</v>
      </c>
      <c r="F1845">
        <v>0.73192197674708903</v>
      </c>
      <c r="G1845">
        <v>0.53055826296000697</v>
      </c>
      <c r="H1845">
        <v>0.28108759402707001</v>
      </c>
      <c r="I1845">
        <v>0.230124112718363</v>
      </c>
      <c r="J1845">
        <v>0.17658874680790099</v>
      </c>
      <c r="K1845">
        <v>0.153342707802372</v>
      </c>
      <c r="L1845">
        <v>1760.0281166029799</v>
      </c>
      <c r="M1845">
        <v>31.298838533443998</v>
      </c>
      <c r="N1845">
        <v>57.092777726316903</v>
      </c>
      <c r="O1845">
        <v>56.004955213805701</v>
      </c>
      <c r="P1845">
        <v>-0.113460826474494</v>
      </c>
      <c r="Q1845">
        <v>0.18791446239802301</v>
      </c>
      <c r="R1845">
        <v>0.82540318212724495</v>
      </c>
      <c r="S1845" t="s">
        <v>7706</v>
      </c>
      <c r="T1845" t="s">
        <v>11720</v>
      </c>
      <c r="U1845" t="s">
        <v>11720</v>
      </c>
      <c r="V1845" t="s">
        <v>11720</v>
      </c>
      <c r="W1845" t="s">
        <v>13527</v>
      </c>
      <c r="X1845">
        <v>4</v>
      </c>
      <c r="Y1845" t="s">
        <v>19301</v>
      </c>
      <c r="Z1845" t="s">
        <v>25052</v>
      </c>
      <c r="AA1845">
        <v>0.63234680744186478</v>
      </c>
      <c r="AB1845" t="str">
        <f>HYPERLINK("Melting_Curves/meltCurve_P09132_SRP19.pdf", "Melting_Curves/meltCurve_P09132_SRP19.pdf")</f>
        <v>Melting_Curves/meltCurve_P09132_SRP19.pdf</v>
      </c>
    </row>
    <row r="1846" spans="1:28" x14ac:dyDescent="0.25">
      <c r="A1846" t="s">
        <v>1850</v>
      </c>
      <c r="B1846">
        <v>0.99334974765950101</v>
      </c>
      <c r="C1846">
        <v>0.93667246714387198</v>
      </c>
      <c r="D1846">
        <v>0.85868964904371803</v>
      </c>
      <c r="E1846">
        <v>0.57584569487994297</v>
      </c>
      <c r="F1846">
        <v>0.14437156761966299</v>
      </c>
      <c r="G1846">
        <v>8.4020718950879203E-2</v>
      </c>
      <c r="H1846">
        <v>6.0566550308577598E-2</v>
      </c>
      <c r="I1846">
        <v>5.18875256119085E-2</v>
      </c>
      <c r="J1846">
        <v>4.8427856600697802E-2</v>
      </c>
      <c r="K1846">
        <v>3.6040322806411298E-2</v>
      </c>
      <c r="L1846">
        <v>1339.7997085238101</v>
      </c>
      <c r="M1846">
        <v>26.8070751761434</v>
      </c>
      <c r="N1846">
        <v>50.137790123133897</v>
      </c>
      <c r="O1846">
        <v>49.703707946743599</v>
      </c>
      <c r="P1846">
        <v>-0.129359264196893</v>
      </c>
      <c r="Q1846">
        <v>4.0616392912301402E-2</v>
      </c>
      <c r="R1846">
        <v>0.990811049244539</v>
      </c>
      <c r="S1846" t="s">
        <v>7707</v>
      </c>
      <c r="T1846" t="s">
        <v>11720</v>
      </c>
      <c r="U1846" t="s">
        <v>11720</v>
      </c>
      <c r="V1846" t="s">
        <v>11720</v>
      </c>
      <c r="W1846" t="s">
        <v>13528</v>
      </c>
      <c r="X1846">
        <v>16</v>
      </c>
      <c r="Y1846" t="s">
        <v>19302</v>
      </c>
      <c r="Z1846" t="s">
        <v>25053</v>
      </c>
      <c r="AA1846">
        <v>0.36719781300365872</v>
      </c>
      <c r="AB1846" t="str">
        <f>HYPERLINK("Melting_Curves/meltCurve_P09211_GSTP1.pdf", "Melting_Curves/meltCurve_P09211_GSTP1.pdf")</f>
        <v>Melting_Curves/meltCurve_P09211_GSTP1.pdf</v>
      </c>
    </row>
    <row r="1847" spans="1:28" x14ac:dyDescent="0.25">
      <c r="A1847" t="s">
        <v>1851</v>
      </c>
      <c r="B1847">
        <v>0.99334974765950101</v>
      </c>
      <c r="C1847">
        <v>1.08267561263762</v>
      </c>
      <c r="D1847">
        <v>1.01223840456657</v>
      </c>
      <c r="E1847">
        <v>1.08564347355897</v>
      </c>
      <c r="F1847">
        <v>1.88494955217912</v>
      </c>
      <c r="G1847">
        <v>1.3201573471832699</v>
      </c>
      <c r="H1847">
        <v>1.1351448726475599</v>
      </c>
      <c r="I1847">
        <v>1.5480533172062401</v>
      </c>
      <c r="J1847">
        <v>1.31654164307404</v>
      </c>
      <c r="K1847">
        <v>0.96841689797018204</v>
      </c>
      <c r="L1847">
        <v>12558.6084635471</v>
      </c>
      <c r="M1847">
        <v>250</v>
      </c>
      <c r="O1847">
        <v>50.231219215508901</v>
      </c>
      <c r="P1847">
        <v>0.45067878287163299</v>
      </c>
      <c r="Q1847">
        <v>1.36221031515675</v>
      </c>
      <c r="R1847">
        <v>0.31680498799385198</v>
      </c>
      <c r="S1847" t="s">
        <v>7708</v>
      </c>
      <c r="T1847" t="s">
        <v>11720</v>
      </c>
      <c r="U1847" t="s">
        <v>11720</v>
      </c>
      <c r="V1847" t="s">
        <v>11720</v>
      </c>
      <c r="W1847" t="s">
        <v>13529</v>
      </c>
      <c r="X1847">
        <v>6</v>
      </c>
      <c r="Y1847" t="s">
        <v>19303</v>
      </c>
      <c r="Z1847" t="s">
        <v>25054</v>
      </c>
      <c r="AA1847">
        <v>1.2386111320675259</v>
      </c>
      <c r="AB1847" t="str">
        <f>HYPERLINK("Melting_Curves/meltCurve_P09234_SNRPC.pdf", "Melting_Curves/meltCurve_P09234_SNRPC.pdf")</f>
        <v>Melting_Curves/meltCurve_P09234_SNRPC.pdf</v>
      </c>
    </row>
    <row r="1848" spans="1:28" x14ac:dyDescent="0.25">
      <c r="A1848" t="s">
        <v>1852</v>
      </c>
      <c r="B1848">
        <v>0.99334974765950101</v>
      </c>
      <c r="C1848">
        <v>0.960391758026513</v>
      </c>
      <c r="D1848">
        <v>0.91766735952775103</v>
      </c>
      <c r="E1848">
        <v>0.79573347500520197</v>
      </c>
      <c r="F1848">
        <v>0.91136353857282904</v>
      </c>
      <c r="G1848">
        <v>0.59618536489510299</v>
      </c>
      <c r="H1848">
        <v>0.54393486036377103</v>
      </c>
      <c r="I1848">
        <v>0.51525350466317499</v>
      </c>
      <c r="J1848">
        <v>0.30585018244769002</v>
      </c>
      <c r="K1848">
        <v>0.23593294327331099</v>
      </c>
      <c r="L1848">
        <v>510.36242467872103</v>
      </c>
      <c r="M1848">
        <v>8.25599725513338</v>
      </c>
      <c r="N1848">
        <v>61.817172201256497</v>
      </c>
      <c r="O1848">
        <v>58.508589336457703</v>
      </c>
      <c r="P1848">
        <v>-3.5312313369069301E-2</v>
      </c>
      <c r="Q1848">
        <v>0</v>
      </c>
      <c r="R1848">
        <v>0.94783593724482396</v>
      </c>
      <c r="S1848" t="s">
        <v>7709</v>
      </c>
      <c r="T1848" t="s">
        <v>11720</v>
      </c>
      <c r="U1848" t="s">
        <v>11720</v>
      </c>
      <c r="V1848" t="s">
        <v>11720</v>
      </c>
      <c r="W1848" t="s">
        <v>13530</v>
      </c>
      <c r="X1848">
        <v>18</v>
      </c>
      <c r="Y1848" t="s">
        <v>19304</v>
      </c>
      <c r="Z1848" t="s">
        <v>25055</v>
      </c>
      <c r="AA1848">
        <v>0.69494387205338515</v>
      </c>
      <c r="AB1848" t="str">
        <f>HYPERLINK("Melting_Curves/meltCurve_P09382_LGALS1.pdf", "Melting_Curves/meltCurve_P09382_LGALS1.pdf")</f>
        <v>Melting_Curves/meltCurve_P09382_LGALS1.pdf</v>
      </c>
    </row>
    <row r="1849" spans="1:28" x14ac:dyDescent="0.25">
      <c r="A1849" t="s">
        <v>1853</v>
      </c>
      <c r="B1849">
        <v>0.99334974765950101</v>
      </c>
      <c r="C1849">
        <v>0.94429227409522698</v>
      </c>
      <c r="D1849">
        <v>0.88349657805608495</v>
      </c>
      <c r="E1849">
        <v>0.83148762027239298</v>
      </c>
      <c r="F1849">
        <v>0.76433531940370802</v>
      </c>
      <c r="G1849">
        <v>0.42279078503546003</v>
      </c>
      <c r="H1849">
        <v>0.17457379338356699</v>
      </c>
      <c r="I1849">
        <v>0.13949727051451</v>
      </c>
      <c r="J1849">
        <v>0.123234855332369</v>
      </c>
      <c r="K1849">
        <v>7.9978490971067906E-2</v>
      </c>
      <c r="L1849">
        <v>892.50555737901504</v>
      </c>
      <c r="M1849">
        <v>16.053290686470699</v>
      </c>
      <c r="N1849">
        <v>55.872944063028001</v>
      </c>
      <c r="O1849">
        <v>54.755166493368499</v>
      </c>
      <c r="P1849">
        <v>-7.0502243792059605E-2</v>
      </c>
      <c r="Q1849">
        <v>3.8187660385665498E-2</v>
      </c>
      <c r="R1849">
        <v>0.98638813473236697</v>
      </c>
      <c r="S1849" t="s">
        <v>7710</v>
      </c>
      <c r="T1849" t="s">
        <v>11720</v>
      </c>
      <c r="U1849" t="s">
        <v>11720</v>
      </c>
      <c r="V1849" t="s">
        <v>11720</v>
      </c>
      <c r="W1849" t="s">
        <v>13531</v>
      </c>
      <c r="X1849">
        <v>12</v>
      </c>
      <c r="Y1849" t="s">
        <v>19305</v>
      </c>
      <c r="Z1849" t="s">
        <v>25056</v>
      </c>
      <c r="AA1849">
        <v>0.55475473825999722</v>
      </c>
      <c r="AB1849" t="str">
        <f>HYPERLINK("Melting_Curves/meltCurve_P09417_QDPR.pdf", "Melting_Curves/meltCurve_P09417_QDPR.pdf")</f>
        <v>Melting_Curves/meltCurve_P09417_QDPR.pdf</v>
      </c>
    </row>
    <row r="1850" spans="1:28" x14ac:dyDescent="0.25">
      <c r="A1850" t="s">
        <v>1854</v>
      </c>
      <c r="B1850">
        <v>0.99334974765950101</v>
      </c>
      <c r="C1850">
        <v>1.0331157776402999</v>
      </c>
      <c r="D1850">
        <v>0.88003406883487301</v>
      </c>
      <c r="E1850">
        <v>0.81222544771815797</v>
      </c>
      <c r="F1850">
        <v>0.70366101552077798</v>
      </c>
      <c r="G1850">
        <v>0.48371678008123498</v>
      </c>
      <c r="H1850">
        <v>0.44558926980931002</v>
      </c>
      <c r="I1850">
        <v>0.477592566067011</v>
      </c>
      <c r="J1850">
        <v>0.505934253813632</v>
      </c>
      <c r="K1850">
        <v>0.43498446345941499</v>
      </c>
      <c r="L1850">
        <v>924.96047039758298</v>
      </c>
      <c r="M1850">
        <v>17.900431540643901</v>
      </c>
      <c r="N1850">
        <v>58.973818454112298</v>
      </c>
      <c r="O1850">
        <v>51.040581580442598</v>
      </c>
      <c r="P1850">
        <v>-4.862069859129E-2</v>
      </c>
      <c r="Q1850">
        <v>0.445487426404927</v>
      </c>
      <c r="R1850">
        <v>0.97038318331516704</v>
      </c>
      <c r="S1850" t="s">
        <v>7711</v>
      </c>
      <c r="T1850" t="s">
        <v>11720</v>
      </c>
      <c r="U1850" t="s">
        <v>11720</v>
      </c>
      <c r="V1850" t="s">
        <v>11720</v>
      </c>
      <c r="W1850" t="s">
        <v>13532</v>
      </c>
      <c r="X1850">
        <v>17</v>
      </c>
      <c r="Y1850" t="s">
        <v>19306</v>
      </c>
      <c r="Z1850" t="s">
        <v>25057</v>
      </c>
      <c r="AA1850">
        <v>0.67059677438224874</v>
      </c>
      <c r="AB1850" t="str">
        <f>HYPERLINK("Melting_Curves/meltCurve_P09429_HMGB1.pdf", "Melting_Curves/meltCurve_P09429_HMGB1.pdf")</f>
        <v>Melting_Curves/meltCurve_P09429_HMGB1.pdf</v>
      </c>
    </row>
    <row r="1851" spans="1:28" x14ac:dyDescent="0.25">
      <c r="A1851" t="s">
        <v>1855</v>
      </c>
      <c r="B1851">
        <v>0.99334974765950101</v>
      </c>
      <c r="C1851">
        <v>1.0277386867992799</v>
      </c>
      <c r="D1851">
        <v>0.94507540697584103</v>
      </c>
      <c r="E1851">
        <v>0.83507694405484501</v>
      </c>
      <c r="F1851">
        <v>0.80247189522946805</v>
      </c>
      <c r="G1851">
        <v>0.62458033035994598</v>
      </c>
      <c r="H1851">
        <v>0.62218942414739198</v>
      </c>
      <c r="I1851">
        <v>0.62883111574952399</v>
      </c>
      <c r="J1851">
        <v>0.68471188921734705</v>
      </c>
      <c r="K1851">
        <v>0.54644015087890097</v>
      </c>
      <c r="L1851">
        <v>907.60570272039104</v>
      </c>
      <c r="M1851">
        <v>17.576297022683399</v>
      </c>
      <c r="O1851">
        <v>50.983515809396401</v>
      </c>
      <c r="P1851">
        <v>-3.4141581922291997E-2</v>
      </c>
      <c r="Q1851">
        <v>0.60388390161293404</v>
      </c>
      <c r="R1851">
        <v>0.94335758064852204</v>
      </c>
      <c r="S1851" t="s">
        <v>7712</v>
      </c>
      <c r="T1851" t="s">
        <v>11720</v>
      </c>
      <c r="U1851" t="s">
        <v>11720</v>
      </c>
      <c r="V1851" t="s">
        <v>11720</v>
      </c>
      <c r="W1851" t="s">
        <v>13533</v>
      </c>
      <c r="X1851">
        <v>19</v>
      </c>
      <c r="Y1851" t="s">
        <v>13533</v>
      </c>
      <c r="Z1851" t="s">
        <v>25058</v>
      </c>
      <c r="AA1851">
        <v>0.76445337383964962</v>
      </c>
      <c r="AB1851" t="str">
        <f>HYPERLINK("Melting_Curves/meltCurve_P09486_SPARC.pdf", "Melting_Curves/meltCurve_P09486_SPARC.pdf")</f>
        <v>Melting_Curves/meltCurve_P09486_SPARC.pdf</v>
      </c>
    </row>
    <row r="1852" spans="1:28" x14ac:dyDescent="0.25">
      <c r="A1852" t="s">
        <v>1856</v>
      </c>
      <c r="B1852">
        <v>0.99334974765950101</v>
      </c>
      <c r="C1852">
        <v>0.97688277069163598</v>
      </c>
      <c r="D1852">
        <v>1.14874361354804</v>
      </c>
      <c r="E1852">
        <v>1.1985611329750701</v>
      </c>
      <c r="F1852">
        <v>2.90217325205229</v>
      </c>
      <c r="G1852">
        <v>2.5329866625342898</v>
      </c>
      <c r="H1852">
        <v>3.0530221194770801</v>
      </c>
      <c r="I1852">
        <v>3.68452703152122</v>
      </c>
      <c r="J1852">
        <v>5.7613299123330304</v>
      </c>
      <c r="K1852">
        <v>5.01991301776971</v>
      </c>
      <c r="L1852">
        <v>12520.871093228399</v>
      </c>
      <c r="M1852">
        <v>250</v>
      </c>
      <c r="O1852">
        <v>50.080279326029597</v>
      </c>
      <c r="P1852">
        <v>0.62399811731625299</v>
      </c>
      <c r="Q1852">
        <v>1.5</v>
      </c>
      <c r="R1852">
        <v>-0.542011875602878</v>
      </c>
      <c r="S1852" t="s">
        <v>7713</v>
      </c>
      <c r="T1852" t="s">
        <v>11720</v>
      </c>
      <c r="U1852" t="s">
        <v>11720</v>
      </c>
      <c r="V1852" t="s">
        <v>11720</v>
      </c>
      <c r="W1852" t="s">
        <v>13534</v>
      </c>
      <c r="X1852">
        <v>18</v>
      </c>
      <c r="Y1852" t="s">
        <v>19307</v>
      </c>
      <c r="Z1852" t="s">
        <v>25059</v>
      </c>
      <c r="AA1852">
        <v>1.331897979250305</v>
      </c>
      <c r="AB1852" t="str">
        <f>HYPERLINK("Melting_Curves/meltCurve_P09496_2_CLTA.pdf", "Melting_Curves/meltCurve_P09496_2_CLTA.pdf")</f>
        <v>Melting_Curves/meltCurve_P09496_2_CLTA.pdf</v>
      </c>
    </row>
    <row r="1853" spans="1:28" x14ac:dyDescent="0.25">
      <c r="A1853" t="s">
        <v>1857</v>
      </c>
      <c r="B1853">
        <v>0.99334974765950101</v>
      </c>
      <c r="C1853">
        <v>1.0033640035829301</v>
      </c>
      <c r="D1853">
        <v>1.03710879128509</v>
      </c>
      <c r="E1853">
        <v>1.1331752671608599</v>
      </c>
      <c r="F1853">
        <v>2.46506089517962</v>
      </c>
      <c r="G1853">
        <v>2.1955640716899301</v>
      </c>
      <c r="H1853">
        <v>2.6161395586861298</v>
      </c>
      <c r="I1853">
        <v>3.68847031268032</v>
      </c>
      <c r="J1853">
        <v>5.2187556940290802</v>
      </c>
      <c r="K1853">
        <v>4.9957373414674304</v>
      </c>
      <c r="L1853">
        <v>12550.656471805099</v>
      </c>
      <c r="M1853">
        <v>250</v>
      </c>
      <c r="O1853">
        <v>50.1994132590333</v>
      </c>
      <c r="P1853">
        <v>0.62251723699760197</v>
      </c>
      <c r="Q1853">
        <v>1.5</v>
      </c>
      <c r="R1853">
        <v>-0.41675524341787501</v>
      </c>
      <c r="S1853" t="s">
        <v>7714</v>
      </c>
      <c r="T1853" t="s">
        <v>11720</v>
      </c>
      <c r="U1853" t="s">
        <v>11720</v>
      </c>
      <c r="V1853" t="s">
        <v>11720</v>
      </c>
      <c r="W1853" t="s">
        <v>13535</v>
      </c>
      <c r="X1853">
        <v>23</v>
      </c>
      <c r="Y1853" t="s">
        <v>19308</v>
      </c>
      <c r="Z1853" t="s">
        <v>25060</v>
      </c>
      <c r="AA1853">
        <v>1.32991218279944</v>
      </c>
      <c r="AB1853" t="str">
        <f>HYPERLINK("Melting_Curves/meltCurve_P09497_2_CLTB.pdf", "Melting_Curves/meltCurve_P09497_2_CLTB.pdf")</f>
        <v>Melting_Curves/meltCurve_P09497_2_CLTB.pdf</v>
      </c>
    </row>
    <row r="1854" spans="1:28" x14ac:dyDescent="0.25">
      <c r="A1854" t="s">
        <v>1858</v>
      </c>
      <c r="B1854">
        <v>0.99334974765950101</v>
      </c>
      <c r="C1854">
        <v>0.99665551015361098</v>
      </c>
      <c r="D1854">
        <v>0.92527726011467804</v>
      </c>
      <c r="E1854">
        <v>0.53099976607113997</v>
      </c>
      <c r="F1854">
        <v>0.15365058352391101</v>
      </c>
      <c r="G1854">
        <v>9.0899913973665106E-2</v>
      </c>
      <c r="H1854">
        <v>6.9783773321232798E-2</v>
      </c>
      <c r="I1854">
        <v>6.0564551907549599E-2</v>
      </c>
      <c r="J1854">
        <v>5.0737768539728403E-2</v>
      </c>
      <c r="K1854">
        <v>3.9343216458269298E-2</v>
      </c>
      <c r="L1854">
        <v>1654.4013792502001</v>
      </c>
      <c r="M1854">
        <v>33.132033608584599</v>
      </c>
      <c r="N1854">
        <v>50.111939136475399</v>
      </c>
      <c r="O1854">
        <v>49.7527182086992</v>
      </c>
      <c r="P1854">
        <v>-0.157225154089738</v>
      </c>
      <c r="Q1854">
        <v>5.5615208557564397E-2</v>
      </c>
      <c r="R1854">
        <v>0.99871133658604505</v>
      </c>
      <c r="S1854" t="s">
        <v>7715</v>
      </c>
      <c r="T1854" t="s">
        <v>11720</v>
      </c>
      <c r="U1854" t="s">
        <v>11720</v>
      </c>
      <c r="V1854" t="s">
        <v>11720</v>
      </c>
      <c r="W1854" t="s">
        <v>13536</v>
      </c>
      <c r="X1854">
        <v>47</v>
      </c>
      <c r="Y1854" t="s">
        <v>17647</v>
      </c>
      <c r="Z1854" t="s">
        <v>25061</v>
      </c>
      <c r="AA1854">
        <v>0.37309163521223287</v>
      </c>
      <c r="AB1854" t="str">
        <f>HYPERLINK("Melting_Curves/meltCurve_P09525_ANXA4.pdf", "Melting_Curves/meltCurve_P09525_ANXA4.pdf")</f>
        <v>Melting_Curves/meltCurve_P09525_ANXA4.pdf</v>
      </c>
    </row>
    <row r="1855" spans="1:28" x14ac:dyDescent="0.25">
      <c r="A1855" t="s">
        <v>1859</v>
      </c>
      <c r="B1855">
        <v>0.99334974765950101</v>
      </c>
      <c r="C1855">
        <v>0.98141860946361004</v>
      </c>
      <c r="D1855">
        <v>0.73886022641707005</v>
      </c>
      <c r="E1855">
        <v>0.56664265756687604</v>
      </c>
      <c r="F1855">
        <v>0.19226509171306699</v>
      </c>
      <c r="G1855">
        <v>0.117555950363449</v>
      </c>
      <c r="H1855">
        <v>8.3815947566199103E-2</v>
      </c>
      <c r="I1855">
        <v>7.49123760196517E-2</v>
      </c>
      <c r="J1855">
        <v>8.2061984160413506E-2</v>
      </c>
      <c r="K1855">
        <v>6.1682009810661402E-2</v>
      </c>
      <c r="L1855">
        <v>927.26352975091595</v>
      </c>
      <c r="M1855">
        <v>18.768263471836601</v>
      </c>
      <c r="N1855">
        <v>49.723350112238201</v>
      </c>
      <c r="O1855">
        <v>48.855283429710603</v>
      </c>
      <c r="P1855">
        <v>-9.0621843873420899E-2</v>
      </c>
      <c r="Q1855">
        <v>5.6455929442395997E-2</v>
      </c>
      <c r="R1855">
        <v>0.98533464303497598</v>
      </c>
      <c r="S1855" t="s">
        <v>7716</v>
      </c>
      <c r="T1855" t="s">
        <v>11720</v>
      </c>
      <c r="U1855" t="s">
        <v>11720</v>
      </c>
      <c r="V1855" t="s">
        <v>11720</v>
      </c>
      <c r="W1855" t="s">
        <v>13537</v>
      </c>
      <c r="X1855">
        <v>27</v>
      </c>
      <c r="Y1855" t="s">
        <v>19309</v>
      </c>
      <c r="Z1855" t="s">
        <v>25062</v>
      </c>
      <c r="AA1855">
        <v>0.36723510349434052</v>
      </c>
      <c r="AB1855" t="str">
        <f>HYPERLINK("Melting_Curves/meltCurve_P09543_2_CNP.pdf", "Melting_Curves/meltCurve_P09543_2_CNP.pdf")</f>
        <v>Melting_Curves/meltCurve_P09543_2_CNP.pdf</v>
      </c>
    </row>
    <row r="1856" spans="1:28" x14ac:dyDescent="0.25">
      <c r="A1856" t="s">
        <v>1860</v>
      </c>
      <c r="B1856">
        <v>0.99334974765950101</v>
      </c>
      <c r="C1856">
        <v>0.93818405249960102</v>
      </c>
      <c r="D1856">
        <v>0.87870637906458304</v>
      </c>
      <c r="E1856">
        <v>0.78954757607506498</v>
      </c>
      <c r="F1856">
        <v>0.60942830510249202</v>
      </c>
      <c r="G1856">
        <v>0.19438376467742399</v>
      </c>
      <c r="H1856">
        <v>0.13177739921530099</v>
      </c>
      <c r="I1856">
        <v>0.10595688334496201</v>
      </c>
      <c r="J1856">
        <v>0.10014675683448</v>
      </c>
      <c r="K1856">
        <v>7.7147040661593003E-2</v>
      </c>
      <c r="L1856">
        <v>1059.06555478686</v>
      </c>
      <c r="M1856">
        <v>19.915004345707001</v>
      </c>
      <c r="N1856">
        <v>53.561285802698499</v>
      </c>
      <c r="O1856">
        <v>52.6517812207234</v>
      </c>
      <c r="P1856">
        <v>-8.8302585215706594E-2</v>
      </c>
      <c r="Q1856">
        <v>6.6204681211634697E-2</v>
      </c>
      <c r="R1856">
        <v>0.98701240792226497</v>
      </c>
      <c r="S1856" t="s">
        <v>7717</v>
      </c>
      <c r="T1856" t="s">
        <v>11720</v>
      </c>
      <c r="U1856" t="s">
        <v>11720</v>
      </c>
      <c r="V1856" t="s">
        <v>11720</v>
      </c>
      <c r="W1856" t="s">
        <v>13538</v>
      </c>
      <c r="X1856">
        <v>14</v>
      </c>
      <c r="Y1856" t="s">
        <v>19310</v>
      </c>
      <c r="Z1856" t="s">
        <v>25063</v>
      </c>
      <c r="AA1856">
        <v>0.4893444958786663</v>
      </c>
      <c r="AB1856" t="str">
        <f>HYPERLINK("Melting_Curves/meltCurve_P09601_HMOX1.pdf", "Melting_Curves/meltCurve_P09601_HMOX1.pdf")</f>
        <v>Melting_Curves/meltCurve_P09601_HMOX1.pdf</v>
      </c>
    </row>
    <row r="1857" spans="1:28" x14ac:dyDescent="0.25">
      <c r="A1857" t="s">
        <v>1861</v>
      </c>
      <c r="B1857">
        <v>0.99334974765950101</v>
      </c>
      <c r="C1857">
        <v>0.985871428051874</v>
      </c>
      <c r="D1857">
        <v>1.0811531043992999</v>
      </c>
      <c r="E1857">
        <v>1.08017262426722</v>
      </c>
      <c r="F1857">
        <v>0.49531162928023797</v>
      </c>
      <c r="G1857">
        <v>0.27464799471065698</v>
      </c>
      <c r="H1857">
        <v>0.20390783019365799</v>
      </c>
      <c r="I1857">
        <v>0.16546826900095901</v>
      </c>
      <c r="J1857">
        <v>0.13434103262239799</v>
      </c>
      <c r="K1857">
        <v>0.10823088398762901</v>
      </c>
      <c r="L1857">
        <v>13225.5186333866</v>
      </c>
      <c r="M1857">
        <v>250</v>
      </c>
      <c r="N1857">
        <v>52.994912029717398</v>
      </c>
      <c r="O1857">
        <v>52.898690215357298</v>
      </c>
      <c r="P1857">
        <v>-0.97200047664172995</v>
      </c>
      <c r="Q1857">
        <v>0.177319183852893</v>
      </c>
      <c r="R1857">
        <v>0.98185309861110204</v>
      </c>
      <c r="S1857" t="s">
        <v>7718</v>
      </c>
      <c r="T1857" t="s">
        <v>11720</v>
      </c>
      <c r="U1857" t="s">
        <v>11720</v>
      </c>
      <c r="V1857" t="s">
        <v>11720</v>
      </c>
      <c r="W1857" t="s">
        <v>13539</v>
      </c>
      <c r="X1857">
        <v>24</v>
      </c>
      <c r="Y1857" t="s">
        <v>19311</v>
      </c>
      <c r="Z1857" t="s">
        <v>25064</v>
      </c>
      <c r="AA1857">
        <v>0.53120520368802715</v>
      </c>
      <c r="AB1857" t="str">
        <f>HYPERLINK("Melting_Curves/meltCurve_P09619_PDGFRB.pdf", "Melting_Curves/meltCurve_P09619_PDGFRB.pdf")</f>
        <v>Melting_Curves/meltCurve_P09619_PDGFRB.pdf</v>
      </c>
    </row>
    <row r="1858" spans="1:28" x14ac:dyDescent="0.25">
      <c r="A1858" t="s">
        <v>1862</v>
      </c>
      <c r="B1858">
        <v>0.99334974765950101</v>
      </c>
      <c r="C1858">
        <v>1.0608658053709601</v>
      </c>
      <c r="D1858">
        <v>1.0621494892504999</v>
      </c>
      <c r="E1858">
        <v>0.93912787868689596</v>
      </c>
      <c r="F1858">
        <v>0.90378228896379398</v>
      </c>
      <c r="G1858">
        <v>0.48886530674159301</v>
      </c>
      <c r="H1858">
        <v>0.30695892676713399</v>
      </c>
      <c r="I1858">
        <v>0.38914195377807798</v>
      </c>
      <c r="J1858">
        <v>0.34963105595549299</v>
      </c>
      <c r="K1858">
        <v>0.35688331057526701</v>
      </c>
      <c r="L1858">
        <v>2298.50543123123</v>
      </c>
      <c r="M1858">
        <v>41.6678922008646</v>
      </c>
      <c r="N1858">
        <v>56.788674687641802</v>
      </c>
      <c r="O1858">
        <v>55.0359117883648</v>
      </c>
      <c r="P1858">
        <v>-0.12333775899163101</v>
      </c>
      <c r="Q1858">
        <v>0.34837179405413898</v>
      </c>
      <c r="R1858">
        <v>0.98488570496317895</v>
      </c>
      <c r="S1858" t="s">
        <v>7719</v>
      </c>
      <c r="T1858" t="s">
        <v>11720</v>
      </c>
      <c r="U1858" t="s">
        <v>11720</v>
      </c>
      <c r="V1858" t="s">
        <v>11720</v>
      </c>
      <c r="W1858" t="s">
        <v>13540</v>
      </c>
      <c r="X1858">
        <v>26</v>
      </c>
      <c r="Y1858" t="s">
        <v>19312</v>
      </c>
      <c r="Z1858" t="s">
        <v>25065</v>
      </c>
      <c r="AA1858">
        <v>0.67999729117727159</v>
      </c>
      <c r="AB1858" t="str">
        <f>HYPERLINK("Melting_Curves/meltCurve_P09622_DLD.pdf", "Melting_Curves/meltCurve_P09622_DLD.pdf")</f>
        <v>Melting_Curves/meltCurve_P09622_DLD.pdf</v>
      </c>
    </row>
    <row r="1859" spans="1:28" x14ac:dyDescent="0.25">
      <c r="A1859" t="s">
        <v>1863</v>
      </c>
      <c r="B1859">
        <v>0.99334974765950101</v>
      </c>
      <c r="C1859">
        <v>1.11904170696446</v>
      </c>
      <c r="D1859">
        <v>1.52538106140262</v>
      </c>
      <c r="E1859">
        <v>2.0688517065668099</v>
      </c>
      <c r="F1859">
        <v>2.43370704165913</v>
      </c>
      <c r="G1859">
        <v>1.85610171625278</v>
      </c>
      <c r="H1859">
        <v>0.578507159927935</v>
      </c>
      <c r="I1859">
        <v>0.390604803022367</v>
      </c>
      <c r="J1859">
        <v>0.29619302749439402</v>
      </c>
      <c r="K1859">
        <v>0.24171867759174101</v>
      </c>
      <c r="L1859">
        <v>9575.4542129846195</v>
      </c>
      <c r="M1859">
        <v>157.42180952075</v>
      </c>
      <c r="N1859">
        <v>61.201614452325998</v>
      </c>
      <c r="O1859">
        <v>60.816916579685099</v>
      </c>
      <c r="P1859">
        <v>-0.44692089689145897</v>
      </c>
      <c r="Q1859">
        <v>0.30936251475951698</v>
      </c>
      <c r="R1859">
        <v>0.246148252063291</v>
      </c>
      <c r="S1859" t="s">
        <v>7720</v>
      </c>
      <c r="T1859" t="s">
        <v>11720</v>
      </c>
      <c r="U1859" t="s">
        <v>11720</v>
      </c>
      <c r="V1859" t="s">
        <v>11720</v>
      </c>
      <c r="W1859" t="s">
        <v>13541</v>
      </c>
      <c r="X1859">
        <v>9</v>
      </c>
      <c r="Y1859" t="s">
        <v>19313</v>
      </c>
      <c r="Z1859" t="s">
        <v>25066</v>
      </c>
      <c r="AA1859">
        <v>0.78900590836909024</v>
      </c>
      <c r="AB1859" t="str">
        <f>HYPERLINK("Melting_Curves/meltCurve_P09661_SNRPA1.pdf", "Melting_Curves/meltCurve_P09661_SNRPA1.pdf")</f>
        <v>Melting_Curves/meltCurve_P09661_SNRPA1.pdf</v>
      </c>
    </row>
    <row r="1860" spans="1:28" x14ac:dyDescent="0.25">
      <c r="A1860" t="s">
        <v>1864</v>
      </c>
      <c r="B1860">
        <v>0.99334974765950101</v>
      </c>
      <c r="C1860">
        <v>1.0100760616790001</v>
      </c>
      <c r="D1860">
        <v>0.88669388779670399</v>
      </c>
      <c r="E1860">
        <v>0.82199951539981797</v>
      </c>
      <c r="F1860">
        <v>0.89777778591837298</v>
      </c>
      <c r="G1860">
        <v>0.60102428285328702</v>
      </c>
      <c r="H1860">
        <v>0.50390589068864799</v>
      </c>
      <c r="I1860">
        <v>0.50451906385408796</v>
      </c>
      <c r="J1860">
        <v>0.504549399757796</v>
      </c>
      <c r="K1860">
        <v>0.400940255605781</v>
      </c>
      <c r="L1860">
        <v>628.63425352804802</v>
      </c>
      <c r="M1860">
        <v>11.231052780628</v>
      </c>
      <c r="N1860">
        <v>63.452565770625</v>
      </c>
      <c r="O1860">
        <v>54.286329967146798</v>
      </c>
      <c r="P1860">
        <v>-3.2752292320711897E-2</v>
      </c>
      <c r="Q1860">
        <v>0.36695226796599401</v>
      </c>
      <c r="R1860">
        <v>0.94055969658009797</v>
      </c>
      <c r="S1860" t="s">
        <v>7721</v>
      </c>
      <c r="T1860" t="s">
        <v>11720</v>
      </c>
      <c r="U1860" t="s">
        <v>11720</v>
      </c>
      <c r="V1860" t="s">
        <v>11720</v>
      </c>
      <c r="W1860" t="s">
        <v>13542</v>
      </c>
      <c r="X1860">
        <v>4</v>
      </c>
      <c r="Y1860" t="s">
        <v>19314</v>
      </c>
      <c r="Z1860" t="s">
        <v>25067</v>
      </c>
      <c r="AA1860">
        <v>0.71725020782799886</v>
      </c>
      <c r="AB1860" t="str">
        <f>HYPERLINK("Melting_Curves/meltCurve_P09668_CTSH.pdf", "Melting_Curves/meltCurve_P09668_CTSH.pdf")</f>
        <v>Melting_Curves/meltCurve_P09668_CTSH.pdf</v>
      </c>
    </row>
    <row r="1861" spans="1:28" x14ac:dyDescent="0.25">
      <c r="A1861" t="s">
        <v>1865</v>
      </c>
      <c r="B1861">
        <v>0.99334974765950101</v>
      </c>
      <c r="C1861">
        <v>0.94955170592952798</v>
      </c>
      <c r="D1861">
        <v>0.86248343290646801</v>
      </c>
      <c r="E1861">
        <v>0.85087029473558295</v>
      </c>
      <c r="F1861">
        <v>0.81581461568987101</v>
      </c>
      <c r="G1861">
        <v>1.2409502264038601</v>
      </c>
      <c r="H1861">
        <v>1.2662542645717201</v>
      </c>
      <c r="I1861">
        <v>1.6770380215482299</v>
      </c>
      <c r="J1861">
        <v>1.6485355607808601</v>
      </c>
      <c r="K1861">
        <v>1.33701729052858</v>
      </c>
      <c r="L1861">
        <v>2099.89188431309</v>
      </c>
      <c r="M1861">
        <v>36.043169198870999</v>
      </c>
      <c r="O1861">
        <v>58.081999254999097</v>
      </c>
      <c r="P1861">
        <v>7.7569824270262502E-2</v>
      </c>
      <c r="Q1861">
        <v>1.5</v>
      </c>
      <c r="R1861">
        <v>0.78332074517051997</v>
      </c>
      <c r="S1861" t="s">
        <v>7722</v>
      </c>
      <c r="T1861" t="s">
        <v>11720</v>
      </c>
      <c r="U1861" t="s">
        <v>11720</v>
      </c>
      <c r="V1861" t="s">
        <v>11720</v>
      </c>
      <c r="W1861" t="s">
        <v>13543</v>
      </c>
      <c r="X1861">
        <v>6</v>
      </c>
      <c r="Y1861" t="s">
        <v>19315</v>
      </c>
      <c r="Z1861" t="s">
        <v>25068</v>
      </c>
      <c r="AA1861">
        <v>1.1932720145404789</v>
      </c>
      <c r="AB1861" t="str">
        <f>HYPERLINK("Melting_Curves/meltCurve_P09669_COX6C.pdf", "Melting_Curves/meltCurve_P09669_COX6C.pdf")</f>
        <v>Melting_Curves/meltCurve_P09669_COX6C.pdf</v>
      </c>
    </row>
    <row r="1862" spans="1:28" x14ac:dyDescent="0.25">
      <c r="A1862" t="s">
        <v>1866</v>
      </c>
      <c r="B1862">
        <v>0.99334974765950101</v>
      </c>
      <c r="C1862">
        <v>0.81438843716667597</v>
      </c>
      <c r="D1862">
        <v>0.41354640834866901</v>
      </c>
      <c r="E1862">
        <v>0.18487340316629899</v>
      </c>
      <c r="F1862">
        <v>0.13486384657706299</v>
      </c>
      <c r="G1862">
        <v>0.109300136717083</v>
      </c>
      <c r="H1862">
        <v>9.5242821543198602E-2</v>
      </c>
      <c r="I1862">
        <v>8.4446211992100798E-2</v>
      </c>
      <c r="J1862">
        <v>7.6202620246330802E-2</v>
      </c>
      <c r="K1862">
        <v>4.58012966158928E-2</v>
      </c>
      <c r="L1862">
        <v>1151.4907618745799</v>
      </c>
      <c r="M1862">
        <v>25.528774238659601</v>
      </c>
      <c r="N1862">
        <v>45.454426570779198</v>
      </c>
      <c r="O1862">
        <v>44.831573152005802</v>
      </c>
      <c r="P1862">
        <v>-0.12969707273397699</v>
      </c>
      <c r="Q1862">
        <v>8.8957388224037107E-2</v>
      </c>
      <c r="R1862">
        <v>0.99524685870186103</v>
      </c>
      <c r="S1862" t="s">
        <v>7723</v>
      </c>
      <c r="T1862" t="s">
        <v>11720</v>
      </c>
      <c r="U1862" t="s">
        <v>11720</v>
      </c>
      <c r="V1862" t="s">
        <v>11720</v>
      </c>
      <c r="W1862" t="s">
        <v>13544</v>
      </c>
      <c r="X1862">
        <v>6</v>
      </c>
      <c r="Y1862" t="s">
        <v>19316</v>
      </c>
      <c r="Z1862" t="s">
        <v>25069</v>
      </c>
      <c r="AA1862">
        <v>0.25254729147019928</v>
      </c>
      <c r="AB1862" t="str">
        <f>HYPERLINK("Melting_Curves/meltCurve_P09874_PARP1.pdf", "Melting_Curves/meltCurve_P09874_PARP1.pdf")</f>
        <v>Melting_Curves/meltCurve_P09874_PARP1.pdf</v>
      </c>
    </row>
    <row r="1863" spans="1:28" x14ac:dyDescent="0.25">
      <c r="A1863" t="s">
        <v>1867</v>
      </c>
      <c r="B1863">
        <v>0.99334974765950101</v>
      </c>
      <c r="C1863">
        <v>0.96306122031375196</v>
      </c>
      <c r="D1863">
        <v>1.2406553405057399</v>
      </c>
      <c r="E1863">
        <v>1.0081789939911501</v>
      </c>
      <c r="F1863">
        <v>0.80089268537236902</v>
      </c>
      <c r="G1863">
        <v>0.26171900297663098</v>
      </c>
      <c r="H1863">
        <v>0.15449463702060801</v>
      </c>
      <c r="I1863">
        <v>9.4064127989986604E-2</v>
      </c>
      <c r="J1863">
        <v>7.5863857845565597E-2</v>
      </c>
      <c r="K1863">
        <v>7.0614126516863093E-2</v>
      </c>
      <c r="L1863">
        <v>2080.2446361849002</v>
      </c>
      <c r="M1863">
        <v>37.933839576594899</v>
      </c>
      <c r="N1863">
        <v>55.132437430936001</v>
      </c>
      <c r="O1863">
        <v>54.687022101495998</v>
      </c>
      <c r="P1863">
        <v>-0.15754976693299799</v>
      </c>
      <c r="Q1863">
        <v>9.1480788054644005E-2</v>
      </c>
      <c r="R1863">
        <v>0.96862566361041302</v>
      </c>
      <c r="S1863" t="s">
        <v>7724</v>
      </c>
      <c r="T1863" t="s">
        <v>11720</v>
      </c>
      <c r="U1863" t="s">
        <v>11720</v>
      </c>
      <c r="V1863" t="s">
        <v>11720</v>
      </c>
      <c r="W1863" t="s">
        <v>13545</v>
      </c>
      <c r="X1863">
        <v>1</v>
      </c>
      <c r="Y1863" t="s">
        <v>19317</v>
      </c>
      <c r="Z1863" t="s">
        <v>25070</v>
      </c>
      <c r="AA1863">
        <v>0.54467077544661846</v>
      </c>
      <c r="AB1863" t="str">
        <f>HYPERLINK("Melting_Curves/meltCurve_P09917_2_ALOX5.pdf", "Melting_Curves/meltCurve_P09917_2_ALOX5.pdf")</f>
        <v>Melting_Curves/meltCurve_P09917_2_ALOX5.pdf</v>
      </c>
    </row>
    <row r="1864" spans="1:28" x14ac:dyDescent="0.25">
      <c r="A1864" t="s">
        <v>1868</v>
      </c>
      <c r="B1864">
        <v>0.99334974765950101</v>
      </c>
      <c r="C1864">
        <v>0.95387898150969297</v>
      </c>
      <c r="D1864">
        <v>0.84832882060161396</v>
      </c>
      <c r="E1864">
        <v>0.73242535421808697</v>
      </c>
      <c r="F1864">
        <v>0.346296778397365</v>
      </c>
      <c r="G1864">
        <v>0.15158871489151499</v>
      </c>
      <c r="H1864">
        <v>0.10714409363576199</v>
      </c>
      <c r="I1864">
        <v>0.102938099396326</v>
      </c>
      <c r="J1864">
        <v>0.10611441557921</v>
      </c>
      <c r="K1864">
        <v>9.8725666267766896E-2</v>
      </c>
      <c r="L1864">
        <v>1173.50323556132</v>
      </c>
      <c r="M1864">
        <v>22.905630091353</v>
      </c>
      <c r="N1864">
        <v>51.6718537590707</v>
      </c>
      <c r="O1864">
        <v>50.846411961510803</v>
      </c>
      <c r="P1864">
        <v>-0.102649911370654</v>
      </c>
      <c r="Q1864">
        <v>8.8559750150775607E-2</v>
      </c>
      <c r="R1864">
        <v>0.98916110156299797</v>
      </c>
      <c r="S1864" t="s">
        <v>7725</v>
      </c>
      <c r="T1864" t="s">
        <v>11720</v>
      </c>
      <c r="U1864" t="s">
        <v>11720</v>
      </c>
      <c r="V1864" t="s">
        <v>11720</v>
      </c>
      <c r="W1864" t="s">
        <v>13546</v>
      </c>
      <c r="X1864">
        <v>24</v>
      </c>
      <c r="Y1864" t="s">
        <v>19318</v>
      </c>
      <c r="Z1864" t="s">
        <v>25071</v>
      </c>
      <c r="AA1864">
        <v>0.4395891364927707</v>
      </c>
      <c r="AB1864" t="str">
        <f>HYPERLINK("Melting_Curves/meltCurve_P09936_UCHL1.pdf", "Melting_Curves/meltCurve_P09936_UCHL1.pdf")</f>
        <v>Melting_Curves/meltCurve_P09936_UCHL1.pdf</v>
      </c>
    </row>
    <row r="1865" spans="1:28" x14ac:dyDescent="0.25">
      <c r="A1865" t="s">
        <v>1869</v>
      </c>
      <c r="B1865">
        <v>0.99334974765950101</v>
      </c>
      <c r="C1865">
        <v>0.99669399423213401</v>
      </c>
      <c r="D1865">
        <v>0.98904058987840504</v>
      </c>
      <c r="E1865">
        <v>0.87813820381268104</v>
      </c>
      <c r="F1865">
        <v>0.81428630617731501</v>
      </c>
      <c r="G1865">
        <v>0.464067464974731</v>
      </c>
      <c r="H1865">
        <v>0.15207363149127801</v>
      </c>
      <c r="I1865">
        <v>0.101559872154439</v>
      </c>
      <c r="J1865">
        <v>9.28002274441901E-2</v>
      </c>
      <c r="K1865">
        <v>7.3393107812225494E-2</v>
      </c>
      <c r="L1865">
        <v>1231.88393015934</v>
      </c>
      <c r="M1865">
        <v>21.956786223237401</v>
      </c>
      <c r="N1865">
        <v>56.376556263601401</v>
      </c>
      <c r="O1865">
        <v>55.645761213270802</v>
      </c>
      <c r="P1865">
        <v>-9.3696155588386107E-2</v>
      </c>
      <c r="Q1865">
        <v>5.01931299099228E-2</v>
      </c>
      <c r="R1865">
        <v>0.99590197585456897</v>
      </c>
      <c r="S1865" t="s">
        <v>7726</v>
      </c>
      <c r="T1865" t="s">
        <v>11720</v>
      </c>
      <c r="U1865" t="s">
        <v>11720</v>
      </c>
      <c r="V1865" t="s">
        <v>11720</v>
      </c>
      <c r="W1865" t="s">
        <v>13547</v>
      </c>
      <c r="X1865">
        <v>34</v>
      </c>
      <c r="Y1865" t="s">
        <v>19319</v>
      </c>
      <c r="Z1865" t="s">
        <v>25072</v>
      </c>
      <c r="AA1865">
        <v>0.57075361646809664</v>
      </c>
      <c r="AB1865" t="str">
        <f>HYPERLINK("Melting_Curves/meltCurve_P09960_LTA4H.pdf", "Melting_Curves/meltCurve_P09960_LTA4H.pdf")</f>
        <v>Melting_Curves/meltCurve_P09960_LTA4H.pdf</v>
      </c>
    </row>
    <row r="1866" spans="1:28" x14ac:dyDescent="0.25">
      <c r="A1866" t="s">
        <v>1870</v>
      </c>
      <c r="B1866">
        <v>0.99334974765950101</v>
      </c>
      <c r="C1866">
        <v>1.0398084314013101</v>
      </c>
      <c r="D1866">
        <v>1.1814800178096101</v>
      </c>
      <c r="E1866">
        <v>1.30195736846845</v>
      </c>
      <c r="F1866">
        <v>1.39155764906876</v>
      </c>
      <c r="G1866">
        <v>1.3318214698536699</v>
      </c>
      <c r="H1866">
        <v>0.98516748537634702</v>
      </c>
      <c r="I1866">
        <v>0.54276203502367204</v>
      </c>
      <c r="J1866">
        <v>0.18574078613072401</v>
      </c>
      <c r="K1866">
        <v>0.14193629968969301</v>
      </c>
      <c r="L1866">
        <v>4915.6930915214298</v>
      </c>
      <c r="M1866">
        <v>76.953510986266195</v>
      </c>
      <c r="N1866">
        <v>64.179303005560001</v>
      </c>
      <c r="O1866">
        <v>63.835638492860298</v>
      </c>
      <c r="P1866">
        <v>-0.25577640908173599</v>
      </c>
      <c r="Q1866">
        <v>0.15129810276906699</v>
      </c>
      <c r="R1866">
        <v>0.79669993124624205</v>
      </c>
      <c r="S1866" t="s">
        <v>7727</v>
      </c>
      <c r="T1866" t="s">
        <v>11720</v>
      </c>
      <c r="U1866" t="s">
        <v>11720</v>
      </c>
      <c r="V1866" t="s">
        <v>11720</v>
      </c>
      <c r="W1866" t="s">
        <v>13548</v>
      </c>
      <c r="X1866">
        <v>32</v>
      </c>
      <c r="Y1866" t="s">
        <v>19320</v>
      </c>
      <c r="Z1866" t="s">
        <v>25073</v>
      </c>
      <c r="AA1866">
        <v>0.8278006963639235</v>
      </c>
      <c r="AB1866" t="str">
        <f>HYPERLINK("Melting_Curves/meltCurve_P09972_ALDOC.pdf", "Melting_Curves/meltCurve_P09972_ALDOC.pdf")</f>
        <v>Melting_Curves/meltCurve_P09972_ALDOC.pdf</v>
      </c>
    </row>
    <row r="1867" spans="1:28" x14ac:dyDescent="0.25">
      <c r="A1867" t="s">
        <v>1871</v>
      </c>
      <c r="B1867">
        <v>0.99334974765950101</v>
      </c>
      <c r="C1867">
        <v>0.96424275157211403</v>
      </c>
      <c r="D1867">
        <v>0.68621109568434202</v>
      </c>
      <c r="E1867">
        <v>0.56439397948422898</v>
      </c>
      <c r="F1867">
        <v>0.22854504007989601</v>
      </c>
      <c r="G1867">
        <v>0.19363772911000901</v>
      </c>
      <c r="H1867">
        <v>0.120693557692371</v>
      </c>
      <c r="I1867">
        <v>0.118339952033051</v>
      </c>
      <c r="J1867">
        <v>0.101872798469599</v>
      </c>
      <c r="K1867">
        <v>6.1294045988448599E-2</v>
      </c>
      <c r="L1867">
        <v>767.13052335329496</v>
      </c>
      <c r="M1867">
        <v>15.608341086679401</v>
      </c>
      <c r="N1867">
        <v>49.683418006333298</v>
      </c>
      <c r="O1867">
        <v>48.363189320818002</v>
      </c>
      <c r="P1867">
        <v>-7.4451840718895296E-2</v>
      </c>
      <c r="Q1867">
        <v>7.7309418155962595E-2</v>
      </c>
      <c r="R1867">
        <v>0.98082073028503602</v>
      </c>
      <c r="S1867" t="s">
        <v>7728</v>
      </c>
      <c r="T1867" t="s">
        <v>11720</v>
      </c>
      <c r="U1867" t="s">
        <v>11720</v>
      </c>
      <c r="V1867" t="s">
        <v>11720</v>
      </c>
      <c r="W1867" t="s">
        <v>13549</v>
      </c>
      <c r="X1867">
        <v>2</v>
      </c>
      <c r="Y1867" t="s">
        <v>19321</v>
      </c>
      <c r="Z1867" t="s">
        <v>25074</v>
      </c>
      <c r="AA1867">
        <v>0.37970884497009022</v>
      </c>
      <c r="AB1867" t="str">
        <f>HYPERLINK("Melting_Curves/meltCurve_P0C7P0_CISD3.pdf", "Melting_Curves/meltCurve_P0C7P0_CISD3.pdf")</f>
        <v>Melting_Curves/meltCurve_P0C7P0_CISD3.pdf</v>
      </c>
    </row>
    <row r="1868" spans="1:28" x14ac:dyDescent="0.25">
      <c r="A1868" t="s">
        <v>1872</v>
      </c>
      <c r="B1868">
        <v>0.99334974765950101</v>
      </c>
      <c r="C1868">
        <v>0.94647522314982102</v>
      </c>
      <c r="D1868">
        <v>0.833252026906384</v>
      </c>
      <c r="E1868">
        <v>0.47290770235524099</v>
      </c>
      <c r="F1868">
        <v>0.42519254099001802</v>
      </c>
      <c r="G1868">
        <v>0.230300027419515</v>
      </c>
      <c r="H1868">
        <v>0.19371165594411599</v>
      </c>
      <c r="I1868">
        <v>0.22401184748974501</v>
      </c>
      <c r="J1868">
        <v>0.26553370862643799</v>
      </c>
      <c r="K1868">
        <v>0.222051802718289</v>
      </c>
      <c r="L1868">
        <v>953.04706534897502</v>
      </c>
      <c r="M1868">
        <v>19.542760985461001</v>
      </c>
      <c r="N1868">
        <v>50.258023940809998</v>
      </c>
      <c r="O1868">
        <v>48.265254182521502</v>
      </c>
      <c r="P1868">
        <v>-7.8962934454720399E-2</v>
      </c>
      <c r="Q1868">
        <v>0.21996083504303901</v>
      </c>
      <c r="R1868">
        <v>0.98732116313191498</v>
      </c>
      <c r="S1868" t="s">
        <v>7729</v>
      </c>
      <c r="T1868" t="s">
        <v>11720</v>
      </c>
      <c r="U1868" t="s">
        <v>11720</v>
      </c>
      <c r="V1868" t="s">
        <v>11720</v>
      </c>
      <c r="W1868" t="s">
        <v>13550</v>
      </c>
      <c r="X1868">
        <v>1</v>
      </c>
      <c r="Y1868" t="s">
        <v>19322</v>
      </c>
      <c r="Z1868" t="s">
        <v>25075</v>
      </c>
      <c r="AA1868">
        <v>0.45940583106399402</v>
      </c>
      <c r="AB1868" t="str">
        <f>HYPERLINK("Melting_Curves/meltCurve_P0C7T5_ATXN1L.pdf", "Melting_Curves/meltCurve_P0C7T5_ATXN1L.pdf")</f>
        <v>Melting_Curves/meltCurve_P0C7T5_ATXN1L.pdf</v>
      </c>
    </row>
    <row r="1869" spans="1:28" x14ac:dyDescent="0.25">
      <c r="A1869" t="s">
        <v>1873</v>
      </c>
      <c r="B1869">
        <v>0.99334974765950101</v>
      </c>
      <c r="C1869">
        <v>1.06628923218187</v>
      </c>
      <c r="D1869">
        <v>0.94532526857509003</v>
      </c>
      <c r="E1869">
        <v>0.84245037538176903</v>
      </c>
      <c r="F1869">
        <v>0.87285833663822998</v>
      </c>
      <c r="G1869">
        <v>0.51423726314892804</v>
      </c>
      <c r="H1869">
        <v>0.46265874061600099</v>
      </c>
      <c r="I1869">
        <v>0.49344392120806801</v>
      </c>
      <c r="J1869">
        <v>0.63543962352628303</v>
      </c>
      <c r="K1869">
        <v>0.53967642506476698</v>
      </c>
      <c r="L1869">
        <v>1970.85165198752</v>
      </c>
      <c r="M1869">
        <v>36.728745371227703</v>
      </c>
      <c r="O1869">
        <v>53.501326173723498</v>
      </c>
      <c r="P1869">
        <v>-8.2057013267220896E-2</v>
      </c>
      <c r="Q1869">
        <v>0.52188445526870497</v>
      </c>
      <c r="R1869">
        <v>0.89930056238175804</v>
      </c>
      <c r="S1869" t="s">
        <v>7730</v>
      </c>
      <c r="T1869" t="s">
        <v>11720</v>
      </c>
      <c r="U1869" t="s">
        <v>11720</v>
      </c>
      <c r="V1869" t="s">
        <v>11720</v>
      </c>
      <c r="W1869" t="s">
        <v>13551</v>
      </c>
      <c r="X1869">
        <v>3</v>
      </c>
      <c r="Y1869" t="s">
        <v>19323</v>
      </c>
      <c r="Z1869" t="s">
        <v>25076</v>
      </c>
      <c r="AA1869">
        <v>0.74168024595842452</v>
      </c>
      <c r="AB1869" t="str">
        <f>HYPERLINK("Melting_Curves/meltCurve_P0CAP2_POLR2M.pdf", "Melting_Curves/meltCurve_P0CAP2_POLR2M.pdf")</f>
        <v>Melting_Curves/meltCurve_P0CAP2_POLR2M.pdf</v>
      </c>
    </row>
    <row r="1870" spans="1:28" x14ac:dyDescent="0.25">
      <c r="A1870" t="s">
        <v>1874</v>
      </c>
      <c r="B1870">
        <v>0.99334974765950101</v>
      </c>
      <c r="C1870">
        <v>0.94746349709765698</v>
      </c>
      <c r="D1870">
        <v>0.84287003424907803</v>
      </c>
      <c r="E1870">
        <v>0.82751058652053</v>
      </c>
      <c r="F1870">
        <v>0.61456558923611804</v>
      </c>
      <c r="G1870">
        <v>0.49170778621143602</v>
      </c>
      <c r="H1870">
        <v>0.43325932690207802</v>
      </c>
      <c r="I1870">
        <v>0.493479920445064</v>
      </c>
      <c r="J1870">
        <v>0.52061829382938496</v>
      </c>
      <c r="K1870">
        <v>0.52599063899632703</v>
      </c>
      <c r="L1870">
        <v>848.04833118587601</v>
      </c>
      <c r="M1870">
        <v>16.892231777201999</v>
      </c>
      <c r="N1870">
        <v>61.104598591659901</v>
      </c>
      <c r="O1870">
        <v>49.515708495095197</v>
      </c>
      <c r="P1870">
        <v>-4.4740877601763103E-2</v>
      </c>
      <c r="Q1870">
        <v>0.47544266987579298</v>
      </c>
      <c r="R1870">
        <v>0.94598250537802298</v>
      </c>
      <c r="S1870" t="s">
        <v>7731</v>
      </c>
      <c r="T1870" t="s">
        <v>11720</v>
      </c>
      <c r="U1870" t="s">
        <v>11720</v>
      </c>
      <c r="V1870" t="s">
        <v>11720</v>
      </c>
      <c r="W1870" t="s">
        <v>13552</v>
      </c>
      <c r="X1870">
        <v>5</v>
      </c>
      <c r="Y1870" t="s">
        <v>19324</v>
      </c>
      <c r="Z1870" t="s">
        <v>25077</v>
      </c>
      <c r="AA1870">
        <v>0.66389354933702982</v>
      </c>
      <c r="AB1870" t="str">
        <f>HYPERLINK("Melting_Curves/meltCurve_P0CG12_CHTF8.pdf", "Melting_Curves/meltCurve_P0CG12_CHTF8.pdf")</f>
        <v>Melting_Curves/meltCurve_P0CG12_CHTF8.pdf</v>
      </c>
    </row>
    <row r="1871" spans="1:28" x14ac:dyDescent="0.25">
      <c r="A1871" t="s">
        <v>1875</v>
      </c>
      <c r="B1871">
        <v>0.99334974765950101</v>
      </c>
      <c r="C1871">
        <v>0.98757724924733004</v>
      </c>
      <c r="D1871">
        <v>0.86690334051734497</v>
      </c>
      <c r="E1871">
        <v>0.94668064801215401</v>
      </c>
      <c r="F1871">
        <v>1.1632648272458901</v>
      </c>
      <c r="G1871">
        <v>0.86905482950541202</v>
      </c>
      <c r="H1871">
        <v>0.89334322477864703</v>
      </c>
      <c r="I1871">
        <v>1.5743342514179599</v>
      </c>
      <c r="J1871">
        <v>1.5331065159098101</v>
      </c>
      <c r="K1871">
        <v>1.4802813846148899</v>
      </c>
      <c r="L1871">
        <v>9933.2174104261194</v>
      </c>
      <c r="M1871">
        <v>158.87733455775199</v>
      </c>
      <c r="O1871">
        <v>62.511397039031799</v>
      </c>
      <c r="P1871">
        <v>0.31769675148483001</v>
      </c>
      <c r="Q1871">
        <v>1.5</v>
      </c>
      <c r="R1871">
        <v>0.88390947063685699</v>
      </c>
      <c r="S1871" t="s">
        <v>7732</v>
      </c>
      <c r="T1871" t="s">
        <v>11720</v>
      </c>
      <c r="U1871" t="s">
        <v>11720</v>
      </c>
      <c r="V1871" t="s">
        <v>11720</v>
      </c>
      <c r="W1871" t="s">
        <v>13553</v>
      </c>
      <c r="X1871">
        <v>3</v>
      </c>
      <c r="Y1871" t="s">
        <v>19325</v>
      </c>
      <c r="Z1871" t="s">
        <v>25078</v>
      </c>
      <c r="AA1871">
        <v>1.124509125136911</v>
      </c>
      <c r="AB1871" t="str">
        <f>HYPERLINK("Melting_Curves/meltCurve_P0CG35_TMSB15B.pdf", "Melting_Curves/meltCurve_P0CG35_TMSB15B.pdf")</f>
        <v>Melting_Curves/meltCurve_P0CG35_TMSB15B.pdf</v>
      </c>
    </row>
    <row r="1872" spans="1:28" x14ac:dyDescent="0.25">
      <c r="A1872" t="s">
        <v>1876</v>
      </c>
      <c r="B1872">
        <v>0.99334974765950101</v>
      </c>
      <c r="C1872">
        <v>1.2774692702866799</v>
      </c>
      <c r="D1872">
        <v>1.2969597187812101</v>
      </c>
      <c r="E1872">
        <v>1.3353187910709601</v>
      </c>
      <c r="F1872">
        <v>1.29233024858379</v>
      </c>
      <c r="G1872">
        <v>0.67044422364117895</v>
      </c>
      <c r="H1872">
        <v>0.55447446759474495</v>
      </c>
      <c r="I1872">
        <v>0.48802574866534498</v>
      </c>
      <c r="J1872">
        <v>0.57877759968257703</v>
      </c>
      <c r="K1872">
        <v>0.52362963981637001</v>
      </c>
      <c r="L1872">
        <v>14198.797773374399</v>
      </c>
      <c r="M1872">
        <v>250</v>
      </c>
      <c r="O1872">
        <v>56.791535814145597</v>
      </c>
      <c r="P1872">
        <v>-0.51038962980682001</v>
      </c>
      <c r="Q1872">
        <v>0.536226854965968</v>
      </c>
      <c r="R1872">
        <v>0.70315634803734794</v>
      </c>
      <c r="S1872" t="s">
        <v>7733</v>
      </c>
      <c r="T1872" t="s">
        <v>11720</v>
      </c>
      <c r="U1872" t="s">
        <v>11720</v>
      </c>
      <c r="V1872" t="s">
        <v>11720</v>
      </c>
      <c r="W1872" t="s">
        <v>13554</v>
      </c>
      <c r="X1872">
        <v>8</v>
      </c>
      <c r="Y1872" t="s">
        <v>19326</v>
      </c>
      <c r="Z1872" t="s">
        <v>25079</v>
      </c>
      <c r="AA1872">
        <v>0.79591170123343924</v>
      </c>
      <c r="AB1872" t="str">
        <f>HYPERLINK("Melting_Curves/meltCurve_P0CW22_RPS17L.pdf", "Melting_Curves/meltCurve_P0CW22_RPS17L.pdf")</f>
        <v>Melting_Curves/meltCurve_P0CW22_RPS17L.pdf</v>
      </c>
    </row>
    <row r="1873" spans="1:28" x14ac:dyDescent="0.25">
      <c r="A1873" t="s">
        <v>1877</v>
      </c>
      <c r="B1873">
        <v>0.99334974765950101</v>
      </c>
      <c r="C1873">
        <v>0.84889349160487104</v>
      </c>
      <c r="D1873">
        <v>0.57091727355992405</v>
      </c>
      <c r="E1873">
        <v>0.65574189100812996</v>
      </c>
      <c r="F1873">
        <v>0.59932608518299302</v>
      </c>
      <c r="G1873">
        <v>0.44939154182126501</v>
      </c>
      <c r="H1873">
        <v>0.30459064777461797</v>
      </c>
      <c r="I1873">
        <v>0.38812971277220998</v>
      </c>
      <c r="J1873">
        <v>0.58178865842193395</v>
      </c>
      <c r="K1873">
        <v>0.36094436041475703</v>
      </c>
      <c r="L1873">
        <v>548.91419390437898</v>
      </c>
      <c r="M1873">
        <v>11.8793897551556</v>
      </c>
      <c r="N1873">
        <v>53.789266063641001</v>
      </c>
      <c r="O1873">
        <v>44.956251342880797</v>
      </c>
      <c r="P1873">
        <v>-3.9230292592794397E-2</v>
      </c>
      <c r="Q1873">
        <v>0.40629808285604002</v>
      </c>
      <c r="R1873">
        <v>0.79472029670611599</v>
      </c>
      <c r="S1873" t="s">
        <v>7734</v>
      </c>
      <c r="T1873" t="s">
        <v>11720</v>
      </c>
      <c r="U1873" t="s">
        <v>11720</v>
      </c>
      <c r="V1873" t="s">
        <v>11720</v>
      </c>
      <c r="W1873" t="s">
        <v>13555</v>
      </c>
      <c r="X1873">
        <v>2</v>
      </c>
      <c r="Y1873" t="s">
        <v>19327</v>
      </c>
      <c r="Z1873" t="s">
        <v>25080</v>
      </c>
      <c r="AA1873">
        <v>0.55618357782663808</v>
      </c>
      <c r="AB1873" t="str">
        <f>HYPERLINK("Melting_Curves/meltCurve_P0DJ93_SMIM13.pdf", "Melting_Curves/meltCurve_P0DJ93_SMIM13.pdf")</f>
        <v>Melting_Curves/meltCurve_P0DJ93_SMIM13.pdf</v>
      </c>
    </row>
    <row r="1874" spans="1:28" x14ac:dyDescent="0.25">
      <c r="A1874" t="s">
        <v>1878</v>
      </c>
      <c r="B1874">
        <v>0.99334974765950101</v>
      </c>
      <c r="C1874">
        <v>0.96821238337980597</v>
      </c>
      <c r="D1874">
        <v>0.87916250098464199</v>
      </c>
      <c r="E1874">
        <v>0.73993067995877604</v>
      </c>
      <c r="F1874">
        <v>0.411294311060804</v>
      </c>
      <c r="G1874">
        <v>0.36338783536228803</v>
      </c>
      <c r="H1874">
        <v>0.33338766196495101</v>
      </c>
      <c r="I1874">
        <v>0.344838906778764</v>
      </c>
      <c r="J1874">
        <v>0.366214366885944</v>
      </c>
      <c r="K1874">
        <v>0.34528641551244299</v>
      </c>
      <c r="L1874">
        <v>1366.3761968685401</v>
      </c>
      <c r="M1874">
        <v>27.2314119471074</v>
      </c>
      <c r="N1874">
        <v>52.361323778310599</v>
      </c>
      <c r="O1874">
        <v>49.908221429597099</v>
      </c>
      <c r="P1874">
        <v>-9.00990335986665E-2</v>
      </c>
      <c r="Q1874">
        <v>0.33949224898187402</v>
      </c>
      <c r="R1874">
        <v>0.983291521438032</v>
      </c>
      <c r="S1874" t="s">
        <v>7735</v>
      </c>
      <c r="T1874" t="s">
        <v>11720</v>
      </c>
      <c r="U1874" t="s">
        <v>11720</v>
      </c>
      <c r="V1874" t="s">
        <v>11720</v>
      </c>
      <c r="W1874" t="s">
        <v>13556</v>
      </c>
      <c r="X1874">
        <v>5</v>
      </c>
      <c r="Y1874" t="s">
        <v>19328</v>
      </c>
      <c r="Z1874" t="s">
        <v>25081</v>
      </c>
      <c r="AA1874">
        <v>0.56852773461650286</v>
      </c>
      <c r="AB1874" t="str">
        <f>HYPERLINK("Melting_Curves/meltCurve_P10109_FDX1.pdf", "Melting_Curves/meltCurve_P10109_FDX1.pdf")</f>
        <v>Melting_Curves/meltCurve_P10109_FDX1.pdf</v>
      </c>
    </row>
    <row r="1875" spans="1:28" x14ac:dyDescent="0.25">
      <c r="A1875" t="s">
        <v>1879</v>
      </c>
      <c r="B1875">
        <v>0.99334974765950101</v>
      </c>
      <c r="C1875">
        <v>0.87107371022227997</v>
      </c>
      <c r="D1875">
        <v>0.62747609059813203</v>
      </c>
      <c r="E1875">
        <v>0.80897907066311003</v>
      </c>
      <c r="F1875">
        <v>0.73204918630042104</v>
      </c>
      <c r="G1875">
        <v>0.43950582684178502</v>
      </c>
      <c r="H1875">
        <v>0.44802564587917199</v>
      </c>
      <c r="I1875">
        <v>0.44445363396077697</v>
      </c>
      <c r="J1875">
        <v>0.31798938407327398</v>
      </c>
      <c r="K1875">
        <v>0.12471347093494101</v>
      </c>
      <c r="L1875">
        <v>348.473723887174</v>
      </c>
      <c r="M1875">
        <v>6.0361480981081304</v>
      </c>
      <c r="N1875">
        <v>57.731142149208999</v>
      </c>
      <c r="O1875">
        <v>52.353084723489097</v>
      </c>
      <c r="P1875">
        <v>-2.8915589242820901E-2</v>
      </c>
      <c r="Q1875">
        <v>0</v>
      </c>
      <c r="R1875">
        <v>0.859610932874323</v>
      </c>
      <c r="S1875" t="s">
        <v>7736</v>
      </c>
      <c r="T1875" t="s">
        <v>11720</v>
      </c>
      <c r="U1875" t="s">
        <v>11720</v>
      </c>
      <c r="V1875" t="s">
        <v>11720</v>
      </c>
      <c r="W1875" t="s">
        <v>13557</v>
      </c>
      <c r="X1875">
        <v>4</v>
      </c>
      <c r="Y1875" t="s">
        <v>19329</v>
      </c>
      <c r="Z1875" t="s">
        <v>25082</v>
      </c>
      <c r="AA1875">
        <v>0.58601145823399803</v>
      </c>
      <c r="AB1875" t="str">
        <f>HYPERLINK("Melting_Curves/meltCurve_P10114_RAP2A.pdf", "Melting_Curves/meltCurve_P10114_RAP2A.pdf")</f>
        <v>Melting_Curves/meltCurve_P10114_RAP2A.pdf</v>
      </c>
    </row>
    <row r="1876" spans="1:28" x14ac:dyDescent="0.25">
      <c r="A1876" t="s">
        <v>1880</v>
      </c>
      <c r="B1876">
        <v>0.99334974765950101</v>
      </c>
      <c r="C1876">
        <v>0.97449477031593501</v>
      </c>
      <c r="D1876">
        <v>0.86919212786588695</v>
      </c>
      <c r="E1876">
        <v>0.68061261410500096</v>
      </c>
      <c r="F1876">
        <v>0.56006884015627401</v>
      </c>
      <c r="G1876">
        <v>0.40492745619252501</v>
      </c>
      <c r="H1876">
        <v>0.40642952963662199</v>
      </c>
      <c r="I1876">
        <v>0.34328762020660702</v>
      </c>
      <c r="J1876">
        <v>0.54472472637995994</v>
      </c>
      <c r="K1876">
        <v>0.92667823998333898</v>
      </c>
      <c r="L1876">
        <v>1281.61029944764</v>
      </c>
      <c r="M1876">
        <v>26.698249151889801</v>
      </c>
      <c r="O1876">
        <v>47.736658313515797</v>
      </c>
      <c r="P1876">
        <v>-6.6103705095168996E-2</v>
      </c>
      <c r="Q1876">
        <v>0.52722946159929696</v>
      </c>
      <c r="R1876">
        <v>0.60682547536502296</v>
      </c>
      <c r="S1876" t="s">
        <v>7737</v>
      </c>
      <c r="T1876" t="s">
        <v>11720</v>
      </c>
      <c r="U1876" t="s">
        <v>11720</v>
      </c>
      <c r="V1876" t="s">
        <v>11720</v>
      </c>
      <c r="W1876" t="s">
        <v>13558</v>
      </c>
      <c r="X1876">
        <v>3</v>
      </c>
      <c r="Y1876" t="s">
        <v>19330</v>
      </c>
      <c r="Z1876" t="s">
        <v>25083</v>
      </c>
      <c r="AA1876">
        <v>0.65699278986249654</v>
      </c>
      <c r="AB1876" t="str">
        <f>HYPERLINK("Melting_Curves/meltCurve_P10124_SRGN.pdf", "Melting_Curves/meltCurve_P10124_SRGN.pdf")</f>
        <v>Melting_Curves/meltCurve_P10124_SRGN.pdf</v>
      </c>
    </row>
    <row r="1877" spans="1:28" x14ac:dyDescent="0.25">
      <c r="A1877" t="s">
        <v>1881</v>
      </c>
      <c r="B1877">
        <v>0.99334974765950101</v>
      </c>
      <c r="C1877">
        <v>0.99070095479727704</v>
      </c>
      <c r="D1877">
        <v>1.1465327807605601</v>
      </c>
      <c r="E1877">
        <v>1.1983944271960301</v>
      </c>
      <c r="F1877">
        <v>1.0988727339534801</v>
      </c>
      <c r="G1877">
        <v>1.2065490171683899</v>
      </c>
      <c r="H1877">
        <v>1.13815169047</v>
      </c>
      <c r="I1877">
        <v>1.1807752402457501</v>
      </c>
      <c r="J1877">
        <v>0.41057749347106498</v>
      </c>
      <c r="K1877">
        <v>0.15915606530076701</v>
      </c>
      <c r="L1877">
        <v>15000</v>
      </c>
      <c r="M1877">
        <v>224.732085791397</v>
      </c>
      <c r="N1877">
        <v>66.860114675356598</v>
      </c>
      <c r="O1877">
        <v>66.740843679689206</v>
      </c>
      <c r="P1877">
        <v>-0.70787328494381296</v>
      </c>
      <c r="Q1877">
        <v>0.15910414134484999</v>
      </c>
      <c r="R1877">
        <v>0.86198307771504901</v>
      </c>
      <c r="S1877" t="s">
        <v>7738</v>
      </c>
      <c r="T1877" t="s">
        <v>11720</v>
      </c>
      <c r="U1877" t="s">
        <v>11720</v>
      </c>
      <c r="V1877" t="s">
        <v>11720</v>
      </c>
      <c r="W1877" t="s">
        <v>13559</v>
      </c>
      <c r="X1877">
        <v>20</v>
      </c>
      <c r="Y1877" t="s">
        <v>19331</v>
      </c>
      <c r="Z1877" t="s">
        <v>25084</v>
      </c>
      <c r="AA1877">
        <v>0.90891648002842718</v>
      </c>
      <c r="AB1877" t="str">
        <f>HYPERLINK("Melting_Curves/meltCurve_P10155_TROVE2.pdf", "Melting_Curves/meltCurve_P10155_TROVE2.pdf")</f>
        <v>Melting_Curves/meltCurve_P10155_TROVE2.pdf</v>
      </c>
    </row>
    <row r="1878" spans="1:28" x14ac:dyDescent="0.25">
      <c r="A1878" t="s">
        <v>1882</v>
      </c>
      <c r="B1878">
        <v>0.99334974765950101</v>
      </c>
      <c r="C1878">
        <v>1.17616093227829</v>
      </c>
      <c r="D1878">
        <v>0.98849581964143596</v>
      </c>
      <c r="E1878">
        <v>1.0560512675721201</v>
      </c>
      <c r="F1878">
        <v>0.78817739317462598</v>
      </c>
      <c r="G1878">
        <v>0.86426989040916102</v>
      </c>
      <c r="H1878">
        <v>1.14033125820896</v>
      </c>
      <c r="I1878">
        <v>2.3015367868386201</v>
      </c>
      <c r="J1878">
        <v>3.8695773270053402</v>
      </c>
      <c r="K1878">
        <v>1.91447221557398</v>
      </c>
      <c r="L1878">
        <v>15000</v>
      </c>
      <c r="M1878">
        <v>244.96145427502699</v>
      </c>
      <c r="O1878">
        <v>61.230042655868999</v>
      </c>
      <c r="P1878">
        <v>0.50008428326363896</v>
      </c>
      <c r="Q1878">
        <v>1.5</v>
      </c>
      <c r="R1878">
        <v>0.21257410398405799</v>
      </c>
      <c r="S1878" t="s">
        <v>7739</v>
      </c>
      <c r="T1878" t="s">
        <v>11720</v>
      </c>
      <c r="U1878" t="s">
        <v>11720</v>
      </c>
      <c r="V1878" t="s">
        <v>11720</v>
      </c>
      <c r="W1878" t="s">
        <v>13560</v>
      </c>
      <c r="X1878">
        <v>1</v>
      </c>
      <c r="Y1878" t="s">
        <v>19332</v>
      </c>
      <c r="Z1878" t="s">
        <v>25085</v>
      </c>
      <c r="AA1878">
        <v>1.146041971712545</v>
      </c>
      <c r="AB1878" t="str">
        <f>HYPERLINK("Melting_Curves/meltCurve_P10176_COX8A.pdf", "Melting_Curves/meltCurve_P10176_COX8A.pdf")</f>
        <v>Melting_Curves/meltCurve_P10176_COX8A.pdf</v>
      </c>
    </row>
    <row r="1879" spans="1:28" x14ac:dyDescent="0.25">
      <c r="A1879" t="s">
        <v>1883</v>
      </c>
      <c r="B1879">
        <v>0.99334974765950101</v>
      </c>
      <c r="C1879">
        <v>0.97078854666090697</v>
      </c>
      <c r="D1879">
        <v>1.02211748161615</v>
      </c>
      <c r="E1879">
        <v>0.92724206780255303</v>
      </c>
      <c r="F1879">
        <v>0.851190363550548</v>
      </c>
      <c r="G1879">
        <v>0.711269723209903</v>
      </c>
      <c r="H1879">
        <v>0.63855328993128901</v>
      </c>
      <c r="I1879">
        <v>0.60712629869600199</v>
      </c>
      <c r="J1879">
        <v>0.27976704751829601</v>
      </c>
      <c r="K1879">
        <v>0.14306143508510499</v>
      </c>
      <c r="L1879">
        <v>736.884868267093</v>
      </c>
      <c r="M1879">
        <v>11.681903204783</v>
      </c>
      <c r="N1879">
        <v>63.0791794387317</v>
      </c>
      <c r="O1879">
        <v>61.315772326352501</v>
      </c>
      <c r="P1879">
        <v>-4.7642821743068699E-2</v>
      </c>
      <c r="Q1879">
        <v>0</v>
      </c>
      <c r="R1879">
        <v>0.94516195722593199</v>
      </c>
      <c r="S1879" t="s">
        <v>7740</v>
      </c>
      <c r="T1879" t="s">
        <v>11720</v>
      </c>
      <c r="U1879" t="s">
        <v>11720</v>
      </c>
      <c r="V1879" t="s">
        <v>11720</v>
      </c>
      <c r="W1879" t="s">
        <v>13561</v>
      </c>
      <c r="X1879">
        <v>29</v>
      </c>
      <c r="Y1879" t="s">
        <v>19333</v>
      </c>
      <c r="Z1879" t="s">
        <v>25086</v>
      </c>
      <c r="AA1879">
        <v>0.74733880235544181</v>
      </c>
      <c r="AB1879" t="str">
        <f>HYPERLINK("Melting_Curves/meltCurve_P10253_GAA.pdf", "Melting_Curves/meltCurve_P10253_GAA.pdf")</f>
        <v>Melting_Curves/meltCurve_P10253_GAA.pdf</v>
      </c>
    </row>
    <row r="1880" spans="1:28" x14ac:dyDescent="0.25">
      <c r="A1880" t="s">
        <v>1884</v>
      </c>
      <c r="B1880">
        <v>0.99334974765950101</v>
      </c>
      <c r="C1880">
        <v>0.945220852512626</v>
      </c>
      <c r="D1880">
        <v>0.75842266680423598</v>
      </c>
      <c r="E1880">
        <v>0.75076103153610496</v>
      </c>
      <c r="F1880">
        <v>0.63308026757403002</v>
      </c>
      <c r="G1880">
        <v>0.44298302121466498</v>
      </c>
      <c r="H1880">
        <v>0.281882013426141</v>
      </c>
      <c r="I1880">
        <v>0.19668289225683799</v>
      </c>
      <c r="J1880">
        <v>0.111233476377326</v>
      </c>
      <c r="K1880">
        <v>9.0259059600085706E-2</v>
      </c>
      <c r="L1880">
        <v>532.74684035582504</v>
      </c>
      <c r="M1880">
        <v>9.6756966637153408</v>
      </c>
      <c r="N1880">
        <v>55.060308183530402</v>
      </c>
      <c r="O1880">
        <v>52.862689180317901</v>
      </c>
      <c r="P1880">
        <v>-4.5783886186736802E-2</v>
      </c>
      <c r="Q1880">
        <v>0</v>
      </c>
      <c r="R1880">
        <v>0.98287364559878798</v>
      </c>
      <c r="S1880" t="s">
        <v>7741</v>
      </c>
      <c r="T1880" t="s">
        <v>11720</v>
      </c>
      <c r="U1880" t="s">
        <v>11720</v>
      </c>
      <c r="V1880" t="s">
        <v>11720</v>
      </c>
      <c r="W1880" t="s">
        <v>13562</v>
      </c>
      <c r="X1880">
        <v>17</v>
      </c>
      <c r="Y1880" t="s">
        <v>19334</v>
      </c>
      <c r="Z1880" t="s">
        <v>25087</v>
      </c>
      <c r="AA1880">
        <v>0.52789809147149158</v>
      </c>
      <c r="AB1880" t="str">
        <f>HYPERLINK("Melting_Curves/meltCurve_P10301_RRAS.pdf", "Melting_Curves/meltCurve_P10301_RRAS.pdf")</f>
        <v>Melting_Curves/meltCurve_P10301_RRAS.pdf</v>
      </c>
    </row>
    <row r="1881" spans="1:28" x14ac:dyDescent="0.25">
      <c r="A1881" t="s">
        <v>1885</v>
      </c>
      <c r="B1881">
        <v>0.99334974765950101</v>
      </c>
      <c r="C1881">
        <v>0.85551736581780802</v>
      </c>
      <c r="D1881">
        <v>0.77371819050162505</v>
      </c>
      <c r="E1881">
        <v>0.38406832968857002</v>
      </c>
      <c r="F1881">
        <v>0.28642619609930797</v>
      </c>
      <c r="G1881">
        <v>0.147445160376552</v>
      </c>
      <c r="H1881">
        <v>0.121602921568377</v>
      </c>
      <c r="I1881">
        <v>9.4476294765962393E-2</v>
      </c>
      <c r="J1881">
        <v>8.8253770786962102E-2</v>
      </c>
      <c r="K1881">
        <v>7.3032479055847602E-2</v>
      </c>
      <c r="L1881">
        <v>793.01046938960201</v>
      </c>
      <c r="M1881">
        <v>16.364525909527899</v>
      </c>
      <c r="N1881">
        <v>48.969710690410899</v>
      </c>
      <c r="O1881">
        <v>47.752817465805997</v>
      </c>
      <c r="P1881">
        <v>-7.8959192437414005E-2</v>
      </c>
      <c r="Q1881">
        <v>7.8432638707590402E-2</v>
      </c>
      <c r="R1881">
        <v>0.99368018171088801</v>
      </c>
      <c r="S1881" t="s">
        <v>7742</v>
      </c>
      <c r="T1881" t="s">
        <v>11720</v>
      </c>
      <c r="U1881" t="s">
        <v>11720</v>
      </c>
      <c r="V1881" t="s">
        <v>11720</v>
      </c>
      <c r="W1881" t="s">
        <v>13563</v>
      </c>
      <c r="X1881">
        <v>3</v>
      </c>
      <c r="Y1881" t="s">
        <v>19335</v>
      </c>
      <c r="Z1881" t="s">
        <v>25088</v>
      </c>
      <c r="AA1881">
        <v>0.35786594212173178</v>
      </c>
      <c r="AB1881" t="str">
        <f>HYPERLINK("Melting_Curves/meltCurve_P10398_ARAF.pdf", "Melting_Curves/meltCurve_P10398_ARAF.pdf")</f>
        <v>Melting_Curves/meltCurve_P10398_ARAF.pdf</v>
      </c>
    </row>
    <row r="1882" spans="1:28" x14ac:dyDescent="0.25">
      <c r="A1882" t="s">
        <v>1886</v>
      </c>
      <c r="B1882">
        <v>0.99334974765950101</v>
      </c>
      <c r="C1882">
        <v>0.919370691230184</v>
      </c>
      <c r="D1882">
        <v>1.01602550336703</v>
      </c>
      <c r="E1882">
        <v>1.1239224276392099</v>
      </c>
      <c r="F1882">
        <v>1.37349168187865</v>
      </c>
      <c r="G1882">
        <v>1.8164863116390599</v>
      </c>
      <c r="H1882">
        <v>0.630846311777845</v>
      </c>
      <c r="I1882">
        <v>0.29822831077801099</v>
      </c>
      <c r="J1882">
        <v>0.16328938479698701</v>
      </c>
      <c r="K1882">
        <v>0.131706126904619</v>
      </c>
      <c r="L1882">
        <v>5690.8577916775503</v>
      </c>
      <c r="M1882">
        <v>93.073479281991894</v>
      </c>
      <c r="N1882">
        <v>61.463575909641598</v>
      </c>
      <c r="O1882">
        <v>61.115498736319999</v>
      </c>
      <c r="P1882">
        <v>-0.30764442448391799</v>
      </c>
      <c r="Q1882">
        <v>0.191957104542409</v>
      </c>
      <c r="R1882">
        <v>0.68491207953820599</v>
      </c>
      <c r="S1882" t="s">
        <v>7743</v>
      </c>
      <c r="T1882" t="s">
        <v>11720</v>
      </c>
      <c r="U1882" t="s">
        <v>11720</v>
      </c>
      <c r="V1882" t="s">
        <v>11720</v>
      </c>
      <c r="W1882" t="s">
        <v>13564</v>
      </c>
      <c r="X1882">
        <v>5</v>
      </c>
      <c r="Y1882" t="s">
        <v>19336</v>
      </c>
      <c r="Z1882" t="s">
        <v>25089</v>
      </c>
      <c r="AA1882">
        <v>0.76208418307767145</v>
      </c>
      <c r="AB1882" t="str">
        <f>HYPERLINK("Melting_Curves/meltCurve_P10515_DLAT.pdf", "Melting_Curves/meltCurve_P10515_DLAT.pdf")</f>
        <v>Melting_Curves/meltCurve_P10515_DLAT.pdf</v>
      </c>
    </row>
    <row r="1883" spans="1:28" x14ac:dyDescent="0.25">
      <c r="A1883" t="s">
        <v>1887</v>
      </c>
      <c r="B1883">
        <v>0.99334974765950101</v>
      </c>
      <c r="C1883">
        <v>0.90599683847885104</v>
      </c>
      <c r="D1883">
        <v>0.91553953907279895</v>
      </c>
      <c r="E1883">
        <v>0.49676330225688597</v>
      </c>
      <c r="F1883">
        <v>0.28349336629619898</v>
      </c>
      <c r="G1883">
        <v>0.23588790172232901</v>
      </c>
      <c r="H1883">
        <v>0.183412036627014</v>
      </c>
      <c r="I1883">
        <v>0.19783014935515</v>
      </c>
      <c r="J1883">
        <v>0.15776525698052099</v>
      </c>
      <c r="K1883">
        <v>8.6383504677881404E-2</v>
      </c>
      <c r="L1883">
        <v>1179.3931108189399</v>
      </c>
      <c r="M1883">
        <v>23.9100590181455</v>
      </c>
      <c r="N1883">
        <v>50.133424306169097</v>
      </c>
      <c r="O1883">
        <v>48.9850885965201</v>
      </c>
      <c r="P1883">
        <v>-0.102533579463272</v>
      </c>
      <c r="Q1883">
        <v>0.15976204628635901</v>
      </c>
      <c r="R1883">
        <v>0.98598278157781305</v>
      </c>
      <c r="S1883" t="s">
        <v>7744</v>
      </c>
      <c r="T1883" t="s">
        <v>11720</v>
      </c>
      <c r="U1883" t="s">
        <v>11720</v>
      </c>
      <c r="V1883" t="s">
        <v>11720</v>
      </c>
      <c r="W1883" t="s">
        <v>13565</v>
      </c>
      <c r="X1883">
        <v>5</v>
      </c>
      <c r="Y1883" t="s">
        <v>19337</v>
      </c>
      <c r="Z1883" t="s">
        <v>25090</v>
      </c>
      <c r="AA1883">
        <v>0.42914508795499628</v>
      </c>
      <c r="AB1883" t="str">
        <f>HYPERLINK("Melting_Curves/meltCurve_P10586_2_PTPRF.pdf", "Melting_Curves/meltCurve_P10586_2_PTPRF.pdf")</f>
        <v>Melting_Curves/meltCurve_P10586_2_PTPRF.pdf</v>
      </c>
    </row>
    <row r="1884" spans="1:28" x14ac:dyDescent="0.25">
      <c r="A1884" t="s">
        <v>1888</v>
      </c>
      <c r="B1884">
        <v>0.99334974765950101</v>
      </c>
      <c r="C1884">
        <v>0.98836443101977201</v>
      </c>
      <c r="D1884">
        <v>0.84978155186356796</v>
      </c>
      <c r="E1884">
        <v>0.73703176022599504</v>
      </c>
      <c r="F1884">
        <v>0.54106907603902299</v>
      </c>
      <c r="G1884">
        <v>0.43051141485365402</v>
      </c>
      <c r="H1884">
        <v>0.41755521101138399</v>
      </c>
      <c r="I1884">
        <v>0.69680559835656397</v>
      </c>
      <c r="J1884">
        <v>0.86754530213618397</v>
      </c>
      <c r="K1884">
        <v>0.89677241512745098</v>
      </c>
      <c r="L1884">
        <v>1567.58712749031</v>
      </c>
      <c r="M1884">
        <v>33.659937319059097</v>
      </c>
      <c r="O1884">
        <v>46.407848723013203</v>
      </c>
      <c r="P1884">
        <v>-6.3667760759043193E-2</v>
      </c>
      <c r="Q1884">
        <v>0.64887975266840103</v>
      </c>
      <c r="R1884">
        <v>0.45368995820591201</v>
      </c>
      <c r="S1884" t="s">
        <v>7745</v>
      </c>
      <c r="T1884" t="s">
        <v>11720</v>
      </c>
      <c r="U1884" t="s">
        <v>11720</v>
      </c>
      <c r="V1884" t="s">
        <v>11720</v>
      </c>
      <c r="W1884" t="s">
        <v>13566</v>
      </c>
      <c r="X1884">
        <v>13</v>
      </c>
      <c r="Y1884" t="s">
        <v>19338</v>
      </c>
      <c r="Z1884" t="s">
        <v>25091</v>
      </c>
      <c r="AA1884">
        <v>0.72743745009869965</v>
      </c>
      <c r="AB1884" t="str">
        <f>HYPERLINK("Melting_Curves/meltCurve_P10599_TXN.pdf", "Melting_Curves/meltCurve_P10599_TXN.pdf")</f>
        <v>Melting_Curves/meltCurve_P10599_TXN.pdf</v>
      </c>
    </row>
    <row r="1885" spans="1:28" x14ac:dyDescent="0.25">
      <c r="A1885" t="s">
        <v>1889</v>
      </c>
      <c r="B1885">
        <v>0.99334974765950101</v>
      </c>
      <c r="C1885">
        <v>0.96238361806747597</v>
      </c>
      <c r="D1885">
        <v>0.79586644940483797</v>
      </c>
      <c r="E1885">
        <v>0.86156604353826105</v>
      </c>
      <c r="F1885">
        <v>0.827143175014321</v>
      </c>
      <c r="G1885">
        <v>1.0145270451037001</v>
      </c>
      <c r="H1885">
        <v>1.1134947789323499</v>
      </c>
      <c r="I1885">
        <v>1.9443584727335199</v>
      </c>
      <c r="J1885">
        <v>2.3217208821906699</v>
      </c>
      <c r="K1885">
        <v>1.5745415404167999</v>
      </c>
      <c r="L1885">
        <v>15000</v>
      </c>
      <c r="M1885">
        <v>244.67721875445201</v>
      </c>
      <c r="O1885">
        <v>61.301162073153002</v>
      </c>
      <c r="P1885">
        <v>0.49892451073605099</v>
      </c>
      <c r="Q1885">
        <v>1.5</v>
      </c>
      <c r="R1885">
        <v>0.61078336378540898</v>
      </c>
      <c r="S1885" t="s">
        <v>7746</v>
      </c>
      <c r="T1885" t="s">
        <v>11720</v>
      </c>
      <c r="U1885" t="s">
        <v>11720</v>
      </c>
      <c r="V1885" t="s">
        <v>11720</v>
      </c>
      <c r="W1885" t="s">
        <v>13567</v>
      </c>
      <c r="X1885">
        <v>9</v>
      </c>
      <c r="Y1885" t="s">
        <v>19339</v>
      </c>
      <c r="Z1885" t="s">
        <v>25092</v>
      </c>
      <c r="AA1885">
        <v>1.144856206765136</v>
      </c>
      <c r="AB1885" t="str">
        <f>HYPERLINK("Melting_Curves/meltCurve_P10606_COX5B.pdf", "Melting_Curves/meltCurve_P10606_COX5B.pdf")</f>
        <v>Melting_Curves/meltCurve_P10606_COX5B.pdf</v>
      </c>
    </row>
    <row r="1886" spans="1:28" x14ac:dyDescent="0.25">
      <c r="A1886" t="s">
        <v>1890</v>
      </c>
      <c r="B1886">
        <v>0.99334974765950101</v>
      </c>
      <c r="C1886">
        <v>0.98596970590794197</v>
      </c>
      <c r="D1886">
        <v>1.05777342293079</v>
      </c>
      <c r="E1886">
        <v>1.1395572340445099</v>
      </c>
      <c r="F1886">
        <v>0.78465410861775697</v>
      </c>
      <c r="G1886">
        <v>0.72520982749144003</v>
      </c>
      <c r="H1886">
        <v>0.48436225255777399</v>
      </c>
      <c r="I1886">
        <v>0.25474367649978702</v>
      </c>
      <c r="J1886">
        <v>0.210588376532374</v>
      </c>
      <c r="K1886">
        <v>0.15423809620630699</v>
      </c>
      <c r="L1886">
        <v>1051.85231951693</v>
      </c>
      <c r="M1886">
        <v>17.6754874314422</v>
      </c>
      <c r="N1886">
        <v>60.187869273371902</v>
      </c>
      <c r="O1886">
        <v>58.763059718473201</v>
      </c>
      <c r="P1886">
        <v>-6.8406706311900906E-2</v>
      </c>
      <c r="Q1886">
        <v>9.0361838042397197E-2</v>
      </c>
      <c r="R1886">
        <v>0.95989997352634604</v>
      </c>
      <c r="S1886" t="s">
        <v>7747</v>
      </c>
      <c r="T1886" t="s">
        <v>11720</v>
      </c>
      <c r="U1886" t="s">
        <v>11720</v>
      </c>
      <c r="V1886" t="s">
        <v>11720</v>
      </c>
      <c r="W1886" t="s">
        <v>13568</v>
      </c>
      <c r="X1886">
        <v>11</v>
      </c>
      <c r="Y1886" t="s">
        <v>19340</v>
      </c>
      <c r="Z1886" t="s">
        <v>25093</v>
      </c>
      <c r="AA1886">
        <v>0.69052253262238894</v>
      </c>
      <c r="AB1886" t="str">
        <f>HYPERLINK("Melting_Curves/meltCurve_P10619_CTSA.pdf", "Melting_Curves/meltCurve_P10619_CTSA.pdf")</f>
        <v>Melting_Curves/meltCurve_P10619_CTSA.pdf</v>
      </c>
    </row>
    <row r="1887" spans="1:28" x14ac:dyDescent="0.25">
      <c r="A1887" t="s">
        <v>1891</v>
      </c>
      <c r="B1887">
        <v>0.99334974765950101</v>
      </c>
      <c r="C1887">
        <v>0.90856346101426799</v>
      </c>
      <c r="D1887">
        <v>0.76302261935843296</v>
      </c>
      <c r="E1887">
        <v>0.99606937251540695</v>
      </c>
      <c r="F1887">
        <v>0.73177624132379004</v>
      </c>
      <c r="G1887">
        <v>0.72346473694321101</v>
      </c>
      <c r="H1887">
        <v>0.62516352662339103</v>
      </c>
      <c r="I1887">
        <v>0.52375940165398804</v>
      </c>
      <c r="J1887">
        <v>0.39615140273011301</v>
      </c>
      <c r="K1887">
        <v>0.24782554126457501</v>
      </c>
      <c r="L1887">
        <v>455.53364076906399</v>
      </c>
      <c r="M1887">
        <v>7.1882570552053302</v>
      </c>
      <c r="N1887">
        <v>63.371918265532202</v>
      </c>
      <c r="O1887">
        <v>59.017818798244797</v>
      </c>
      <c r="P1887">
        <v>-3.0500722314761902E-2</v>
      </c>
      <c r="Q1887">
        <v>0</v>
      </c>
      <c r="R1887">
        <v>0.87683930148441203</v>
      </c>
      <c r="S1887" t="s">
        <v>7748</v>
      </c>
      <c r="T1887" t="s">
        <v>11720</v>
      </c>
      <c r="U1887" t="s">
        <v>11720</v>
      </c>
      <c r="V1887" t="s">
        <v>11720</v>
      </c>
      <c r="W1887" t="s">
        <v>13569</v>
      </c>
      <c r="X1887">
        <v>6</v>
      </c>
      <c r="Y1887" t="s">
        <v>19341</v>
      </c>
      <c r="Z1887" t="s">
        <v>25094</v>
      </c>
      <c r="AA1887">
        <v>0.71557904567782216</v>
      </c>
      <c r="AB1887" t="str">
        <f>HYPERLINK("Melting_Curves/meltCurve_P10620_MGST1.pdf", "Melting_Curves/meltCurve_P10620_MGST1.pdf")</f>
        <v>Melting_Curves/meltCurve_P10620_MGST1.pdf</v>
      </c>
    </row>
    <row r="1888" spans="1:28" x14ac:dyDescent="0.25">
      <c r="A1888" t="s">
        <v>1892</v>
      </c>
      <c r="B1888">
        <v>0.99334974765950101</v>
      </c>
      <c r="C1888">
        <v>1.5052586802991399</v>
      </c>
      <c r="D1888">
        <v>1.3012048806507399</v>
      </c>
      <c r="E1888">
        <v>1.2920219526488601</v>
      </c>
      <c r="F1888">
        <v>0.95358147855577702</v>
      </c>
      <c r="G1888">
        <v>0.61775303452710195</v>
      </c>
      <c r="H1888">
        <v>0.59439843235802803</v>
      </c>
      <c r="I1888">
        <v>0.99966249047996403</v>
      </c>
      <c r="J1888">
        <v>1.03060011003241</v>
      </c>
      <c r="K1888">
        <v>0.77720323764803501</v>
      </c>
      <c r="L1888">
        <v>13312.0447995328</v>
      </c>
      <c r="M1888">
        <v>250</v>
      </c>
      <c r="O1888">
        <v>53.244771683418001</v>
      </c>
      <c r="P1888">
        <v>-0.23015937955219501</v>
      </c>
      <c r="Q1888">
        <v>0.80392346244629898</v>
      </c>
      <c r="R1888">
        <v>0.24420322207475301</v>
      </c>
      <c r="S1888" t="s">
        <v>7749</v>
      </c>
      <c r="T1888" t="s">
        <v>11720</v>
      </c>
      <c r="U1888" t="s">
        <v>11720</v>
      </c>
      <c r="V1888" t="s">
        <v>11720</v>
      </c>
      <c r="W1888" t="s">
        <v>13570</v>
      </c>
      <c r="X1888">
        <v>2</v>
      </c>
      <c r="Y1888" t="s">
        <v>19342</v>
      </c>
      <c r="Z1888" t="s">
        <v>25095</v>
      </c>
      <c r="AA1888">
        <v>0.8905303559469806</v>
      </c>
      <c r="AB1888" t="str">
        <f>HYPERLINK("Melting_Curves/meltCurve_P10636_MAPT.pdf", "Melting_Curves/meltCurve_P10636_MAPT.pdf")</f>
        <v>Melting_Curves/meltCurve_P10636_MAPT.pdf</v>
      </c>
    </row>
    <row r="1889" spans="1:28" x14ac:dyDescent="0.25">
      <c r="A1889" t="s">
        <v>1893</v>
      </c>
      <c r="B1889">
        <v>0.99334974765950101</v>
      </c>
      <c r="C1889">
        <v>0.92507500237416695</v>
      </c>
      <c r="D1889">
        <v>0.98160406203172101</v>
      </c>
      <c r="E1889">
        <v>0.75017601590499094</v>
      </c>
      <c r="F1889">
        <v>0.26645482780859198</v>
      </c>
      <c r="G1889">
        <v>0.169463578733865</v>
      </c>
      <c r="H1889">
        <v>0.112648707715767</v>
      </c>
      <c r="I1889">
        <v>9.3486139400408397E-2</v>
      </c>
      <c r="J1889">
        <v>8.3190147840720194E-2</v>
      </c>
      <c r="K1889">
        <v>6.4830912760072301E-2</v>
      </c>
      <c r="L1889">
        <v>2028.12674051258</v>
      </c>
      <c r="M1889">
        <v>39.6444923012914</v>
      </c>
      <c r="N1889">
        <v>51.444922743065803</v>
      </c>
      <c r="O1889">
        <v>51.028196876048199</v>
      </c>
      <c r="P1889">
        <v>-0.17495445970065199</v>
      </c>
      <c r="Q1889">
        <v>9.9235173100804402E-2</v>
      </c>
      <c r="R1889">
        <v>0.99309772100424898</v>
      </c>
      <c r="S1889" t="s">
        <v>7750</v>
      </c>
      <c r="T1889" t="s">
        <v>11720</v>
      </c>
      <c r="U1889" t="s">
        <v>11720</v>
      </c>
      <c r="V1889" t="s">
        <v>11720</v>
      </c>
      <c r="W1889" t="s">
        <v>13571</v>
      </c>
      <c r="X1889">
        <v>28</v>
      </c>
      <c r="Y1889" t="s">
        <v>19343</v>
      </c>
      <c r="Z1889" t="s">
        <v>25096</v>
      </c>
      <c r="AA1889">
        <v>0.4374975932854081</v>
      </c>
      <c r="AB1889" t="str">
        <f>HYPERLINK("Melting_Curves/meltCurve_P10644_PRKAR1A.pdf", "Melting_Curves/meltCurve_P10644_PRKAR1A.pdf")</f>
        <v>Melting_Curves/meltCurve_P10644_PRKAR1A.pdf</v>
      </c>
    </row>
    <row r="1890" spans="1:28" x14ac:dyDescent="0.25">
      <c r="A1890" t="s">
        <v>1894</v>
      </c>
      <c r="B1890">
        <v>0.99334974765950101</v>
      </c>
      <c r="C1890">
        <v>0.97925293859220297</v>
      </c>
      <c r="D1890">
        <v>0.82931798677989099</v>
      </c>
      <c r="E1890">
        <v>0.61673968588488803</v>
      </c>
      <c r="F1890">
        <v>0.23549862183751499</v>
      </c>
      <c r="G1890">
        <v>0.121851131742193</v>
      </c>
      <c r="H1890">
        <v>0.102408160309443</v>
      </c>
      <c r="I1890">
        <v>6.3587047601392499E-2</v>
      </c>
      <c r="J1890">
        <v>0.10277950723379101</v>
      </c>
      <c r="K1890">
        <v>7.9127515301676998E-2</v>
      </c>
      <c r="L1890">
        <v>1121.58419760472</v>
      </c>
      <c r="M1890">
        <v>22.3637004167567</v>
      </c>
      <c r="N1890">
        <v>50.509246231275</v>
      </c>
      <c r="O1890">
        <v>49.756153083447501</v>
      </c>
      <c r="P1890">
        <v>-0.104148966358255</v>
      </c>
      <c r="Q1890">
        <v>7.3150961224173999E-2</v>
      </c>
      <c r="R1890">
        <v>0.99155339213448501</v>
      </c>
      <c r="S1890" t="s">
        <v>7751</v>
      </c>
      <c r="T1890" t="s">
        <v>11720</v>
      </c>
      <c r="U1890" t="s">
        <v>11720</v>
      </c>
      <c r="V1890" t="s">
        <v>11720</v>
      </c>
      <c r="W1890" t="s">
        <v>13572</v>
      </c>
      <c r="X1890">
        <v>11</v>
      </c>
      <c r="Y1890" t="s">
        <v>19344</v>
      </c>
      <c r="Z1890" t="s">
        <v>25097</v>
      </c>
      <c r="AA1890">
        <v>0.39715637876344512</v>
      </c>
      <c r="AB1890" t="str">
        <f>HYPERLINK("Melting_Curves/meltCurve_P10746_UROS.pdf", "Melting_Curves/meltCurve_P10746_UROS.pdf")</f>
        <v>Melting_Curves/meltCurve_P10746_UROS.pdf</v>
      </c>
    </row>
    <row r="1891" spans="1:28" x14ac:dyDescent="0.25">
      <c r="A1891" t="s">
        <v>1895</v>
      </c>
      <c r="B1891">
        <v>0.99334974765950101</v>
      </c>
      <c r="C1891">
        <v>0.79037263277219605</v>
      </c>
      <c r="D1891">
        <v>0.95098846553457494</v>
      </c>
      <c r="E1891">
        <v>0.69681004407824498</v>
      </c>
      <c r="F1891">
        <v>0.26496811220516397</v>
      </c>
      <c r="G1891">
        <v>0.106103486324747</v>
      </c>
      <c r="H1891">
        <v>6.0657543189470003E-2</v>
      </c>
      <c r="I1891">
        <v>5.0309739921161098E-2</v>
      </c>
      <c r="J1891">
        <v>5.4638655534838598E-2</v>
      </c>
      <c r="K1891">
        <v>4.68945753504251E-2</v>
      </c>
      <c r="L1891">
        <v>1565.0941733294601</v>
      </c>
      <c r="M1891">
        <v>30.643649581772902</v>
      </c>
      <c r="N1891">
        <v>51.258138594518996</v>
      </c>
      <c r="O1891">
        <v>50.857985942971503</v>
      </c>
      <c r="P1891">
        <v>-0.142783753845274</v>
      </c>
      <c r="Q1891">
        <v>5.2116739440291299E-2</v>
      </c>
      <c r="R1891">
        <v>0.970081480226332</v>
      </c>
      <c r="S1891" t="s">
        <v>7752</v>
      </c>
      <c r="T1891" t="s">
        <v>11720</v>
      </c>
      <c r="U1891" t="s">
        <v>11720</v>
      </c>
      <c r="V1891" t="s">
        <v>11720</v>
      </c>
      <c r="W1891" t="s">
        <v>13573</v>
      </c>
      <c r="X1891">
        <v>16</v>
      </c>
      <c r="Y1891" t="s">
        <v>19345</v>
      </c>
      <c r="Z1891" t="s">
        <v>25098</v>
      </c>
      <c r="AA1891">
        <v>0.40773110795487949</v>
      </c>
      <c r="AB1891" t="str">
        <f>HYPERLINK("Melting_Curves/meltCurve_P10768_ESD.pdf", "Melting_Curves/meltCurve_P10768_ESD.pdf")</f>
        <v>Melting_Curves/meltCurve_P10768_ESD.pdf</v>
      </c>
    </row>
    <row r="1892" spans="1:28" x14ac:dyDescent="0.25">
      <c r="A1892" t="s">
        <v>1896</v>
      </c>
      <c r="B1892">
        <v>0.99334974765950101</v>
      </c>
      <c r="C1892">
        <v>0.97518396769281002</v>
      </c>
      <c r="D1892">
        <v>1.0071361523386999</v>
      </c>
      <c r="E1892">
        <v>0.88195999521285895</v>
      </c>
      <c r="F1892">
        <v>1.0343645142959601</v>
      </c>
      <c r="G1892">
        <v>0.43320964188740702</v>
      </c>
      <c r="H1892">
        <v>0.132539487243376</v>
      </c>
      <c r="I1892">
        <v>7.3856757780813395E-2</v>
      </c>
      <c r="J1892">
        <v>6.1144327502533798E-2</v>
      </c>
      <c r="K1892">
        <v>5.0300361686864498E-2</v>
      </c>
      <c r="L1892">
        <v>4379.8894981725498</v>
      </c>
      <c r="M1892">
        <v>77.300679353769894</v>
      </c>
      <c r="N1892">
        <v>56.785424823393797</v>
      </c>
      <c r="O1892">
        <v>56.622540862964598</v>
      </c>
      <c r="P1892">
        <v>-0.31459750314429102</v>
      </c>
      <c r="Q1892">
        <v>7.8232831844147505E-2</v>
      </c>
      <c r="R1892">
        <v>0.98919924516884095</v>
      </c>
      <c r="S1892" t="s">
        <v>7753</v>
      </c>
      <c r="T1892" t="s">
        <v>11720</v>
      </c>
      <c r="U1892" t="s">
        <v>11720</v>
      </c>
      <c r="V1892" t="s">
        <v>11720</v>
      </c>
      <c r="W1892" t="s">
        <v>13574</v>
      </c>
      <c r="X1892">
        <v>57</v>
      </c>
      <c r="Y1892" t="s">
        <v>19346</v>
      </c>
      <c r="Z1892" t="s">
        <v>25099</v>
      </c>
      <c r="AA1892">
        <v>0.59109469810872151</v>
      </c>
      <c r="AB1892" t="str">
        <f>HYPERLINK("Melting_Curves/meltCurve_P10809_HSPD1.pdf", "Melting_Curves/meltCurve_P10809_HSPD1.pdf")</f>
        <v>Melting_Curves/meltCurve_P10809_HSPD1.pdf</v>
      </c>
    </row>
    <row r="1893" spans="1:28" x14ac:dyDescent="0.25">
      <c r="A1893" t="s">
        <v>1897</v>
      </c>
      <c r="B1893">
        <v>0.99334974765950101</v>
      </c>
      <c r="C1893">
        <v>0.97153453712839399</v>
      </c>
      <c r="D1893">
        <v>0.83079128529130097</v>
      </c>
      <c r="E1893">
        <v>0.57816400321929695</v>
      </c>
      <c r="F1893">
        <v>0.37636064248617601</v>
      </c>
      <c r="G1893">
        <v>0.24701130446386399</v>
      </c>
      <c r="H1893">
        <v>0.20005735863410501</v>
      </c>
      <c r="I1893">
        <v>0.227031477853959</v>
      </c>
      <c r="J1893">
        <v>0.175629753404455</v>
      </c>
      <c r="K1893">
        <v>0.15517120620699901</v>
      </c>
      <c r="L1893">
        <v>887.49202148599295</v>
      </c>
      <c r="M1893">
        <v>17.833397260000201</v>
      </c>
      <c r="N1893">
        <v>50.9844582125044</v>
      </c>
      <c r="O1893">
        <v>49.152616470573498</v>
      </c>
      <c r="P1893">
        <v>-7.4967786110042206E-2</v>
      </c>
      <c r="Q1893">
        <v>0.17353397253811201</v>
      </c>
      <c r="R1893">
        <v>0.99747856566981996</v>
      </c>
      <c r="S1893" t="s">
        <v>7754</v>
      </c>
      <c r="T1893" t="s">
        <v>11720</v>
      </c>
      <c r="U1893" t="s">
        <v>11720</v>
      </c>
      <c r="V1893" t="s">
        <v>11720</v>
      </c>
      <c r="W1893" t="s">
        <v>13575</v>
      </c>
      <c r="X1893">
        <v>8</v>
      </c>
      <c r="Y1893" t="s">
        <v>19347</v>
      </c>
      <c r="Z1893" t="s">
        <v>25100</v>
      </c>
      <c r="AA1893">
        <v>0.4569621210816443</v>
      </c>
      <c r="AB1893" t="str">
        <f>HYPERLINK("Melting_Curves/meltCurve_P10909_4_CLU.pdf", "Melting_Curves/meltCurve_P10909_4_CLU.pdf")</f>
        <v>Melting_Curves/meltCurve_P10909_4_CLU.pdf</v>
      </c>
    </row>
    <row r="1894" spans="1:28" x14ac:dyDescent="0.25">
      <c r="A1894" t="s">
        <v>1898</v>
      </c>
      <c r="B1894">
        <v>0.99334974765950101</v>
      </c>
      <c r="C1894">
        <v>0.99607618252418695</v>
      </c>
      <c r="D1894">
        <v>0.93289352493901001</v>
      </c>
      <c r="E1894">
        <v>0.79406243631477802</v>
      </c>
      <c r="F1894">
        <v>0.58171338516496895</v>
      </c>
      <c r="G1894">
        <v>0.34569406460597402</v>
      </c>
      <c r="H1894">
        <v>0.23126739717133399</v>
      </c>
      <c r="I1894">
        <v>0.15476911291489301</v>
      </c>
      <c r="J1894">
        <v>0.105207534970544</v>
      </c>
      <c r="K1894">
        <v>8.6660195551248501E-2</v>
      </c>
      <c r="L1894">
        <v>807.79909868368497</v>
      </c>
      <c r="M1894">
        <v>14.973712633924601</v>
      </c>
      <c r="N1894">
        <v>54.467473057958102</v>
      </c>
      <c r="O1894">
        <v>53.013045004930802</v>
      </c>
      <c r="P1894">
        <v>-6.5920003917515499E-2</v>
      </c>
      <c r="Q1894">
        <v>6.6560240382498706E-2</v>
      </c>
      <c r="R1894">
        <v>0.99884678530520299</v>
      </c>
      <c r="S1894" t="s">
        <v>7755</v>
      </c>
      <c r="T1894" t="s">
        <v>11720</v>
      </c>
      <c r="U1894" t="s">
        <v>11720</v>
      </c>
      <c r="V1894" t="s">
        <v>11720</v>
      </c>
      <c r="W1894" t="s">
        <v>13576</v>
      </c>
      <c r="X1894">
        <v>4</v>
      </c>
      <c r="Y1894" t="s">
        <v>19348</v>
      </c>
      <c r="Z1894" t="s">
        <v>25101</v>
      </c>
      <c r="AA1894">
        <v>0.51978931991479416</v>
      </c>
      <c r="AB1894" t="str">
        <f>HYPERLINK("Melting_Curves/meltCurve_P10915_HAPLN1.pdf", "Melting_Curves/meltCurve_P10915_HAPLN1.pdf")</f>
        <v>Melting_Curves/meltCurve_P10915_HAPLN1.pdf</v>
      </c>
    </row>
    <row r="1895" spans="1:28" x14ac:dyDescent="0.25">
      <c r="A1895" t="s">
        <v>1899</v>
      </c>
      <c r="B1895">
        <v>0.99334974765950101</v>
      </c>
      <c r="C1895">
        <v>0.92351200549263401</v>
      </c>
      <c r="D1895">
        <v>0.98479175680151998</v>
      </c>
      <c r="E1895">
        <v>0.83994349471892205</v>
      </c>
      <c r="F1895">
        <v>0.66880640491514098</v>
      </c>
      <c r="G1895">
        <v>0.32215071388050298</v>
      </c>
      <c r="H1895">
        <v>0.17917660662120199</v>
      </c>
      <c r="I1895">
        <v>0.145978096545054</v>
      </c>
      <c r="J1895">
        <v>0.104467682942142</v>
      </c>
      <c r="K1895">
        <v>8.5359597843185905E-2</v>
      </c>
      <c r="L1895">
        <v>1057.75008438244</v>
      </c>
      <c r="M1895">
        <v>19.489985709831998</v>
      </c>
      <c r="N1895">
        <v>54.781696914181502</v>
      </c>
      <c r="O1895">
        <v>53.7098068503348</v>
      </c>
      <c r="P1895">
        <v>-8.3192304100256104E-2</v>
      </c>
      <c r="Q1895">
        <v>8.2999529481165499E-2</v>
      </c>
      <c r="R1895">
        <v>0.99513972658939998</v>
      </c>
      <c r="S1895" t="s">
        <v>7756</v>
      </c>
      <c r="T1895" t="s">
        <v>11720</v>
      </c>
      <c r="U1895" t="s">
        <v>11720</v>
      </c>
      <c r="V1895" t="s">
        <v>11720</v>
      </c>
      <c r="W1895" t="s">
        <v>13577</v>
      </c>
      <c r="X1895">
        <v>67</v>
      </c>
      <c r="Y1895" t="s">
        <v>19349</v>
      </c>
      <c r="Z1895" t="s">
        <v>25102</v>
      </c>
      <c r="AA1895">
        <v>0.53214932714439056</v>
      </c>
      <c r="AB1895" t="str">
        <f>HYPERLINK("Melting_Curves/meltCurve_P11021_HSPA5.pdf", "Melting_Curves/meltCurve_P11021_HSPA5.pdf")</f>
        <v>Melting_Curves/meltCurve_P11021_HSPA5.pdf</v>
      </c>
    </row>
    <row r="1896" spans="1:28" x14ac:dyDescent="0.25">
      <c r="A1896" t="s">
        <v>1900</v>
      </c>
      <c r="B1896">
        <v>0.99334974765950101</v>
      </c>
      <c r="C1896">
        <v>0.95959140141745303</v>
      </c>
      <c r="D1896">
        <v>1.0168151566567001</v>
      </c>
      <c r="E1896">
        <v>0.69578932649178704</v>
      </c>
      <c r="F1896">
        <v>0.30398929465860602</v>
      </c>
      <c r="G1896">
        <v>0.19282695701802799</v>
      </c>
      <c r="H1896">
        <v>0.14869475820567199</v>
      </c>
      <c r="I1896">
        <v>0.16623539123825301</v>
      </c>
      <c r="J1896">
        <v>0.13772524217011001</v>
      </c>
      <c r="K1896">
        <v>0.112029938311813</v>
      </c>
      <c r="L1896">
        <v>1841.1915987715099</v>
      </c>
      <c r="M1896">
        <v>36.213184161390899</v>
      </c>
      <c r="N1896">
        <v>51.336737263593001</v>
      </c>
      <c r="O1896">
        <v>50.688840434179298</v>
      </c>
      <c r="P1896">
        <v>-0.152347344077462</v>
      </c>
      <c r="Q1896">
        <v>0.14701948369364501</v>
      </c>
      <c r="R1896">
        <v>0.99617101488672</v>
      </c>
      <c r="S1896" t="s">
        <v>7757</v>
      </c>
      <c r="T1896" t="s">
        <v>11720</v>
      </c>
      <c r="U1896" t="s">
        <v>11720</v>
      </c>
      <c r="V1896" t="s">
        <v>11720</v>
      </c>
      <c r="W1896" t="s">
        <v>13578</v>
      </c>
      <c r="X1896">
        <v>60</v>
      </c>
      <c r="Y1896" t="s">
        <v>19350</v>
      </c>
      <c r="Z1896" t="s">
        <v>25103</v>
      </c>
      <c r="AA1896">
        <v>0.45898168337564949</v>
      </c>
      <c r="AB1896" t="str">
        <f>HYPERLINK("Melting_Curves/meltCurve_P11047_LAMC1.pdf", "Melting_Curves/meltCurve_P11047_LAMC1.pdf")</f>
        <v>Melting_Curves/meltCurve_P11047_LAMC1.pdf</v>
      </c>
    </row>
    <row r="1897" spans="1:28" x14ac:dyDescent="0.25">
      <c r="A1897" t="s">
        <v>1901</v>
      </c>
      <c r="B1897">
        <v>0.99334974765950101</v>
      </c>
      <c r="C1897">
        <v>0.93291686003876295</v>
      </c>
      <c r="D1897">
        <v>1.0160963547130299</v>
      </c>
      <c r="E1897">
        <v>1.050631125742</v>
      </c>
      <c r="F1897">
        <v>0.80605801863522597</v>
      </c>
      <c r="G1897">
        <v>0.81461394580788504</v>
      </c>
      <c r="H1897">
        <v>0.70041256460184698</v>
      </c>
      <c r="I1897">
        <v>0.81226835675561704</v>
      </c>
      <c r="J1897">
        <v>0.41589598629189001</v>
      </c>
      <c r="K1897">
        <v>0.353279596374102</v>
      </c>
      <c r="L1897">
        <v>670.77977635368302</v>
      </c>
      <c r="M1897">
        <v>10.010548909132099</v>
      </c>
      <c r="N1897">
        <v>67.007290992698898</v>
      </c>
      <c r="O1897">
        <v>64.497974034581205</v>
      </c>
      <c r="P1897">
        <v>-3.8820592693278998E-2</v>
      </c>
      <c r="Q1897">
        <v>0</v>
      </c>
      <c r="R1897">
        <v>0.85082042820818105</v>
      </c>
      <c r="S1897" t="s">
        <v>7758</v>
      </c>
      <c r="T1897" t="s">
        <v>11720</v>
      </c>
      <c r="U1897" t="s">
        <v>11720</v>
      </c>
      <c r="V1897" t="s">
        <v>11720</v>
      </c>
      <c r="W1897" t="s">
        <v>13579</v>
      </c>
      <c r="X1897">
        <v>8</v>
      </c>
      <c r="Y1897" t="s">
        <v>19351</v>
      </c>
      <c r="Z1897" t="s">
        <v>25104</v>
      </c>
      <c r="AA1897">
        <v>0.8182026893182025</v>
      </c>
      <c r="AB1897" t="str">
        <f>HYPERLINK("Melting_Curves/meltCurve_P11117_ACP2.pdf", "Melting_Curves/meltCurve_P11117_ACP2.pdf")</f>
        <v>Melting_Curves/meltCurve_P11117_ACP2.pdf</v>
      </c>
    </row>
    <row r="1898" spans="1:28" x14ac:dyDescent="0.25">
      <c r="A1898" t="s">
        <v>1902</v>
      </c>
      <c r="B1898">
        <v>0.99334974765950101</v>
      </c>
      <c r="C1898">
        <v>1.0472745140078199</v>
      </c>
      <c r="D1898">
        <v>0.91928144140365498</v>
      </c>
      <c r="E1898">
        <v>0.80905279228140103</v>
      </c>
      <c r="F1898">
        <v>0.73763046422990597</v>
      </c>
      <c r="G1898">
        <v>0.59048585932167696</v>
      </c>
      <c r="H1898">
        <v>0.58067058459960896</v>
      </c>
      <c r="I1898">
        <v>0.65763215222584803</v>
      </c>
      <c r="J1898">
        <v>0.60648862453485397</v>
      </c>
      <c r="K1898">
        <v>0.56377245547303301</v>
      </c>
      <c r="L1898">
        <v>1000.02953699017</v>
      </c>
      <c r="M1898">
        <v>19.8097494577185</v>
      </c>
      <c r="O1898">
        <v>49.975699307166103</v>
      </c>
      <c r="P1898">
        <v>-4.0467236649316798E-2</v>
      </c>
      <c r="Q1898">
        <v>0.59165357548927799</v>
      </c>
      <c r="R1898">
        <v>0.95930059546955304</v>
      </c>
      <c r="S1898" t="s">
        <v>7759</v>
      </c>
      <c r="T1898" t="s">
        <v>11720</v>
      </c>
      <c r="U1898" t="s">
        <v>11720</v>
      </c>
      <c r="V1898" t="s">
        <v>11720</v>
      </c>
      <c r="W1898" t="s">
        <v>13580</v>
      </c>
      <c r="X1898">
        <v>51</v>
      </c>
      <c r="Y1898" t="s">
        <v>19352</v>
      </c>
      <c r="Z1898" t="s">
        <v>25105</v>
      </c>
      <c r="AA1898">
        <v>0.74010602571295803</v>
      </c>
      <c r="AB1898" t="str">
        <f>HYPERLINK("Melting_Curves/meltCurve_P11137_3_MAP2.pdf", "Melting_Curves/meltCurve_P11137_3_MAP2.pdf")</f>
        <v>Melting_Curves/meltCurve_P11137_3_MAP2.pdf</v>
      </c>
    </row>
    <row r="1899" spans="1:28" x14ac:dyDescent="0.25">
      <c r="A1899" t="s">
        <v>1903</v>
      </c>
      <c r="B1899">
        <v>0.99334974765950101</v>
      </c>
      <c r="C1899">
        <v>1.0233491727213599</v>
      </c>
      <c r="D1899">
        <v>0.89880627873255003</v>
      </c>
      <c r="E1899">
        <v>0.83519782324374003</v>
      </c>
      <c r="F1899">
        <v>0.70316706670275597</v>
      </c>
      <c r="G1899">
        <v>0.84295850442077602</v>
      </c>
      <c r="H1899">
        <v>0.644881186747848</v>
      </c>
      <c r="I1899">
        <v>0.64786883936570006</v>
      </c>
      <c r="J1899">
        <v>0.67501803329730603</v>
      </c>
      <c r="K1899">
        <v>0.65096398220043095</v>
      </c>
      <c r="L1899">
        <v>643.21363704807095</v>
      </c>
      <c r="M1899">
        <v>12.757520270803299</v>
      </c>
      <c r="O1899">
        <v>49.2277538785684</v>
      </c>
      <c r="P1899">
        <v>-2.2630881770454601E-2</v>
      </c>
      <c r="Q1899">
        <v>0.65076116371252302</v>
      </c>
      <c r="R1899">
        <v>0.85970952969527503</v>
      </c>
      <c r="S1899" t="s">
        <v>7760</v>
      </c>
      <c r="T1899" t="s">
        <v>11720</v>
      </c>
      <c r="U1899" t="s">
        <v>11720</v>
      </c>
      <c r="V1899" t="s">
        <v>11720</v>
      </c>
      <c r="W1899" t="s">
        <v>13581</v>
      </c>
      <c r="X1899">
        <v>17</v>
      </c>
      <c r="Y1899" t="s">
        <v>19352</v>
      </c>
      <c r="Z1899" t="s">
        <v>25106</v>
      </c>
      <c r="AA1899">
        <v>0.782778050363233</v>
      </c>
      <c r="AB1899" t="str">
        <f>HYPERLINK("Melting_Curves/meltCurve_P11137_4_MAP2.pdf", "Melting_Curves/meltCurve_P11137_4_MAP2.pdf")</f>
        <v>Melting_Curves/meltCurve_P11137_4_MAP2.pdf</v>
      </c>
    </row>
    <row r="1900" spans="1:28" x14ac:dyDescent="0.25">
      <c r="A1900" t="s">
        <v>1904</v>
      </c>
      <c r="B1900">
        <v>0.99334974765950101</v>
      </c>
      <c r="C1900">
        <v>0.961007570243683</v>
      </c>
      <c r="D1900">
        <v>1.0059038422826001</v>
      </c>
      <c r="E1900">
        <v>0.940837793280071</v>
      </c>
      <c r="F1900">
        <v>0.61457263314986699</v>
      </c>
      <c r="G1900">
        <v>0.217509766028258</v>
      </c>
      <c r="H1900">
        <v>5.69584384305468E-2</v>
      </c>
      <c r="I1900">
        <v>4.5967433346590203E-2</v>
      </c>
      <c r="J1900">
        <v>3.78591581779519E-2</v>
      </c>
      <c r="K1900">
        <v>3.0022748053229499E-2</v>
      </c>
      <c r="L1900">
        <v>1576.4166431709</v>
      </c>
      <c r="M1900">
        <v>29.241332243734401</v>
      </c>
      <c r="N1900">
        <v>54.041272519668198</v>
      </c>
      <c r="O1900">
        <v>53.6602900988957</v>
      </c>
      <c r="P1900">
        <v>-0.13158320886671601</v>
      </c>
      <c r="Q1900">
        <v>3.41417736281205E-2</v>
      </c>
      <c r="R1900">
        <v>0.99809935406232297</v>
      </c>
      <c r="S1900" t="s">
        <v>7761</v>
      </c>
      <c r="T1900" t="s">
        <v>11720</v>
      </c>
      <c r="U1900" t="s">
        <v>11720</v>
      </c>
      <c r="V1900" t="s">
        <v>11720</v>
      </c>
      <c r="W1900" t="s">
        <v>11775</v>
      </c>
      <c r="X1900">
        <v>65</v>
      </c>
      <c r="Y1900" t="s">
        <v>17569</v>
      </c>
      <c r="Z1900" t="s">
        <v>25107</v>
      </c>
      <c r="AA1900">
        <v>0.48865451540265459</v>
      </c>
      <c r="AB1900" t="str">
        <f>HYPERLINK("Melting_Curves/meltCurve_P11142_HSPA8.pdf", "Melting_Curves/meltCurve_P11142_HSPA8.pdf")</f>
        <v>Melting_Curves/meltCurve_P11142_HSPA8.pdf</v>
      </c>
    </row>
    <row r="1901" spans="1:28" x14ac:dyDescent="0.25">
      <c r="A1901" t="s">
        <v>1905</v>
      </c>
      <c r="B1901">
        <v>0.99334974765950101</v>
      </c>
      <c r="C1901">
        <v>0.85480514751343895</v>
      </c>
      <c r="D1901">
        <v>0.63342544265673895</v>
      </c>
      <c r="E1901">
        <v>0.36075317539040602</v>
      </c>
      <c r="F1901">
        <v>0.19087075917813601</v>
      </c>
      <c r="G1901">
        <v>0.15612856666220101</v>
      </c>
      <c r="H1901">
        <v>0.115438653284124</v>
      </c>
      <c r="I1901">
        <v>0.119656440819493</v>
      </c>
      <c r="J1901">
        <v>0.16893530602071399</v>
      </c>
      <c r="K1901">
        <v>0.31296067381036002</v>
      </c>
      <c r="L1901">
        <v>969.93270857801701</v>
      </c>
      <c r="M1901">
        <v>20.851845810902802</v>
      </c>
      <c r="N1901">
        <v>47.444428979697399</v>
      </c>
      <c r="O1901">
        <v>46.0939602049149</v>
      </c>
      <c r="P1901">
        <v>-9.4141362809765206E-2</v>
      </c>
      <c r="Q1901">
        <v>0.16760782759562301</v>
      </c>
      <c r="R1901">
        <v>0.96668637735445395</v>
      </c>
      <c r="S1901" t="s">
        <v>7762</v>
      </c>
      <c r="T1901" t="s">
        <v>11720</v>
      </c>
      <c r="U1901" t="s">
        <v>11720</v>
      </c>
      <c r="V1901" t="s">
        <v>11720</v>
      </c>
      <c r="W1901" t="s">
        <v>13582</v>
      </c>
      <c r="X1901">
        <v>1</v>
      </c>
      <c r="Y1901" t="s">
        <v>19353</v>
      </c>
      <c r="Z1901" t="s">
        <v>25108</v>
      </c>
      <c r="AA1901">
        <v>0.35973269072081671</v>
      </c>
      <c r="AB1901" t="str">
        <f>HYPERLINK("Melting_Curves/meltCurve_P11161_2_EGR2.pdf", "Melting_Curves/meltCurve_P11161_2_EGR2.pdf")</f>
        <v>Melting_Curves/meltCurve_P11161_2_EGR2.pdf</v>
      </c>
    </row>
    <row r="1902" spans="1:28" x14ac:dyDescent="0.25">
      <c r="A1902" t="s">
        <v>1906</v>
      </c>
      <c r="B1902">
        <v>0.99334974765950101</v>
      </c>
      <c r="C1902">
        <v>0.94955350686012796</v>
      </c>
      <c r="D1902">
        <v>0.92476573459213696</v>
      </c>
      <c r="E1902">
        <v>0.91843971832661797</v>
      </c>
      <c r="F1902">
        <v>0.90995223698005301</v>
      </c>
      <c r="G1902">
        <v>0.826023221608706</v>
      </c>
      <c r="H1902">
        <v>0.77328590580225098</v>
      </c>
      <c r="I1902">
        <v>0.82949282650814704</v>
      </c>
      <c r="J1902">
        <v>0.85135206782381301</v>
      </c>
      <c r="K1902">
        <v>0.62911482610207503</v>
      </c>
      <c r="L1902">
        <v>255.365053643078</v>
      </c>
      <c r="M1902">
        <v>2.7106545349860198</v>
      </c>
      <c r="O1902">
        <v>66.178975804802207</v>
      </c>
      <c r="P1902">
        <v>-1.06608103638489E-2</v>
      </c>
      <c r="Q1902">
        <v>0</v>
      </c>
      <c r="R1902">
        <v>0.75623446373274195</v>
      </c>
      <c r="S1902" t="s">
        <v>7763</v>
      </c>
      <c r="T1902" t="s">
        <v>11720</v>
      </c>
      <c r="U1902" t="s">
        <v>11720</v>
      </c>
      <c r="V1902" t="s">
        <v>11720</v>
      </c>
      <c r="W1902" t="s">
        <v>13583</v>
      </c>
      <c r="X1902">
        <v>8</v>
      </c>
      <c r="Y1902" t="s">
        <v>19354</v>
      </c>
      <c r="Z1902" t="s">
        <v>25109</v>
      </c>
      <c r="AA1902">
        <v>0.86444610167095948</v>
      </c>
      <c r="AB1902" t="str">
        <f>HYPERLINK("Melting_Curves/meltCurve_P11166_SLC2A1.pdf", "Melting_Curves/meltCurve_P11166_SLC2A1.pdf")</f>
        <v>Melting_Curves/meltCurve_P11166_SLC2A1.pdf</v>
      </c>
    </row>
    <row r="1903" spans="1:28" x14ac:dyDescent="0.25">
      <c r="A1903" t="s">
        <v>1907</v>
      </c>
      <c r="B1903">
        <v>0.99334974765950101</v>
      </c>
      <c r="C1903">
        <v>0.97117788810320105</v>
      </c>
      <c r="D1903">
        <v>0.95616264968888798</v>
      </c>
      <c r="E1903">
        <v>0.85000238626115598</v>
      </c>
      <c r="F1903">
        <v>0.87696145933051595</v>
      </c>
      <c r="G1903">
        <v>0.71498217472902004</v>
      </c>
      <c r="H1903">
        <v>0.67183994099128497</v>
      </c>
      <c r="I1903">
        <v>0.78936601561619102</v>
      </c>
      <c r="J1903">
        <v>0.74670569670421105</v>
      </c>
      <c r="K1903">
        <v>0.58650567674119403</v>
      </c>
      <c r="L1903">
        <v>546.736739016549</v>
      </c>
      <c r="M1903">
        <v>10.2577566100006</v>
      </c>
      <c r="O1903">
        <v>51.393323841874498</v>
      </c>
      <c r="P1903">
        <v>-1.77677487398374E-2</v>
      </c>
      <c r="Q1903">
        <v>0.64407776169805497</v>
      </c>
      <c r="R1903">
        <v>0.83329249761226898</v>
      </c>
      <c r="S1903" t="s">
        <v>7764</v>
      </c>
      <c r="T1903" t="s">
        <v>11720</v>
      </c>
      <c r="U1903" t="s">
        <v>11720</v>
      </c>
      <c r="V1903" t="s">
        <v>11720</v>
      </c>
      <c r="W1903" t="s">
        <v>13584</v>
      </c>
      <c r="X1903">
        <v>9</v>
      </c>
      <c r="Y1903" t="s">
        <v>19355</v>
      </c>
      <c r="Z1903" t="s">
        <v>25110</v>
      </c>
      <c r="AA1903">
        <v>0.81337521964444415</v>
      </c>
      <c r="AB1903" t="str">
        <f>HYPERLINK("Melting_Curves/meltCurve_P11169_SLC2A3.pdf", "Melting_Curves/meltCurve_P11169_SLC2A3.pdf")</f>
        <v>Melting_Curves/meltCurve_P11169_SLC2A3.pdf</v>
      </c>
    </row>
    <row r="1904" spans="1:28" x14ac:dyDescent="0.25">
      <c r="A1904" t="s">
        <v>1908</v>
      </c>
      <c r="B1904">
        <v>0.99334974765950101</v>
      </c>
      <c r="C1904">
        <v>0.96504674937527302</v>
      </c>
      <c r="D1904">
        <v>0.92979509555782802</v>
      </c>
      <c r="E1904">
        <v>0.72772675453068802</v>
      </c>
      <c r="F1904">
        <v>0.47010509258078897</v>
      </c>
      <c r="G1904">
        <v>0.29321213200346302</v>
      </c>
      <c r="H1904">
        <v>0.18518671409726201</v>
      </c>
      <c r="I1904">
        <v>0.129409179469407</v>
      </c>
      <c r="J1904">
        <v>9.6556089671157599E-2</v>
      </c>
      <c r="K1904">
        <v>7.4398295268083295E-2</v>
      </c>
      <c r="L1904">
        <v>838.97945042852405</v>
      </c>
      <c r="M1904">
        <v>15.976783526049299</v>
      </c>
      <c r="N1904">
        <v>53.046668361817098</v>
      </c>
      <c r="O1904">
        <v>51.710385414542202</v>
      </c>
      <c r="P1904">
        <v>-7.1507068933652801E-2</v>
      </c>
      <c r="Q1904">
        <v>7.4315196610043405E-2</v>
      </c>
      <c r="R1904">
        <v>0.99799444413411498</v>
      </c>
      <c r="S1904" t="s">
        <v>7765</v>
      </c>
      <c r="T1904" t="s">
        <v>11720</v>
      </c>
      <c r="U1904" t="s">
        <v>11720</v>
      </c>
      <c r="V1904" t="s">
        <v>11720</v>
      </c>
      <c r="W1904" t="s">
        <v>13585</v>
      </c>
      <c r="X1904">
        <v>25</v>
      </c>
      <c r="Y1904" t="s">
        <v>19356</v>
      </c>
      <c r="Z1904" t="s">
        <v>25111</v>
      </c>
      <c r="AA1904">
        <v>0.47888443571324779</v>
      </c>
      <c r="AB1904" t="str">
        <f>HYPERLINK("Melting_Curves/meltCurve_P11172_UMPS.pdf", "Melting_Curves/meltCurve_P11172_UMPS.pdf")</f>
        <v>Melting_Curves/meltCurve_P11172_UMPS.pdf</v>
      </c>
    </row>
    <row r="1905" spans="1:28" x14ac:dyDescent="0.25">
      <c r="A1905" t="s">
        <v>1909</v>
      </c>
      <c r="B1905">
        <v>0.99334974765950101</v>
      </c>
      <c r="C1905">
        <v>0.98686540561701697</v>
      </c>
      <c r="D1905">
        <v>1.0588345200331699</v>
      </c>
      <c r="E1905">
        <v>0.91158943627279598</v>
      </c>
      <c r="F1905">
        <v>0.43387927162887602</v>
      </c>
      <c r="G1905">
        <v>0.23589418483288899</v>
      </c>
      <c r="H1905">
        <v>0.129283560551232</v>
      </c>
      <c r="I1905">
        <v>8.7250557748447796E-2</v>
      </c>
      <c r="J1905">
        <v>7.6316935458698706E-2</v>
      </c>
      <c r="K1905">
        <v>6.5236620040291404E-2</v>
      </c>
      <c r="L1905">
        <v>1958.59364311374</v>
      </c>
      <c r="M1905">
        <v>37.331117275145701</v>
      </c>
      <c r="N1905">
        <v>52.798010933121702</v>
      </c>
      <c r="O1905">
        <v>52.315571973658301</v>
      </c>
      <c r="P1905">
        <v>-0.159703800894791</v>
      </c>
      <c r="Q1905">
        <v>0.10477119019066999</v>
      </c>
      <c r="R1905">
        <v>0.98982295122123198</v>
      </c>
      <c r="S1905" t="s">
        <v>7766</v>
      </c>
      <c r="T1905" t="s">
        <v>11720</v>
      </c>
      <c r="U1905" t="s">
        <v>11720</v>
      </c>
      <c r="V1905" t="s">
        <v>11720</v>
      </c>
      <c r="W1905" t="s">
        <v>13586</v>
      </c>
      <c r="X1905">
        <v>13</v>
      </c>
      <c r="Y1905" t="s">
        <v>19357</v>
      </c>
      <c r="Z1905" t="s">
        <v>25112</v>
      </c>
      <c r="AA1905">
        <v>0.48047863363789822</v>
      </c>
      <c r="AB1905" t="str">
        <f>HYPERLINK("Melting_Curves/meltCurve_P11177_2_PDHB.pdf", "Melting_Curves/meltCurve_P11177_2_PDHB.pdf")</f>
        <v>Melting_Curves/meltCurve_P11177_2_PDHB.pdf</v>
      </c>
    </row>
    <row r="1906" spans="1:28" x14ac:dyDescent="0.25">
      <c r="A1906" t="s">
        <v>1910</v>
      </c>
      <c r="B1906">
        <v>0.99334974765950101</v>
      </c>
      <c r="C1906">
        <v>1.00340203879417</v>
      </c>
      <c r="D1906">
        <v>0.90477188678363496</v>
      </c>
      <c r="E1906">
        <v>0.970159195735525</v>
      </c>
      <c r="F1906">
        <v>1.0034018745998701</v>
      </c>
      <c r="G1906">
        <v>0.92229904621056202</v>
      </c>
      <c r="H1906">
        <v>0.71923117789886803</v>
      </c>
      <c r="I1906">
        <v>0.75417938546393803</v>
      </c>
      <c r="J1906">
        <v>0.60449762435724697</v>
      </c>
      <c r="K1906">
        <v>0.410411077457151</v>
      </c>
      <c r="L1906">
        <v>766.87389870821403</v>
      </c>
      <c r="M1906">
        <v>11.1610340562102</v>
      </c>
      <c r="N1906">
        <v>68.709932735641303</v>
      </c>
      <c r="O1906">
        <v>66.614851561528099</v>
      </c>
      <c r="P1906">
        <v>-4.18997963714813E-2</v>
      </c>
      <c r="Q1906">
        <v>0</v>
      </c>
      <c r="R1906">
        <v>0.93536915638606599</v>
      </c>
      <c r="S1906" t="s">
        <v>7767</v>
      </c>
      <c r="T1906" t="s">
        <v>11720</v>
      </c>
      <c r="U1906" t="s">
        <v>11720</v>
      </c>
      <c r="V1906" t="s">
        <v>11720</v>
      </c>
      <c r="W1906" t="s">
        <v>13587</v>
      </c>
      <c r="X1906">
        <v>4</v>
      </c>
      <c r="Y1906" t="s">
        <v>19358</v>
      </c>
      <c r="Z1906" t="s">
        <v>25113</v>
      </c>
      <c r="AA1906">
        <v>0.8588406593190524</v>
      </c>
      <c r="AB1906" t="str">
        <f>HYPERLINK("Melting_Curves/meltCurve_P11182_DBT.pdf", "Melting_Curves/meltCurve_P11182_DBT.pdf")</f>
        <v>Melting_Curves/meltCurve_P11182_DBT.pdf</v>
      </c>
    </row>
    <row r="1907" spans="1:28" x14ac:dyDescent="0.25">
      <c r="A1907" t="s">
        <v>1911</v>
      </c>
      <c r="B1907">
        <v>0.99334974765950101</v>
      </c>
      <c r="C1907">
        <v>0.97046647614886405</v>
      </c>
      <c r="D1907">
        <v>1.0516056542496</v>
      </c>
      <c r="E1907">
        <v>1.08819409405625</v>
      </c>
      <c r="F1907">
        <v>1.08567913503123</v>
      </c>
      <c r="G1907">
        <v>0.53977546938177701</v>
      </c>
      <c r="H1907">
        <v>0.22681279297575599</v>
      </c>
      <c r="I1907">
        <v>0.16526476312507499</v>
      </c>
      <c r="J1907">
        <v>0.14489896045322501</v>
      </c>
      <c r="K1907">
        <v>0.106137782641733</v>
      </c>
      <c r="L1907">
        <v>4762.8276682142596</v>
      </c>
      <c r="M1907">
        <v>83.741971225756799</v>
      </c>
      <c r="N1907">
        <v>57.1377718154137</v>
      </c>
      <c r="O1907">
        <v>56.842627286849698</v>
      </c>
      <c r="P1907">
        <v>-0.30945196268147701</v>
      </c>
      <c r="Q1907">
        <v>0.159797168366906</v>
      </c>
      <c r="R1907">
        <v>0.98490008437867105</v>
      </c>
      <c r="S1907" t="s">
        <v>7768</v>
      </c>
      <c r="T1907" t="s">
        <v>11720</v>
      </c>
      <c r="U1907" t="s">
        <v>11720</v>
      </c>
      <c r="V1907" t="s">
        <v>11720</v>
      </c>
      <c r="W1907" t="s">
        <v>13588</v>
      </c>
      <c r="X1907">
        <v>39</v>
      </c>
      <c r="Y1907" t="s">
        <v>19359</v>
      </c>
      <c r="Z1907" t="s">
        <v>25114</v>
      </c>
      <c r="AA1907">
        <v>0.63316102582415046</v>
      </c>
      <c r="AB1907" t="str">
        <f>HYPERLINK("Melting_Curves/meltCurve_P11216_PYGB.pdf", "Melting_Curves/meltCurve_P11216_PYGB.pdf")</f>
        <v>Melting_Curves/meltCurve_P11216_PYGB.pdf</v>
      </c>
    </row>
    <row r="1908" spans="1:28" x14ac:dyDescent="0.25">
      <c r="A1908" t="s">
        <v>1912</v>
      </c>
      <c r="B1908">
        <v>0.99334974765950101</v>
      </c>
      <c r="C1908">
        <v>0.96648734905962097</v>
      </c>
      <c r="D1908">
        <v>0.78664771034281</v>
      </c>
      <c r="E1908">
        <v>1.00405259797438</v>
      </c>
      <c r="F1908">
        <v>1.0489608136020501</v>
      </c>
      <c r="G1908">
        <v>0.79547330047280596</v>
      </c>
      <c r="H1908">
        <v>0.78440405171036298</v>
      </c>
      <c r="I1908">
        <v>0.53058009246562499</v>
      </c>
      <c r="J1908">
        <v>0.26065242571728198</v>
      </c>
      <c r="K1908">
        <v>0.106693801164421</v>
      </c>
      <c r="L1908">
        <v>1358.4018357298501</v>
      </c>
      <c r="M1908">
        <v>21.220768142340599</v>
      </c>
      <c r="N1908">
        <v>64.012849604056498</v>
      </c>
      <c r="O1908">
        <v>63.452514585320003</v>
      </c>
      <c r="P1908">
        <v>-8.3610988620783699E-2</v>
      </c>
      <c r="Q1908">
        <v>0</v>
      </c>
      <c r="R1908">
        <v>0.92389897161767898</v>
      </c>
      <c r="S1908" t="s">
        <v>7769</v>
      </c>
      <c r="T1908" t="s">
        <v>11720</v>
      </c>
      <c r="U1908" t="s">
        <v>11720</v>
      </c>
      <c r="V1908" t="s">
        <v>11720</v>
      </c>
      <c r="W1908" t="s">
        <v>13589</v>
      </c>
      <c r="X1908">
        <v>17</v>
      </c>
      <c r="Y1908" t="s">
        <v>19360</v>
      </c>
      <c r="Z1908" t="s">
        <v>25115</v>
      </c>
      <c r="AA1908">
        <v>0.79605874558207124</v>
      </c>
      <c r="AB1908" t="str">
        <f>HYPERLINK("Melting_Curves/meltCurve_P11233_RALA.pdf", "Melting_Curves/meltCurve_P11233_RALA.pdf")</f>
        <v>Melting_Curves/meltCurve_P11233_RALA.pdf</v>
      </c>
    </row>
    <row r="1909" spans="1:28" x14ac:dyDescent="0.25">
      <c r="A1909" t="s">
        <v>1913</v>
      </c>
      <c r="B1909">
        <v>0.99334974765950101</v>
      </c>
      <c r="C1909">
        <v>0.95753889868600695</v>
      </c>
      <c r="D1909">
        <v>0.80588931356951699</v>
      </c>
      <c r="E1909">
        <v>0.80298884814563998</v>
      </c>
      <c r="F1909">
        <v>1.07098902181138</v>
      </c>
      <c r="G1909">
        <v>0.61319451054138796</v>
      </c>
      <c r="H1909">
        <v>0.47165954713951302</v>
      </c>
      <c r="I1909">
        <v>0.195314406869563</v>
      </c>
      <c r="J1909">
        <v>9.49881852525718E-2</v>
      </c>
      <c r="K1909">
        <v>4.8330161015386799E-2</v>
      </c>
      <c r="L1909">
        <v>1092.68327222227</v>
      </c>
      <c r="M1909">
        <v>18.327258770283901</v>
      </c>
      <c r="N1909">
        <v>59.620660459510098</v>
      </c>
      <c r="O1909">
        <v>58.924428584376201</v>
      </c>
      <c r="P1909">
        <v>-7.7761041853957394E-2</v>
      </c>
      <c r="Q1909">
        <v>0</v>
      </c>
      <c r="R1909">
        <v>0.919454046629814</v>
      </c>
      <c r="S1909" t="s">
        <v>7770</v>
      </c>
      <c r="T1909" t="s">
        <v>11720</v>
      </c>
      <c r="U1909" t="s">
        <v>11720</v>
      </c>
      <c r="V1909" t="s">
        <v>11720</v>
      </c>
      <c r="W1909" t="s">
        <v>13590</v>
      </c>
      <c r="X1909">
        <v>11</v>
      </c>
      <c r="Y1909" t="s">
        <v>19361</v>
      </c>
      <c r="Z1909" t="s">
        <v>25116</v>
      </c>
      <c r="AA1909">
        <v>0.66324384289485638</v>
      </c>
      <c r="AB1909" t="str">
        <f>HYPERLINK("Melting_Curves/meltCurve_P11234_RALB.pdf", "Melting_Curves/meltCurve_P11234_RALB.pdf")</f>
        <v>Melting_Curves/meltCurve_P11234_RALB.pdf</v>
      </c>
    </row>
    <row r="1910" spans="1:28" x14ac:dyDescent="0.25">
      <c r="A1910" t="s">
        <v>1914</v>
      </c>
      <c r="B1910">
        <v>0.99334974765950101</v>
      </c>
      <c r="C1910">
        <v>0.983075122251033</v>
      </c>
      <c r="D1910">
        <v>0.88226538881847505</v>
      </c>
      <c r="E1910">
        <v>0.58705449897844797</v>
      </c>
      <c r="F1910">
        <v>0.52233559186282896</v>
      </c>
      <c r="G1910">
        <v>0.40920547870027901</v>
      </c>
      <c r="H1910">
        <v>0.30990748620449898</v>
      </c>
      <c r="I1910">
        <v>0.30558393467397799</v>
      </c>
      <c r="J1910">
        <v>0.28178236967390702</v>
      </c>
      <c r="K1910">
        <v>0.27501475309378698</v>
      </c>
      <c r="L1910">
        <v>787.62815108945904</v>
      </c>
      <c r="M1910">
        <v>15.711924615955301</v>
      </c>
      <c r="N1910">
        <v>52.873691984671702</v>
      </c>
      <c r="O1910">
        <v>49.338360426162097</v>
      </c>
      <c r="P1910">
        <v>-5.7422294055405401E-2</v>
      </c>
      <c r="Q1910">
        <v>0.27879435955892901</v>
      </c>
      <c r="R1910">
        <v>0.99032350211755504</v>
      </c>
      <c r="S1910" t="s">
        <v>7771</v>
      </c>
      <c r="T1910" t="s">
        <v>11720</v>
      </c>
      <c r="U1910" t="s">
        <v>11720</v>
      </c>
      <c r="V1910" t="s">
        <v>11720</v>
      </c>
      <c r="W1910" t="s">
        <v>13591</v>
      </c>
      <c r="X1910">
        <v>6</v>
      </c>
      <c r="Y1910" t="s">
        <v>19362</v>
      </c>
      <c r="Z1910" t="s">
        <v>25117</v>
      </c>
      <c r="AA1910">
        <v>0.53807860694917597</v>
      </c>
      <c r="AB1910" t="str">
        <f>HYPERLINK("Melting_Curves/meltCurve_P11274_2_BCR.pdf", "Melting_Curves/meltCurve_P11274_2_BCR.pdf")</f>
        <v>Melting_Curves/meltCurve_P11274_2_BCR.pdf</v>
      </c>
    </row>
    <row r="1911" spans="1:28" x14ac:dyDescent="0.25">
      <c r="A1911" t="s">
        <v>1915</v>
      </c>
      <c r="B1911">
        <v>0.99334974765950101</v>
      </c>
      <c r="C1911">
        <v>1.0068283129003599</v>
      </c>
      <c r="D1911">
        <v>0.98469629963432803</v>
      </c>
      <c r="E1911">
        <v>0.98340063267490496</v>
      </c>
      <c r="F1911">
        <v>0.88187294569126495</v>
      </c>
      <c r="G1911">
        <v>0.77360352090447204</v>
      </c>
      <c r="H1911">
        <v>0.717610297684669</v>
      </c>
      <c r="I1911">
        <v>0.95723302481716399</v>
      </c>
      <c r="J1911">
        <v>0.83243486160401103</v>
      </c>
      <c r="K1911">
        <v>0.78915863788609197</v>
      </c>
      <c r="L1911">
        <v>3288.9407088326702</v>
      </c>
      <c r="M1911">
        <v>62.678633853167099</v>
      </c>
      <c r="O1911">
        <v>52.419739767887897</v>
      </c>
      <c r="P1911">
        <v>-5.5568316376907699E-2</v>
      </c>
      <c r="Q1911">
        <v>0.81410726432759495</v>
      </c>
      <c r="R1911">
        <v>0.68144874801665301</v>
      </c>
      <c r="S1911" t="s">
        <v>7772</v>
      </c>
      <c r="T1911" t="s">
        <v>11720</v>
      </c>
      <c r="U1911" t="s">
        <v>11720</v>
      </c>
      <c r="V1911" t="s">
        <v>11720</v>
      </c>
      <c r="W1911" t="s">
        <v>13592</v>
      </c>
      <c r="X1911">
        <v>10</v>
      </c>
      <c r="Y1911" t="s">
        <v>19363</v>
      </c>
      <c r="Z1911" t="s">
        <v>25118</v>
      </c>
      <c r="AA1911">
        <v>0.89166898221882163</v>
      </c>
      <c r="AB1911" t="str">
        <f>HYPERLINK("Melting_Curves/meltCurve_P11279_LAMP1.pdf", "Melting_Curves/meltCurve_P11279_LAMP1.pdf")</f>
        <v>Melting_Curves/meltCurve_P11279_LAMP1.pdf</v>
      </c>
    </row>
    <row r="1912" spans="1:28" x14ac:dyDescent="0.25">
      <c r="A1912" t="s">
        <v>1916</v>
      </c>
      <c r="B1912">
        <v>0.99334974765950101</v>
      </c>
      <c r="C1912">
        <v>0.98361804666793295</v>
      </c>
      <c r="D1912">
        <v>1.0198821103928499</v>
      </c>
      <c r="E1912">
        <v>0.92489577426604297</v>
      </c>
      <c r="F1912">
        <v>0.48687404979962401</v>
      </c>
      <c r="G1912">
        <v>0.17350315565663399</v>
      </c>
      <c r="H1912">
        <v>0.12183676423314101</v>
      </c>
      <c r="I1912">
        <v>0.106093475668961</v>
      </c>
      <c r="J1912">
        <v>0.107441538842135</v>
      </c>
      <c r="K1912">
        <v>9.0528346625555894E-2</v>
      </c>
      <c r="L1912">
        <v>2192.21682646728</v>
      </c>
      <c r="M1912">
        <v>41.6321748213117</v>
      </c>
      <c r="N1912">
        <v>52.976232104946398</v>
      </c>
      <c r="O1912">
        <v>52.535736501584402</v>
      </c>
      <c r="P1912">
        <v>-0.17612275672727201</v>
      </c>
      <c r="Q1912">
        <v>0.11100273610792701</v>
      </c>
      <c r="R1912">
        <v>0.998623826290857</v>
      </c>
      <c r="S1912" t="s">
        <v>7773</v>
      </c>
      <c r="T1912" t="s">
        <v>11720</v>
      </c>
      <c r="U1912" t="s">
        <v>11720</v>
      </c>
      <c r="V1912" t="s">
        <v>11720</v>
      </c>
      <c r="W1912" t="s">
        <v>13593</v>
      </c>
      <c r="X1912">
        <v>44</v>
      </c>
      <c r="Y1912" t="s">
        <v>19364</v>
      </c>
      <c r="Z1912" t="s">
        <v>25119</v>
      </c>
      <c r="AA1912">
        <v>0.48904808603721539</v>
      </c>
      <c r="AB1912" t="str">
        <f>HYPERLINK("Melting_Curves/meltCurve_P11413_G6PD.pdf", "Melting_Curves/meltCurve_P11413_G6PD.pdf")</f>
        <v>Melting_Curves/meltCurve_P11413_G6PD.pdf</v>
      </c>
    </row>
    <row r="1913" spans="1:28" x14ac:dyDescent="0.25">
      <c r="A1913" t="s">
        <v>1917</v>
      </c>
      <c r="B1913">
        <v>0.99334974765950101</v>
      </c>
      <c r="C1913">
        <v>1.0608531206933101</v>
      </c>
      <c r="D1913">
        <v>1.1290298261638401</v>
      </c>
      <c r="E1913">
        <v>1.12848077026208</v>
      </c>
      <c r="F1913">
        <v>0.59688101789321502</v>
      </c>
      <c r="G1913">
        <v>0.44709514965320701</v>
      </c>
      <c r="H1913">
        <v>0.34221302954045701</v>
      </c>
      <c r="I1913">
        <v>0.330412031397745</v>
      </c>
      <c r="J1913">
        <v>0.34573367107395903</v>
      </c>
      <c r="K1913">
        <v>0.31186655171683803</v>
      </c>
      <c r="L1913">
        <v>13222.826700383301</v>
      </c>
      <c r="M1913">
        <v>250</v>
      </c>
      <c r="N1913">
        <v>53.155185944586201</v>
      </c>
      <c r="O1913">
        <v>52.8879154007316</v>
      </c>
      <c r="P1913">
        <v>-0.76167666601337802</v>
      </c>
      <c r="Q1913">
        <v>0.355464061646664</v>
      </c>
      <c r="R1913">
        <v>0.95956155263498999</v>
      </c>
      <c r="S1913" t="s">
        <v>7774</v>
      </c>
      <c r="T1913" t="s">
        <v>11720</v>
      </c>
      <c r="U1913" t="s">
        <v>11720</v>
      </c>
      <c r="V1913" t="s">
        <v>11720</v>
      </c>
      <c r="W1913" t="s">
        <v>13594</v>
      </c>
      <c r="X1913">
        <v>10</v>
      </c>
      <c r="Y1913" t="s">
        <v>19365</v>
      </c>
      <c r="Z1913" t="s">
        <v>25120</v>
      </c>
      <c r="AA1913">
        <v>0.6324875738745116</v>
      </c>
      <c r="AB1913" t="str">
        <f>HYPERLINK("Melting_Curves/meltCurve_P11441_UBL4A.pdf", "Melting_Curves/meltCurve_P11441_UBL4A.pdf")</f>
        <v>Melting_Curves/meltCurve_P11441_UBL4A.pdf</v>
      </c>
    </row>
    <row r="1914" spans="1:28" x14ac:dyDescent="0.25">
      <c r="A1914" t="s">
        <v>1918</v>
      </c>
      <c r="B1914">
        <v>0.99334974765950101</v>
      </c>
      <c r="C1914">
        <v>0.98132663434581502</v>
      </c>
      <c r="D1914">
        <v>1.03972704340788</v>
      </c>
      <c r="E1914">
        <v>0.79276387511538204</v>
      </c>
      <c r="F1914">
        <v>0.282403827758613</v>
      </c>
      <c r="G1914">
        <v>0.2345810430393</v>
      </c>
      <c r="H1914">
        <v>0.169453397725007</v>
      </c>
      <c r="I1914">
        <v>0.118629160087353</v>
      </c>
      <c r="J1914">
        <v>0.12529574811736199</v>
      </c>
      <c r="K1914">
        <v>0.135947743914242</v>
      </c>
      <c r="L1914">
        <v>2460.2331764298501</v>
      </c>
      <c r="M1914">
        <v>48.084361162711197</v>
      </c>
      <c r="N1914">
        <v>51.560795370145797</v>
      </c>
      <c r="O1914">
        <v>51.076679885369501</v>
      </c>
      <c r="P1914">
        <v>-0.19902752861234499</v>
      </c>
      <c r="Q1914">
        <v>0.154348444661221</v>
      </c>
      <c r="R1914">
        <v>0.992979653727456</v>
      </c>
      <c r="S1914" t="s">
        <v>7775</v>
      </c>
      <c r="T1914" t="s">
        <v>11720</v>
      </c>
      <c r="U1914" t="s">
        <v>11720</v>
      </c>
      <c r="V1914" t="s">
        <v>11720</v>
      </c>
      <c r="W1914" t="s">
        <v>13595</v>
      </c>
      <c r="X1914">
        <v>25</v>
      </c>
      <c r="Y1914" t="s">
        <v>19366</v>
      </c>
      <c r="Z1914" t="s">
        <v>25121</v>
      </c>
      <c r="AA1914">
        <v>0.47113439837930599</v>
      </c>
      <c r="AB1914" t="str">
        <f>HYPERLINK("Melting_Curves/meltCurve_P11498_PC.pdf", "Melting_Curves/meltCurve_P11498_PC.pdf")</f>
        <v>Melting_Curves/meltCurve_P11498_PC.pdf</v>
      </c>
    </row>
    <row r="1915" spans="1:28" x14ac:dyDescent="0.25">
      <c r="A1915" t="s">
        <v>1919</v>
      </c>
      <c r="B1915">
        <v>0.99334974765950101</v>
      </c>
      <c r="C1915">
        <v>0.96346607431003495</v>
      </c>
      <c r="D1915">
        <v>0.99447522295542001</v>
      </c>
      <c r="E1915">
        <v>0.61115048650347403</v>
      </c>
      <c r="F1915">
        <v>0.20374900435767301</v>
      </c>
      <c r="G1915">
        <v>0.136433688704727</v>
      </c>
      <c r="H1915">
        <v>9.3535171936952197E-2</v>
      </c>
      <c r="I1915">
        <v>9.2949472897221302E-2</v>
      </c>
      <c r="J1915">
        <v>8.10544095115453E-2</v>
      </c>
      <c r="K1915">
        <v>6.9089414817273903E-2</v>
      </c>
      <c r="L1915">
        <v>1966.6406409382901</v>
      </c>
      <c r="M1915">
        <v>39.036735948066401</v>
      </c>
      <c r="N1915">
        <v>50.642209604852603</v>
      </c>
      <c r="O1915">
        <v>50.247563904578598</v>
      </c>
      <c r="P1915">
        <v>-0.176402557425754</v>
      </c>
      <c r="Q1915">
        <v>9.1750036436001201E-2</v>
      </c>
      <c r="R1915">
        <v>0.99781158022540895</v>
      </c>
      <c r="S1915" t="s">
        <v>7776</v>
      </c>
      <c r="T1915" t="s">
        <v>11720</v>
      </c>
      <c r="U1915" t="s">
        <v>11720</v>
      </c>
      <c r="V1915" t="s">
        <v>11720</v>
      </c>
      <c r="W1915" t="s">
        <v>13596</v>
      </c>
      <c r="X1915">
        <v>37</v>
      </c>
      <c r="Y1915" t="s">
        <v>19367</v>
      </c>
      <c r="Z1915" t="s">
        <v>25122</v>
      </c>
      <c r="AA1915">
        <v>0.4093039764996681</v>
      </c>
      <c r="AB1915" t="str">
        <f>HYPERLINK("Melting_Curves/meltCurve_P11586_MTHFD1.pdf", "Melting_Curves/meltCurve_P11586_MTHFD1.pdf")</f>
        <v>Melting_Curves/meltCurve_P11586_MTHFD1.pdf</v>
      </c>
    </row>
    <row r="1916" spans="1:28" x14ac:dyDescent="0.25">
      <c r="A1916" t="s">
        <v>1920</v>
      </c>
      <c r="B1916">
        <v>0.99334974765950101</v>
      </c>
      <c r="C1916">
        <v>1.03864713483069</v>
      </c>
      <c r="D1916">
        <v>1.0070083911529899</v>
      </c>
      <c r="E1916">
        <v>1.4793922056350199</v>
      </c>
      <c r="F1916">
        <v>1.4425444368501501</v>
      </c>
      <c r="G1916">
        <v>1.47038579416144</v>
      </c>
      <c r="H1916">
        <v>1.11907923083739</v>
      </c>
      <c r="I1916">
        <v>1.17953825541525</v>
      </c>
      <c r="J1916">
        <v>0.77485201284679095</v>
      </c>
      <c r="K1916">
        <v>0.566526372591869</v>
      </c>
      <c r="L1916">
        <v>15000</v>
      </c>
      <c r="M1916">
        <v>223.957894680463</v>
      </c>
      <c r="O1916">
        <v>66.971511719976604</v>
      </c>
      <c r="P1916">
        <v>-0.36241986382501801</v>
      </c>
      <c r="Q1916">
        <v>0.56649325515492399</v>
      </c>
      <c r="R1916">
        <v>0.15122306612891701</v>
      </c>
      <c r="S1916" t="s">
        <v>7777</v>
      </c>
      <c r="T1916" t="s">
        <v>11720</v>
      </c>
      <c r="U1916" t="s">
        <v>11720</v>
      </c>
      <c r="V1916" t="s">
        <v>11720</v>
      </c>
      <c r="W1916" t="s">
        <v>13597</v>
      </c>
      <c r="X1916">
        <v>52</v>
      </c>
      <c r="Y1916" t="s">
        <v>19368</v>
      </c>
      <c r="Z1916" t="s">
        <v>25123</v>
      </c>
      <c r="AA1916">
        <v>0.95637836786689301</v>
      </c>
      <c r="AB1916" t="str">
        <f>HYPERLINK("Melting_Curves/meltCurve_P11717_IGF2R.pdf", "Melting_Curves/meltCurve_P11717_IGF2R.pdf")</f>
        <v>Melting_Curves/meltCurve_P11717_IGF2R.pdf</v>
      </c>
    </row>
    <row r="1917" spans="1:28" x14ac:dyDescent="0.25">
      <c r="A1917" t="s">
        <v>1921</v>
      </c>
      <c r="B1917">
        <v>0.99334974765950101</v>
      </c>
      <c r="C1917">
        <v>0.98975244338701596</v>
      </c>
      <c r="D1917">
        <v>0.98721365578726505</v>
      </c>
      <c r="E1917">
        <v>0.91856452576367897</v>
      </c>
      <c r="F1917">
        <v>0.77051730981226696</v>
      </c>
      <c r="G1917">
        <v>0.66073235433795197</v>
      </c>
      <c r="H1917">
        <v>0.44797175207381001</v>
      </c>
      <c r="I1917">
        <v>0.31207079991926501</v>
      </c>
      <c r="J1917">
        <v>0.13097373670399301</v>
      </c>
      <c r="K1917">
        <v>9.18407649394343E-2</v>
      </c>
      <c r="L1917">
        <v>777.397013345044</v>
      </c>
      <c r="M1917">
        <v>13.0834671221767</v>
      </c>
      <c r="N1917">
        <v>59.418272505779903</v>
      </c>
      <c r="O1917">
        <v>58.081569468701503</v>
      </c>
      <c r="P1917">
        <v>-5.6324759477274999E-2</v>
      </c>
      <c r="Q1917">
        <v>0</v>
      </c>
      <c r="R1917">
        <v>0.99135400849126298</v>
      </c>
      <c r="S1917" t="s">
        <v>7778</v>
      </c>
      <c r="T1917" t="s">
        <v>11720</v>
      </c>
      <c r="U1917" t="s">
        <v>11720</v>
      </c>
      <c r="V1917" t="s">
        <v>11720</v>
      </c>
      <c r="W1917" t="s">
        <v>13598</v>
      </c>
      <c r="X1917">
        <v>23</v>
      </c>
      <c r="Y1917" t="s">
        <v>19369</v>
      </c>
      <c r="Z1917" t="s">
        <v>25124</v>
      </c>
      <c r="AA1917">
        <v>0.65465984289948387</v>
      </c>
      <c r="AB1917" t="str">
        <f>HYPERLINK("Melting_Curves/meltCurve_P11766_ADH5.pdf", "Melting_Curves/meltCurve_P11766_ADH5.pdf")</f>
        <v>Melting_Curves/meltCurve_P11766_ADH5.pdf</v>
      </c>
    </row>
    <row r="1918" spans="1:28" x14ac:dyDescent="0.25">
      <c r="A1918" t="s">
        <v>1922</v>
      </c>
      <c r="B1918">
        <v>0.99334974765950101</v>
      </c>
      <c r="C1918">
        <v>0.96437304856015904</v>
      </c>
      <c r="D1918">
        <v>0.946650465624014</v>
      </c>
      <c r="E1918">
        <v>0.76193028271097296</v>
      </c>
      <c r="F1918">
        <v>0.516150336014772</v>
      </c>
      <c r="G1918">
        <v>0.26781768704130399</v>
      </c>
      <c r="H1918">
        <v>0.18929863443598699</v>
      </c>
      <c r="I1918">
        <v>0.14861873270763201</v>
      </c>
      <c r="J1918">
        <v>0.13305006622305801</v>
      </c>
      <c r="K1918">
        <v>9.88335671628401E-2</v>
      </c>
      <c r="L1918">
        <v>987.563068463435</v>
      </c>
      <c r="M1918">
        <v>18.790714004493001</v>
      </c>
      <c r="N1918">
        <v>53.269699089572001</v>
      </c>
      <c r="O1918">
        <v>51.971533314638897</v>
      </c>
      <c r="P1918">
        <v>-8.0332981671415699E-2</v>
      </c>
      <c r="Q1918">
        <v>0.11129418706602499</v>
      </c>
      <c r="R1918">
        <v>0.99880895389245306</v>
      </c>
      <c r="S1918" t="s">
        <v>7779</v>
      </c>
      <c r="T1918" t="s">
        <v>11720</v>
      </c>
      <c r="U1918" t="s">
        <v>11720</v>
      </c>
      <c r="V1918" t="s">
        <v>11720</v>
      </c>
      <c r="W1918" t="s">
        <v>13599</v>
      </c>
      <c r="X1918">
        <v>14</v>
      </c>
      <c r="Y1918" t="s">
        <v>19370</v>
      </c>
      <c r="Z1918" t="s">
        <v>25125</v>
      </c>
      <c r="AA1918">
        <v>0.49689495877237111</v>
      </c>
      <c r="AB1918" t="str">
        <f>HYPERLINK("Melting_Curves/meltCurve_P11802_CDK4.pdf", "Melting_Curves/meltCurve_P11802_CDK4.pdf")</f>
        <v>Melting_Curves/meltCurve_P11802_CDK4.pdf</v>
      </c>
    </row>
    <row r="1919" spans="1:28" x14ac:dyDescent="0.25">
      <c r="A1919" t="s">
        <v>1923</v>
      </c>
      <c r="B1919">
        <v>0.99334974765950101</v>
      </c>
      <c r="C1919">
        <v>1.0606624160946501</v>
      </c>
      <c r="D1919">
        <v>0.86047734802246001</v>
      </c>
      <c r="E1919">
        <v>0.86483204036509997</v>
      </c>
      <c r="F1919">
        <v>0.283704927553249</v>
      </c>
      <c r="G1919">
        <v>0.18413416379464301</v>
      </c>
      <c r="H1919">
        <v>0.12662588498298399</v>
      </c>
      <c r="I1919">
        <v>0.130871775245577</v>
      </c>
      <c r="J1919">
        <v>8.8068054211638505E-2</v>
      </c>
      <c r="K1919">
        <v>9.4667700568486904E-2</v>
      </c>
      <c r="L1919">
        <v>2717.5344312574598</v>
      </c>
      <c r="M1919">
        <v>52.711422239989098</v>
      </c>
      <c r="N1919">
        <v>51.831598164360599</v>
      </c>
      <c r="O1919">
        <v>51.480901796577598</v>
      </c>
      <c r="P1919">
        <v>-0.224588776522611</v>
      </c>
      <c r="Q1919">
        <v>0.122617125783567</v>
      </c>
      <c r="R1919">
        <v>0.98209505658387097</v>
      </c>
      <c r="S1919" t="s">
        <v>7780</v>
      </c>
      <c r="T1919" t="s">
        <v>11720</v>
      </c>
      <c r="U1919" t="s">
        <v>11720</v>
      </c>
      <c r="V1919" t="s">
        <v>11720</v>
      </c>
      <c r="W1919" t="s">
        <v>13600</v>
      </c>
      <c r="X1919">
        <v>1</v>
      </c>
      <c r="Y1919" t="s">
        <v>19371</v>
      </c>
      <c r="Z1919" t="s">
        <v>25126</v>
      </c>
      <c r="AA1919">
        <v>0.46234834647892081</v>
      </c>
      <c r="AB1919" t="str">
        <f>HYPERLINK("Melting_Curves/meltCurve_P11831_SRF.pdf", "Melting_Curves/meltCurve_P11831_SRF.pdf")</f>
        <v>Melting_Curves/meltCurve_P11831_SRF.pdf</v>
      </c>
    </row>
    <row r="1920" spans="1:28" x14ac:dyDescent="0.25">
      <c r="A1920" t="s">
        <v>1924</v>
      </c>
      <c r="B1920">
        <v>0.99334974765950101</v>
      </c>
      <c r="C1920">
        <v>1.0980292393525299</v>
      </c>
      <c r="D1920">
        <v>1.1398555668716699</v>
      </c>
      <c r="E1920">
        <v>1.0619078416957199</v>
      </c>
      <c r="F1920">
        <v>0.954045329406363</v>
      </c>
      <c r="G1920">
        <v>0.73547973436863401</v>
      </c>
      <c r="H1920">
        <v>0.40991963536984799</v>
      </c>
      <c r="I1920">
        <v>0.307659394334307</v>
      </c>
      <c r="J1920">
        <v>0.164059659418236</v>
      </c>
      <c r="K1920">
        <v>0.13263846000429899</v>
      </c>
      <c r="L1920">
        <v>1348.2568597895699</v>
      </c>
      <c r="M1920">
        <v>22.7248312575318</v>
      </c>
      <c r="N1920">
        <v>60.046342170228698</v>
      </c>
      <c r="O1920">
        <v>58.875960052819799</v>
      </c>
      <c r="P1920">
        <v>-8.5034754864846906E-2</v>
      </c>
      <c r="Q1920">
        <v>0.11877793893498099</v>
      </c>
      <c r="R1920">
        <v>0.97408590619601798</v>
      </c>
      <c r="S1920" t="s">
        <v>7781</v>
      </c>
      <c r="T1920" t="s">
        <v>11720</v>
      </c>
      <c r="U1920" t="s">
        <v>11720</v>
      </c>
      <c r="V1920" t="s">
        <v>11720</v>
      </c>
      <c r="W1920" t="s">
        <v>13601</v>
      </c>
      <c r="X1920">
        <v>6</v>
      </c>
      <c r="Y1920" t="s">
        <v>19372</v>
      </c>
      <c r="Z1920" t="s">
        <v>25127</v>
      </c>
      <c r="AA1920">
        <v>0.69428510157675183</v>
      </c>
      <c r="AB1920" t="str">
        <f>HYPERLINK("Melting_Curves/meltCurve_P11908_PRPS2.pdf", "Melting_Curves/meltCurve_P11908_PRPS2.pdf")</f>
        <v>Melting_Curves/meltCurve_P11908_PRPS2.pdf</v>
      </c>
    </row>
    <row r="1921" spans="1:28" x14ac:dyDescent="0.25">
      <c r="A1921" t="s">
        <v>1925</v>
      </c>
      <c r="B1921">
        <v>0.99334974765950101</v>
      </c>
      <c r="C1921">
        <v>0.98701278945723503</v>
      </c>
      <c r="D1921">
        <v>1.0112040361152601</v>
      </c>
      <c r="E1921">
        <v>0.81764882945887396</v>
      </c>
      <c r="F1921">
        <v>0.16960756306622701</v>
      </c>
      <c r="G1921">
        <v>0.116244307090454</v>
      </c>
      <c r="H1921">
        <v>8.0275829795875706E-2</v>
      </c>
      <c r="I1921">
        <v>5.4549702293526202E-2</v>
      </c>
      <c r="J1921">
        <v>5.8621742316443903E-2</v>
      </c>
      <c r="K1921">
        <v>4.3976654563213702E-2</v>
      </c>
      <c r="L1921">
        <v>3099.4448176668002</v>
      </c>
      <c r="M1921">
        <v>60.581009559784498</v>
      </c>
      <c r="N1921">
        <v>51.289718866728997</v>
      </c>
      <c r="O1921">
        <v>51.106326497863897</v>
      </c>
      <c r="P1921">
        <v>-0.27559491872220299</v>
      </c>
      <c r="Q1921">
        <v>7.0029473896930206E-2</v>
      </c>
      <c r="R1921">
        <v>0.99809797722251803</v>
      </c>
      <c r="S1921" t="s">
        <v>7782</v>
      </c>
      <c r="T1921" t="s">
        <v>11720</v>
      </c>
      <c r="U1921" t="s">
        <v>11720</v>
      </c>
      <c r="V1921" t="s">
        <v>11720</v>
      </c>
      <c r="W1921" t="s">
        <v>13602</v>
      </c>
      <c r="X1921">
        <v>33</v>
      </c>
      <c r="Y1921" t="s">
        <v>19373</v>
      </c>
      <c r="Z1921" t="s">
        <v>25128</v>
      </c>
      <c r="AA1921">
        <v>0.41746717340877643</v>
      </c>
      <c r="AB1921" t="str">
        <f>HYPERLINK("Melting_Curves/meltCurve_P11940_2_PABPC1.pdf", "Melting_Curves/meltCurve_P11940_2_PABPC1.pdf")</f>
        <v>Melting_Curves/meltCurve_P11940_2_PABPC1.pdf</v>
      </c>
    </row>
    <row r="1922" spans="1:28" x14ac:dyDescent="0.25">
      <c r="A1922" t="s">
        <v>1926</v>
      </c>
      <c r="B1922">
        <v>0.99334974765950101</v>
      </c>
      <c r="C1922">
        <v>1.0247614155826199</v>
      </c>
      <c r="D1922">
        <v>1.00155869060585</v>
      </c>
      <c r="E1922">
        <v>0.88338428382651002</v>
      </c>
      <c r="F1922">
        <v>0.58380788087179003</v>
      </c>
      <c r="G1922">
        <v>0.343188945121009</v>
      </c>
      <c r="H1922">
        <v>0.158148270329795</v>
      </c>
      <c r="I1922">
        <v>8.8019238950330897E-2</v>
      </c>
      <c r="J1922">
        <v>7.9340899458242797E-2</v>
      </c>
      <c r="K1922">
        <v>6.2520027751161195E-2</v>
      </c>
      <c r="L1922">
        <v>1082.87008842056</v>
      </c>
      <c r="M1922">
        <v>19.989708482597901</v>
      </c>
      <c r="N1922">
        <v>54.5111951681642</v>
      </c>
      <c r="O1922">
        <v>53.637987605805399</v>
      </c>
      <c r="P1922">
        <v>-8.7714550942544406E-2</v>
      </c>
      <c r="Q1922">
        <v>5.8579909461441697E-2</v>
      </c>
      <c r="R1922">
        <v>0.99611328547146905</v>
      </c>
      <c r="S1922" t="s">
        <v>7783</v>
      </c>
      <c r="T1922" t="s">
        <v>11720</v>
      </c>
      <c r="U1922" t="s">
        <v>11720</v>
      </c>
      <c r="V1922" t="s">
        <v>11720</v>
      </c>
      <c r="W1922" t="s">
        <v>13603</v>
      </c>
      <c r="X1922">
        <v>21</v>
      </c>
      <c r="Y1922" t="s">
        <v>19374</v>
      </c>
      <c r="Z1922" t="s">
        <v>25129</v>
      </c>
      <c r="AA1922">
        <v>0.5160569566238572</v>
      </c>
      <c r="AB1922" t="str">
        <f>HYPERLINK("Melting_Curves/meltCurve_P12004_PCNA.pdf", "Melting_Curves/meltCurve_P12004_PCNA.pdf")</f>
        <v>Melting_Curves/meltCurve_P12004_PCNA.pdf</v>
      </c>
    </row>
    <row r="1923" spans="1:28" x14ac:dyDescent="0.25">
      <c r="A1923" t="s">
        <v>1927</v>
      </c>
      <c r="B1923">
        <v>0.99334974765950101</v>
      </c>
      <c r="C1923">
        <v>1.00970228689126</v>
      </c>
      <c r="D1923">
        <v>1.0822491383486199</v>
      </c>
      <c r="E1923">
        <v>1.0042419040410699</v>
      </c>
      <c r="F1923">
        <v>0.43226727912675</v>
      </c>
      <c r="G1923">
        <v>0.19970338620179101</v>
      </c>
      <c r="H1923">
        <v>0.10774166887348301</v>
      </c>
      <c r="I1923">
        <v>9.9132519484138995E-2</v>
      </c>
      <c r="J1923">
        <v>8.48685927848042E-2</v>
      </c>
      <c r="K1923">
        <v>7.2789659033837897E-2</v>
      </c>
      <c r="L1923">
        <v>4497.1040908197901</v>
      </c>
      <c r="M1923">
        <v>85.419117549679797</v>
      </c>
      <c r="N1923">
        <v>52.804987603693299</v>
      </c>
      <c r="O1923">
        <v>52.618696278321003</v>
      </c>
      <c r="P1923">
        <v>-0.36020815771817999</v>
      </c>
      <c r="Q1923">
        <v>0.11243874189283599</v>
      </c>
      <c r="R1923">
        <v>0.99085116699781295</v>
      </c>
      <c r="S1923" t="s">
        <v>7784</v>
      </c>
      <c r="T1923" t="s">
        <v>11720</v>
      </c>
      <c r="U1923" t="s">
        <v>11720</v>
      </c>
      <c r="V1923" t="s">
        <v>11720</v>
      </c>
      <c r="W1923" t="s">
        <v>13604</v>
      </c>
      <c r="X1923">
        <v>36</v>
      </c>
      <c r="Y1923" t="s">
        <v>19375</v>
      </c>
      <c r="Z1923" t="s">
        <v>25130</v>
      </c>
      <c r="AA1923">
        <v>0.48732379314018032</v>
      </c>
      <c r="AB1923" t="str">
        <f>HYPERLINK("Melting_Curves/meltCurve_P12081_HARS.pdf", "Melting_Curves/meltCurve_P12081_HARS.pdf")</f>
        <v>Melting_Curves/meltCurve_P12081_HARS.pdf</v>
      </c>
    </row>
    <row r="1924" spans="1:28" x14ac:dyDescent="0.25">
      <c r="A1924" t="s">
        <v>1928</v>
      </c>
      <c r="B1924">
        <v>0.99334974765950101</v>
      </c>
      <c r="C1924">
        <v>1.07515758667316</v>
      </c>
      <c r="D1924">
        <v>1.0177256302695701</v>
      </c>
      <c r="E1924">
        <v>1.0330430347377999</v>
      </c>
      <c r="F1924">
        <v>1.13361997265976</v>
      </c>
      <c r="G1924">
        <v>0.97152561582224495</v>
      </c>
      <c r="H1924">
        <v>0.70609181451353298</v>
      </c>
      <c r="I1924">
        <v>0.50842522567038895</v>
      </c>
      <c r="J1924">
        <v>0.31322333162642502</v>
      </c>
      <c r="K1924">
        <v>0.27885727830657098</v>
      </c>
      <c r="L1924">
        <v>1876.39498650207</v>
      </c>
      <c r="M1924">
        <v>30.157920707554599</v>
      </c>
      <c r="N1924">
        <v>63.697685731719602</v>
      </c>
      <c r="O1924">
        <v>61.947326111515899</v>
      </c>
      <c r="P1924">
        <v>-9.1070605532684895E-2</v>
      </c>
      <c r="Q1924">
        <v>0.25173296149774299</v>
      </c>
      <c r="R1924">
        <v>0.97035937461381605</v>
      </c>
      <c r="S1924" t="s">
        <v>7785</v>
      </c>
      <c r="T1924" t="s">
        <v>11720</v>
      </c>
      <c r="U1924" t="s">
        <v>11720</v>
      </c>
      <c r="V1924" t="s">
        <v>11720</v>
      </c>
      <c r="W1924" t="s">
        <v>13605</v>
      </c>
      <c r="X1924">
        <v>11</v>
      </c>
      <c r="Y1924" t="s">
        <v>19376</v>
      </c>
      <c r="Z1924" t="s">
        <v>25131</v>
      </c>
      <c r="AA1924">
        <v>0.80919371132292961</v>
      </c>
      <c r="AB1924" t="str">
        <f>HYPERLINK("Melting_Curves/meltCurve_P12107_3_COL11A1.pdf", "Melting_Curves/meltCurve_P12107_3_COL11A1.pdf")</f>
        <v>Melting_Curves/meltCurve_P12107_3_COL11A1.pdf</v>
      </c>
    </row>
    <row r="1925" spans="1:28" x14ac:dyDescent="0.25">
      <c r="A1925" t="s">
        <v>1929</v>
      </c>
      <c r="B1925">
        <v>0.99334974765950101</v>
      </c>
      <c r="C1925">
        <v>1.0002824484310999</v>
      </c>
      <c r="D1925">
        <v>1.0105176650165699</v>
      </c>
      <c r="E1925">
        <v>0.89688965984281699</v>
      </c>
      <c r="F1925">
        <v>0.60838348592623603</v>
      </c>
      <c r="G1925">
        <v>0.33878351621900799</v>
      </c>
      <c r="H1925">
        <v>0.21663029504619999</v>
      </c>
      <c r="I1925">
        <v>0.20753936987128499</v>
      </c>
      <c r="J1925">
        <v>0.18474683045546</v>
      </c>
      <c r="K1925">
        <v>0.15664757353160699</v>
      </c>
      <c r="L1925">
        <v>1345.2167073641999</v>
      </c>
      <c r="M1925">
        <v>25.174536530468899</v>
      </c>
      <c r="N1925">
        <v>54.398091196233104</v>
      </c>
      <c r="O1925">
        <v>53.101852747776199</v>
      </c>
      <c r="P1925">
        <v>-9.7220591075883503E-2</v>
      </c>
      <c r="Q1925">
        <v>0.17972257872677599</v>
      </c>
      <c r="R1925">
        <v>0.99782052984570602</v>
      </c>
      <c r="S1925" t="s">
        <v>7786</v>
      </c>
      <c r="T1925" t="s">
        <v>11720</v>
      </c>
      <c r="U1925" t="s">
        <v>11720</v>
      </c>
      <c r="V1925" t="s">
        <v>11720</v>
      </c>
      <c r="W1925" t="s">
        <v>13606</v>
      </c>
      <c r="X1925">
        <v>57</v>
      </c>
      <c r="Y1925" t="s">
        <v>19377</v>
      </c>
      <c r="Z1925" t="s">
        <v>25132</v>
      </c>
      <c r="AA1925">
        <v>0.55456265433317797</v>
      </c>
      <c r="AB1925" t="str">
        <f>HYPERLINK("Melting_Curves/meltCurve_P12109_COL6A1.pdf", "Melting_Curves/meltCurve_P12109_COL6A1.pdf")</f>
        <v>Melting_Curves/meltCurve_P12109_COL6A1.pdf</v>
      </c>
    </row>
    <row r="1926" spans="1:28" x14ac:dyDescent="0.25">
      <c r="A1926" t="s">
        <v>1930</v>
      </c>
      <c r="B1926">
        <v>0.99334974765950101</v>
      </c>
      <c r="C1926">
        <v>1.03552255919069</v>
      </c>
      <c r="D1926">
        <v>0.99067937624740698</v>
      </c>
      <c r="E1926">
        <v>0.87401429211662796</v>
      </c>
      <c r="F1926">
        <v>0.80725976585322301</v>
      </c>
      <c r="G1926">
        <v>0.62992772272905895</v>
      </c>
      <c r="H1926">
        <v>0.45247031833225398</v>
      </c>
      <c r="I1926">
        <v>0.424346981176774</v>
      </c>
      <c r="J1926">
        <v>0.28298780240259302</v>
      </c>
      <c r="K1926">
        <v>0.21092141465308301</v>
      </c>
      <c r="L1926">
        <v>636.72666779422502</v>
      </c>
      <c r="M1926">
        <v>10.7021457012218</v>
      </c>
      <c r="N1926">
        <v>60.396043439067</v>
      </c>
      <c r="O1926">
        <v>57.530821285425603</v>
      </c>
      <c r="P1926">
        <v>-4.3091617421082501E-2</v>
      </c>
      <c r="Q1926">
        <v>7.3768208092148901E-2</v>
      </c>
      <c r="R1926">
        <v>0.99113318192825695</v>
      </c>
      <c r="S1926" t="s">
        <v>7787</v>
      </c>
      <c r="T1926" t="s">
        <v>11720</v>
      </c>
      <c r="U1926" t="s">
        <v>11720</v>
      </c>
      <c r="V1926" t="s">
        <v>11720</v>
      </c>
      <c r="W1926" t="s">
        <v>13607</v>
      </c>
      <c r="X1926">
        <v>28</v>
      </c>
      <c r="Y1926" t="s">
        <v>19378</v>
      </c>
      <c r="Z1926" t="s">
        <v>25133</v>
      </c>
      <c r="AA1926">
        <v>0.67764034006928953</v>
      </c>
      <c r="AB1926" t="str">
        <f>HYPERLINK("Melting_Curves/meltCurve_P12110_COL6A2.pdf", "Melting_Curves/meltCurve_P12110_COL6A2.pdf")</f>
        <v>Melting_Curves/meltCurve_P12110_COL6A2.pdf</v>
      </c>
    </row>
    <row r="1927" spans="1:28" x14ac:dyDescent="0.25">
      <c r="A1927" t="s">
        <v>1931</v>
      </c>
      <c r="B1927">
        <v>0.99334974765950101</v>
      </c>
      <c r="C1927">
        <v>1.0974333622083601</v>
      </c>
      <c r="D1927">
        <v>1.0599017146965899</v>
      </c>
      <c r="E1927">
        <v>0.84205701608390204</v>
      </c>
      <c r="F1927">
        <v>0.81866113044167899</v>
      </c>
      <c r="G1927">
        <v>0.58879343029551701</v>
      </c>
      <c r="H1927">
        <v>0.43197796296234803</v>
      </c>
      <c r="I1927">
        <v>0.35971752187101502</v>
      </c>
      <c r="J1927">
        <v>0.28941197970091398</v>
      </c>
      <c r="K1927">
        <v>0.20817689818839899</v>
      </c>
      <c r="L1927">
        <v>788.25936589204798</v>
      </c>
      <c r="M1927">
        <v>13.726425023150799</v>
      </c>
      <c r="N1927">
        <v>59.256193976332099</v>
      </c>
      <c r="O1927">
        <v>56.248717436512898</v>
      </c>
      <c r="P1927">
        <v>-5.0476324557171902E-2</v>
      </c>
      <c r="Q1927">
        <v>0.172742287636627</v>
      </c>
      <c r="R1927">
        <v>0.97534509977983397</v>
      </c>
      <c r="S1927" t="s">
        <v>7788</v>
      </c>
      <c r="T1927" t="s">
        <v>11720</v>
      </c>
      <c r="U1927" t="s">
        <v>11720</v>
      </c>
      <c r="V1927" t="s">
        <v>11720</v>
      </c>
      <c r="W1927" t="s">
        <v>13608</v>
      </c>
      <c r="X1927">
        <v>24</v>
      </c>
      <c r="Y1927" t="s">
        <v>19378</v>
      </c>
      <c r="Z1927" t="s">
        <v>25134</v>
      </c>
      <c r="AA1927">
        <v>0.665902430527192</v>
      </c>
      <c r="AB1927" t="str">
        <f>HYPERLINK("Melting_Curves/meltCurve_P12110_2_COL6A2.pdf", "Melting_Curves/meltCurve_P12110_2_COL6A2.pdf")</f>
        <v>Melting_Curves/meltCurve_P12110_2_COL6A2.pdf</v>
      </c>
    </row>
    <row r="1928" spans="1:28" x14ac:dyDescent="0.25">
      <c r="A1928" t="s">
        <v>1932</v>
      </c>
      <c r="B1928">
        <v>0.99334974765950101</v>
      </c>
      <c r="C1928">
        <v>1.0744362514894701</v>
      </c>
      <c r="D1928">
        <v>1.0677744747149001</v>
      </c>
      <c r="E1928">
        <v>1.06851506533327</v>
      </c>
      <c r="F1928">
        <v>0.84664907838303405</v>
      </c>
      <c r="G1928">
        <v>0.595648031591271</v>
      </c>
      <c r="H1928">
        <v>0.37701124120704899</v>
      </c>
      <c r="I1928">
        <v>0.25509056352902998</v>
      </c>
      <c r="J1928">
        <v>0.14739410525212199</v>
      </c>
      <c r="K1928">
        <v>8.4661422683291798E-2</v>
      </c>
      <c r="L1928">
        <v>1081.14513326877</v>
      </c>
      <c r="M1928">
        <v>18.535657877263599</v>
      </c>
      <c r="N1928">
        <v>58.8187980844382</v>
      </c>
      <c r="O1928">
        <v>57.661664601665699</v>
      </c>
      <c r="P1928">
        <v>-7.4607591385103894E-2</v>
      </c>
      <c r="Q1928">
        <v>7.1668495069408797E-2</v>
      </c>
      <c r="R1928">
        <v>0.981423532984814</v>
      </c>
      <c r="S1928" t="s">
        <v>7789</v>
      </c>
      <c r="T1928" t="s">
        <v>11720</v>
      </c>
      <c r="U1928" t="s">
        <v>11720</v>
      </c>
      <c r="V1928" t="s">
        <v>11720</v>
      </c>
      <c r="W1928" t="s">
        <v>13609</v>
      </c>
      <c r="X1928">
        <v>114</v>
      </c>
      <c r="Y1928" t="s">
        <v>19379</v>
      </c>
      <c r="Z1928" t="s">
        <v>25135</v>
      </c>
      <c r="AA1928">
        <v>0.6495998533409395</v>
      </c>
      <c r="AB1928" t="str">
        <f>HYPERLINK("Melting_Curves/meltCurve_P12111_COL6A3.pdf", "Melting_Curves/meltCurve_P12111_COL6A3.pdf")</f>
        <v>Melting_Curves/meltCurve_P12111_COL6A3.pdf</v>
      </c>
    </row>
    <row r="1929" spans="1:28" x14ac:dyDescent="0.25">
      <c r="A1929" t="s">
        <v>1933</v>
      </c>
      <c r="B1929">
        <v>0.99334974765950101</v>
      </c>
      <c r="C1929">
        <v>0.98051845000038595</v>
      </c>
      <c r="D1929">
        <v>0.98699348429074496</v>
      </c>
      <c r="E1929">
        <v>1.05821322411767</v>
      </c>
      <c r="F1929">
        <v>1.3825032680498901</v>
      </c>
      <c r="G1929">
        <v>1.1100164283154501</v>
      </c>
      <c r="H1929">
        <v>1.1175312614816</v>
      </c>
      <c r="I1929">
        <v>1.44410774005753</v>
      </c>
      <c r="J1929">
        <v>1.6527931652455901</v>
      </c>
      <c r="K1929">
        <v>0.97703193697882296</v>
      </c>
      <c r="L1929">
        <v>12567.0280588731</v>
      </c>
      <c r="M1929">
        <v>250</v>
      </c>
      <c r="O1929">
        <v>50.264906036468801</v>
      </c>
      <c r="P1929">
        <v>0.34898111890594202</v>
      </c>
      <c r="Q1929">
        <v>1.28066399093515</v>
      </c>
      <c r="R1929">
        <v>0.36462283585029998</v>
      </c>
      <c r="S1929" t="s">
        <v>7790</v>
      </c>
      <c r="T1929" t="s">
        <v>11720</v>
      </c>
      <c r="U1929" t="s">
        <v>11720</v>
      </c>
      <c r="V1929" t="s">
        <v>11720</v>
      </c>
      <c r="W1929" t="s">
        <v>13610</v>
      </c>
      <c r="X1929">
        <v>25</v>
      </c>
      <c r="Y1929" t="s">
        <v>19380</v>
      </c>
      <c r="Z1929" t="s">
        <v>25136</v>
      </c>
      <c r="AA1929">
        <v>1.1845762521806249</v>
      </c>
      <c r="AB1929" t="str">
        <f>HYPERLINK("Melting_Curves/meltCurve_P12236_SLC25A6.pdf", "Melting_Curves/meltCurve_P12236_SLC25A6.pdf")</f>
        <v>Melting_Curves/meltCurve_P12236_SLC25A6.pdf</v>
      </c>
    </row>
    <row r="1930" spans="1:28" x14ac:dyDescent="0.25">
      <c r="A1930" t="s">
        <v>1934</v>
      </c>
      <c r="B1930">
        <v>0.99334974765950101</v>
      </c>
      <c r="C1930">
        <v>1.03390426923169</v>
      </c>
      <c r="D1930">
        <v>0.81193312392390204</v>
      </c>
      <c r="E1930">
        <v>0.69725521186572403</v>
      </c>
      <c r="F1930">
        <v>0.51558352094597004</v>
      </c>
      <c r="G1930">
        <v>0.36412098394741299</v>
      </c>
      <c r="H1930">
        <v>0.29242054829162001</v>
      </c>
      <c r="I1930">
        <v>0.37491070218927303</v>
      </c>
      <c r="J1930">
        <v>0.359443553008433</v>
      </c>
      <c r="K1930">
        <v>0.29345039892994301</v>
      </c>
      <c r="L1930">
        <v>867.547462434821</v>
      </c>
      <c r="M1930">
        <v>17.301530290363299</v>
      </c>
      <c r="N1930">
        <v>53.166603217003001</v>
      </c>
      <c r="O1930">
        <v>49.487325847960598</v>
      </c>
      <c r="P1930">
        <v>-6.0041679409883197E-2</v>
      </c>
      <c r="Q1930">
        <v>0.313094066403384</v>
      </c>
      <c r="R1930">
        <v>0.97608293643991195</v>
      </c>
      <c r="S1930" t="s">
        <v>7791</v>
      </c>
      <c r="T1930" t="s">
        <v>11720</v>
      </c>
      <c r="U1930" t="s">
        <v>11720</v>
      </c>
      <c r="V1930" t="s">
        <v>11720</v>
      </c>
      <c r="W1930" t="s">
        <v>13611</v>
      </c>
      <c r="X1930">
        <v>7</v>
      </c>
      <c r="Y1930" t="s">
        <v>19381</v>
      </c>
      <c r="Z1930" t="s">
        <v>25137</v>
      </c>
      <c r="AA1930">
        <v>0.55792529313756556</v>
      </c>
      <c r="AB1930" t="str">
        <f>HYPERLINK("Melting_Curves/meltCurve_P12268_IMPDH2.pdf", "Melting_Curves/meltCurve_P12268_IMPDH2.pdf")</f>
        <v>Melting_Curves/meltCurve_P12268_IMPDH2.pdf</v>
      </c>
    </row>
    <row r="1931" spans="1:28" x14ac:dyDescent="0.25">
      <c r="A1931" t="s">
        <v>1935</v>
      </c>
      <c r="B1931">
        <v>0.99334974765950101</v>
      </c>
      <c r="C1931">
        <v>1.0064515149162701</v>
      </c>
      <c r="D1931">
        <v>1.14902244748328</v>
      </c>
      <c r="E1931">
        <v>1.12349360878953</v>
      </c>
      <c r="F1931">
        <v>1.3744256735811</v>
      </c>
      <c r="G1931">
        <v>0.80046349210173695</v>
      </c>
      <c r="H1931">
        <v>0.57837268143985099</v>
      </c>
      <c r="I1931">
        <v>0.55704953599854001</v>
      </c>
      <c r="J1931">
        <v>0.51639893470179199</v>
      </c>
      <c r="K1931">
        <v>0.43837862788385601</v>
      </c>
      <c r="L1931">
        <v>7929.9436678725497</v>
      </c>
      <c r="M1931">
        <v>138.789859683408</v>
      </c>
      <c r="O1931">
        <v>57.124474215296502</v>
      </c>
      <c r="P1931">
        <v>-0.29001898287671501</v>
      </c>
      <c r="Q1931">
        <v>0.52252473656194598</v>
      </c>
      <c r="R1931">
        <v>0.79591430306032895</v>
      </c>
      <c r="S1931" t="s">
        <v>7792</v>
      </c>
      <c r="T1931" t="s">
        <v>11720</v>
      </c>
      <c r="U1931" t="s">
        <v>11720</v>
      </c>
      <c r="V1931" t="s">
        <v>11720</v>
      </c>
      <c r="W1931" t="s">
        <v>13612</v>
      </c>
      <c r="X1931">
        <v>56</v>
      </c>
      <c r="Y1931" t="s">
        <v>19382</v>
      </c>
      <c r="Z1931" t="s">
        <v>25138</v>
      </c>
      <c r="AA1931">
        <v>0.79541933380828356</v>
      </c>
      <c r="AB1931" t="str">
        <f>HYPERLINK("Melting_Curves/meltCurve_P12270_TPR.pdf", "Melting_Curves/meltCurve_P12270_TPR.pdf")</f>
        <v>Melting_Curves/meltCurve_P12270_TPR.pdf</v>
      </c>
    </row>
    <row r="1932" spans="1:28" x14ac:dyDescent="0.25">
      <c r="A1932" t="s">
        <v>1936</v>
      </c>
      <c r="B1932">
        <v>0.99334974765950101</v>
      </c>
      <c r="C1932">
        <v>0.93459454454758795</v>
      </c>
      <c r="D1932">
        <v>0.91120531070866795</v>
      </c>
      <c r="E1932">
        <v>0.60663816259368197</v>
      </c>
      <c r="F1932">
        <v>0.19257475404466601</v>
      </c>
      <c r="G1932">
        <v>0.12809376273641099</v>
      </c>
      <c r="H1932">
        <v>9.0956410290142203E-2</v>
      </c>
      <c r="I1932">
        <v>6.7379235718621394E-2</v>
      </c>
      <c r="J1932">
        <v>5.9419830835327599E-2</v>
      </c>
      <c r="K1932">
        <v>5.1232958502725003E-2</v>
      </c>
      <c r="L1932">
        <v>1505.5830883490801</v>
      </c>
      <c r="M1932">
        <v>29.927974632042499</v>
      </c>
      <c r="N1932">
        <v>50.552608129640099</v>
      </c>
      <c r="O1932">
        <v>50.083896183249003</v>
      </c>
      <c r="P1932">
        <v>-0.13927746166184701</v>
      </c>
      <c r="Q1932">
        <v>6.7693771223491198E-2</v>
      </c>
      <c r="R1932">
        <v>0.99372806889507803</v>
      </c>
      <c r="S1932" t="s">
        <v>7793</v>
      </c>
      <c r="T1932" t="s">
        <v>11720</v>
      </c>
      <c r="U1932" t="s">
        <v>11720</v>
      </c>
      <c r="V1932" t="s">
        <v>11720</v>
      </c>
      <c r="W1932" t="s">
        <v>13613</v>
      </c>
      <c r="X1932">
        <v>19</v>
      </c>
      <c r="Y1932" t="s">
        <v>19383</v>
      </c>
      <c r="Z1932" t="s">
        <v>25139</v>
      </c>
      <c r="AA1932">
        <v>0.39382299214684469</v>
      </c>
      <c r="AB1932" t="str">
        <f>HYPERLINK("Melting_Curves/meltCurve_P12277_CKB.pdf", "Melting_Curves/meltCurve_P12277_CKB.pdf")</f>
        <v>Melting_Curves/meltCurve_P12277_CKB.pdf</v>
      </c>
    </row>
    <row r="1933" spans="1:28" x14ac:dyDescent="0.25">
      <c r="A1933" t="s">
        <v>1937</v>
      </c>
      <c r="B1933">
        <v>0.99334974765950101</v>
      </c>
      <c r="C1933">
        <v>0.99117607075364</v>
      </c>
      <c r="D1933">
        <v>0.92260189957569805</v>
      </c>
      <c r="E1933">
        <v>0.71701814946114595</v>
      </c>
      <c r="F1933">
        <v>0.31118537631876297</v>
      </c>
      <c r="G1933">
        <v>0.115283778133876</v>
      </c>
      <c r="H1933">
        <v>9.2352126049989006E-2</v>
      </c>
      <c r="I1933">
        <v>7.9413072482460906E-2</v>
      </c>
      <c r="J1933">
        <v>8.6916793668281506E-2</v>
      </c>
      <c r="K1933">
        <v>7.6425962837857006E-2</v>
      </c>
      <c r="L1933">
        <v>1550.4176594199801</v>
      </c>
      <c r="M1933">
        <v>30.280562566041301</v>
      </c>
      <c r="N1933">
        <v>51.494969297353499</v>
      </c>
      <c r="O1933">
        <v>50.979990634665697</v>
      </c>
      <c r="P1933">
        <v>-0.13673428757859701</v>
      </c>
      <c r="Q1933">
        <v>7.9188986088486804E-2</v>
      </c>
      <c r="R1933">
        <v>0.998104605994245</v>
      </c>
      <c r="S1933" t="s">
        <v>7794</v>
      </c>
      <c r="T1933" t="s">
        <v>11720</v>
      </c>
      <c r="U1933" t="s">
        <v>11720</v>
      </c>
      <c r="V1933" t="s">
        <v>11720</v>
      </c>
      <c r="W1933" t="s">
        <v>13614</v>
      </c>
      <c r="X1933">
        <v>21</v>
      </c>
      <c r="Y1933" t="s">
        <v>19384</v>
      </c>
      <c r="Z1933" t="s">
        <v>25140</v>
      </c>
      <c r="AA1933">
        <v>0.42871357947548833</v>
      </c>
      <c r="AB1933" t="str">
        <f>HYPERLINK("Melting_Curves/meltCurve_P12429_ANXA3.pdf", "Melting_Curves/meltCurve_P12429_ANXA3.pdf")</f>
        <v>Melting_Curves/meltCurve_P12429_ANXA3.pdf</v>
      </c>
    </row>
    <row r="1934" spans="1:28" x14ac:dyDescent="0.25">
      <c r="A1934" t="s">
        <v>1938</v>
      </c>
      <c r="B1934">
        <v>0.99334974765950101</v>
      </c>
      <c r="C1934">
        <v>1.0074883669344701</v>
      </c>
      <c r="D1934">
        <v>1.1019021942623899</v>
      </c>
      <c r="E1934">
        <v>0.62969813053851598</v>
      </c>
      <c r="F1934">
        <v>0.166231280058285</v>
      </c>
      <c r="G1934">
        <v>9.5042935452241906E-2</v>
      </c>
      <c r="H1934">
        <v>5.7555407038474699E-2</v>
      </c>
      <c r="I1934">
        <v>5.0752406139565102E-2</v>
      </c>
      <c r="J1934">
        <v>4.4847866307294197E-2</v>
      </c>
      <c r="K1934">
        <v>4.6651939873284601E-2</v>
      </c>
      <c r="L1934">
        <v>2395.2777098650899</v>
      </c>
      <c r="M1934">
        <v>47.4275720678692</v>
      </c>
      <c r="N1934">
        <v>50.640811273108703</v>
      </c>
      <c r="O1934">
        <v>50.414373462388703</v>
      </c>
      <c r="P1934">
        <v>-0.221037993673802</v>
      </c>
      <c r="Q1934">
        <v>6.0168802791261501E-2</v>
      </c>
      <c r="R1934">
        <v>0.99253405937238603</v>
      </c>
      <c r="S1934" t="s">
        <v>7795</v>
      </c>
      <c r="T1934" t="s">
        <v>11720</v>
      </c>
      <c r="U1934" t="s">
        <v>11720</v>
      </c>
      <c r="V1934" t="s">
        <v>11720</v>
      </c>
      <c r="W1934" t="s">
        <v>13615</v>
      </c>
      <c r="X1934">
        <v>1</v>
      </c>
      <c r="Y1934" t="s">
        <v>19385</v>
      </c>
      <c r="Z1934" t="s">
        <v>25141</v>
      </c>
      <c r="AA1934">
        <v>0.39156054102057569</v>
      </c>
      <c r="AB1934" t="str">
        <f>HYPERLINK("Melting_Curves/meltCurve_P12532_CKMT1A.pdf", "Melting_Curves/meltCurve_P12532_CKMT1A.pdf")</f>
        <v>Melting_Curves/meltCurve_P12532_CKMT1A.pdf</v>
      </c>
    </row>
    <row r="1935" spans="1:28" x14ac:dyDescent="0.25">
      <c r="A1935" t="s">
        <v>1939</v>
      </c>
      <c r="B1935">
        <v>0.99334974765950101</v>
      </c>
      <c r="C1935">
        <v>1.0402760451927</v>
      </c>
      <c r="D1935">
        <v>1.1173934805920001</v>
      </c>
      <c r="E1935">
        <v>1.0080029727322299</v>
      </c>
      <c r="F1935">
        <v>1.1285384878889599</v>
      </c>
      <c r="G1935">
        <v>1.10607344579513</v>
      </c>
      <c r="H1935">
        <v>0.31391004976030901</v>
      </c>
      <c r="I1935">
        <v>0.145333516019957</v>
      </c>
      <c r="J1935">
        <v>0.118581637829662</v>
      </c>
      <c r="K1935">
        <v>9.5271438021388696E-2</v>
      </c>
      <c r="L1935">
        <v>11388.0999832125</v>
      </c>
      <c r="M1935">
        <v>187.952223944422</v>
      </c>
      <c r="N1935">
        <v>60.678747508559802</v>
      </c>
      <c r="O1935">
        <v>60.583538225806301</v>
      </c>
      <c r="P1935">
        <v>-0.68274304421278098</v>
      </c>
      <c r="Q1935">
        <v>0.11971269584482901</v>
      </c>
      <c r="R1935">
        <v>0.97749930253274797</v>
      </c>
      <c r="S1935" t="s">
        <v>7796</v>
      </c>
      <c r="T1935" t="s">
        <v>11720</v>
      </c>
      <c r="U1935" t="s">
        <v>11720</v>
      </c>
      <c r="V1935" t="s">
        <v>11720</v>
      </c>
      <c r="W1935" t="s">
        <v>13616</v>
      </c>
      <c r="X1935">
        <v>80</v>
      </c>
      <c r="Y1935" t="s">
        <v>19386</v>
      </c>
      <c r="Z1935" t="s">
        <v>25142</v>
      </c>
      <c r="AA1935">
        <v>0.72406052126736786</v>
      </c>
      <c r="AB1935" t="str">
        <f>HYPERLINK("Melting_Curves/meltCurve_P12814_2_ACTN1.pdf", "Melting_Curves/meltCurve_P12814_2_ACTN1.pdf")</f>
        <v>Melting_Curves/meltCurve_P12814_2_ACTN1.pdf</v>
      </c>
    </row>
    <row r="1936" spans="1:28" x14ac:dyDescent="0.25">
      <c r="A1936" t="s">
        <v>1940</v>
      </c>
      <c r="B1936">
        <v>0.99334974765950101</v>
      </c>
      <c r="C1936">
        <v>0.94429651694308803</v>
      </c>
      <c r="D1936">
        <v>0.94105566658216999</v>
      </c>
      <c r="E1936">
        <v>0.98086208384856699</v>
      </c>
      <c r="F1936">
        <v>0.88716036893123296</v>
      </c>
      <c r="G1936">
        <v>0.743661596718316</v>
      </c>
      <c r="H1936">
        <v>0.54451376063146395</v>
      </c>
      <c r="I1936">
        <v>0.51372829674450404</v>
      </c>
      <c r="J1936">
        <v>0.37691243476861003</v>
      </c>
      <c r="K1936">
        <v>0.28376774456761999</v>
      </c>
      <c r="L1936">
        <v>669.22478780321603</v>
      </c>
      <c r="M1936">
        <v>10.7723017107612</v>
      </c>
      <c r="N1936">
        <v>63.236406932233798</v>
      </c>
      <c r="O1936">
        <v>60.098565634228201</v>
      </c>
      <c r="P1936">
        <v>-4.0960067271081403E-2</v>
      </c>
      <c r="Q1936">
        <v>8.6270885865334004E-2</v>
      </c>
      <c r="R1936">
        <v>0.98508400899764104</v>
      </c>
      <c r="S1936" t="s">
        <v>7797</v>
      </c>
      <c r="T1936" t="s">
        <v>11720</v>
      </c>
      <c r="U1936" t="s">
        <v>11720</v>
      </c>
      <c r="V1936" t="s">
        <v>11720</v>
      </c>
      <c r="W1936" t="s">
        <v>13617</v>
      </c>
      <c r="X1936">
        <v>5</v>
      </c>
      <c r="Y1936" t="s">
        <v>19387</v>
      </c>
      <c r="Z1936" t="s">
        <v>25143</v>
      </c>
      <c r="AA1936">
        <v>0.74370963999100015</v>
      </c>
      <c r="AB1936" t="str">
        <f>HYPERLINK("Melting_Curves/meltCurve_P12821_2_ACE.pdf", "Melting_Curves/meltCurve_P12821_2_ACE.pdf")</f>
        <v>Melting_Curves/meltCurve_P12821_2_ACE.pdf</v>
      </c>
    </row>
    <row r="1937" spans="1:28" x14ac:dyDescent="0.25">
      <c r="A1937" t="s">
        <v>1941</v>
      </c>
      <c r="B1937">
        <v>0.99334974765950101</v>
      </c>
      <c r="C1937">
        <v>0.97301968230692304</v>
      </c>
      <c r="D1937">
        <v>0.87050751646683999</v>
      </c>
      <c r="E1937">
        <v>0.79819062476436697</v>
      </c>
      <c r="F1937">
        <v>0.47514381506331899</v>
      </c>
      <c r="G1937">
        <v>0.27593270406263098</v>
      </c>
      <c r="H1937">
        <v>0.153555221137988</v>
      </c>
      <c r="I1937">
        <v>0.11667983405290699</v>
      </c>
      <c r="J1937">
        <v>0.13431735283751101</v>
      </c>
      <c r="K1937">
        <v>8.7307132226037198E-2</v>
      </c>
      <c r="L1937">
        <v>937.97321165231995</v>
      </c>
      <c r="M1937">
        <v>17.851522212541699</v>
      </c>
      <c r="N1937">
        <v>53.125001750013197</v>
      </c>
      <c r="O1937">
        <v>51.897005118971698</v>
      </c>
      <c r="P1937">
        <v>-7.8361627795939803E-2</v>
      </c>
      <c r="Q1937">
        <v>8.8811424958353494E-2</v>
      </c>
      <c r="R1937">
        <v>0.99250329913178603</v>
      </c>
      <c r="S1937" t="s">
        <v>7798</v>
      </c>
      <c r="T1937" t="s">
        <v>11720</v>
      </c>
      <c r="U1937" t="s">
        <v>11720</v>
      </c>
      <c r="V1937" t="s">
        <v>11720</v>
      </c>
      <c r="W1937" t="s">
        <v>13618</v>
      </c>
      <c r="X1937">
        <v>18</v>
      </c>
      <c r="Y1937" t="s">
        <v>19388</v>
      </c>
      <c r="Z1937" t="s">
        <v>25144</v>
      </c>
      <c r="AA1937">
        <v>0.48502735335505348</v>
      </c>
      <c r="AB1937" t="str">
        <f>HYPERLINK("Melting_Curves/meltCurve_P12931_SRC.pdf", "Melting_Curves/meltCurve_P12931_SRC.pdf")</f>
        <v>Melting_Curves/meltCurve_P12931_SRC.pdf</v>
      </c>
    </row>
    <row r="1938" spans="1:28" x14ac:dyDescent="0.25">
      <c r="A1938" t="s">
        <v>1942</v>
      </c>
      <c r="B1938">
        <v>0.99334974765950101</v>
      </c>
      <c r="C1938">
        <v>0.93633799644347104</v>
      </c>
      <c r="D1938">
        <v>0.98120651191675501</v>
      </c>
      <c r="E1938">
        <v>0.87024922131695903</v>
      </c>
      <c r="F1938">
        <v>0.779912029865381</v>
      </c>
      <c r="G1938">
        <v>0.356714186144372</v>
      </c>
      <c r="H1938">
        <v>0.14614296188107501</v>
      </c>
      <c r="I1938">
        <v>6.7871550861398497E-2</v>
      </c>
      <c r="J1938">
        <v>5.8888692904514303E-2</v>
      </c>
      <c r="K1938">
        <v>4.3676816448388001E-2</v>
      </c>
      <c r="L1938">
        <v>1221.41384858264</v>
      </c>
      <c r="M1938">
        <v>22.033688159786799</v>
      </c>
      <c r="N1938">
        <v>55.588312237521102</v>
      </c>
      <c r="O1938">
        <v>54.983366081613497</v>
      </c>
      <c r="P1938">
        <v>-9.7211790555524702E-2</v>
      </c>
      <c r="Q1938">
        <v>2.96834359774471E-2</v>
      </c>
      <c r="R1938">
        <v>0.99487271405904598</v>
      </c>
      <c r="S1938" t="s">
        <v>7799</v>
      </c>
      <c r="T1938" t="s">
        <v>11720</v>
      </c>
      <c r="U1938" t="s">
        <v>11720</v>
      </c>
      <c r="V1938" t="s">
        <v>11720</v>
      </c>
      <c r="W1938" t="s">
        <v>13619</v>
      </c>
      <c r="X1938">
        <v>12</v>
      </c>
      <c r="Y1938" t="s">
        <v>19389</v>
      </c>
      <c r="Z1938" t="s">
        <v>25145</v>
      </c>
      <c r="AA1938">
        <v>0.53990228499992321</v>
      </c>
      <c r="AB1938" t="str">
        <f>HYPERLINK("Melting_Curves/meltCurve_P12955_PEPD.pdf", "Melting_Curves/meltCurve_P12955_PEPD.pdf")</f>
        <v>Melting_Curves/meltCurve_P12955_PEPD.pdf</v>
      </c>
    </row>
    <row r="1939" spans="1:28" x14ac:dyDescent="0.25">
      <c r="A1939" t="s">
        <v>1943</v>
      </c>
      <c r="B1939">
        <v>0.99334974765950101</v>
      </c>
      <c r="C1939">
        <v>1.18029919594051</v>
      </c>
      <c r="D1939">
        <v>2.7435732909712498</v>
      </c>
      <c r="E1939">
        <v>1.8296524626616999</v>
      </c>
      <c r="F1939">
        <v>0.49257317056727701</v>
      </c>
      <c r="G1939">
        <v>0.26895250797419101</v>
      </c>
      <c r="H1939">
        <v>0.19142049550264101</v>
      </c>
      <c r="I1939">
        <v>0.155383396035498</v>
      </c>
      <c r="J1939">
        <v>0.151931538877835</v>
      </c>
      <c r="K1939">
        <v>0.149458512517334</v>
      </c>
      <c r="L1939">
        <v>13223.736638374099</v>
      </c>
      <c r="M1939">
        <v>250</v>
      </c>
      <c r="N1939">
        <v>52.991830140431397</v>
      </c>
      <c r="O1939">
        <v>52.891585139132097</v>
      </c>
      <c r="P1939">
        <v>-0.96491155571235798</v>
      </c>
      <c r="Q1939">
        <v>0.18342913420906901</v>
      </c>
      <c r="R1939">
        <v>0.463004349295845</v>
      </c>
      <c r="S1939" t="s">
        <v>7800</v>
      </c>
      <c r="T1939" t="s">
        <v>11720</v>
      </c>
      <c r="U1939" t="s">
        <v>11720</v>
      </c>
      <c r="V1939" t="s">
        <v>11720</v>
      </c>
      <c r="W1939" t="s">
        <v>13620</v>
      </c>
      <c r="X1939">
        <v>20</v>
      </c>
      <c r="Y1939" t="s">
        <v>19390</v>
      </c>
      <c r="Z1939" t="s">
        <v>25146</v>
      </c>
      <c r="AA1939">
        <v>0.53449285870961616</v>
      </c>
      <c r="AB1939" t="str">
        <f>HYPERLINK("Melting_Curves/meltCurve_P12956_XRCC6.pdf", "Melting_Curves/meltCurve_P12956_XRCC6.pdf")</f>
        <v>Melting_Curves/meltCurve_P12956_XRCC6.pdf</v>
      </c>
    </row>
    <row r="1940" spans="1:28" x14ac:dyDescent="0.25">
      <c r="A1940" t="s">
        <v>1944</v>
      </c>
      <c r="B1940">
        <v>0.99334974765950101</v>
      </c>
      <c r="C1940">
        <v>1.13519710870426</v>
      </c>
      <c r="D1940">
        <v>1.0788966271543099</v>
      </c>
      <c r="E1940">
        <v>0.47702814804587601</v>
      </c>
      <c r="F1940">
        <v>0.32628871544437499</v>
      </c>
      <c r="G1940">
        <v>0.19500071687713</v>
      </c>
      <c r="H1940">
        <v>0.16799261324867301</v>
      </c>
      <c r="I1940">
        <v>0.18927094894077801</v>
      </c>
      <c r="J1940">
        <v>0.17462742283148799</v>
      </c>
      <c r="K1940">
        <v>0.11284931842797</v>
      </c>
      <c r="L1940">
        <v>2240.7138266105699</v>
      </c>
      <c r="M1940">
        <v>45.219423984045697</v>
      </c>
      <c r="N1940">
        <v>50.058152696228298</v>
      </c>
      <c r="O1940">
        <v>49.455402666665499</v>
      </c>
      <c r="P1940">
        <v>-0.186647069874742</v>
      </c>
      <c r="Q1940">
        <v>0.183475291846771</v>
      </c>
      <c r="R1940">
        <v>0.97059777313870998</v>
      </c>
      <c r="S1940" t="s">
        <v>7801</v>
      </c>
      <c r="T1940" t="s">
        <v>11720</v>
      </c>
      <c r="U1940" t="s">
        <v>11720</v>
      </c>
      <c r="V1940" t="s">
        <v>11720</v>
      </c>
      <c r="W1940" t="s">
        <v>13621</v>
      </c>
      <c r="X1940">
        <v>8</v>
      </c>
      <c r="Y1940" t="s">
        <v>19391</v>
      </c>
      <c r="Z1940" t="s">
        <v>25147</v>
      </c>
      <c r="AA1940">
        <v>0.44564236917079558</v>
      </c>
      <c r="AB1940" t="str">
        <f>HYPERLINK("Melting_Curves/meltCurve_P13010_XRCC5.pdf", "Melting_Curves/meltCurve_P13010_XRCC5.pdf")</f>
        <v>Melting_Curves/meltCurve_P13010_XRCC5.pdf</v>
      </c>
    </row>
    <row r="1941" spans="1:28" x14ac:dyDescent="0.25">
      <c r="A1941" t="s">
        <v>1945</v>
      </c>
      <c r="B1941">
        <v>0.99334974765950101</v>
      </c>
      <c r="C1941">
        <v>0.98315557235862305</v>
      </c>
      <c r="D1941">
        <v>0.83101865094248895</v>
      </c>
      <c r="E1941">
        <v>0.76834049836375296</v>
      </c>
      <c r="F1941">
        <v>0.81629138661836698</v>
      </c>
      <c r="G1941">
        <v>0.81080117584440503</v>
      </c>
      <c r="H1941">
        <v>0.99310530974383704</v>
      </c>
      <c r="I1941">
        <v>2.3940491044675398</v>
      </c>
      <c r="J1941">
        <v>2.9436198427561999</v>
      </c>
      <c r="K1941">
        <v>2.3113992471809102</v>
      </c>
      <c r="L1941">
        <v>15000</v>
      </c>
      <c r="M1941">
        <v>242.11452333584</v>
      </c>
      <c r="O1941">
        <v>61.949925027182502</v>
      </c>
      <c r="P1941">
        <v>0.48852868599305099</v>
      </c>
      <c r="Q1941">
        <v>1.5</v>
      </c>
      <c r="R1941">
        <v>0.39576833303581499</v>
      </c>
      <c r="S1941" t="s">
        <v>7802</v>
      </c>
      <c r="T1941" t="s">
        <v>11720</v>
      </c>
      <c r="U1941" t="s">
        <v>11720</v>
      </c>
      <c r="V1941" t="s">
        <v>11720</v>
      </c>
      <c r="W1941" t="s">
        <v>13622</v>
      </c>
      <c r="X1941">
        <v>14</v>
      </c>
      <c r="Y1941" t="s">
        <v>19392</v>
      </c>
      <c r="Z1941" t="s">
        <v>25148</v>
      </c>
      <c r="AA1941">
        <v>1.134039501295476</v>
      </c>
      <c r="AB1941" t="str">
        <f>HYPERLINK("Melting_Curves/meltCurve_P13073_COX4I1.pdf", "Melting_Curves/meltCurve_P13073_COX4I1.pdf")</f>
        <v>Melting_Curves/meltCurve_P13073_COX4I1.pdf</v>
      </c>
    </row>
    <row r="1942" spans="1:28" x14ac:dyDescent="0.25">
      <c r="A1942" t="s">
        <v>1946</v>
      </c>
      <c r="B1942">
        <v>0.99334974765950101</v>
      </c>
      <c r="C1942">
        <v>0.961898318679687</v>
      </c>
      <c r="D1942">
        <v>0.94106243461123995</v>
      </c>
      <c r="E1942">
        <v>0.81127459851300299</v>
      </c>
      <c r="F1942">
        <v>0.69156859673520099</v>
      </c>
      <c r="G1942">
        <v>0.36844307586476099</v>
      </c>
      <c r="H1942">
        <v>0.22635376204030699</v>
      </c>
      <c r="I1942">
        <v>0.185181923933706</v>
      </c>
      <c r="J1942">
        <v>0.17400141116565701</v>
      </c>
      <c r="K1942">
        <v>0.11657113308144799</v>
      </c>
      <c r="L1942">
        <v>895.469971884237</v>
      </c>
      <c r="M1942">
        <v>16.462759186265</v>
      </c>
      <c r="N1942">
        <v>55.2233338634258</v>
      </c>
      <c r="O1942">
        <v>53.6100876964422</v>
      </c>
      <c r="P1942">
        <v>-6.83646217170603E-2</v>
      </c>
      <c r="Q1942">
        <v>0.109559632599917</v>
      </c>
      <c r="R1942">
        <v>0.99591358720763901</v>
      </c>
      <c r="S1942" t="s">
        <v>7803</v>
      </c>
      <c r="T1942" t="s">
        <v>11720</v>
      </c>
      <c r="U1942" t="s">
        <v>11720</v>
      </c>
      <c r="V1942" t="s">
        <v>11720</v>
      </c>
      <c r="W1942" t="s">
        <v>13623</v>
      </c>
      <c r="X1942">
        <v>5</v>
      </c>
      <c r="Y1942" t="s">
        <v>19393</v>
      </c>
      <c r="Z1942" t="s">
        <v>25149</v>
      </c>
      <c r="AA1942">
        <v>0.55269849042605279</v>
      </c>
      <c r="AB1942" t="str">
        <f>HYPERLINK("Melting_Curves/meltCurve_P13196_ALAS1.pdf", "Melting_Curves/meltCurve_P13196_ALAS1.pdf")</f>
        <v>Melting_Curves/meltCurve_P13196_ALAS1.pdf</v>
      </c>
    </row>
    <row r="1943" spans="1:28" x14ac:dyDescent="0.25">
      <c r="A1943" t="s">
        <v>1947</v>
      </c>
      <c r="B1943">
        <v>0.99334974765950101</v>
      </c>
      <c r="C1943">
        <v>1.07860224650396</v>
      </c>
      <c r="D1943">
        <v>1.0967801709229801</v>
      </c>
      <c r="E1943">
        <v>0.75441665465316898</v>
      </c>
      <c r="F1943">
        <v>0.72713151900919404</v>
      </c>
      <c r="G1943">
        <v>0.41848421806783198</v>
      </c>
      <c r="H1943">
        <v>0.37583882315317002</v>
      </c>
      <c r="I1943">
        <v>0.31635489381132598</v>
      </c>
      <c r="J1943">
        <v>0.27533999307044099</v>
      </c>
      <c r="K1943">
        <v>0.19910065439862701</v>
      </c>
      <c r="L1943">
        <v>945.602228343766</v>
      </c>
      <c r="M1943">
        <v>17.511266619555599</v>
      </c>
      <c r="N1943">
        <v>56.110684192030298</v>
      </c>
      <c r="O1943">
        <v>53.310193221131897</v>
      </c>
      <c r="P1943">
        <v>-6.2310133474218599E-2</v>
      </c>
      <c r="Q1943">
        <v>0.24126958848713401</v>
      </c>
      <c r="R1943">
        <v>0.96033554444496105</v>
      </c>
      <c r="S1943" t="s">
        <v>7804</v>
      </c>
      <c r="T1943" t="s">
        <v>11720</v>
      </c>
      <c r="U1943" t="s">
        <v>11720</v>
      </c>
      <c r="V1943" t="s">
        <v>11720</v>
      </c>
      <c r="W1943" t="s">
        <v>13624</v>
      </c>
      <c r="X1943">
        <v>1</v>
      </c>
      <c r="Y1943" t="s">
        <v>19394</v>
      </c>
      <c r="Z1943" t="s">
        <v>25150</v>
      </c>
      <c r="AA1943">
        <v>0.6079747967451633</v>
      </c>
      <c r="AB1943" t="str">
        <f>HYPERLINK("Melting_Curves/meltCurve_P13284_IFI30.pdf", "Melting_Curves/meltCurve_P13284_IFI30.pdf")</f>
        <v>Melting_Curves/meltCurve_P13284_IFI30.pdf</v>
      </c>
    </row>
    <row r="1944" spans="1:28" x14ac:dyDescent="0.25">
      <c r="A1944" t="s">
        <v>1948</v>
      </c>
      <c r="B1944">
        <v>0.99334974765950101</v>
      </c>
      <c r="C1944">
        <v>1.04569575681641</v>
      </c>
      <c r="D1944">
        <v>0.98775996688732304</v>
      </c>
      <c r="E1944">
        <v>0.96311450523267494</v>
      </c>
      <c r="F1944">
        <v>0.64281261424371605</v>
      </c>
      <c r="G1944">
        <v>0.15115704833392599</v>
      </c>
      <c r="H1944">
        <v>9.6106605055185507E-2</v>
      </c>
      <c r="I1944">
        <v>7.0093033021112694E-2</v>
      </c>
      <c r="J1944">
        <v>7.1097392151012101E-2</v>
      </c>
      <c r="K1944">
        <v>5.3992228038967201E-2</v>
      </c>
      <c r="L1944">
        <v>2165.58152906027</v>
      </c>
      <c r="M1944">
        <v>40.375013566096698</v>
      </c>
      <c r="N1944">
        <v>53.840365595578803</v>
      </c>
      <c r="O1944">
        <v>53.505602224483901</v>
      </c>
      <c r="P1944">
        <v>-0.175286508984136</v>
      </c>
      <c r="Q1944">
        <v>7.0832158174650606E-2</v>
      </c>
      <c r="R1944">
        <v>0.99839605284742405</v>
      </c>
      <c r="S1944" t="s">
        <v>7805</v>
      </c>
      <c r="T1944" t="s">
        <v>11720</v>
      </c>
      <c r="U1944" t="s">
        <v>11720</v>
      </c>
      <c r="V1944" t="s">
        <v>11720</v>
      </c>
      <c r="W1944" t="s">
        <v>13625</v>
      </c>
      <c r="X1944">
        <v>40</v>
      </c>
      <c r="Y1944" t="s">
        <v>19395</v>
      </c>
      <c r="Z1944" t="s">
        <v>25151</v>
      </c>
      <c r="AA1944">
        <v>0.49656652940455481</v>
      </c>
      <c r="AB1944" t="str">
        <f>HYPERLINK("Melting_Curves/meltCurve_P13489_RNH1.pdf", "Melting_Curves/meltCurve_P13489_RNH1.pdf")</f>
        <v>Melting_Curves/meltCurve_P13489_RNH1.pdf</v>
      </c>
    </row>
    <row r="1945" spans="1:28" x14ac:dyDescent="0.25">
      <c r="A1945" t="s">
        <v>1949</v>
      </c>
      <c r="B1945">
        <v>0.99334974765950101</v>
      </c>
      <c r="C1945">
        <v>1.0338345958216899</v>
      </c>
      <c r="D1945">
        <v>0.97213013739949605</v>
      </c>
      <c r="E1945">
        <v>0.75582057185789597</v>
      </c>
      <c r="F1945">
        <v>0.373328056296369</v>
      </c>
      <c r="G1945">
        <v>0.27226972158873902</v>
      </c>
      <c r="H1945">
        <v>0.21778834361442201</v>
      </c>
      <c r="I1945">
        <v>0.15721143333607501</v>
      </c>
      <c r="J1945">
        <v>0.13818244934019</v>
      </c>
      <c r="K1945">
        <v>0.109069011124714</v>
      </c>
      <c r="L1945">
        <v>1436.3879761342</v>
      </c>
      <c r="M1945">
        <v>27.9459981781084</v>
      </c>
      <c r="N1945">
        <v>52.121268933297799</v>
      </c>
      <c r="O1945">
        <v>51.137689284645099</v>
      </c>
      <c r="P1945">
        <v>-0.114681051662649</v>
      </c>
      <c r="Q1945">
        <v>0.16059947064921301</v>
      </c>
      <c r="R1945">
        <v>0.99075877964771097</v>
      </c>
      <c r="S1945" t="s">
        <v>7806</v>
      </c>
      <c r="T1945" t="s">
        <v>11720</v>
      </c>
      <c r="U1945" t="s">
        <v>11720</v>
      </c>
      <c r="V1945" t="s">
        <v>11720</v>
      </c>
      <c r="W1945" t="s">
        <v>13626</v>
      </c>
      <c r="X1945">
        <v>31</v>
      </c>
      <c r="Y1945" t="s">
        <v>19396</v>
      </c>
      <c r="Z1945" t="s">
        <v>25152</v>
      </c>
      <c r="AA1945">
        <v>0.4856521600375156</v>
      </c>
      <c r="AB1945" t="str">
        <f>HYPERLINK("Melting_Curves/meltCurve_P13611_VCAN.pdf", "Melting_Curves/meltCurve_P13611_VCAN.pdf")</f>
        <v>Melting_Curves/meltCurve_P13611_VCAN.pdf</v>
      </c>
    </row>
    <row r="1946" spans="1:28" x14ac:dyDescent="0.25">
      <c r="A1946" t="s">
        <v>1950</v>
      </c>
      <c r="B1946">
        <v>0.99334974765950101</v>
      </c>
      <c r="C1946">
        <v>1.0256060106295</v>
      </c>
      <c r="D1946">
        <v>1.12395050077242</v>
      </c>
      <c r="E1946">
        <v>1.3328688033149201</v>
      </c>
      <c r="F1946">
        <v>1.3669007981688199</v>
      </c>
      <c r="G1946">
        <v>1.09844127199235</v>
      </c>
      <c r="H1946">
        <v>0.92796866235759601</v>
      </c>
      <c r="I1946">
        <v>0.77468600807152099</v>
      </c>
      <c r="J1946">
        <v>0.63467605838421504</v>
      </c>
      <c r="K1946">
        <v>0.49994258092701099</v>
      </c>
      <c r="L1946">
        <v>2109.8852387513998</v>
      </c>
      <c r="M1946">
        <v>32.522058692602101</v>
      </c>
      <c r="O1946">
        <v>64.631706913086703</v>
      </c>
      <c r="P1946">
        <v>-6.6842343273357196E-2</v>
      </c>
      <c r="Q1946">
        <v>0.46865432602351198</v>
      </c>
      <c r="R1946">
        <v>0.61174895700545995</v>
      </c>
      <c r="S1946" t="s">
        <v>7807</v>
      </c>
      <c r="T1946" t="s">
        <v>11720</v>
      </c>
      <c r="U1946" t="s">
        <v>11720</v>
      </c>
      <c r="V1946" t="s">
        <v>11720</v>
      </c>
      <c r="W1946" t="s">
        <v>13627</v>
      </c>
      <c r="X1946">
        <v>19</v>
      </c>
      <c r="Y1946" t="s">
        <v>19397</v>
      </c>
      <c r="Z1946" t="s">
        <v>25153</v>
      </c>
      <c r="AA1946">
        <v>0.90894610512537921</v>
      </c>
      <c r="AB1946" t="str">
        <f>HYPERLINK("Melting_Curves/meltCurve_P13612_ITGA4.pdf", "Melting_Curves/meltCurve_P13612_ITGA4.pdf")</f>
        <v>Melting_Curves/meltCurve_P13612_ITGA4.pdf</v>
      </c>
    </row>
    <row r="1947" spans="1:28" x14ac:dyDescent="0.25">
      <c r="A1947" t="s">
        <v>1951</v>
      </c>
      <c r="B1947">
        <v>0.99334974765950101</v>
      </c>
      <c r="C1947">
        <v>0.96017784473219703</v>
      </c>
      <c r="D1947">
        <v>1.1154048149576901</v>
      </c>
      <c r="E1947">
        <v>0.94258987041480002</v>
      </c>
      <c r="F1947">
        <v>0.94353322530640904</v>
      </c>
      <c r="G1947">
        <v>0.64913312427759295</v>
      </c>
      <c r="H1947">
        <v>0.193099936860327</v>
      </c>
      <c r="I1947">
        <v>7.1800297508104696E-2</v>
      </c>
      <c r="J1947">
        <v>6.5536281836896998E-2</v>
      </c>
      <c r="K1947">
        <v>5.3401820342377102E-2</v>
      </c>
      <c r="L1947">
        <v>1890.1773491265601</v>
      </c>
      <c r="M1947">
        <v>32.650926509672701</v>
      </c>
      <c r="N1947">
        <v>58.058026184444898</v>
      </c>
      <c r="O1947">
        <v>57.674609762965602</v>
      </c>
      <c r="P1947">
        <v>-0.135167505644057</v>
      </c>
      <c r="Q1947">
        <v>4.4964750796773603E-2</v>
      </c>
      <c r="R1947">
        <v>0.98998268681927903</v>
      </c>
      <c r="S1947" t="s">
        <v>7808</v>
      </c>
      <c r="T1947" t="s">
        <v>11720</v>
      </c>
      <c r="U1947" t="s">
        <v>11720</v>
      </c>
      <c r="V1947" t="s">
        <v>11720</v>
      </c>
      <c r="W1947" t="s">
        <v>13628</v>
      </c>
      <c r="X1947">
        <v>76</v>
      </c>
      <c r="Y1947" t="s">
        <v>19398</v>
      </c>
      <c r="Z1947" t="s">
        <v>25154</v>
      </c>
      <c r="AA1947">
        <v>0.61994747666617434</v>
      </c>
      <c r="AB1947" t="str">
        <f>HYPERLINK("Melting_Curves/meltCurve_P13639_EEF2.pdf", "Melting_Curves/meltCurve_P13639_EEF2.pdf")</f>
        <v>Melting_Curves/meltCurve_P13639_EEF2.pdf</v>
      </c>
    </row>
    <row r="1948" spans="1:28" x14ac:dyDescent="0.25">
      <c r="A1948" t="s">
        <v>1952</v>
      </c>
      <c r="B1948">
        <v>0.99334974765950101</v>
      </c>
      <c r="C1948">
        <v>0.93024599936355501</v>
      </c>
      <c r="D1948">
        <v>0.94361665262748395</v>
      </c>
      <c r="E1948">
        <v>0.60372004122631495</v>
      </c>
      <c r="F1948">
        <v>0.229224545792586</v>
      </c>
      <c r="G1948">
        <v>0.15151381049225299</v>
      </c>
      <c r="H1948">
        <v>0.10892808757647</v>
      </c>
      <c r="I1948">
        <v>0.10785672970867</v>
      </c>
      <c r="J1948">
        <v>8.4579132632725804E-2</v>
      </c>
      <c r="K1948">
        <v>6.8730438715291206E-2</v>
      </c>
      <c r="L1948">
        <v>1534.4843302876</v>
      </c>
      <c r="M1948">
        <v>30.5005405985716</v>
      </c>
      <c r="N1948">
        <v>50.660157565237299</v>
      </c>
      <c r="O1948">
        <v>50.0953095216531</v>
      </c>
      <c r="P1948">
        <v>-0.13775052752261199</v>
      </c>
      <c r="Q1948">
        <v>9.5018012091918194E-2</v>
      </c>
      <c r="R1948">
        <v>0.99499798902691095</v>
      </c>
      <c r="S1948" t="s">
        <v>7809</v>
      </c>
      <c r="T1948" t="s">
        <v>11720</v>
      </c>
      <c r="U1948" t="s">
        <v>11720</v>
      </c>
      <c r="V1948" t="s">
        <v>11720</v>
      </c>
      <c r="W1948" t="s">
        <v>13629</v>
      </c>
      <c r="X1948">
        <v>54</v>
      </c>
      <c r="Y1948" t="s">
        <v>19399</v>
      </c>
      <c r="Z1948" t="s">
        <v>25155</v>
      </c>
      <c r="AA1948">
        <v>0.41147339873288002</v>
      </c>
      <c r="AB1948" t="str">
        <f>HYPERLINK("Melting_Curves/meltCurve_P13667_PDIA4.pdf", "Melting_Curves/meltCurve_P13667_PDIA4.pdf")</f>
        <v>Melting_Curves/meltCurve_P13667_PDIA4.pdf</v>
      </c>
    </row>
    <row r="1949" spans="1:28" x14ac:dyDescent="0.25">
      <c r="A1949" t="s">
        <v>1953</v>
      </c>
      <c r="B1949">
        <v>0.99334974765950101</v>
      </c>
      <c r="C1949">
        <v>0.88532506835243996</v>
      </c>
      <c r="D1949">
        <v>0.83427743997428605</v>
      </c>
      <c r="E1949">
        <v>0.88233007734548796</v>
      </c>
      <c r="F1949">
        <v>0.75890625572584203</v>
      </c>
      <c r="G1949">
        <v>0.75269700283888796</v>
      </c>
      <c r="H1949">
        <v>0.432473280183991</v>
      </c>
      <c r="I1949">
        <v>0.27857957377165499</v>
      </c>
      <c r="J1949">
        <v>0.188155119895762</v>
      </c>
      <c r="K1949">
        <v>0.20381040438951201</v>
      </c>
      <c r="L1949">
        <v>624.24205260316899</v>
      </c>
      <c r="M1949">
        <v>10.462383369862399</v>
      </c>
      <c r="N1949">
        <v>59.665399535744797</v>
      </c>
      <c r="O1949">
        <v>57.609175955070498</v>
      </c>
      <c r="P1949">
        <v>-4.5420989980712798E-2</v>
      </c>
      <c r="Q1949">
        <v>0</v>
      </c>
      <c r="R1949">
        <v>0.94315469476068203</v>
      </c>
      <c r="S1949" t="s">
        <v>7810</v>
      </c>
      <c r="T1949" t="s">
        <v>11720</v>
      </c>
      <c r="U1949" t="s">
        <v>11720</v>
      </c>
      <c r="V1949" t="s">
        <v>11720</v>
      </c>
      <c r="W1949" t="s">
        <v>13630</v>
      </c>
      <c r="X1949">
        <v>22</v>
      </c>
      <c r="Y1949" t="s">
        <v>19400</v>
      </c>
      <c r="Z1949" t="s">
        <v>25156</v>
      </c>
      <c r="AA1949">
        <v>0.65572194779790616</v>
      </c>
      <c r="AB1949" t="str">
        <f>HYPERLINK("Melting_Curves/meltCurve_P13674_P4HA1.pdf", "Melting_Curves/meltCurve_P13674_P4HA1.pdf")</f>
        <v>Melting_Curves/meltCurve_P13674_P4HA1.pdf</v>
      </c>
    </row>
    <row r="1950" spans="1:28" x14ac:dyDescent="0.25">
      <c r="A1950" t="s">
        <v>1954</v>
      </c>
      <c r="B1950">
        <v>0.99334974765950101</v>
      </c>
      <c r="C1950">
        <v>1.19882461662982</v>
      </c>
      <c r="D1950">
        <v>1.1674247111268401</v>
      </c>
      <c r="E1950">
        <v>1.50409590475724</v>
      </c>
      <c r="F1950">
        <v>1.2367287831706699</v>
      </c>
      <c r="G1950">
        <v>0.96204353252763297</v>
      </c>
      <c r="H1950">
        <v>0.66163471303121002</v>
      </c>
      <c r="I1950">
        <v>0.36565805485865899</v>
      </c>
      <c r="J1950">
        <v>0.31068605286645101</v>
      </c>
      <c r="K1950">
        <v>0.389352847860305</v>
      </c>
      <c r="L1950">
        <v>3979.4295639428801</v>
      </c>
      <c r="M1950">
        <v>65.323863827367802</v>
      </c>
      <c r="N1950">
        <v>62.037679914379098</v>
      </c>
      <c r="O1950">
        <v>60.861451116833202</v>
      </c>
      <c r="P1950">
        <v>-0.17545350981341601</v>
      </c>
      <c r="Q1950">
        <v>0.34612856943534898</v>
      </c>
      <c r="R1950">
        <v>0.76088668672881898</v>
      </c>
      <c r="S1950" t="s">
        <v>7811</v>
      </c>
      <c r="T1950" t="s">
        <v>11720</v>
      </c>
      <c r="U1950" t="s">
        <v>11720</v>
      </c>
      <c r="V1950" t="s">
        <v>11720</v>
      </c>
      <c r="W1950" t="s">
        <v>13631</v>
      </c>
      <c r="X1950">
        <v>22</v>
      </c>
      <c r="Y1950" t="s">
        <v>19400</v>
      </c>
      <c r="Z1950" t="s">
        <v>25157</v>
      </c>
      <c r="AA1950">
        <v>0.80308266440958476</v>
      </c>
      <c r="AB1950" t="str">
        <f>HYPERLINK("Melting_Curves/meltCurve_P13674_2_P4HA1.pdf", "Melting_Curves/meltCurve_P13674_2_P4HA1.pdf")</f>
        <v>Melting_Curves/meltCurve_P13674_2_P4HA1.pdf</v>
      </c>
    </row>
    <row r="1951" spans="1:28" x14ac:dyDescent="0.25">
      <c r="A1951" t="s">
        <v>1955</v>
      </c>
      <c r="B1951">
        <v>0.99334974765950101</v>
      </c>
      <c r="C1951">
        <v>0.99269192873108303</v>
      </c>
      <c r="D1951">
        <v>0.94841787847682801</v>
      </c>
      <c r="E1951">
        <v>0.753987540059742</v>
      </c>
      <c r="F1951">
        <v>0.483811882939019</v>
      </c>
      <c r="G1951">
        <v>0.19002792002529001</v>
      </c>
      <c r="H1951">
        <v>0.149329809024833</v>
      </c>
      <c r="I1951">
        <v>0.15017191351543699</v>
      </c>
      <c r="J1951">
        <v>0.168812201941861</v>
      </c>
      <c r="K1951">
        <v>0.16274912450436399</v>
      </c>
      <c r="L1951">
        <v>1325.84269843213</v>
      </c>
      <c r="M1951">
        <v>25.559492610403201</v>
      </c>
      <c r="N1951">
        <v>52.582976909702403</v>
      </c>
      <c r="O1951">
        <v>51.558385604024103</v>
      </c>
      <c r="P1951">
        <v>-0.105846485680271</v>
      </c>
      <c r="Q1951">
        <v>0.14595980680165199</v>
      </c>
      <c r="R1951">
        <v>0.99761402115626796</v>
      </c>
      <c r="S1951" t="s">
        <v>7812</v>
      </c>
      <c r="T1951" t="s">
        <v>11720</v>
      </c>
      <c r="U1951" t="s">
        <v>11720</v>
      </c>
      <c r="V1951" t="s">
        <v>11720</v>
      </c>
      <c r="W1951" t="s">
        <v>13632</v>
      </c>
      <c r="X1951">
        <v>15</v>
      </c>
      <c r="Y1951" t="s">
        <v>19401</v>
      </c>
      <c r="Z1951" t="s">
        <v>25158</v>
      </c>
      <c r="AA1951">
        <v>0.49141537173946992</v>
      </c>
      <c r="AB1951" t="str">
        <f>HYPERLINK("Melting_Curves/meltCurve_P13693_TPT1.pdf", "Melting_Curves/meltCurve_P13693_TPT1.pdf")</f>
        <v>Melting_Curves/meltCurve_P13693_TPT1.pdf</v>
      </c>
    </row>
    <row r="1952" spans="1:28" x14ac:dyDescent="0.25">
      <c r="A1952" t="s">
        <v>1956</v>
      </c>
      <c r="B1952">
        <v>0.99334974765950101</v>
      </c>
      <c r="C1952">
        <v>0.96292289230290795</v>
      </c>
      <c r="D1952">
        <v>0.93220316073943199</v>
      </c>
      <c r="E1952">
        <v>0.82612927485999299</v>
      </c>
      <c r="F1952">
        <v>1.15677412456483</v>
      </c>
      <c r="G1952">
        <v>0.75394240592294104</v>
      </c>
      <c r="H1952">
        <v>0.67751409366853999</v>
      </c>
      <c r="I1952">
        <v>0.74499021619045303</v>
      </c>
      <c r="J1952">
        <v>0.88679798272370003</v>
      </c>
      <c r="K1952">
        <v>0.80198453712458095</v>
      </c>
      <c r="L1952">
        <v>6994.8874811586302</v>
      </c>
      <c r="M1952">
        <v>126.36053674337801</v>
      </c>
      <c r="O1952">
        <v>55.342720595213798</v>
      </c>
      <c r="P1952">
        <v>-0.13007454255644699</v>
      </c>
      <c r="Q1952">
        <v>0.77212255991721201</v>
      </c>
      <c r="R1952">
        <v>0.53289800126479503</v>
      </c>
      <c r="S1952" t="s">
        <v>7813</v>
      </c>
      <c r="T1952" t="s">
        <v>11720</v>
      </c>
      <c r="U1952" t="s">
        <v>11720</v>
      </c>
      <c r="V1952" t="s">
        <v>11720</v>
      </c>
      <c r="W1952" t="s">
        <v>13633</v>
      </c>
      <c r="X1952">
        <v>9</v>
      </c>
      <c r="Y1952" t="s">
        <v>19402</v>
      </c>
      <c r="Z1952" t="s">
        <v>25159</v>
      </c>
      <c r="AA1952">
        <v>0.88885656287452264</v>
      </c>
      <c r="AB1952" t="str">
        <f>HYPERLINK("Melting_Curves/meltCurve_P13726_F3.pdf", "Melting_Curves/meltCurve_P13726_F3.pdf")</f>
        <v>Melting_Curves/meltCurve_P13726_F3.pdf</v>
      </c>
    </row>
    <row r="1953" spans="1:28" x14ac:dyDescent="0.25">
      <c r="A1953" t="s">
        <v>1957</v>
      </c>
      <c r="B1953">
        <v>0.99334974765950101</v>
      </c>
      <c r="C1953">
        <v>0.97350125568282497</v>
      </c>
      <c r="D1953">
        <v>0.96205618427134698</v>
      </c>
      <c r="E1953">
        <v>0.99247223811861895</v>
      </c>
      <c r="F1953">
        <v>1.23786456284702</v>
      </c>
      <c r="G1953">
        <v>0.81640486532273404</v>
      </c>
      <c r="H1953">
        <v>0.84804804264895695</v>
      </c>
      <c r="I1953">
        <v>0.94477126277516499</v>
      </c>
      <c r="J1953">
        <v>1.0679811043604199</v>
      </c>
      <c r="K1953">
        <v>0.56048396477617701</v>
      </c>
      <c r="L1953">
        <v>15000</v>
      </c>
      <c r="M1953">
        <v>214.04252801511601</v>
      </c>
      <c r="Q1953">
        <v>0</v>
      </c>
      <c r="R1953">
        <v>0.55980146263463504</v>
      </c>
      <c r="S1953" t="s">
        <v>7814</v>
      </c>
      <c r="T1953" t="s">
        <v>11720</v>
      </c>
      <c r="U1953" t="s">
        <v>11720</v>
      </c>
      <c r="V1953" t="s">
        <v>11720</v>
      </c>
      <c r="W1953" t="s">
        <v>13634</v>
      </c>
      <c r="X1953">
        <v>24</v>
      </c>
      <c r="Y1953" t="s">
        <v>19403</v>
      </c>
      <c r="Z1953" t="s">
        <v>25160</v>
      </c>
      <c r="AA1953">
        <v>0.99376300508833304</v>
      </c>
      <c r="AB1953" t="str">
        <f>HYPERLINK("Melting_Curves/meltCurve_P13746_2_HLA_A.pdf", "Melting_Curves/meltCurve_P13746_2_HLA_A.pdf")</f>
        <v>Melting_Curves/meltCurve_P13746_2_HLA_A.pdf</v>
      </c>
    </row>
    <row r="1954" spans="1:28" x14ac:dyDescent="0.25">
      <c r="A1954" t="s">
        <v>1958</v>
      </c>
      <c r="B1954">
        <v>0.99334974765950101</v>
      </c>
      <c r="C1954">
        <v>0.96718649849553096</v>
      </c>
      <c r="D1954">
        <v>0.96034789140914401</v>
      </c>
      <c r="E1954">
        <v>0.86708426224624502</v>
      </c>
      <c r="F1954">
        <v>0.66223156179974996</v>
      </c>
      <c r="G1954">
        <v>0.253228855539187</v>
      </c>
      <c r="H1954">
        <v>0.10805973111848299</v>
      </c>
      <c r="I1954">
        <v>8.9562221856089003E-2</v>
      </c>
      <c r="J1954">
        <v>6.8727052629708699E-2</v>
      </c>
      <c r="K1954">
        <v>5.5223341926050197E-2</v>
      </c>
      <c r="L1954">
        <v>1301.59710012038</v>
      </c>
      <c r="M1954">
        <v>24.068179152567598</v>
      </c>
      <c r="N1954">
        <v>54.345575341812697</v>
      </c>
      <c r="O1954">
        <v>53.710393297265398</v>
      </c>
      <c r="P1954">
        <v>-0.105804795806205</v>
      </c>
      <c r="Q1954">
        <v>5.5561505661093198E-2</v>
      </c>
      <c r="R1954">
        <v>0.99822320901614503</v>
      </c>
      <c r="S1954" t="s">
        <v>7815</v>
      </c>
      <c r="T1954" t="s">
        <v>11720</v>
      </c>
      <c r="U1954" t="s">
        <v>11720</v>
      </c>
      <c r="V1954" t="s">
        <v>11720</v>
      </c>
      <c r="W1954" t="s">
        <v>13635</v>
      </c>
      <c r="X1954">
        <v>42</v>
      </c>
      <c r="Y1954" t="s">
        <v>19404</v>
      </c>
      <c r="Z1954" t="s">
        <v>25161</v>
      </c>
      <c r="AA1954">
        <v>0.50816518185624882</v>
      </c>
      <c r="AB1954" t="str">
        <f>HYPERLINK("Melting_Curves/meltCurve_P13797_PLS3.pdf", "Melting_Curves/meltCurve_P13797_PLS3.pdf")</f>
        <v>Melting_Curves/meltCurve_P13797_PLS3.pdf</v>
      </c>
    </row>
    <row r="1955" spans="1:28" x14ac:dyDescent="0.25">
      <c r="A1955" t="s">
        <v>1959</v>
      </c>
      <c r="B1955">
        <v>0.99334974765950101</v>
      </c>
      <c r="C1955">
        <v>0.948405673640494</v>
      </c>
      <c r="D1955">
        <v>0.93168139868540101</v>
      </c>
      <c r="E1955">
        <v>0.68172018438651005</v>
      </c>
      <c r="F1955">
        <v>0.32968087276371399</v>
      </c>
      <c r="G1955">
        <v>0.174481005177274</v>
      </c>
      <c r="H1955">
        <v>0.106369497398077</v>
      </c>
      <c r="I1955">
        <v>4.8756657293380197E-2</v>
      </c>
      <c r="J1955">
        <v>3.1828747143172999E-2</v>
      </c>
      <c r="K1955">
        <v>1.9116403724841202E-2</v>
      </c>
      <c r="L1955">
        <v>1076.56976632537</v>
      </c>
      <c r="M1955">
        <v>20.943967811180499</v>
      </c>
      <c r="N1955">
        <v>51.595256099393701</v>
      </c>
      <c r="O1955">
        <v>50.940646780858998</v>
      </c>
      <c r="P1955">
        <v>-9.8918540248284406E-2</v>
      </c>
      <c r="Q1955">
        <v>3.7653636557968002E-2</v>
      </c>
      <c r="R1955">
        <v>0.99583521134763697</v>
      </c>
      <c r="S1955" t="s">
        <v>7816</v>
      </c>
      <c r="T1955" t="s">
        <v>11720</v>
      </c>
      <c r="U1955" t="s">
        <v>11720</v>
      </c>
      <c r="V1955" t="s">
        <v>11720</v>
      </c>
      <c r="W1955" t="s">
        <v>13636</v>
      </c>
      <c r="X1955">
        <v>20</v>
      </c>
      <c r="Y1955" t="s">
        <v>19405</v>
      </c>
      <c r="Z1955" t="s">
        <v>25162</v>
      </c>
      <c r="AA1955">
        <v>0.4156725435321495</v>
      </c>
      <c r="AB1955" t="str">
        <f>HYPERLINK("Melting_Curves/meltCurve_P13804_ETFA.pdf", "Melting_Curves/meltCurve_P13804_ETFA.pdf")</f>
        <v>Melting_Curves/meltCurve_P13804_ETFA.pdf</v>
      </c>
    </row>
    <row r="1956" spans="1:28" x14ac:dyDescent="0.25">
      <c r="A1956" t="s">
        <v>1960</v>
      </c>
      <c r="B1956">
        <v>0.99334974765950101</v>
      </c>
      <c r="C1956">
        <v>0.95461841193902297</v>
      </c>
      <c r="D1956">
        <v>0.99728299674203302</v>
      </c>
      <c r="E1956">
        <v>0.86691829723105995</v>
      </c>
      <c r="F1956">
        <v>0.48646496107964199</v>
      </c>
      <c r="G1956">
        <v>0.169048075734063</v>
      </c>
      <c r="H1956">
        <v>9.99424749706226E-2</v>
      </c>
      <c r="I1956">
        <v>7.7620205371270498E-2</v>
      </c>
      <c r="J1956">
        <v>6.4970884460358203E-2</v>
      </c>
      <c r="K1956">
        <v>5.2759328121186402E-2</v>
      </c>
      <c r="L1956">
        <v>1620.48187603472</v>
      </c>
      <c r="M1956">
        <v>30.7313853923919</v>
      </c>
      <c r="N1956">
        <v>52.993390321806402</v>
      </c>
      <c r="O1956">
        <v>52.508746821369598</v>
      </c>
      <c r="P1956">
        <v>-0.13597247694551701</v>
      </c>
      <c r="Q1956">
        <v>7.0695711315823306E-2</v>
      </c>
      <c r="R1956">
        <v>0.99805687904613805</v>
      </c>
      <c r="S1956" t="s">
        <v>7817</v>
      </c>
      <c r="T1956" t="s">
        <v>11720</v>
      </c>
      <c r="U1956" t="s">
        <v>11720</v>
      </c>
      <c r="V1956" t="s">
        <v>11720</v>
      </c>
      <c r="W1956" t="s">
        <v>13637</v>
      </c>
      <c r="X1956">
        <v>27</v>
      </c>
      <c r="Y1956" t="s">
        <v>19406</v>
      </c>
      <c r="Z1956" t="s">
        <v>25163</v>
      </c>
      <c r="AA1956">
        <v>0.4707718805566109</v>
      </c>
      <c r="AB1956" t="str">
        <f>HYPERLINK("Melting_Curves/meltCurve_P13861_PRKAR2A.pdf", "Melting_Curves/meltCurve_P13861_PRKAR2A.pdf")</f>
        <v>Melting_Curves/meltCurve_P13861_PRKAR2A.pdf</v>
      </c>
    </row>
    <row r="1957" spans="1:28" x14ac:dyDescent="0.25">
      <c r="A1957" t="s">
        <v>1961</v>
      </c>
      <c r="B1957">
        <v>0.99334974765950101</v>
      </c>
      <c r="C1957">
        <v>1.05448533487478</v>
      </c>
      <c r="D1957">
        <v>1.0761944380864199</v>
      </c>
      <c r="E1957">
        <v>0.91803782572254</v>
      </c>
      <c r="F1957">
        <v>0.88415441825422403</v>
      </c>
      <c r="G1957">
        <v>0.770248114288</v>
      </c>
      <c r="H1957">
        <v>0.55135960843630305</v>
      </c>
      <c r="I1957">
        <v>0.22783700185132899</v>
      </c>
      <c r="J1957">
        <v>0.12815682904860301</v>
      </c>
      <c r="K1957">
        <v>9.3829511639239097E-2</v>
      </c>
      <c r="L1957">
        <v>1121.4338471332801</v>
      </c>
      <c r="M1957">
        <v>18.456695895572501</v>
      </c>
      <c r="N1957">
        <v>60.760272541728703</v>
      </c>
      <c r="O1957">
        <v>60.060463053950997</v>
      </c>
      <c r="P1957">
        <v>-7.6828915205605794E-2</v>
      </c>
      <c r="Q1957">
        <v>0</v>
      </c>
      <c r="R1957">
        <v>0.982014296027095</v>
      </c>
      <c r="S1957" t="s">
        <v>7818</v>
      </c>
      <c r="T1957" t="s">
        <v>11720</v>
      </c>
      <c r="U1957" t="s">
        <v>11720</v>
      </c>
      <c r="V1957" t="s">
        <v>11720</v>
      </c>
      <c r="W1957" t="s">
        <v>13638</v>
      </c>
      <c r="X1957">
        <v>8</v>
      </c>
      <c r="Y1957" t="s">
        <v>19407</v>
      </c>
      <c r="Z1957" t="s">
        <v>25164</v>
      </c>
      <c r="AA1957">
        <v>0.69827331466427711</v>
      </c>
      <c r="AB1957" t="str">
        <f>HYPERLINK("Melting_Curves/meltCurve_P13929_2_ENO3.pdf", "Melting_Curves/meltCurve_P13929_2_ENO3.pdf")</f>
        <v>Melting_Curves/meltCurve_P13929_2_ENO3.pdf</v>
      </c>
    </row>
    <row r="1958" spans="1:28" x14ac:dyDescent="0.25">
      <c r="A1958" t="s">
        <v>1962</v>
      </c>
      <c r="B1958">
        <v>0.99334974765950101</v>
      </c>
      <c r="C1958">
        <v>0.98011422353198197</v>
      </c>
      <c r="D1958">
        <v>0.96063081864562905</v>
      </c>
      <c r="E1958">
        <v>0.76293082181471095</v>
      </c>
      <c r="F1958">
        <v>0.50814035680157998</v>
      </c>
      <c r="G1958">
        <v>0.27311062852962098</v>
      </c>
      <c r="H1958">
        <v>0.158399992848934</v>
      </c>
      <c r="I1958">
        <v>0.15958885459685501</v>
      </c>
      <c r="J1958">
        <v>0.14228089000779501</v>
      </c>
      <c r="K1958">
        <v>0.120512622256748</v>
      </c>
      <c r="L1958">
        <v>1078.4638068660399</v>
      </c>
      <c r="M1958">
        <v>20.582876198423499</v>
      </c>
      <c r="N1958">
        <v>53.147813004163702</v>
      </c>
      <c r="O1958">
        <v>51.909106570636297</v>
      </c>
      <c r="P1958">
        <v>-8.6613777546169196E-2</v>
      </c>
      <c r="Q1958">
        <v>0.126280870077705</v>
      </c>
      <c r="R1958">
        <v>0.999409195536485</v>
      </c>
      <c r="S1958" t="s">
        <v>7819</v>
      </c>
      <c r="T1958" t="s">
        <v>11720</v>
      </c>
      <c r="U1958" t="s">
        <v>11720</v>
      </c>
      <c r="V1958" t="s">
        <v>11720</v>
      </c>
      <c r="W1958" t="s">
        <v>13639</v>
      </c>
      <c r="X1958">
        <v>6</v>
      </c>
      <c r="Y1958" t="s">
        <v>19408</v>
      </c>
      <c r="Z1958" t="s">
        <v>25165</v>
      </c>
      <c r="AA1958">
        <v>0.49877583047470953</v>
      </c>
      <c r="AB1958" t="str">
        <f>HYPERLINK("Melting_Curves/meltCurve_P13984_GTF2F2.pdf", "Melting_Curves/meltCurve_P13984_GTF2F2.pdf")</f>
        <v>Melting_Curves/meltCurve_P13984_GTF2F2.pdf</v>
      </c>
    </row>
    <row r="1959" spans="1:28" x14ac:dyDescent="0.25">
      <c r="A1959" t="s">
        <v>1963</v>
      </c>
      <c r="B1959">
        <v>0.99334974765950101</v>
      </c>
      <c r="C1959">
        <v>1.07530518660977</v>
      </c>
      <c r="D1959">
        <v>0.96912259423097202</v>
      </c>
      <c r="E1959">
        <v>0.85517815462451197</v>
      </c>
      <c r="F1959">
        <v>0.71378219343082505</v>
      </c>
      <c r="G1959">
        <v>0.23094867316510001</v>
      </c>
      <c r="H1959">
        <v>7.6541209569395405E-2</v>
      </c>
      <c r="I1959">
        <v>5.0520105746140402E-2</v>
      </c>
      <c r="J1959">
        <v>4.4471127880992001E-2</v>
      </c>
      <c r="K1959">
        <v>3.7527460574402399E-2</v>
      </c>
      <c r="L1959">
        <v>1427.7386962926801</v>
      </c>
      <c r="M1959">
        <v>26.257536967526899</v>
      </c>
      <c r="N1959">
        <v>54.502504842490303</v>
      </c>
      <c r="O1959">
        <v>54.062001254200503</v>
      </c>
      <c r="P1959">
        <v>-0.117791878660223</v>
      </c>
      <c r="Q1959">
        <v>2.9917738026841799E-2</v>
      </c>
      <c r="R1959">
        <v>0.99363818898775003</v>
      </c>
      <c r="S1959" t="s">
        <v>7820</v>
      </c>
      <c r="T1959" t="s">
        <v>11720</v>
      </c>
      <c r="U1959" t="s">
        <v>11720</v>
      </c>
      <c r="V1959" t="s">
        <v>11720</v>
      </c>
      <c r="W1959" t="s">
        <v>13640</v>
      </c>
      <c r="X1959">
        <v>10</v>
      </c>
      <c r="Y1959" t="s">
        <v>19409</v>
      </c>
      <c r="Z1959" t="s">
        <v>25166</v>
      </c>
      <c r="AA1959">
        <v>0.50294723413595799</v>
      </c>
      <c r="AB1959" t="str">
        <f>HYPERLINK("Melting_Curves/meltCurve_P13995_MTHFD2.pdf", "Melting_Curves/meltCurve_P13995_MTHFD2.pdf")</f>
        <v>Melting_Curves/meltCurve_P13995_MTHFD2.pdf</v>
      </c>
    </row>
    <row r="1960" spans="1:28" x14ac:dyDescent="0.25">
      <c r="A1960" t="s">
        <v>1964</v>
      </c>
      <c r="B1960">
        <v>0.99334974765950101</v>
      </c>
      <c r="C1960">
        <v>0.97535275937450405</v>
      </c>
      <c r="D1960">
        <v>0.99665921428043602</v>
      </c>
      <c r="E1960">
        <v>0.81337306160657197</v>
      </c>
      <c r="F1960">
        <v>0.65515854060406997</v>
      </c>
      <c r="G1960">
        <v>0.67279059815320097</v>
      </c>
      <c r="H1960">
        <v>0.60801840711111199</v>
      </c>
      <c r="I1960">
        <v>0.59350842563831996</v>
      </c>
      <c r="J1960">
        <v>0.51522005706752605</v>
      </c>
      <c r="K1960">
        <v>0.342884279985743</v>
      </c>
      <c r="L1960">
        <v>388.47865543472898</v>
      </c>
      <c r="M1960">
        <v>6.3588159160363196</v>
      </c>
      <c r="N1960">
        <v>65.234506913493703</v>
      </c>
      <c r="O1960">
        <v>55.888205331069102</v>
      </c>
      <c r="P1960">
        <v>-2.3782680093141901E-2</v>
      </c>
      <c r="Q1960">
        <v>0.16607976158839299</v>
      </c>
      <c r="R1960">
        <v>0.91651547477760298</v>
      </c>
      <c r="S1960" t="s">
        <v>7821</v>
      </c>
      <c r="T1960" t="s">
        <v>11720</v>
      </c>
      <c r="U1960" t="s">
        <v>11720</v>
      </c>
      <c r="V1960" t="s">
        <v>11720</v>
      </c>
      <c r="W1960" t="s">
        <v>13641</v>
      </c>
      <c r="X1960">
        <v>6</v>
      </c>
      <c r="Y1960" t="s">
        <v>19410</v>
      </c>
      <c r="Z1960" t="s">
        <v>25167</v>
      </c>
      <c r="AA1960">
        <v>0.71579650891286961</v>
      </c>
      <c r="AB1960" t="str">
        <f>HYPERLINK("Melting_Curves/meltCurve_P14174_MIF.pdf", "Melting_Curves/meltCurve_P14174_MIF.pdf")</f>
        <v>Melting_Curves/meltCurve_P14174_MIF.pdf</v>
      </c>
    </row>
    <row r="1961" spans="1:28" x14ac:dyDescent="0.25">
      <c r="A1961" t="s">
        <v>1965</v>
      </c>
      <c r="B1961">
        <v>0.99334974765950101</v>
      </c>
      <c r="C1961">
        <v>0.99677680906579902</v>
      </c>
      <c r="D1961">
        <v>0.83714808882671199</v>
      </c>
      <c r="E1961">
        <v>0.78094523202146604</v>
      </c>
      <c r="F1961">
        <v>1.06885029589711</v>
      </c>
      <c r="G1961">
        <v>0.69619730283812298</v>
      </c>
      <c r="H1961">
        <v>0.753535230224049</v>
      </c>
      <c r="I1961">
        <v>0.68200298777198698</v>
      </c>
      <c r="J1961">
        <v>0.87666470870728697</v>
      </c>
      <c r="K1961">
        <v>0.66530982882765799</v>
      </c>
      <c r="L1961">
        <v>360.81483906327901</v>
      </c>
      <c r="M1961">
        <v>6.6705205088480701</v>
      </c>
      <c r="O1961">
        <v>49.850688272131002</v>
      </c>
      <c r="P1961">
        <v>-1.1337322115381399E-2</v>
      </c>
      <c r="Q1961">
        <v>0.66183965723771199</v>
      </c>
      <c r="R1961">
        <v>0.419791755428295</v>
      </c>
      <c r="S1961" t="s">
        <v>7822</v>
      </c>
      <c r="T1961" t="s">
        <v>11720</v>
      </c>
      <c r="U1961" t="s">
        <v>11720</v>
      </c>
      <c r="V1961" t="s">
        <v>11720</v>
      </c>
      <c r="W1961" t="s">
        <v>13642</v>
      </c>
      <c r="X1961">
        <v>6</v>
      </c>
      <c r="Y1961" t="s">
        <v>19411</v>
      </c>
      <c r="Z1961" t="s">
        <v>25168</v>
      </c>
      <c r="AA1961">
        <v>0.83263457371449434</v>
      </c>
      <c r="AB1961" t="str">
        <f>HYPERLINK("Melting_Curves/meltCurve_P14209_3_CD99.pdf", "Melting_Curves/meltCurve_P14209_3_CD99.pdf")</f>
        <v>Melting_Curves/meltCurve_P14209_3_CD99.pdf</v>
      </c>
    </row>
    <row r="1962" spans="1:28" x14ac:dyDescent="0.25">
      <c r="A1962" t="s">
        <v>1966</v>
      </c>
      <c r="B1962">
        <v>0.99334974765950101</v>
      </c>
      <c r="C1962">
        <v>0.96502995583382101</v>
      </c>
      <c r="D1962">
        <v>0.87804640214430196</v>
      </c>
      <c r="E1962">
        <v>0.53275044034336205</v>
      </c>
      <c r="F1962">
        <v>0.17326413891012599</v>
      </c>
      <c r="G1962">
        <v>0.109432821911261</v>
      </c>
      <c r="H1962">
        <v>8.7812897315620697E-2</v>
      </c>
      <c r="I1962">
        <v>9.5767576421446496E-2</v>
      </c>
      <c r="J1962">
        <v>9.4965711357703403E-2</v>
      </c>
      <c r="K1962">
        <v>7.9265512206354902E-2</v>
      </c>
      <c r="L1962">
        <v>1387.97849562891</v>
      </c>
      <c r="M1962">
        <v>27.948131141283501</v>
      </c>
      <c r="N1962">
        <v>49.985491885527502</v>
      </c>
      <c r="O1962">
        <v>49.410485953474897</v>
      </c>
      <c r="P1962">
        <v>-0.129732537805894</v>
      </c>
      <c r="Q1962">
        <v>8.2573022527682005E-2</v>
      </c>
      <c r="R1962">
        <v>0.99647179064371005</v>
      </c>
      <c r="S1962" t="s">
        <v>7823</v>
      </c>
      <c r="T1962" t="s">
        <v>11720</v>
      </c>
      <c r="U1962" t="s">
        <v>11720</v>
      </c>
      <c r="V1962" t="s">
        <v>11720</v>
      </c>
      <c r="W1962" t="s">
        <v>13643</v>
      </c>
      <c r="X1962">
        <v>16</v>
      </c>
      <c r="Y1962" t="s">
        <v>19412</v>
      </c>
      <c r="Z1962" t="s">
        <v>25169</v>
      </c>
      <c r="AA1962">
        <v>0.38458354220779178</v>
      </c>
      <c r="AB1962" t="str">
        <f>HYPERLINK("Melting_Curves/meltCurve_P14324_2_FDPS.pdf", "Melting_Curves/meltCurve_P14324_2_FDPS.pdf")</f>
        <v>Melting_Curves/meltCurve_P14324_2_FDPS.pdf</v>
      </c>
    </row>
    <row r="1963" spans="1:28" x14ac:dyDescent="0.25">
      <c r="A1963" t="s">
        <v>1967</v>
      </c>
      <c r="B1963">
        <v>0.99334974765950101</v>
      </c>
      <c r="C1963">
        <v>0.91724784642161805</v>
      </c>
      <c r="D1963">
        <v>1.0107608731048801</v>
      </c>
      <c r="E1963">
        <v>0.76862659745599504</v>
      </c>
      <c r="F1963">
        <v>0.61388266107623501</v>
      </c>
      <c r="G1963">
        <v>0.44387655521957498</v>
      </c>
      <c r="H1963">
        <v>0.32498186155994901</v>
      </c>
      <c r="I1963">
        <v>0.36717211747699302</v>
      </c>
      <c r="J1963">
        <v>0.25414346552035599</v>
      </c>
      <c r="K1963">
        <v>0.1880557341945</v>
      </c>
      <c r="L1963">
        <v>749.54280922963596</v>
      </c>
      <c r="M1963">
        <v>14.0121920259632</v>
      </c>
      <c r="N1963">
        <v>55.7207573102406</v>
      </c>
      <c r="O1963">
        <v>52.438022970722997</v>
      </c>
      <c r="P1963">
        <v>-5.2480014047494E-2</v>
      </c>
      <c r="Q1963">
        <v>0.214516817098311</v>
      </c>
      <c r="R1963">
        <v>0.97686711404306903</v>
      </c>
      <c r="S1963" t="s">
        <v>7824</v>
      </c>
      <c r="T1963" t="s">
        <v>11720</v>
      </c>
      <c r="U1963" t="s">
        <v>11720</v>
      </c>
      <c r="V1963" t="s">
        <v>11720</v>
      </c>
      <c r="W1963" t="s">
        <v>13644</v>
      </c>
      <c r="X1963">
        <v>4</v>
      </c>
      <c r="Y1963" t="s">
        <v>19413</v>
      </c>
      <c r="Z1963" t="s">
        <v>25170</v>
      </c>
      <c r="AA1963">
        <v>0.58581484356697322</v>
      </c>
      <c r="AB1963" t="str">
        <f>HYPERLINK("Melting_Curves/meltCurve_P14384_CPM.pdf", "Melting_Curves/meltCurve_P14384_CPM.pdf")</f>
        <v>Melting_Curves/meltCurve_P14384_CPM.pdf</v>
      </c>
    </row>
    <row r="1964" spans="1:28" x14ac:dyDescent="0.25">
      <c r="A1964" t="s">
        <v>1968</v>
      </c>
      <c r="B1964">
        <v>0.99334974765950101</v>
      </c>
      <c r="C1964">
        <v>1.01428955150017</v>
      </c>
      <c r="D1964">
        <v>0.92869301632543999</v>
      </c>
      <c r="E1964">
        <v>0.71721463484571202</v>
      </c>
      <c r="F1964">
        <v>0.19993611604365999</v>
      </c>
      <c r="G1964">
        <v>0.124063378716157</v>
      </c>
      <c r="H1964">
        <v>9.3401273760074996E-2</v>
      </c>
      <c r="I1964">
        <v>7.6258760590402305E-2</v>
      </c>
      <c r="J1964">
        <v>6.8643557312326201E-2</v>
      </c>
      <c r="K1964">
        <v>5.8388887033933502E-2</v>
      </c>
      <c r="L1964">
        <v>2261.1975010573301</v>
      </c>
      <c r="M1964">
        <v>44.454061895994997</v>
      </c>
      <c r="N1964">
        <v>51.068201489746301</v>
      </c>
      <c r="O1964">
        <v>50.763314981162701</v>
      </c>
      <c r="P1964">
        <v>-0.20125626854300899</v>
      </c>
      <c r="Q1964">
        <v>8.0720833626788793E-2</v>
      </c>
      <c r="R1964">
        <v>0.99602294476216502</v>
      </c>
      <c r="S1964" t="s">
        <v>7825</v>
      </c>
      <c r="T1964" t="s">
        <v>11720</v>
      </c>
      <c r="U1964" t="s">
        <v>11720</v>
      </c>
      <c r="V1964" t="s">
        <v>11720</v>
      </c>
      <c r="W1964" t="s">
        <v>13645</v>
      </c>
      <c r="X1964">
        <v>25</v>
      </c>
      <c r="Y1964" t="s">
        <v>19414</v>
      </c>
      <c r="Z1964" t="s">
        <v>25171</v>
      </c>
      <c r="AA1964">
        <v>0.4162948221641668</v>
      </c>
      <c r="AB1964" t="str">
        <f>HYPERLINK("Melting_Curves/meltCurve_P14550_AKR1A1.pdf", "Melting_Curves/meltCurve_P14550_AKR1A1.pdf")</f>
        <v>Melting_Curves/meltCurve_P14550_AKR1A1.pdf</v>
      </c>
    </row>
    <row r="1965" spans="1:28" x14ac:dyDescent="0.25">
      <c r="A1965" t="s">
        <v>1969</v>
      </c>
      <c r="B1965">
        <v>0.99334974765950101</v>
      </c>
      <c r="C1965">
        <v>1.0709961230549601</v>
      </c>
      <c r="D1965">
        <v>1.2220622021955001</v>
      </c>
      <c r="E1965">
        <v>1.62146555590937</v>
      </c>
      <c r="F1965">
        <v>1.9022282151287599</v>
      </c>
      <c r="G1965">
        <v>1.5214320258115599</v>
      </c>
      <c r="H1965">
        <v>0.40816558537457398</v>
      </c>
      <c r="I1965">
        <v>0.12043857674616</v>
      </c>
      <c r="J1965">
        <v>8.0797430425152306E-2</v>
      </c>
      <c r="K1965">
        <v>5.868122185368E-2</v>
      </c>
      <c r="L1965">
        <v>11386.5020265315</v>
      </c>
      <c r="M1965">
        <v>187.27391816620201</v>
      </c>
      <c r="N1965">
        <v>60.863134973980301</v>
      </c>
      <c r="O1965">
        <v>60.794390028366202</v>
      </c>
      <c r="P1965">
        <v>-0.70341394798561196</v>
      </c>
      <c r="Q1965">
        <v>8.6608063763252696E-2</v>
      </c>
      <c r="R1965">
        <v>0.64299184844075297</v>
      </c>
      <c r="S1965" t="s">
        <v>7826</v>
      </c>
      <c r="T1965" t="s">
        <v>11720</v>
      </c>
      <c r="U1965" t="s">
        <v>11720</v>
      </c>
      <c r="V1965" t="s">
        <v>11720</v>
      </c>
      <c r="W1965" t="s">
        <v>13646</v>
      </c>
      <c r="X1965">
        <v>54</v>
      </c>
      <c r="Y1965" t="s">
        <v>18415</v>
      </c>
      <c r="Z1965" t="s">
        <v>25172</v>
      </c>
      <c r="AA1965">
        <v>0.7201071441178003</v>
      </c>
      <c r="AB1965" t="str">
        <f>HYPERLINK("Melting_Curves/meltCurve_P14618_PKM.pdf", "Melting_Curves/meltCurve_P14618_PKM.pdf")</f>
        <v>Melting_Curves/meltCurve_P14618_PKM.pdf</v>
      </c>
    </row>
    <row r="1966" spans="1:28" x14ac:dyDescent="0.25">
      <c r="A1966" t="s">
        <v>1970</v>
      </c>
      <c r="B1966">
        <v>0.99334974765950101</v>
      </c>
      <c r="C1966">
        <v>1.02360203626391</v>
      </c>
      <c r="D1966">
        <v>0.84421130884844597</v>
      </c>
      <c r="E1966">
        <v>0.75219717627753802</v>
      </c>
      <c r="F1966">
        <v>0.51339096320555599</v>
      </c>
      <c r="G1966">
        <v>0.30185282380936901</v>
      </c>
      <c r="H1966">
        <v>0.20485134710956901</v>
      </c>
      <c r="I1966">
        <v>0.23099617274745901</v>
      </c>
      <c r="J1966">
        <v>0.22363867389814099</v>
      </c>
      <c r="K1966">
        <v>0.21719339400907101</v>
      </c>
      <c r="L1966">
        <v>936.43398872848195</v>
      </c>
      <c r="M1966">
        <v>18.1234452105104</v>
      </c>
      <c r="N1966">
        <v>53.1229270432707</v>
      </c>
      <c r="O1966">
        <v>51.0529979666968</v>
      </c>
      <c r="P1966">
        <v>-7.1406007731389706E-2</v>
      </c>
      <c r="Q1966">
        <v>0.195447520773086</v>
      </c>
      <c r="R1966">
        <v>0.98885033427588898</v>
      </c>
      <c r="S1966" t="s">
        <v>7827</v>
      </c>
      <c r="T1966" t="s">
        <v>11720</v>
      </c>
      <c r="U1966" t="s">
        <v>11720</v>
      </c>
      <c r="V1966" t="s">
        <v>11720</v>
      </c>
      <c r="W1966" t="s">
        <v>13647</v>
      </c>
      <c r="X1966">
        <v>5</v>
      </c>
      <c r="Y1966" t="s">
        <v>19415</v>
      </c>
      <c r="Z1966" t="s">
        <v>25173</v>
      </c>
      <c r="AA1966">
        <v>0.52169984855440166</v>
      </c>
      <c r="AB1966" t="str">
        <f>HYPERLINK("Melting_Curves/meltCurve_P14621_ACYP2.pdf", "Melting_Curves/meltCurve_P14621_ACYP2.pdf")</f>
        <v>Melting_Curves/meltCurve_P14621_ACYP2.pdf</v>
      </c>
    </row>
    <row r="1967" spans="1:28" x14ac:dyDescent="0.25">
      <c r="A1967" t="s">
        <v>1971</v>
      </c>
      <c r="B1967">
        <v>0.99334974765950101</v>
      </c>
      <c r="C1967">
        <v>0.99429803200285505</v>
      </c>
      <c r="D1967">
        <v>1.0793157165343801</v>
      </c>
      <c r="E1967">
        <v>1.04320917305241</v>
      </c>
      <c r="F1967">
        <v>0.33565213615457101</v>
      </c>
      <c r="G1967">
        <v>0.19960599898125</v>
      </c>
      <c r="H1967">
        <v>0.14291868896009599</v>
      </c>
      <c r="I1967">
        <v>0.14842064220471399</v>
      </c>
      <c r="J1967">
        <v>0.107684997384539</v>
      </c>
      <c r="K1967">
        <v>8.8400996581092503E-2</v>
      </c>
      <c r="L1967">
        <v>13185.9073227097</v>
      </c>
      <c r="M1967">
        <v>250</v>
      </c>
      <c r="N1967">
        <v>52.811507601236897</v>
      </c>
      <c r="O1967">
        <v>52.740254068850703</v>
      </c>
      <c r="P1967">
        <v>-1.0222193994523201</v>
      </c>
      <c r="Q1967">
        <v>0.13740622788590001</v>
      </c>
      <c r="R1967">
        <v>0.99140631202472196</v>
      </c>
      <c r="S1967" t="s">
        <v>7828</v>
      </c>
      <c r="T1967" t="s">
        <v>11720</v>
      </c>
      <c r="U1967" t="s">
        <v>11720</v>
      </c>
      <c r="V1967" t="s">
        <v>11720</v>
      </c>
      <c r="W1967" t="s">
        <v>13648</v>
      </c>
      <c r="X1967">
        <v>77</v>
      </c>
      <c r="Y1967" t="s">
        <v>19416</v>
      </c>
      <c r="Z1967" t="s">
        <v>25174</v>
      </c>
      <c r="AA1967">
        <v>0.5039052485771508</v>
      </c>
      <c r="AB1967" t="str">
        <f>HYPERLINK("Melting_Curves/meltCurve_P14625_HSP90B1.pdf", "Melting_Curves/meltCurve_P14625_HSP90B1.pdf")</f>
        <v>Melting_Curves/meltCurve_P14625_HSP90B1.pdf</v>
      </c>
    </row>
    <row r="1968" spans="1:28" x14ac:dyDescent="0.25">
      <c r="A1968" t="s">
        <v>1972</v>
      </c>
      <c r="B1968">
        <v>0.99334974765950101</v>
      </c>
      <c r="C1968">
        <v>1.01609920244689</v>
      </c>
      <c r="D1968">
        <v>0.94973178659947799</v>
      </c>
      <c r="E1968">
        <v>0.85027075194302404</v>
      </c>
      <c r="F1968">
        <v>0.88046643667350699</v>
      </c>
      <c r="G1968">
        <v>1.1274762752655501</v>
      </c>
      <c r="H1968">
        <v>1.1365788653109301</v>
      </c>
      <c r="I1968">
        <v>1.28457591958799</v>
      </c>
      <c r="J1968">
        <v>1.2845502639974999</v>
      </c>
      <c r="K1968">
        <v>1.08115381295526</v>
      </c>
      <c r="L1968">
        <v>11798.8237453616</v>
      </c>
      <c r="M1968">
        <v>207.60727299058999</v>
      </c>
      <c r="O1968">
        <v>56.827146454912999</v>
      </c>
      <c r="P1968">
        <v>0.17966512088405601</v>
      </c>
      <c r="Q1968">
        <v>1.1967148061528201</v>
      </c>
      <c r="R1968">
        <v>0.65155414201682305</v>
      </c>
      <c r="S1968" t="s">
        <v>7829</v>
      </c>
      <c r="T1968" t="s">
        <v>11720</v>
      </c>
      <c r="U1968" t="s">
        <v>11720</v>
      </c>
      <c r="V1968" t="s">
        <v>11720</v>
      </c>
      <c r="W1968" t="s">
        <v>13649</v>
      </c>
      <c r="X1968">
        <v>9</v>
      </c>
      <c r="Y1968" t="s">
        <v>19417</v>
      </c>
      <c r="Z1968" t="s">
        <v>25175</v>
      </c>
      <c r="AA1968">
        <v>1.086313477119365</v>
      </c>
      <c r="AB1968" t="str">
        <f>HYPERLINK("Melting_Curves/meltCurve_P14649_MYL6B.pdf", "Melting_Curves/meltCurve_P14649_MYL6B.pdf")</f>
        <v>Melting_Curves/meltCurve_P14649_MYL6B.pdf</v>
      </c>
    </row>
    <row r="1969" spans="1:28" x14ac:dyDescent="0.25">
      <c r="A1969" t="s">
        <v>1973</v>
      </c>
      <c r="B1969">
        <v>0.99334974765950101</v>
      </c>
      <c r="C1969">
        <v>0.998513412698807</v>
      </c>
      <c r="D1969">
        <v>1.1444716291063901</v>
      </c>
      <c r="E1969">
        <v>0.97270113170242301</v>
      </c>
      <c r="F1969">
        <v>0.44592013877526399</v>
      </c>
      <c r="G1969">
        <v>0.227279753916202</v>
      </c>
      <c r="H1969">
        <v>9.0693719440006995E-2</v>
      </c>
      <c r="I1969">
        <v>7.8940740021848504E-2</v>
      </c>
      <c r="J1969">
        <v>5.6762819502084297E-2</v>
      </c>
      <c r="K1969">
        <v>4.7710723245121198E-2</v>
      </c>
      <c r="L1969">
        <v>2550.27525962455</v>
      </c>
      <c r="M1969">
        <v>48.468302093262999</v>
      </c>
      <c r="N1969">
        <v>52.842331772717202</v>
      </c>
      <c r="O1969">
        <v>52.528045029963202</v>
      </c>
      <c r="P1969">
        <v>-0.209175648027148</v>
      </c>
      <c r="Q1969">
        <v>9.3215426434987897E-2</v>
      </c>
      <c r="R1969">
        <v>0.97976719499471399</v>
      </c>
      <c r="S1969" t="s">
        <v>7830</v>
      </c>
      <c r="T1969" t="s">
        <v>11720</v>
      </c>
      <c r="U1969" t="s">
        <v>11720</v>
      </c>
      <c r="V1969" t="s">
        <v>11720</v>
      </c>
      <c r="W1969" t="s">
        <v>13650</v>
      </c>
      <c r="X1969">
        <v>17</v>
      </c>
      <c r="Y1969" t="s">
        <v>19418</v>
      </c>
      <c r="Z1969" t="s">
        <v>25176</v>
      </c>
      <c r="AA1969">
        <v>0.4768305957798416</v>
      </c>
      <c r="AB1969" t="str">
        <f>HYPERLINK("Melting_Curves/meltCurve_P14735_IDE.pdf", "Melting_Curves/meltCurve_P14735_IDE.pdf")</f>
        <v>Melting_Curves/meltCurve_P14735_IDE.pdf</v>
      </c>
    </row>
    <row r="1970" spans="1:28" x14ac:dyDescent="0.25">
      <c r="A1970" t="s">
        <v>1974</v>
      </c>
      <c r="B1970">
        <v>0.99334974765950101</v>
      </c>
      <c r="C1970">
        <v>0.93220637237166504</v>
      </c>
      <c r="D1970">
        <v>0.83292031519341603</v>
      </c>
      <c r="E1970">
        <v>0.79280527710777604</v>
      </c>
      <c r="F1970">
        <v>0.906926012940793</v>
      </c>
      <c r="G1970">
        <v>1.0783178358860901</v>
      </c>
      <c r="H1970">
        <v>0.909261357642</v>
      </c>
      <c r="I1970">
        <v>0.99738266844751899</v>
      </c>
      <c r="J1970">
        <v>0.96485966417281599</v>
      </c>
      <c r="K1970">
        <v>0.90188590929032897</v>
      </c>
      <c r="L1970">
        <v>2916.7389859914501</v>
      </c>
      <c r="M1970">
        <v>70.327503436708497</v>
      </c>
      <c r="O1970">
        <v>41.4401468747023</v>
      </c>
      <c r="P1970">
        <v>-3.2548884689094303E-2</v>
      </c>
      <c r="Q1970">
        <v>0.92328288312901896</v>
      </c>
      <c r="R1970">
        <v>7.0829260882432202E-2</v>
      </c>
      <c r="S1970" t="s">
        <v>7831</v>
      </c>
      <c r="T1970" t="s">
        <v>11720</v>
      </c>
      <c r="U1970" t="s">
        <v>11720</v>
      </c>
      <c r="V1970" t="s">
        <v>11720</v>
      </c>
      <c r="W1970" t="s">
        <v>13651</v>
      </c>
      <c r="X1970">
        <v>11</v>
      </c>
      <c r="Y1970" t="s">
        <v>19419</v>
      </c>
      <c r="Z1970" t="s">
        <v>25177</v>
      </c>
      <c r="AA1970">
        <v>0.92722078840097466</v>
      </c>
      <c r="AB1970" t="str">
        <f>HYPERLINK("Melting_Curves/meltCurve_P14854_COX6B1.pdf", "Melting_Curves/meltCurve_P14854_COX6B1.pdf")</f>
        <v>Melting_Curves/meltCurve_P14854_COX6B1.pdf</v>
      </c>
    </row>
    <row r="1971" spans="1:28" x14ac:dyDescent="0.25">
      <c r="A1971" t="s">
        <v>1975</v>
      </c>
      <c r="B1971">
        <v>0.99334974765950101</v>
      </c>
      <c r="C1971">
        <v>1.1423226027490201</v>
      </c>
      <c r="D1971">
        <v>0.75093400481862205</v>
      </c>
      <c r="E1971">
        <v>0.59241962258663805</v>
      </c>
      <c r="F1971">
        <v>0.356792555743145</v>
      </c>
      <c r="G1971">
        <v>0.26563041519283598</v>
      </c>
      <c r="H1971">
        <v>0.22108754972372699</v>
      </c>
      <c r="I1971">
        <v>0.232661180160883</v>
      </c>
      <c r="J1971">
        <v>0.35819731753091999</v>
      </c>
      <c r="K1971">
        <v>0.33021437244861102</v>
      </c>
      <c r="L1971">
        <v>1133.5317173243</v>
      </c>
      <c r="M1971">
        <v>23.266227051951699</v>
      </c>
      <c r="N1971">
        <v>50.470658561631801</v>
      </c>
      <c r="O1971">
        <v>48.364432618143098</v>
      </c>
      <c r="P1971">
        <v>-8.6964772464856802E-2</v>
      </c>
      <c r="Q1971">
        <v>0.276904734182715</v>
      </c>
      <c r="R1971">
        <v>0.93930703579656505</v>
      </c>
      <c r="S1971" t="s">
        <v>7832</v>
      </c>
      <c r="T1971" t="s">
        <v>11720</v>
      </c>
      <c r="U1971" t="s">
        <v>11720</v>
      </c>
      <c r="V1971" t="s">
        <v>11720</v>
      </c>
      <c r="W1971" t="s">
        <v>13652</v>
      </c>
      <c r="X1971">
        <v>2</v>
      </c>
      <c r="Y1971" t="s">
        <v>19420</v>
      </c>
      <c r="Z1971" t="s">
        <v>25178</v>
      </c>
      <c r="AA1971">
        <v>0.49451353561609901</v>
      </c>
      <c r="AB1971" t="str">
        <f>HYPERLINK("Melting_Curves/meltCurve_P14866_HNRNPL.pdf", "Melting_Curves/meltCurve_P14866_HNRNPL.pdf")</f>
        <v>Melting_Curves/meltCurve_P14866_HNRNPL.pdf</v>
      </c>
    </row>
    <row r="1972" spans="1:28" x14ac:dyDescent="0.25">
      <c r="A1972" t="s">
        <v>1976</v>
      </c>
      <c r="B1972">
        <v>0.99334974765950101</v>
      </c>
      <c r="C1972">
        <v>1.01317292883022</v>
      </c>
      <c r="D1972">
        <v>1.0540229542116899</v>
      </c>
      <c r="E1972">
        <v>0.96071468966443596</v>
      </c>
      <c r="F1972">
        <v>0.72726889820312701</v>
      </c>
      <c r="G1972">
        <v>0.46738210841177702</v>
      </c>
      <c r="H1972">
        <v>0.31675987651624199</v>
      </c>
      <c r="I1972">
        <v>0.144913927822967</v>
      </c>
      <c r="J1972">
        <v>0.105724914597041</v>
      </c>
      <c r="K1972">
        <v>7.6864132643356606E-2</v>
      </c>
      <c r="L1972">
        <v>982.7737684727</v>
      </c>
      <c r="M1972">
        <v>17.404821979426501</v>
      </c>
      <c r="N1972">
        <v>56.842431050600297</v>
      </c>
      <c r="O1972">
        <v>55.7360113150743</v>
      </c>
      <c r="P1972">
        <v>-7.3818551165313398E-2</v>
      </c>
      <c r="Q1972">
        <v>5.4487393251201402E-2</v>
      </c>
      <c r="R1972">
        <v>0.99048188848158902</v>
      </c>
      <c r="S1972" t="s">
        <v>7833</v>
      </c>
      <c r="T1972" t="s">
        <v>11720</v>
      </c>
      <c r="U1972" t="s">
        <v>11720</v>
      </c>
      <c r="V1972" t="s">
        <v>11720</v>
      </c>
      <c r="W1972" t="s">
        <v>13653</v>
      </c>
      <c r="X1972">
        <v>32</v>
      </c>
      <c r="Y1972" t="s">
        <v>19421</v>
      </c>
      <c r="Z1972" t="s">
        <v>25179</v>
      </c>
      <c r="AA1972">
        <v>0.58744770779607292</v>
      </c>
      <c r="AB1972" t="str">
        <f>HYPERLINK("Melting_Curves/meltCurve_P14868_DARS.pdf", "Melting_Curves/meltCurve_P14868_DARS.pdf")</f>
        <v>Melting_Curves/meltCurve_P14868_DARS.pdf</v>
      </c>
    </row>
    <row r="1973" spans="1:28" x14ac:dyDescent="0.25">
      <c r="A1973" t="s">
        <v>1977</v>
      </c>
      <c r="B1973">
        <v>0.99334974765950101</v>
      </c>
      <c r="C1973">
        <v>1.0424919558941099</v>
      </c>
      <c r="D1973">
        <v>0.83955322258912601</v>
      </c>
      <c r="E1973">
        <v>1.0683142543832</v>
      </c>
      <c r="F1973">
        <v>0.81708389405898896</v>
      </c>
      <c r="G1973">
        <v>0.49967887127652399</v>
      </c>
      <c r="H1973">
        <v>0.35392680489117501</v>
      </c>
      <c r="I1973">
        <v>0.342253677540729</v>
      </c>
      <c r="J1973">
        <v>0.384314617026492</v>
      </c>
      <c r="K1973">
        <v>0.27598157098200199</v>
      </c>
      <c r="L1973">
        <v>1813.8086789893</v>
      </c>
      <c r="M1973">
        <v>33.014025480147701</v>
      </c>
      <c r="N1973">
        <v>56.821077937317398</v>
      </c>
      <c r="O1973">
        <v>54.7401435208645</v>
      </c>
      <c r="P1973">
        <v>-0.100668899084212</v>
      </c>
      <c r="Q1973">
        <v>0.33233159699009401</v>
      </c>
      <c r="R1973">
        <v>0.95385364376000104</v>
      </c>
      <c r="S1973" t="s">
        <v>7834</v>
      </c>
      <c r="T1973" t="s">
        <v>11720</v>
      </c>
      <c r="U1973" t="s">
        <v>11720</v>
      </c>
      <c r="V1973" t="s">
        <v>11720</v>
      </c>
      <c r="W1973" t="s">
        <v>13654</v>
      </c>
      <c r="X1973">
        <v>6</v>
      </c>
      <c r="Y1973" t="s">
        <v>19422</v>
      </c>
      <c r="Z1973" t="s">
        <v>25180</v>
      </c>
      <c r="AA1973">
        <v>0.66852789828691883</v>
      </c>
      <c r="AB1973" t="str">
        <f>HYPERLINK("Melting_Curves/meltCurve_P14923_JUP.pdf", "Melting_Curves/meltCurve_P14923_JUP.pdf")</f>
        <v>Melting_Curves/meltCurve_P14923_JUP.pdf</v>
      </c>
    </row>
    <row r="1974" spans="1:28" x14ac:dyDescent="0.25">
      <c r="A1974" t="s">
        <v>1978</v>
      </c>
      <c r="B1974">
        <v>0.99334974765950101</v>
      </c>
      <c r="C1974">
        <v>0.91648698963636799</v>
      </c>
      <c r="D1974">
        <v>0.77709442468318402</v>
      </c>
      <c r="E1974">
        <v>0.78951774730044399</v>
      </c>
      <c r="F1974">
        <v>0.93737185030287495</v>
      </c>
      <c r="G1974">
        <v>0.76460743105614404</v>
      </c>
      <c r="H1974">
        <v>0.97295253767862999</v>
      </c>
      <c r="I1974">
        <v>1.3768757117281101</v>
      </c>
      <c r="J1974">
        <v>1.5139211553126599</v>
      </c>
      <c r="K1974">
        <v>1.2970036465010599</v>
      </c>
      <c r="L1974">
        <v>15000</v>
      </c>
      <c r="M1974">
        <v>236.951333031302</v>
      </c>
      <c r="O1974">
        <v>63.299631072295497</v>
      </c>
      <c r="P1974">
        <v>0.37946517929111701</v>
      </c>
      <c r="Q1974">
        <v>1.4054841935334801</v>
      </c>
      <c r="R1974">
        <v>0.71332008320085305</v>
      </c>
      <c r="S1974" t="s">
        <v>7835</v>
      </c>
      <c r="T1974" t="s">
        <v>11720</v>
      </c>
      <c r="U1974" t="s">
        <v>11720</v>
      </c>
      <c r="V1974" t="s">
        <v>11720</v>
      </c>
      <c r="W1974" t="s">
        <v>12104</v>
      </c>
      <c r="X1974">
        <v>12</v>
      </c>
      <c r="Y1974" t="s">
        <v>17902</v>
      </c>
      <c r="Z1974" t="s">
        <v>25181</v>
      </c>
      <c r="AA1974">
        <v>1.0904520524390451</v>
      </c>
      <c r="AB1974" t="str">
        <f>HYPERLINK("Melting_Curves/meltCurve_P14927_UQCRB.pdf", "Melting_Curves/meltCurve_P14927_UQCRB.pdf")</f>
        <v>Melting_Curves/meltCurve_P14927_UQCRB.pdf</v>
      </c>
    </row>
    <row r="1975" spans="1:28" x14ac:dyDescent="0.25">
      <c r="A1975" t="s">
        <v>1979</v>
      </c>
      <c r="B1975">
        <v>0.99334974765950101</v>
      </c>
      <c r="C1975">
        <v>1.02237555170572</v>
      </c>
      <c r="D1975">
        <v>1.04914560857321</v>
      </c>
      <c r="E1975">
        <v>0.88059509408743397</v>
      </c>
      <c r="F1975">
        <v>0.169842943716945</v>
      </c>
      <c r="G1975">
        <v>0.10477068747620601</v>
      </c>
      <c r="H1975">
        <v>7.9375406906896095E-2</v>
      </c>
      <c r="I1975">
        <v>6.6661145587453396E-2</v>
      </c>
      <c r="J1975">
        <v>5.9296152626318301E-2</v>
      </c>
      <c r="K1975">
        <v>4.2964136394952203E-2</v>
      </c>
      <c r="L1975">
        <v>3558.9206649186099</v>
      </c>
      <c r="M1975">
        <v>69.263940782134</v>
      </c>
      <c r="N1975">
        <v>51.494665767323603</v>
      </c>
      <c r="O1975">
        <v>51.339237624673402</v>
      </c>
      <c r="P1975">
        <v>-0.31357411560534498</v>
      </c>
      <c r="Q1975">
        <v>7.0301222015430598E-2</v>
      </c>
      <c r="R1975">
        <v>0.99742216962612695</v>
      </c>
      <c r="S1975" t="s">
        <v>7836</v>
      </c>
      <c r="T1975" t="s">
        <v>11720</v>
      </c>
      <c r="U1975" t="s">
        <v>11720</v>
      </c>
      <c r="V1975" t="s">
        <v>11720</v>
      </c>
      <c r="W1975" t="s">
        <v>13655</v>
      </c>
      <c r="X1975">
        <v>4</v>
      </c>
      <c r="Y1975" t="s">
        <v>19423</v>
      </c>
      <c r="Z1975" t="s">
        <v>25182</v>
      </c>
      <c r="AA1975">
        <v>0.42412442178568471</v>
      </c>
      <c r="AB1975" t="str">
        <f>HYPERLINK("Melting_Curves/meltCurve_P15056_BRAF.pdf", "Melting_Curves/meltCurve_P15056_BRAF.pdf")</f>
        <v>Melting_Curves/meltCurve_P15056_BRAF.pdf</v>
      </c>
    </row>
    <row r="1976" spans="1:28" x14ac:dyDescent="0.25">
      <c r="A1976" t="s">
        <v>1980</v>
      </c>
      <c r="B1976">
        <v>0.99334974765950101</v>
      </c>
      <c r="C1976">
        <v>0.99410275405047099</v>
      </c>
      <c r="D1976">
        <v>0.84855730632309401</v>
      </c>
      <c r="E1976">
        <v>0.72165559279241198</v>
      </c>
      <c r="F1976">
        <v>0.46627113361269601</v>
      </c>
      <c r="G1976">
        <v>0.21727849855367201</v>
      </c>
      <c r="H1976">
        <v>0.15328562173371699</v>
      </c>
      <c r="I1976">
        <v>0.12850230840283799</v>
      </c>
      <c r="J1976">
        <v>0.13279376704253701</v>
      </c>
      <c r="K1976">
        <v>0.12408699761014801</v>
      </c>
      <c r="L1976">
        <v>922.53747231572504</v>
      </c>
      <c r="M1976">
        <v>17.828436940101899</v>
      </c>
      <c r="N1976">
        <v>52.428792875451698</v>
      </c>
      <c r="O1976">
        <v>51.1074321328352</v>
      </c>
      <c r="P1976">
        <v>-7.8171268348484702E-2</v>
      </c>
      <c r="Q1976">
        <v>0.103695268008168</v>
      </c>
      <c r="R1976">
        <v>0.99445370651868004</v>
      </c>
      <c r="S1976" t="s">
        <v>7837</v>
      </c>
      <c r="T1976" t="s">
        <v>11720</v>
      </c>
      <c r="U1976" t="s">
        <v>11720</v>
      </c>
      <c r="V1976" t="s">
        <v>11720</v>
      </c>
      <c r="W1976" t="s">
        <v>13656</v>
      </c>
      <c r="X1976">
        <v>7</v>
      </c>
      <c r="Y1976" t="s">
        <v>19424</v>
      </c>
      <c r="Z1976" t="s">
        <v>25183</v>
      </c>
      <c r="AA1976">
        <v>0.4698226304751521</v>
      </c>
      <c r="AB1976" t="str">
        <f>HYPERLINK("Melting_Curves/meltCurve_P15090_FABP4.pdf", "Melting_Curves/meltCurve_P15090_FABP4.pdf")</f>
        <v>Melting_Curves/meltCurve_P15090_FABP4.pdf</v>
      </c>
    </row>
    <row r="1977" spans="1:28" x14ac:dyDescent="0.25">
      <c r="A1977" t="s">
        <v>1981</v>
      </c>
      <c r="B1977">
        <v>0.99334974765950101</v>
      </c>
      <c r="C1977">
        <v>1.0037029795385399</v>
      </c>
      <c r="D1977">
        <v>1.23288456420355</v>
      </c>
      <c r="E1977">
        <v>1.482877634839</v>
      </c>
      <c r="F1977">
        <v>1.0721896709918299</v>
      </c>
      <c r="G1977">
        <v>1.4987832957207801</v>
      </c>
      <c r="H1977">
        <v>0.25369043810613101</v>
      </c>
      <c r="I1977">
        <v>0.18144607481934599</v>
      </c>
      <c r="J1977">
        <v>0.17169816115273201</v>
      </c>
      <c r="K1977">
        <v>0.118940730232374</v>
      </c>
      <c r="L1977">
        <v>15000</v>
      </c>
      <c r="M1977">
        <v>247.948986707438</v>
      </c>
      <c r="N1977">
        <v>60.5886659373352</v>
      </c>
      <c r="O1977">
        <v>60.492379326359298</v>
      </c>
      <c r="P1977">
        <v>-0.86346213828199803</v>
      </c>
      <c r="Q1977">
        <v>0.15736087773921201</v>
      </c>
      <c r="R1977">
        <v>0.80818617596833198</v>
      </c>
      <c r="S1977" t="s">
        <v>7838</v>
      </c>
      <c r="T1977" t="s">
        <v>11720</v>
      </c>
      <c r="U1977" t="s">
        <v>11720</v>
      </c>
      <c r="V1977" t="s">
        <v>11720</v>
      </c>
      <c r="W1977" t="s">
        <v>13657</v>
      </c>
      <c r="X1977">
        <v>7</v>
      </c>
      <c r="Y1977" t="s">
        <v>19425</v>
      </c>
      <c r="Z1977" t="s">
        <v>25184</v>
      </c>
      <c r="AA1977">
        <v>0.73315172294030406</v>
      </c>
      <c r="AB1977" t="str">
        <f>HYPERLINK("Melting_Curves/meltCurve_P15104_GLUL.pdf", "Melting_Curves/meltCurve_P15104_GLUL.pdf")</f>
        <v>Melting_Curves/meltCurve_P15104_GLUL.pdf</v>
      </c>
    </row>
    <row r="1978" spans="1:28" x14ac:dyDescent="0.25">
      <c r="A1978" t="s">
        <v>1982</v>
      </c>
      <c r="B1978">
        <v>0.99334974765950101</v>
      </c>
      <c r="C1978">
        <v>0.95575843746189204</v>
      </c>
      <c r="D1978">
        <v>0.80380827015401601</v>
      </c>
      <c r="E1978">
        <v>0.78876759477014702</v>
      </c>
      <c r="F1978">
        <v>0.58494425729350996</v>
      </c>
      <c r="G1978">
        <v>0.17793492918395101</v>
      </c>
      <c r="H1978">
        <v>8.9368230947581007E-2</v>
      </c>
      <c r="I1978">
        <v>8.4121994718577606E-2</v>
      </c>
      <c r="J1978">
        <v>7.65833961084883E-2</v>
      </c>
      <c r="K1978">
        <v>5.8893264507680697E-2</v>
      </c>
      <c r="L1978">
        <v>943.02724261416301</v>
      </c>
      <c r="M1978">
        <v>17.765437914022598</v>
      </c>
      <c r="N1978">
        <v>53.260809408092499</v>
      </c>
      <c r="O1978">
        <v>52.423247096428902</v>
      </c>
      <c r="P1978">
        <v>-8.2274609582262806E-2</v>
      </c>
      <c r="Q1978">
        <v>2.8928394089721601E-2</v>
      </c>
      <c r="R1978">
        <v>0.97793216634398406</v>
      </c>
      <c r="S1978" t="s">
        <v>7839</v>
      </c>
      <c r="T1978" t="s">
        <v>11720</v>
      </c>
      <c r="U1978" t="s">
        <v>11720</v>
      </c>
      <c r="V1978" t="s">
        <v>11720</v>
      </c>
      <c r="W1978" t="s">
        <v>13658</v>
      </c>
      <c r="X1978">
        <v>20</v>
      </c>
      <c r="Y1978" t="s">
        <v>19426</v>
      </c>
      <c r="Z1978" t="s">
        <v>25185</v>
      </c>
      <c r="AA1978">
        <v>0.46859292657990109</v>
      </c>
      <c r="AB1978" t="str">
        <f>HYPERLINK("Melting_Curves/meltCurve_P15121_AKR1B1.pdf", "Melting_Curves/meltCurve_P15121_AKR1B1.pdf")</f>
        <v>Melting_Curves/meltCurve_P15121_AKR1B1.pdf</v>
      </c>
    </row>
    <row r="1979" spans="1:28" x14ac:dyDescent="0.25">
      <c r="A1979" t="s">
        <v>1983</v>
      </c>
      <c r="B1979">
        <v>0.99334974765950101</v>
      </c>
      <c r="C1979">
        <v>1.0401656903552601</v>
      </c>
      <c r="D1979">
        <v>1.0828303763812299</v>
      </c>
      <c r="E1979">
        <v>1.3104455553911101</v>
      </c>
      <c r="F1979">
        <v>1.39568974128839</v>
      </c>
      <c r="G1979">
        <v>1.20192661343944</v>
      </c>
      <c r="H1979">
        <v>1.0217579462095201</v>
      </c>
      <c r="I1979">
        <v>1.1359136137152399</v>
      </c>
      <c r="J1979">
        <v>0.74457045817662204</v>
      </c>
      <c r="K1979">
        <v>0.47630836903603502</v>
      </c>
      <c r="L1979">
        <v>15000</v>
      </c>
      <c r="M1979">
        <v>223.83131725713201</v>
      </c>
      <c r="N1979">
        <v>67.939843572675699</v>
      </c>
      <c r="O1979">
        <v>67.009396381816202</v>
      </c>
      <c r="P1979">
        <v>-0.43735555180348001</v>
      </c>
      <c r="Q1979">
        <v>0.47626750379530702</v>
      </c>
      <c r="R1979">
        <v>0.50160345337530499</v>
      </c>
      <c r="S1979" t="s">
        <v>7840</v>
      </c>
      <c r="T1979" t="s">
        <v>11720</v>
      </c>
      <c r="U1979" t="s">
        <v>11720</v>
      </c>
      <c r="V1979" t="s">
        <v>11720</v>
      </c>
      <c r="W1979" t="s">
        <v>13659</v>
      </c>
      <c r="X1979">
        <v>44</v>
      </c>
      <c r="Y1979" t="s">
        <v>19427</v>
      </c>
      <c r="Z1979" t="s">
        <v>25186</v>
      </c>
      <c r="AA1979">
        <v>0.94796070353018735</v>
      </c>
      <c r="AB1979" t="str">
        <f>HYPERLINK("Melting_Curves/meltCurve_P15144_ANPEP.pdf", "Melting_Curves/meltCurve_P15144_ANPEP.pdf")</f>
        <v>Melting_Curves/meltCurve_P15144_ANPEP.pdf</v>
      </c>
    </row>
    <row r="1980" spans="1:28" x14ac:dyDescent="0.25">
      <c r="A1980" t="s">
        <v>1984</v>
      </c>
      <c r="B1980">
        <v>0.99334974765950101</v>
      </c>
      <c r="C1980">
        <v>0.94253278009594299</v>
      </c>
      <c r="D1980">
        <v>0.935289216303821</v>
      </c>
      <c r="E1980">
        <v>0.82885229435591801</v>
      </c>
      <c r="F1980">
        <v>0.7722852968285</v>
      </c>
      <c r="G1980">
        <v>0.65044971790787798</v>
      </c>
      <c r="H1980">
        <v>0.50785203570325699</v>
      </c>
      <c r="I1980">
        <v>0.53501049252591304</v>
      </c>
      <c r="J1980">
        <v>0.47353463675462498</v>
      </c>
      <c r="K1980">
        <v>0.41612204798057101</v>
      </c>
      <c r="L1980">
        <v>520.90449499401302</v>
      </c>
      <c r="M1980">
        <v>9.29352783843051</v>
      </c>
      <c r="N1980">
        <v>63.9912913653015</v>
      </c>
      <c r="O1980">
        <v>53.638520461536103</v>
      </c>
      <c r="P1980">
        <v>-2.8511264344816E-2</v>
      </c>
      <c r="Q1980">
        <v>0.34220078724808101</v>
      </c>
      <c r="R1980">
        <v>0.98887511435464703</v>
      </c>
      <c r="S1980" t="s">
        <v>7841</v>
      </c>
      <c r="T1980" t="s">
        <v>11720</v>
      </c>
      <c r="U1980" t="s">
        <v>11720</v>
      </c>
      <c r="V1980" t="s">
        <v>11720</v>
      </c>
      <c r="W1980" t="s">
        <v>13660</v>
      </c>
      <c r="X1980">
        <v>6</v>
      </c>
      <c r="Y1980" t="s">
        <v>19428</v>
      </c>
      <c r="Z1980" t="s">
        <v>25187</v>
      </c>
      <c r="AA1980">
        <v>0.70771298146218509</v>
      </c>
      <c r="AB1980" t="str">
        <f>HYPERLINK("Melting_Curves/meltCurve_P15151_3_PVR.pdf", "Melting_Curves/meltCurve_P15151_3_PVR.pdf")</f>
        <v>Melting_Curves/meltCurve_P15151_3_PVR.pdf</v>
      </c>
    </row>
    <row r="1981" spans="1:28" x14ac:dyDescent="0.25">
      <c r="A1981" t="s">
        <v>1985</v>
      </c>
      <c r="B1981">
        <v>0.99334974765950101</v>
      </c>
      <c r="C1981">
        <v>1.03386651306421</v>
      </c>
      <c r="D1981">
        <v>0.95499712173937801</v>
      </c>
      <c r="E1981">
        <v>0.91724355924501999</v>
      </c>
      <c r="F1981">
        <v>0.65701435831261101</v>
      </c>
      <c r="G1981">
        <v>0.18926574817893299</v>
      </c>
      <c r="H1981">
        <v>0.119220549633928</v>
      </c>
      <c r="I1981">
        <v>9.4855933306138202E-2</v>
      </c>
      <c r="J1981">
        <v>9.7958846184242707E-2</v>
      </c>
      <c r="K1981">
        <v>8.5872226401539395E-2</v>
      </c>
      <c r="L1981">
        <v>1824.1790197780899</v>
      </c>
      <c r="M1981">
        <v>33.968034560327901</v>
      </c>
      <c r="N1981">
        <v>54.025710327318002</v>
      </c>
      <c r="O1981">
        <v>53.517713245506698</v>
      </c>
      <c r="P1981">
        <v>-0.144099695560892</v>
      </c>
      <c r="Q1981">
        <v>9.1869158217053395E-2</v>
      </c>
      <c r="R1981">
        <v>0.99778218463804702</v>
      </c>
      <c r="S1981" t="s">
        <v>7842</v>
      </c>
      <c r="T1981" t="s">
        <v>11720</v>
      </c>
      <c r="U1981" t="s">
        <v>11720</v>
      </c>
      <c r="V1981" t="s">
        <v>11720</v>
      </c>
      <c r="W1981" t="s">
        <v>13661</v>
      </c>
      <c r="X1981">
        <v>38</v>
      </c>
      <c r="Y1981" t="s">
        <v>19429</v>
      </c>
      <c r="Z1981" t="s">
        <v>25188</v>
      </c>
      <c r="AA1981">
        <v>0.51132734979015415</v>
      </c>
      <c r="AB1981" t="str">
        <f>HYPERLINK("Melting_Curves/meltCurve_P15170_2_GSPT1.pdf", "Melting_Curves/meltCurve_P15170_2_GSPT1.pdf")</f>
        <v>Melting_Curves/meltCurve_P15170_2_GSPT1.pdf</v>
      </c>
    </row>
    <row r="1982" spans="1:28" x14ac:dyDescent="0.25">
      <c r="A1982" t="s">
        <v>1986</v>
      </c>
      <c r="B1982">
        <v>0.99334974765950101</v>
      </c>
      <c r="C1982">
        <v>0.87488036443513095</v>
      </c>
      <c r="D1982">
        <v>0.75720119614503001</v>
      </c>
      <c r="E1982">
        <v>0.66189011406106801</v>
      </c>
      <c r="F1982">
        <v>0.35633447316250999</v>
      </c>
      <c r="G1982">
        <v>0.239499508143798</v>
      </c>
      <c r="H1982">
        <v>0.20317174127503199</v>
      </c>
      <c r="I1982">
        <v>0.23085353780286999</v>
      </c>
      <c r="J1982">
        <v>0.27193654065539502</v>
      </c>
      <c r="K1982">
        <v>0.36106117249457298</v>
      </c>
      <c r="L1982">
        <v>801.245810266028</v>
      </c>
      <c r="M1982">
        <v>16.410247513162801</v>
      </c>
      <c r="N1982">
        <v>50.866737741261701</v>
      </c>
      <c r="O1982">
        <v>48.118162323788098</v>
      </c>
      <c r="P1982">
        <v>-6.4703707593840601E-2</v>
      </c>
      <c r="Q1982">
        <v>0.241156491249373</v>
      </c>
      <c r="R1982">
        <v>0.94596476845050803</v>
      </c>
      <c r="S1982" t="s">
        <v>7843</v>
      </c>
      <c r="T1982" t="s">
        <v>11720</v>
      </c>
      <c r="U1982" t="s">
        <v>11720</v>
      </c>
      <c r="V1982" t="s">
        <v>11720</v>
      </c>
      <c r="W1982" t="s">
        <v>13662</v>
      </c>
      <c r="X1982">
        <v>12</v>
      </c>
      <c r="Y1982" t="s">
        <v>19430</v>
      </c>
      <c r="Z1982" t="s">
        <v>25189</v>
      </c>
      <c r="AA1982">
        <v>0.4802559154942429</v>
      </c>
      <c r="AB1982" t="str">
        <f>HYPERLINK("Melting_Curves/meltCurve_P15289_ARSA.pdf", "Melting_Curves/meltCurve_P15289_ARSA.pdf")</f>
        <v>Melting_Curves/meltCurve_P15289_ARSA.pdf</v>
      </c>
    </row>
    <row r="1983" spans="1:28" x14ac:dyDescent="0.25">
      <c r="A1983" t="s">
        <v>1987</v>
      </c>
      <c r="B1983">
        <v>0.99334974765950101</v>
      </c>
      <c r="C1983">
        <v>0.96981859727684305</v>
      </c>
      <c r="D1983">
        <v>1.2585491280325201</v>
      </c>
      <c r="E1983">
        <v>1.3321208729576499</v>
      </c>
      <c r="F1983">
        <v>1.29473569093707</v>
      </c>
      <c r="G1983">
        <v>1.7554075967559599</v>
      </c>
      <c r="H1983">
        <v>1.67282575761452</v>
      </c>
      <c r="I1983">
        <v>2.2973827736607899</v>
      </c>
      <c r="J1983">
        <v>1.7178602605820501</v>
      </c>
      <c r="K1983">
        <v>0.92572811116147702</v>
      </c>
      <c r="L1983">
        <v>1068.0883237257201</v>
      </c>
      <c r="M1983">
        <v>22.5792538128517</v>
      </c>
      <c r="O1983">
        <v>46.937609741711</v>
      </c>
      <c r="P1983">
        <v>6.01322390106723E-2</v>
      </c>
      <c r="Q1983">
        <v>1.5</v>
      </c>
      <c r="R1983">
        <v>0.322934309881934</v>
      </c>
      <c r="S1983" t="s">
        <v>7844</v>
      </c>
      <c r="T1983" t="s">
        <v>11720</v>
      </c>
      <c r="U1983" t="s">
        <v>11720</v>
      </c>
      <c r="V1983" t="s">
        <v>11720</v>
      </c>
      <c r="W1983" t="s">
        <v>13663</v>
      </c>
      <c r="X1983">
        <v>12</v>
      </c>
      <c r="Y1983" t="s">
        <v>19430</v>
      </c>
      <c r="Z1983" t="s">
        <v>25190</v>
      </c>
      <c r="AA1983">
        <v>1.3727172778781569</v>
      </c>
      <c r="AB1983" t="str">
        <f>HYPERLINK("Melting_Curves/meltCurve_P15289_2_ARSA.pdf", "Melting_Curves/meltCurve_P15289_2_ARSA.pdf")</f>
        <v>Melting_Curves/meltCurve_P15289_2_ARSA.pdf</v>
      </c>
    </row>
    <row r="1984" spans="1:28" x14ac:dyDescent="0.25">
      <c r="A1984" t="s">
        <v>1988</v>
      </c>
      <c r="B1984">
        <v>0.99334974765950101</v>
      </c>
      <c r="C1984">
        <v>0.87521083108381903</v>
      </c>
      <c r="D1984">
        <v>0.783727163335869</v>
      </c>
      <c r="E1984">
        <v>0.80975058589235105</v>
      </c>
      <c r="F1984">
        <v>0.30256095617379503</v>
      </c>
      <c r="G1984">
        <v>0.109274344848863</v>
      </c>
      <c r="H1984">
        <v>6.1967581935841801E-2</v>
      </c>
      <c r="I1984">
        <v>3.9925772871126898E-2</v>
      </c>
      <c r="J1984">
        <v>5.3194281197768298E-2</v>
      </c>
      <c r="K1984">
        <v>4.8876096146933501E-2</v>
      </c>
      <c r="L1984">
        <v>1613.3006877550399</v>
      </c>
      <c r="M1984">
        <v>31.2441778413558</v>
      </c>
      <c r="N1984">
        <v>51.801390007277298</v>
      </c>
      <c r="O1984">
        <v>51.4250991210764</v>
      </c>
      <c r="P1984">
        <v>-0.14465093937759699</v>
      </c>
      <c r="Q1984">
        <v>4.7675674342509897E-2</v>
      </c>
      <c r="R1984">
        <v>0.95973203523591899</v>
      </c>
      <c r="S1984" t="s">
        <v>7845</v>
      </c>
      <c r="T1984" t="s">
        <v>11720</v>
      </c>
      <c r="U1984" t="s">
        <v>11720</v>
      </c>
      <c r="V1984" t="s">
        <v>11720</v>
      </c>
      <c r="W1984" t="s">
        <v>13664</v>
      </c>
      <c r="X1984">
        <v>4</v>
      </c>
      <c r="Y1984" t="s">
        <v>19431</v>
      </c>
      <c r="Z1984" t="s">
        <v>25191</v>
      </c>
      <c r="AA1984">
        <v>0.42260544588653542</v>
      </c>
      <c r="AB1984" t="str">
        <f>HYPERLINK("Melting_Curves/meltCurve_P15291_2_B4GALT1.pdf", "Melting_Curves/meltCurve_P15291_2_B4GALT1.pdf")</f>
        <v>Melting_Curves/meltCurve_P15291_2_B4GALT1.pdf</v>
      </c>
    </row>
    <row r="1985" spans="1:28" x14ac:dyDescent="0.25">
      <c r="A1985" t="s">
        <v>1989</v>
      </c>
      <c r="B1985">
        <v>0.99334974765950101</v>
      </c>
      <c r="C1985">
        <v>1.0222560586915199</v>
      </c>
      <c r="D1985">
        <v>1.0319958741027</v>
      </c>
      <c r="E1985">
        <v>0.87684157378873195</v>
      </c>
      <c r="F1985">
        <v>0.39376718919092901</v>
      </c>
      <c r="G1985">
        <v>0.1198441588042</v>
      </c>
      <c r="H1985">
        <v>8.5209509384189405E-2</v>
      </c>
      <c r="I1985">
        <v>7.2196755931853998E-2</v>
      </c>
      <c r="J1985">
        <v>7.4071635944971195E-2</v>
      </c>
      <c r="K1985">
        <v>5.9887389176554999E-2</v>
      </c>
      <c r="L1985">
        <v>2187.7818979761</v>
      </c>
      <c r="M1985">
        <v>41.905366183676698</v>
      </c>
      <c r="N1985">
        <v>52.4135218427732</v>
      </c>
      <c r="O1985">
        <v>52.089208367961497</v>
      </c>
      <c r="P1985">
        <v>-0.18586447289960001</v>
      </c>
      <c r="Q1985">
        <v>7.5868561542581606E-2</v>
      </c>
      <c r="R1985">
        <v>0.99865955574468301</v>
      </c>
      <c r="S1985" t="s">
        <v>7846</v>
      </c>
      <c r="T1985" t="s">
        <v>11720</v>
      </c>
      <c r="U1985" t="s">
        <v>11720</v>
      </c>
      <c r="V1985" t="s">
        <v>11720</v>
      </c>
      <c r="W1985" t="s">
        <v>13665</v>
      </c>
      <c r="X1985">
        <v>63</v>
      </c>
      <c r="Y1985" t="s">
        <v>19432</v>
      </c>
      <c r="Z1985" t="s">
        <v>25192</v>
      </c>
      <c r="AA1985">
        <v>0.45495391789430589</v>
      </c>
      <c r="AB1985" t="str">
        <f>HYPERLINK("Melting_Curves/meltCurve_P15311_EZR.pdf", "Melting_Curves/meltCurve_P15311_EZR.pdf")</f>
        <v>Melting_Curves/meltCurve_P15311_EZR.pdf</v>
      </c>
    </row>
    <row r="1986" spans="1:28" x14ac:dyDescent="0.25">
      <c r="A1986" t="s">
        <v>1990</v>
      </c>
      <c r="B1986">
        <v>0.99334974765950101</v>
      </c>
      <c r="C1986">
        <v>0.92787906476236304</v>
      </c>
      <c r="D1986">
        <v>0.88060363681871201</v>
      </c>
      <c r="E1986">
        <v>0.68873397026743399</v>
      </c>
      <c r="F1986">
        <v>0.32234580087876202</v>
      </c>
      <c r="G1986">
        <v>0.17797051916241499</v>
      </c>
      <c r="H1986">
        <v>0.118836495392163</v>
      </c>
      <c r="I1986">
        <v>9.6357572774525099E-2</v>
      </c>
      <c r="J1986">
        <v>9.1750785052178194E-2</v>
      </c>
      <c r="K1986">
        <v>7.2216169853607695E-2</v>
      </c>
      <c r="L1986">
        <v>1066.37682100858</v>
      </c>
      <c r="M1986">
        <v>20.905644047843801</v>
      </c>
      <c r="N1986">
        <v>51.436006396622403</v>
      </c>
      <c r="O1986">
        <v>50.549184759085101</v>
      </c>
      <c r="P1986">
        <v>-9.5159309155553401E-2</v>
      </c>
      <c r="Q1986">
        <v>7.9656364727332798E-2</v>
      </c>
      <c r="R1986">
        <v>0.99311849000524999</v>
      </c>
      <c r="S1986" t="s">
        <v>7847</v>
      </c>
      <c r="T1986" t="s">
        <v>11720</v>
      </c>
      <c r="U1986" t="s">
        <v>11720</v>
      </c>
      <c r="V1986" t="s">
        <v>11720</v>
      </c>
      <c r="W1986" t="s">
        <v>13666</v>
      </c>
      <c r="X1986">
        <v>15</v>
      </c>
      <c r="Y1986" t="s">
        <v>19433</v>
      </c>
      <c r="Z1986" t="s">
        <v>25193</v>
      </c>
      <c r="AA1986">
        <v>0.42914610682781251</v>
      </c>
      <c r="AB1986" t="str">
        <f>HYPERLINK("Melting_Curves/meltCurve_P15374_UCHL3.pdf", "Melting_Curves/meltCurve_P15374_UCHL3.pdf")</f>
        <v>Melting_Curves/meltCurve_P15374_UCHL3.pdf</v>
      </c>
    </row>
    <row r="1987" spans="1:28" x14ac:dyDescent="0.25">
      <c r="A1987" t="s">
        <v>1991</v>
      </c>
      <c r="B1987">
        <v>0.99334974765950101</v>
      </c>
      <c r="C1987">
        <v>0.92202626329974002</v>
      </c>
      <c r="D1987">
        <v>0.84244401382552903</v>
      </c>
      <c r="E1987">
        <v>0.86282569330563696</v>
      </c>
      <c r="F1987">
        <v>0.90873426655368195</v>
      </c>
      <c r="G1987">
        <v>0.70778809428378497</v>
      </c>
      <c r="H1987">
        <v>0.65698489488294598</v>
      </c>
      <c r="I1987">
        <v>0.99786470735564303</v>
      </c>
      <c r="J1987">
        <v>1.1189033342769801</v>
      </c>
      <c r="K1987">
        <v>1.2393275362448599</v>
      </c>
      <c r="L1987">
        <v>3232.1580703703198</v>
      </c>
      <c r="M1987">
        <v>78.310058739105799</v>
      </c>
      <c r="O1987">
        <v>41.246963540365797</v>
      </c>
      <c r="P1987">
        <v>-3.94076097561364E-2</v>
      </c>
      <c r="Q1987">
        <v>0.91697393484770395</v>
      </c>
      <c r="R1987">
        <v>1.8836885249729401E-2</v>
      </c>
      <c r="S1987" t="s">
        <v>7848</v>
      </c>
      <c r="T1987" t="s">
        <v>11720</v>
      </c>
      <c r="U1987" t="s">
        <v>11720</v>
      </c>
      <c r="V1987" t="s">
        <v>11720</v>
      </c>
      <c r="W1987" t="s">
        <v>13667</v>
      </c>
      <c r="X1987">
        <v>2</v>
      </c>
      <c r="Y1987" t="s">
        <v>19434</v>
      </c>
      <c r="Z1987" t="s">
        <v>25194</v>
      </c>
      <c r="AA1987">
        <v>0.92066686253007102</v>
      </c>
      <c r="AB1987" t="str">
        <f>HYPERLINK("Melting_Curves/meltCurve_P15407_FOSL1.pdf", "Melting_Curves/meltCurve_P15407_FOSL1.pdf")</f>
        <v>Melting_Curves/meltCurve_P15407_FOSL1.pdf</v>
      </c>
    </row>
    <row r="1988" spans="1:28" x14ac:dyDescent="0.25">
      <c r="A1988" t="s">
        <v>1992</v>
      </c>
      <c r="B1988">
        <v>0.99334974765950101</v>
      </c>
      <c r="C1988">
        <v>1.1401449442356599</v>
      </c>
      <c r="D1988">
        <v>1.10893339083906</v>
      </c>
      <c r="E1988">
        <v>1.02354202088351</v>
      </c>
      <c r="F1988">
        <v>1.52085147565395</v>
      </c>
      <c r="G1988">
        <v>1.40654730679734</v>
      </c>
      <c r="H1988">
        <v>1.34878840881468</v>
      </c>
      <c r="I1988">
        <v>2.0638658048535499</v>
      </c>
      <c r="J1988">
        <v>1.48423184613734</v>
      </c>
      <c r="K1988">
        <v>1.3286719233181401</v>
      </c>
      <c r="L1988">
        <v>12650.3677055588</v>
      </c>
      <c r="M1988">
        <v>250</v>
      </c>
      <c r="O1988">
        <v>50.598232687274198</v>
      </c>
      <c r="P1988">
        <v>0.61761050517930505</v>
      </c>
      <c r="Q1988">
        <v>1.5</v>
      </c>
      <c r="R1988">
        <v>0.54101283976115599</v>
      </c>
      <c r="S1988" t="s">
        <v>7849</v>
      </c>
      <c r="T1988" t="s">
        <v>11720</v>
      </c>
      <c r="U1988" t="s">
        <v>11720</v>
      </c>
      <c r="V1988" t="s">
        <v>11720</v>
      </c>
      <c r="W1988" t="s">
        <v>13668</v>
      </c>
      <c r="X1988">
        <v>5</v>
      </c>
      <c r="Y1988" t="s">
        <v>19435</v>
      </c>
      <c r="Z1988" t="s">
        <v>25195</v>
      </c>
      <c r="AA1988">
        <v>1.323264417232533</v>
      </c>
      <c r="AB1988" t="str">
        <f>HYPERLINK("Melting_Curves/meltCurve_P15529_15_CD46.pdf", "Melting_Curves/meltCurve_P15529_15_CD46.pdf")</f>
        <v>Melting_Curves/meltCurve_P15529_15_CD46.pdf</v>
      </c>
    </row>
    <row r="1989" spans="1:28" x14ac:dyDescent="0.25">
      <c r="A1989" t="s">
        <v>1993</v>
      </c>
      <c r="B1989">
        <v>0.99334974765950101</v>
      </c>
      <c r="C1989">
        <v>0.89248067485178795</v>
      </c>
      <c r="D1989">
        <v>0.86406085627193097</v>
      </c>
      <c r="E1989">
        <v>0.94854803927157905</v>
      </c>
      <c r="F1989">
        <v>0.86819927630612104</v>
      </c>
      <c r="G1989">
        <v>0.65415510583105296</v>
      </c>
      <c r="H1989">
        <v>0.50745202532920397</v>
      </c>
      <c r="I1989">
        <v>0.57005050148817304</v>
      </c>
      <c r="J1989">
        <v>0.40557006382480199</v>
      </c>
      <c r="K1989">
        <v>0.28115141266828603</v>
      </c>
      <c r="L1989">
        <v>477.57509445772001</v>
      </c>
      <c r="M1989">
        <v>7.5471980892595099</v>
      </c>
      <c r="N1989">
        <v>63.278462153719602</v>
      </c>
      <c r="O1989">
        <v>59.293535809652397</v>
      </c>
      <c r="P1989">
        <v>-3.1866040608047597E-2</v>
      </c>
      <c r="Q1989">
        <v>0</v>
      </c>
      <c r="R1989">
        <v>0.93399458156257797</v>
      </c>
      <c r="S1989" t="s">
        <v>7850</v>
      </c>
      <c r="T1989" t="s">
        <v>11720</v>
      </c>
      <c r="U1989" t="s">
        <v>11720</v>
      </c>
      <c r="V1989" t="s">
        <v>11720</v>
      </c>
      <c r="W1989" t="s">
        <v>13669</v>
      </c>
      <c r="X1989">
        <v>7</v>
      </c>
      <c r="Y1989" t="s">
        <v>19435</v>
      </c>
      <c r="Z1989" t="s">
        <v>25196</v>
      </c>
      <c r="AA1989">
        <v>0.71833527942639774</v>
      </c>
      <c r="AB1989" t="str">
        <f>HYPERLINK("Melting_Curves/meltCurve_P15529_7_CD46.pdf", "Melting_Curves/meltCurve_P15529_7_CD46.pdf")</f>
        <v>Melting_Curves/meltCurve_P15529_7_CD46.pdf</v>
      </c>
    </row>
    <row r="1990" spans="1:28" x14ac:dyDescent="0.25">
      <c r="A1990" t="s">
        <v>1994</v>
      </c>
      <c r="B1990">
        <v>0.99334974765950101</v>
      </c>
      <c r="C1990">
        <v>0.97235344331561502</v>
      </c>
      <c r="D1990">
        <v>0.78528825802805102</v>
      </c>
      <c r="E1990">
        <v>0.85262311023500204</v>
      </c>
      <c r="F1990">
        <v>0.89052807319892502</v>
      </c>
      <c r="G1990">
        <v>0.48748593326091699</v>
      </c>
      <c r="H1990">
        <v>0.55420448506796005</v>
      </c>
      <c r="I1990">
        <v>0.66287936690659199</v>
      </c>
      <c r="J1990">
        <v>0.51934361033949095</v>
      </c>
      <c r="K1990">
        <v>0.35394978751233303</v>
      </c>
      <c r="L1990">
        <v>331.96587558238701</v>
      </c>
      <c r="M1990">
        <v>5.2078967073868903</v>
      </c>
      <c r="N1990">
        <v>65.567952411689404</v>
      </c>
      <c r="O1990">
        <v>56.149274951533201</v>
      </c>
      <c r="P1990">
        <v>-2.17383095500496E-2</v>
      </c>
      <c r="Q1990">
        <v>6.74749642817392E-2</v>
      </c>
      <c r="R1990">
        <v>0.79214131074824001</v>
      </c>
      <c r="S1990" t="s">
        <v>7851</v>
      </c>
      <c r="T1990" t="s">
        <v>11720</v>
      </c>
      <c r="U1990" t="s">
        <v>11720</v>
      </c>
      <c r="V1990" t="s">
        <v>11720</v>
      </c>
      <c r="W1990" t="s">
        <v>13670</v>
      </c>
      <c r="X1990">
        <v>16</v>
      </c>
      <c r="Y1990" t="s">
        <v>19436</v>
      </c>
      <c r="Z1990" t="s">
        <v>25197</v>
      </c>
      <c r="AA1990">
        <v>0.70936610226201524</v>
      </c>
      <c r="AB1990" t="str">
        <f>HYPERLINK("Melting_Curves/meltCurve_P15531_NME1.pdf", "Melting_Curves/meltCurve_P15531_NME1.pdf")</f>
        <v>Melting_Curves/meltCurve_P15531_NME1.pdf</v>
      </c>
    </row>
    <row r="1991" spans="1:28" x14ac:dyDescent="0.25">
      <c r="A1991" t="s">
        <v>1995</v>
      </c>
      <c r="B1991">
        <v>0.99334974765950101</v>
      </c>
      <c r="C1991">
        <v>0.97770895005785097</v>
      </c>
      <c r="D1991">
        <v>1.04609979373037</v>
      </c>
      <c r="E1991">
        <v>0.88915514969821696</v>
      </c>
      <c r="F1991">
        <v>0.80001389822436897</v>
      </c>
      <c r="G1991">
        <v>0.74419344188935899</v>
      </c>
      <c r="H1991">
        <v>0.70895681120463305</v>
      </c>
      <c r="I1991">
        <v>0.80931089099667497</v>
      </c>
      <c r="J1991">
        <v>0.43727221006339101</v>
      </c>
      <c r="K1991">
        <v>0.222061196005511</v>
      </c>
      <c r="L1991">
        <v>612.47028213887302</v>
      </c>
      <c r="M1991">
        <v>9.2755357773788401</v>
      </c>
      <c r="N1991">
        <v>66.030715074897699</v>
      </c>
      <c r="O1991">
        <v>63.179280567381099</v>
      </c>
      <c r="P1991">
        <v>-3.6727009593811699E-2</v>
      </c>
      <c r="Q1991">
        <v>0</v>
      </c>
      <c r="R1991">
        <v>0.82673672889333705</v>
      </c>
      <c r="S1991" t="s">
        <v>7852</v>
      </c>
      <c r="T1991" t="s">
        <v>11720</v>
      </c>
      <c r="U1991" t="s">
        <v>11720</v>
      </c>
      <c r="V1991" t="s">
        <v>11720</v>
      </c>
      <c r="W1991" t="s">
        <v>13671</v>
      </c>
      <c r="X1991">
        <v>18</v>
      </c>
      <c r="Y1991" t="s">
        <v>19437</v>
      </c>
      <c r="Z1991" t="s">
        <v>25198</v>
      </c>
      <c r="AA1991">
        <v>0.79239433106610724</v>
      </c>
      <c r="AB1991" t="str">
        <f>HYPERLINK("Melting_Curves/meltCurve_P15586_GNS.pdf", "Melting_Curves/meltCurve_P15586_GNS.pdf")</f>
        <v>Melting_Curves/meltCurve_P15586_GNS.pdf</v>
      </c>
    </row>
    <row r="1992" spans="1:28" x14ac:dyDescent="0.25">
      <c r="A1992" t="s">
        <v>1996</v>
      </c>
      <c r="B1992">
        <v>0.99334974765950101</v>
      </c>
      <c r="C1992">
        <v>0.98172780463008402</v>
      </c>
      <c r="D1992">
        <v>0.96569155820892505</v>
      </c>
      <c r="E1992">
        <v>0.85185030953122498</v>
      </c>
      <c r="F1992">
        <v>0.72739157268648202</v>
      </c>
      <c r="G1992">
        <v>0.66641787625358695</v>
      </c>
      <c r="H1992">
        <v>0.64806225492067904</v>
      </c>
      <c r="I1992">
        <v>0.87583116038906805</v>
      </c>
      <c r="J1992">
        <v>0.72405023605087404</v>
      </c>
      <c r="K1992">
        <v>0.43189122698175503</v>
      </c>
      <c r="L1992">
        <v>1179.6512670351201</v>
      </c>
      <c r="M1992">
        <v>23.464719695799499</v>
      </c>
      <c r="O1992">
        <v>49.912520731447202</v>
      </c>
      <c r="P1992">
        <v>-3.9679426782812902E-2</v>
      </c>
      <c r="Q1992">
        <v>0.66239248855717103</v>
      </c>
      <c r="R1992">
        <v>0.64814199617923296</v>
      </c>
      <c r="S1992" t="s">
        <v>7853</v>
      </c>
      <c r="T1992" t="s">
        <v>11720</v>
      </c>
      <c r="U1992" t="s">
        <v>11720</v>
      </c>
      <c r="V1992" t="s">
        <v>11720</v>
      </c>
      <c r="W1992" t="s">
        <v>13672</v>
      </c>
      <c r="X1992">
        <v>17</v>
      </c>
      <c r="Y1992" t="s">
        <v>19438</v>
      </c>
      <c r="Z1992" t="s">
        <v>25199</v>
      </c>
      <c r="AA1992">
        <v>0.78143831293568433</v>
      </c>
      <c r="AB1992" t="str">
        <f>HYPERLINK("Melting_Curves/meltCurve_P15848_ARSB.pdf", "Melting_Curves/meltCurve_P15848_ARSB.pdf")</f>
        <v>Melting_Curves/meltCurve_P15848_ARSB.pdf</v>
      </c>
    </row>
    <row r="1993" spans="1:28" x14ac:dyDescent="0.25">
      <c r="A1993" t="s">
        <v>1997</v>
      </c>
      <c r="B1993">
        <v>0.99334974765950101</v>
      </c>
      <c r="C1993">
        <v>0.937788280911663</v>
      </c>
      <c r="D1993">
        <v>0.80922426224013499</v>
      </c>
      <c r="E1993">
        <v>0.45712628051069398</v>
      </c>
      <c r="F1993">
        <v>0.22698714250589999</v>
      </c>
      <c r="G1993">
        <v>0.13958661568212599</v>
      </c>
      <c r="H1993">
        <v>0.101232009284572</v>
      </c>
      <c r="I1993">
        <v>9.1124067006600196E-2</v>
      </c>
      <c r="J1993">
        <v>8.2916124671952599E-2</v>
      </c>
      <c r="K1993">
        <v>7.6929741680520705E-2</v>
      </c>
      <c r="L1993">
        <v>994.43528669046998</v>
      </c>
      <c r="M1993">
        <v>20.2944059755932</v>
      </c>
      <c r="N1993">
        <v>49.427076338642898</v>
      </c>
      <c r="O1993">
        <v>48.532140016604103</v>
      </c>
      <c r="P1993">
        <v>-9.6145156777733998E-2</v>
      </c>
      <c r="Q1993">
        <v>8.0340406557956601E-2</v>
      </c>
      <c r="R1993">
        <v>0.99946023586465405</v>
      </c>
      <c r="S1993" t="s">
        <v>7854</v>
      </c>
      <c r="T1993" t="s">
        <v>11720</v>
      </c>
      <c r="U1993" t="s">
        <v>11720</v>
      </c>
      <c r="V1993" t="s">
        <v>11720</v>
      </c>
      <c r="W1993" t="s">
        <v>13673</v>
      </c>
      <c r="X1993">
        <v>11</v>
      </c>
      <c r="Y1993" t="s">
        <v>19439</v>
      </c>
      <c r="Z1993" t="s">
        <v>25200</v>
      </c>
      <c r="AA1993">
        <v>0.36875733273281608</v>
      </c>
      <c r="AB1993" t="str">
        <f>HYPERLINK("Melting_Curves/meltCurve_P15882_CHN1.pdf", "Melting_Curves/meltCurve_P15882_CHN1.pdf")</f>
        <v>Melting_Curves/meltCurve_P15882_CHN1.pdf</v>
      </c>
    </row>
    <row r="1994" spans="1:28" x14ac:dyDescent="0.25">
      <c r="A1994" t="s">
        <v>1998</v>
      </c>
      <c r="B1994">
        <v>0.99334974765950101</v>
      </c>
      <c r="C1994">
        <v>1.00820881883916</v>
      </c>
      <c r="D1994">
        <v>1.00335032534866</v>
      </c>
      <c r="E1994">
        <v>0.93025893906235302</v>
      </c>
      <c r="F1994">
        <v>0.859439452490801</v>
      </c>
      <c r="G1994">
        <v>0.482938118028234</v>
      </c>
      <c r="H1994">
        <v>0.158394785753323</v>
      </c>
      <c r="I1994">
        <v>8.8958759528810702E-2</v>
      </c>
      <c r="J1994">
        <v>6.7016839515001606E-2</v>
      </c>
      <c r="K1994">
        <v>5.4213495164264401E-2</v>
      </c>
      <c r="L1994">
        <v>1435.0893019534401</v>
      </c>
      <c r="M1994">
        <v>25.3724437894309</v>
      </c>
      <c r="N1994">
        <v>56.761362599490198</v>
      </c>
      <c r="O1994">
        <v>56.213072471329298</v>
      </c>
      <c r="P1994">
        <v>-0.10800698558140499</v>
      </c>
      <c r="Q1994">
        <v>4.2846603405326603E-2</v>
      </c>
      <c r="R1994">
        <v>0.99888972756726802</v>
      </c>
      <c r="S1994" t="s">
        <v>7855</v>
      </c>
      <c r="T1994" t="s">
        <v>11720</v>
      </c>
      <c r="U1994" t="s">
        <v>11720</v>
      </c>
      <c r="V1994" t="s">
        <v>11720</v>
      </c>
      <c r="W1994" t="s">
        <v>13674</v>
      </c>
      <c r="X1994">
        <v>6</v>
      </c>
      <c r="Y1994" t="s">
        <v>19440</v>
      </c>
      <c r="Z1994" t="s">
        <v>25201</v>
      </c>
      <c r="AA1994">
        <v>0.57972877135267931</v>
      </c>
      <c r="AB1994" t="str">
        <f>HYPERLINK("Melting_Curves/meltCurve_P15927_RPA2.pdf", "Melting_Curves/meltCurve_P15927_RPA2.pdf")</f>
        <v>Melting_Curves/meltCurve_P15927_RPA2.pdf</v>
      </c>
    </row>
    <row r="1995" spans="1:28" x14ac:dyDescent="0.25">
      <c r="A1995" t="s">
        <v>1999</v>
      </c>
      <c r="B1995">
        <v>0.99334974765950101</v>
      </c>
      <c r="C1995">
        <v>0.98150707420345695</v>
      </c>
      <c r="D1995">
        <v>0.87484813116212901</v>
      </c>
      <c r="E1995">
        <v>0.77835497017702104</v>
      </c>
      <c r="F1995">
        <v>0.72505552682742602</v>
      </c>
      <c r="G1995">
        <v>0.67941475534956597</v>
      </c>
      <c r="H1995">
        <v>0.73108551735791205</v>
      </c>
      <c r="I1995">
        <v>1.0100246221897999</v>
      </c>
      <c r="J1995">
        <v>0.94449057920875501</v>
      </c>
      <c r="K1995">
        <v>0.67487114826697403</v>
      </c>
      <c r="L1995">
        <v>2190.0454664460899</v>
      </c>
      <c r="M1995">
        <v>48.078015811381299</v>
      </c>
      <c r="O1995">
        <v>45.473310291156999</v>
      </c>
      <c r="P1995">
        <v>-5.5058092720920798E-2</v>
      </c>
      <c r="Q1995">
        <v>0.79169928712930004</v>
      </c>
      <c r="R1995">
        <v>0.36458881313904401</v>
      </c>
      <c r="S1995" t="s">
        <v>7856</v>
      </c>
      <c r="T1995" t="s">
        <v>11720</v>
      </c>
      <c r="U1995" t="s">
        <v>11720</v>
      </c>
      <c r="V1995" t="s">
        <v>11720</v>
      </c>
      <c r="W1995" t="s">
        <v>13675</v>
      </c>
      <c r="X1995">
        <v>11</v>
      </c>
      <c r="Y1995" t="s">
        <v>19441</v>
      </c>
      <c r="Z1995" t="s">
        <v>25202</v>
      </c>
      <c r="AA1995">
        <v>0.83070725285461033</v>
      </c>
      <c r="AB1995" t="str">
        <f>HYPERLINK("Melting_Curves/meltCurve_P16035_TIMP2.pdf", "Melting_Curves/meltCurve_P16035_TIMP2.pdf")</f>
        <v>Melting_Curves/meltCurve_P16035_TIMP2.pdf</v>
      </c>
    </row>
    <row r="1996" spans="1:28" x14ac:dyDescent="0.25">
      <c r="A1996" t="s">
        <v>2000</v>
      </c>
      <c r="B1996">
        <v>0.99334974765950101</v>
      </c>
      <c r="C1996">
        <v>0.98618134460417495</v>
      </c>
      <c r="D1996">
        <v>0.88042640069721101</v>
      </c>
      <c r="E1996">
        <v>0.70993277577354497</v>
      </c>
      <c r="F1996">
        <v>0.35554109152569702</v>
      </c>
      <c r="G1996">
        <v>0.128600068702969</v>
      </c>
      <c r="H1996">
        <v>8.6824965339902693E-2</v>
      </c>
      <c r="I1996">
        <v>6.9882853204758094E-2</v>
      </c>
      <c r="J1996">
        <v>5.5087222291357998E-2</v>
      </c>
      <c r="K1996">
        <v>4.6392315257938799E-2</v>
      </c>
      <c r="L1996">
        <v>1155.4548547454999</v>
      </c>
      <c r="M1996">
        <v>22.463052547765798</v>
      </c>
      <c r="N1996">
        <v>51.674084367152197</v>
      </c>
      <c r="O1996">
        <v>51.035572299641203</v>
      </c>
      <c r="P1996">
        <v>-0.104672560254363</v>
      </c>
      <c r="Q1996">
        <v>4.8764545823669202E-2</v>
      </c>
      <c r="R1996">
        <v>0.99646689675407696</v>
      </c>
      <c r="S1996" t="s">
        <v>7857</v>
      </c>
      <c r="T1996" t="s">
        <v>11720</v>
      </c>
      <c r="U1996" t="s">
        <v>11720</v>
      </c>
      <c r="V1996" t="s">
        <v>11720</v>
      </c>
      <c r="W1996" t="s">
        <v>13676</v>
      </c>
      <c r="X1996">
        <v>28</v>
      </c>
      <c r="Y1996" t="s">
        <v>19442</v>
      </c>
      <c r="Z1996" t="s">
        <v>25203</v>
      </c>
      <c r="AA1996">
        <v>0.42205150703171612</v>
      </c>
      <c r="AB1996" t="str">
        <f>HYPERLINK("Melting_Curves/meltCurve_P16152_CBR1.pdf", "Melting_Curves/meltCurve_P16152_CBR1.pdf")</f>
        <v>Melting_Curves/meltCurve_P16152_CBR1.pdf</v>
      </c>
    </row>
    <row r="1997" spans="1:28" x14ac:dyDescent="0.25">
      <c r="A1997" t="s">
        <v>2001</v>
      </c>
      <c r="B1997">
        <v>0.99334974765950101</v>
      </c>
      <c r="C1997">
        <v>0.97661000527627295</v>
      </c>
      <c r="D1997">
        <v>1.15145375758375</v>
      </c>
      <c r="E1997">
        <v>1.24877482758072</v>
      </c>
      <c r="F1997">
        <v>0.79907295728318894</v>
      </c>
      <c r="G1997">
        <v>0.35022278050366301</v>
      </c>
      <c r="H1997">
        <v>0.198752782934811</v>
      </c>
      <c r="I1997">
        <v>0.108986644727252</v>
      </c>
      <c r="J1997">
        <v>9.4441934317327197E-2</v>
      </c>
      <c r="K1997">
        <v>6.4634536271758497E-2</v>
      </c>
      <c r="L1997">
        <v>2011.12841680004</v>
      </c>
      <c r="M1997">
        <v>36.282156945674998</v>
      </c>
      <c r="N1997">
        <v>55.795563242320497</v>
      </c>
      <c r="O1997">
        <v>55.262650651599699</v>
      </c>
      <c r="P1997">
        <v>-0.14678210698455499</v>
      </c>
      <c r="Q1997">
        <v>0.105726427439701</v>
      </c>
      <c r="R1997">
        <v>0.94995147568542804</v>
      </c>
      <c r="S1997" t="s">
        <v>7858</v>
      </c>
      <c r="T1997" t="s">
        <v>11720</v>
      </c>
      <c r="U1997" t="s">
        <v>11720</v>
      </c>
      <c r="V1997" t="s">
        <v>11720</v>
      </c>
      <c r="W1997" t="s">
        <v>13677</v>
      </c>
      <c r="X1997">
        <v>9</v>
      </c>
      <c r="Y1997" t="s">
        <v>19443</v>
      </c>
      <c r="Z1997" t="s">
        <v>25204</v>
      </c>
      <c r="AA1997">
        <v>0.56982082040427673</v>
      </c>
      <c r="AB1997" t="str">
        <f>HYPERLINK("Melting_Curves/meltCurve_P16219_ACADS.pdf", "Melting_Curves/meltCurve_P16219_ACADS.pdf")</f>
        <v>Melting_Curves/meltCurve_P16219_ACADS.pdf</v>
      </c>
    </row>
    <row r="1998" spans="1:28" x14ac:dyDescent="0.25">
      <c r="A1998" t="s">
        <v>2002</v>
      </c>
      <c r="B1998">
        <v>0.99334974765950101</v>
      </c>
      <c r="C1998">
        <v>1.0045157240659</v>
      </c>
      <c r="D1998">
        <v>0.96467860029517005</v>
      </c>
      <c r="E1998">
        <v>0.81716073731052696</v>
      </c>
      <c r="F1998">
        <v>0.89278964726890997</v>
      </c>
      <c r="G1998">
        <v>0.76055958015314196</v>
      </c>
      <c r="H1998">
        <v>0.60314062496587795</v>
      </c>
      <c r="I1998">
        <v>0.73417325564749303</v>
      </c>
      <c r="J1998">
        <v>0.577091221321128</v>
      </c>
      <c r="K1998">
        <v>0.52308310221634702</v>
      </c>
      <c r="L1998">
        <v>433.21681247715901</v>
      </c>
      <c r="M1998">
        <v>7.0655016117311202</v>
      </c>
      <c r="O1998">
        <v>56.970815011068801</v>
      </c>
      <c r="P1998">
        <v>-1.99490789832697E-2</v>
      </c>
      <c r="Q1998">
        <v>0.35773398119114602</v>
      </c>
      <c r="R1998">
        <v>0.90245104349887895</v>
      </c>
      <c r="S1998" t="s">
        <v>7859</v>
      </c>
      <c r="T1998" t="s">
        <v>11720</v>
      </c>
      <c r="U1998" t="s">
        <v>11720</v>
      </c>
      <c r="V1998" t="s">
        <v>11720</v>
      </c>
      <c r="W1998" t="s">
        <v>13678</v>
      </c>
      <c r="X1998">
        <v>3</v>
      </c>
      <c r="Y1998" t="s">
        <v>19444</v>
      </c>
      <c r="Z1998" t="s">
        <v>25205</v>
      </c>
      <c r="AA1998">
        <v>0.78945632250566744</v>
      </c>
      <c r="AB1998" t="str">
        <f>HYPERLINK("Melting_Curves/meltCurve_P16220_2_CREB1.pdf", "Melting_Curves/meltCurve_P16220_2_CREB1.pdf")</f>
        <v>Melting_Curves/meltCurve_P16220_2_CREB1.pdf</v>
      </c>
    </row>
    <row r="1999" spans="1:28" x14ac:dyDescent="0.25">
      <c r="A1999" t="s">
        <v>2003</v>
      </c>
      <c r="B1999">
        <v>0.99334974765950101</v>
      </c>
      <c r="C1999">
        <v>0.95217530750109702</v>
      </c>
      <c r="D1999">
        <v>1.0356071723076801</v>
      </c>
      <c r="E1999">
        <v>1.0135173096869601</v>
      </c>
      <c r="F1999">
        <v>0.74469452976572303</v>
      </c>
      <c r="G1999">
        <v>0.34250856764940801</v>
      </c>
      <c r="H1999">
        <v>0.22588110521138599</v>
      </c>
      <c r="I1999">
        <v>0.20426267649457999</v>
      </c>
      <c r="J1999">
        <v>0.20745244047870701</v>
      </c>
      <c r="K1999">
        <v>0.19777225862572501</v>
      </c>
      <c r="L1999">
        <v>1935.5736531994</v>
      </c>
      <c r="M1999">
        <v>35.6583061682474</v>
      </c>
      <c r="N1999">
        <v>55.101229702580497</v>
      </c>
      <c r="O1999">
        <v>54.111277146311402</v>
      </c>
      <c r="P1999">
        <v>-0.13082350621195099</v>
      </c>
      <c r="Q1999">
        <v>0.20590694312420699</v>
      </c>
      <c r="R1999">
        <v>0.99490783992833398</v>
      </c>
      <c r="S1999" t="s">
        <v>7860</v>
      </c>
      <c r="T1999" t="s">
        <v>11720</v>
      </c>
      <c r="U1999" t="s">
        <v>11720</v>
      </c>
      <c r="V1999" t="s">
        <v>11720</v>
      </c>
      <c r="W1999" t="s">
        <v>13679</v>
      </c>
      <c r="X1999">
        <v>13</v>
      </c>
      <c r="Y1999" t="s">
        <v>19445</v>
      </c>
      <c r="Z1999" t="s">
        <v>25206</v>
      </c>
      <c r="AA1999">
        <v>0.58766043196046125</v>
      </c>
      <c r="AB1999" t="str">
        <f>HYPERLINK("Melting_Curves/meltCurve_P16234_PDGFRA.pdf", "Melting_Curves/meltCurve_P16234_PDGFRA.pdf")</f>
        <v>Melting_Curves/meltCurve_P16234_PDGFRA.pdf</v>
      </c>
    </row>
    <row r="2000" spans="1:28" x14ac:dyDescent="0.25">
      <c r="A2000" t="s">
        <v>2004</v>
      </c>
      <c r="B2000">
        <v>0.99334974765950101</v>
      </c>
      <c r="C2000">
        <v>0.99059689068327295</v>
      </c>
      <c r="D2000">
        <v>1.0137168535531</v>
      </c>
      <c r="E2000">
        <v>1.2002188277591901</v>
      </c>
      <c r="F2000">
        <v>0.98999139509318002</v>
      </c>
      <c r="G2000">
        <v>0.95600810879551601</v>
      </c>
      <c r="H2000">
        <v>0.66425741446087405</v>
      </c>
      <c r="I2000">
        <v>0.57527589557789705</v>
      </c>
      <c r="J2000">
        <v>0.25473559909698501</v>
      </c>
      <c r="K2000">
        <v>9.0912309528749194E-2</v>
      </c>
      <c r="L2000">
        <v>1411.1257230076601</v>
      </c>
      <c r="M2000">
        <v>22.0703003631182</v>
      </c>
      <c r="N2000">
        <v>63.937767140653399</v>
      </c>
      <c r="O2000">
        <v>63.419775610179897</v>
      </c>
      <c r="P2000">
        <v>-8.7002757353575794E-2</v>
      </c>
      <c r="Q2000">
        <v>0</v>
      </c>
      <c r="R2000">
        <v>0.953402714553927</v>
      </c>
      <c r="S2000" t="s">
        <v>7861</v>
      </c>
      <c r="T2000" t="s">
        <v>11720</v>
      </c>
      <c r="U2000" t="s">
        <v>11720</v>
      </c>
      <c r="V2000" t="s">
        <v>11720</v>
      </c>
      <c r="W2000" t="s">
        <v>13680</v>
      </c>
      <c r="X2000">
        <v>2</v>
      </c>
      <c r="Y2000" t="s">
        <v>19446</v>
      </c>
      <c r="Z2000" t="s">
        <v>25207</v>
      </c>
      <c r="AA2000">
        <v>0.79483973485017112</v>
      </c>
      <c r="AB2000" t="str">
        <f>HYPERLINK("Melting_Curves/meltCurve_P16260_SLC25A16.pdf", "Melting_Curves/meltCurve_P16260_SLC25A16.pdf")</f>
        <v>Melting_Curves/meltCurve_P16260_SLC25A16.pdf</v>
      </c>
    </row>
    <row r="2001" spans="1:28" x14ac:dyDescent="0.25">
      <c r="A2001" t="s">
        <v>2005</v>
      </c>
      <c r="B2001">
        <v>0.99334974765950101</v>
      </c>
      <c r="C2001">
        <v>0.96490975062105699</v>
      </c>
      <c r="D2001">
        <v>1.0057576220909299</v>
      </c>
      <c r="E2001">
        <v>0.90047171151777905</v>
      </c>
      <c r="F2001">
        <v>0.85338246160118403</v>
      </c>
      <c r="G2001">
        <v>0.77247202390480296</v>
      </c>
      <c r="H2001">
        <v>0.56537925413773005</v>
      </c>
      <c r="I2001">
        <v>0.35470159359683401</v>
      </c>
      <c r="J2001">
        <v>0.33519343639178401</v>
      </c>
      <c r="K2001">
        <v>0.31836759317149299</v>
      </c>
      <c r="L2001">
        <v>811.71554409728105</v>
      </c>
      <c r="M2001">
        <v>13.578656860133099</v>
      </c>
      <c r="N2001">
        <v>61.928960074406099</v>
      </c>
      <c r="O2001">
        <v>58.526958616547702</v>
      </c>
      <c r="P2001">
        <v>-4.7107242018837203E-2</v>
      </c>
      <c r="Q2001">
        <v>0.18795157384862601</v>
      </c>
      <c r="R2001">
        <v>0.98229524899714205</v>
      </c>
      <c r="S2001" t="s">
        <v>7862</v>
      </c>
      <c r="T2001" t="s">
        <v>11720</v>
      </c>
      <c r="U2001" t="s">
        <v>11720</v>
      </c>
      <c r="V2001" t="s">
        <v>11720</v>
      </c>
      <c r="W2001" t="s">
        <v>13681</v>
      </c>
      <c r="X2001">
        <v>20</v>
      </c>
      <c r="Y2001" t="s">
        <v>19447</v>
      </c>
      <c r="Z2001" t="s">
        <v>25208</v>
      </c>
      <c r="AA2001">
        <v>0.72847123294022453</v>
      </c>
      <c r="AB2001" t="str">
        <f>HYPERLINK("Melting_Curves/meltCurve_P16278_3_GLB1.pdf", "Melting_Curves/meltCurve_P16278_3_GLB1.pdf")</f>
        <v>Melting_Curves/meltCurve_P16278_3_GLB1.pdf</v>
      </c>
    </row>
    <row r="2002" spans="1:28" x14ac:dyDescent="0.25">
      <c r="A2002" t="s">
        <v>2006</v>
      </c>
      <c r="B2002">
        <v>0.99334974765950101</v>
      </c>
      <c r="C2002">
        <v>0.95709280175400002</v>
      </c>
      <c r="D2002">
        <v>0.94252846796166001</v>
      </c>
      <c r="E2002">
        <v>0.82306007405684301</v>
      </c>
      <c r="F2002">
        <v>0.496326402301425</v>
      </c>
      <c r="G2002">
        <v>0.209362535024502</v>
      </c>
      <c r="H2002">
        <v>0.12726165390406799</v>
      </c>
      <c r="I2002">
        <v>0.10702440548035499</v>
      </c>
      <c r="J2002">
        <v>9.0848629131255895E-2</v>
      </c>
      <c r="K2002">
        <v>6.1401836427002997E-2</v>
      </c>
      <c r="L2002">
        <v>1255.7258106678501</v>
      </c>
      <c r="M2002">
        <v>23.832161126509199</v>
      </c>
      <c r="N2002">
        <v>53.085905529393401</v>
      </c>
      <c r="O2002">
        <v>52.323606325337302</v>
      </c>
      <c r="P2002">
        <v>-0.104608034378843</v>
      </c>
      <c r="Q2002">
        <v>8.1345454894774905E-2</v>
      </c>
      <c r="R2002">
        <v>0.99737461274664296</v>
      </c>
      <c r="S2002" t="s">
        <v>7863</v>
      </c>
      <c r="T2002" t="s">
        <v>11720</v>
      </c>
      <c r="U2002" t="s">
        <v>11720</v>
      </c>
      <c r="V2002" t="s">
        <v>11720</v>
      </c>
      <c r="W2002" t="s">
        <v>13682</v>
      </c>
      <c r="X2002">
        <v>18</v>
      </c>
      <c r="Y2002" t="s">
        <v>19448</v>
      </c>
      <c r="Z2002" t="s">
        <v>25209</v>
      </c>
      <c r="AA2002">
        <v>0.47918048701620941</v>
      </c>
      <c r="AB2002" t="str">
        <f>HYPERLINK("Melting_Curves/meltCurve_P16298_PPP3CB.pdf", "Melting_Curves/meltCurve_P16298_PPP3CB.pdf")</f>
        <v>Melting_Curves/meltCurve_P16298_PPP3CB.pdf</v>
      </c>
    </row>
    <row r="2003" spans="1:28" x14ac:dyDescent="0.25">
      <c r="A2003" t="s">
        <v>2007</v>
      </c>
      <c r="B2003">
        <v>0.99334974765950101</v>
      </c>
      <c r="C2003">
        <v>0.95760381236911396</v>
      </c>
      <c r="D2003">
        <v>0.71488244253822997</v>
      </c>
      <c r="E2003">
        <v>0.257289677757568</v>
      </c>
      <c r="F2003">
        <v>0.14351933346984899</v>
      </c>
      <c r="G2003">
        <v>8.4392613225768603E-2</v>
      </c>
      <c r="H2003">
        <v>7.3070656186429203E-2</v>
      </c>
      <c r="I2003">
        <v>6.4205427326795503E-2</v>
      </c>
      <c r="J2003">
        <v>7.6714060198009207E-2</v>
      </c>
      <c r="K2003">
        <v>6.1699347384255303E-2</v>
      </c>
      <c r="L2003">
        <v>1247.76747168871</v>
      </c>
      <c r="M2003">
        <v>26.297274818420998</v>
      </c>
      <c r="N2003">
        <v>47.726738211503999</v>
      </c>
      <c r="O2003">
        <v>47.176725318709998</v>
      </c>
      <c r="P2003">
        <v>-0.12945405525040801</v>
      </c>
      <c r="Q2003">
        <v>7.1059662520599406E-2</v>
      </c>
      <c r="R2003">
        <v>0.99952134165851803</v>
      </c>
      <c r="S2003" t="s">
        <v>7864</v>
      </c>
      <c r="T2003" t="s">
        <v>11720</v>
      </c>
      <c r="U2003" t="s">
        <v>11720</v>
      </c>
      <c r="V2003" t="s">
        <v>11720</v>
      </c>
      <c r="W2003" t="s">
        <v>13683</v>
      </c>
      <c r="X2003">
        <v>20</v>
      </c>
      <c r="Y2003" t="s">
        <v>19449</v>
      </c>
      <c r="Z2003" t="s">
        <v>25210</v>
      </c>
      <c r="AA2003">
        <v>0.30908677389224559</v>
      </c>
      <c r="AB2003" t="str">
        <f>HYPERLINK("Melting_Curves/meltCurve_P16333_NCK1.pdf", "Melting_Curves/meltCurve_P16333_NCK1.pdf")</f>
        <v>Melting_Curves/meltCurve_P16333_NCK1.pdf</v>
      </c>
    </row>
    <row r="2004" spans="1:28" x14ac:dyDescent="0.25">
      <c r="A2004" t="s">
        <v>2008</v>
      </c>
      <c r="B2004">
        <v>0.99334974765950101</v>
      </c>
      <c r="C2004">
        <v>0.93348891208155604</v>
      </c>
      <c r="D2004">
        <v>0.80945712513802204</v>
      </c>
      <c r="E2004">
        <v>0.46387062285951097</v>
      </c>
      <c r="F2004">
        <v>0.30855870191322199</v>
      </c>
      <c r="G2004">
        <v>0.24805105198063199</v>
      </c>
      <c r="H2004">
        <v>0.20679311817174301</v>
      </c>
      <c r="I2004">
        <v>0.25652291694627399</v>
      </c>
      <c r="J2004">
        <v>0.22247872251653</v>
      </c>
      <c r="K2004">
        <v>0.19625074731387199</v>
      </c>
      <c r="L2004">
        <v>1055.9256798224999</v>
      </c>
      <c r="M2004">
        <v>21.885346679921099</v>
      </c>
      <c r="N2004">
        <v>49.537071980592103</v>
      </c>
      <c r="O2004">
        <v>47.850654776325698</v>
      </c>
      <c r="P2004">
        <v>-8.9521577689148604E-2</v>
      </c>
      <c r="Q2004">
        <v>0.217089227509046</v>
      </c>
      <c r="R2004">
        <v>0.99721466032296402</v>
      </c>
      <c r="S2004" t="s">
        <v>7865</v>
      </c>
      <c r="T2004" t="s">
        <v>11720</v>
      </c>
      <c r="U2004" t="s">
        <v>11720</v>
      </c>
      <c r="V2004" t="s">
        <v>11720</v>
      </c>
      <c r="W2004" t="s">
        <v>13684</v>
      </c>
      <c r="X2004">
        <v>5</v>
      </c>
      <c r="Y2004" t="s">
        <v>19450</v>
      </c>
      <c r="Z2004" t="s">
        <v>25211</v>
      </c>
      <c r="AA2004">
        <v>0.4415001811216121</v>
      </c>
      <c r="AB2004" t="str">
        <f>HYPERLINK("Melting_Curves/meltCurve_P16383_GCFC2.pdf", "Melting_Curves/meltCurve_P16383_GCFC2.pdf")</f>
        <v>Melting_Curves/meltCurve_P16383_GCFC2.pdf</v>
      </c>
    </row>
    <row r="2005" spans="1:28" x14ac:dyDescent="0.25">
      <c r="A2005" t="s">
        <v>2009</v>
      </c>
      <c r="B2005">
        <v>0.99334974765950101</v>
      </c>
      <c r="C2005">
        <v>1.3726206841480699</v>
      </c>
      <c r="D2005">
        <v>0.97637526770066996</v>
      </c>
      <c r="E2005">
        <v>1.22188912091868</v>
      </c>
      <c r="F2005">
        <v>1.78339548220361</v>
      </c>
      <c r="G2005">
        <v>1.80201008279988</v>
      </c>
      <c r="H2005">
        <v>2.13293974468588</v>
      </c>
      <c r="I2005">
        <v>1.6679318816238</v>
      </c>
      <c r="J2005">
        <v>1.87230045537551</v>
      </c>
      <c r="K2005">
        <v>2.0028094859971701</v>
      </c>
      <c r="L2005">
        <v>12511.2917175618</v>
      </c>
      <c r="M2005">
        <v>250</v>
      </c>
      <c r="O2005">
        <v>50.041954837736597</v>
      </c>
      <c r="P2005">
        <v>0.62447588636929796</v>
      </c>
      <c r="Q2005">
        <v>1.5</v>
      </c>
      <c r="R2005">
        <v>0.26926509167804802</v>
      </c>
      <c r="S2005" t="s">
        <v>7866</v>
      </c>
      <c r="T2005" t="s">
        <v>11720</v>
      </c>
      <c r="U2005" t="s">
        <v>11720</v>
      </c>
      <c r="V2005" t="s">
        <v>11720</v>
      </c>
      <c r="W2005" t="s">
        <v>13685</v>
      </c>
      <c r="X2005">
        <v>2</v>
      </c>
      <c r="Y2005" t="s">
        <v>19451</v>
      </c>
      <c r="Z2005" t="s">
        <v>25212</v>
      </c>
      <c r="AA2005">
        <v>1.3325366379180561</v>
      </c>
      <c r="AB2005" t="str">
        <f>HYPERLINK("Melting_Curves/meltCurve_P16401_HIST1H1B.pdf", "Melting_Curves/meltCurve_P16401_HIST1H1B.pdf")</f>
        <v>Melting_Curves/meltCurve_P16401_HIST1H1B.pdf</v>
      </c>
    </row>
    <row r="2006" spans="1:28" x14ac:dyDescent="0.25">
      <c r="A2006" t="s">
        <v>2010</v>
      </c>
      <c r="B2006">
        <v>0.99334974765950101</v>
      </c>
      <c r="C2006">
        <v>1.08279213925743</v>
      </c>
      <c r="D2006">
        <v>0.85920206826155898</v>
      </c>
      <c r="E2006">
        <v>0.88355862392700502</v>
      </c>
      <c r="F2006">
        <v>0.70095661407494603</v>
      </c>
      <c r="G2006">
        <v>0.73707502683210102</v>
      </c>
      <c r="H2006">
        <v>0.83541483062055699</v>
      </c>
      <c r="I2006">
        <v>1.4888956058216001</v>
      </c>
      <c r="J2006">
        <v>1.5036615357298699</v>
      </c>
      <c r="K2006">
        <v>1.7654346317181</v>
      </c>
      <c r="L2006">
        <v>15000</v>
      </c>
      <c r="M2006">
        <v>237.969170612554</v>
      </c>
      <c r="O2006">
        <v>63.028923349928398</v>
      </c>
      <c r="P2006">
        <v>0.47194438389878901</v>
      </c>
      <c r="Q2006">
        <v>1.5</v>
      </c>
      <c r="R2006">
        <v>0.75940689535320605</v>
      </c>
      <c r="S2006" t="s">
        <v>7867</v>
      </c>
      <c r="T2006" t="s">
        <v>11720</v>
      </c>
      <c r="U2006" t="s">
        <v>11720</v>
      </c>
      <c r="V2006" t="s">
        <v>11720</v>
      </c>
      <c r="W2006" t="s">
        <v>13686</v>
      </c>
      <c r="X2006">
        <v>6</v>
      </c>
      <c r="Y2006" t="s">
        <v>19452</v>
      </c>
      <c r="Z2006" t="s">
        <v>25213</v>
      </c>
      <c r="AA2006">
        <v>1.1160493678098851</v>
      </c>
      <c r="AB2006" t="str">
        <f>HYPERLINK("Melting_Curves/meltCurve_P16403_HIST1H1C.pdf", "Melting_Curves/meltCurve_P16403_HIST1H1C.pdf")</f>
        <v>Melting_Curves/meltCurve_P16403_HIST1H1C.pdf</v>
      </c>
    </row>
    <row r="2007" spans="1:28" x14ac:dyDescent="0.25">
      <c r="A2007" t="s">
        <v>2011</v>
      </c>
      <c r="B2007">
        <v>0.99334974765950101</v>
      </c>
      <c r="C2007">
        <v>0.90186719638936697</v>
      </c>
      <c r="D2007">
        <v>0.80759481933552901</v>
      </c>
      <c r="E2007">
        <v>0.69017988652701601</v>
      </c>
      <c r="F2007">
        <v>0.25905650053145401</v>
      </c>
      <c r="G2007">
        <v>0.149526851598169</v>
      </c>
      <c r="H2007">
        <v>0.11380345481803</v>
      </c>
      <c r="I2007">
        <v>8.2590687045690406E-2</v>
      </c>
      <c r="J2007">
        <v>7.7186917054022502E-2</v>
      </c>
      <c r="K2007">
        <v>7.2347104212954802E-2</v>
      </c>
      <c r="L2007">
        <v>930.19881737136495</v>
      </c>
      <c r="M2007">
        <v>18.397962652607799</v>
      </c>
      <c r="N2007">
        <v>50.912712223140701</v>
      </c>
      <c r="O2007">
        <v>49.973907418526402</v>
      </c>
      <c r="P2007">
        <v>-8.6533005981830405E-2</v>
      </c>
      <c r="Q2007">
        <v>5.9853195508175701E-2</v>
      </c>
      <c r="R2007">
        <v>0.97899533398561001</v>
      </c>
      <c r="S2007" t="s">
        <v>7868</v>
      </c>
      <c r="T2007" t="s">
        <v>11720</v>
      </c>
      <c r="U2007" t="s">
        <v>11720</v>
      </c>
      <c r="V2007" t="s">
        <v>11720</v>
      </c>
      <c r="W2007" t="s">
        <v>13687</v>
      </c>
      <c r="X2007">
        <v>31</v>
      </c>
      <c r="Y2007" t="s">
        <v>19453</v>
      </c>
      <c r="Z2007" t="s">
        <v>25214</v>
      </c>
      <c r="AA2007">
        <v>0.40607147893388268</v>
      </c>
      <c r="AB2007" t="str">
        <f>HYPERLINK("Melting_Curves/meltCurve_P16435_POR.pdf", "Melting_Curves/meltCurve_P16435_POR.pdf")</f>
        <v>Melting_Curves/meltCurve_P16435_POR.pdf</v>
      </c>
    </row>
    <row r="2008" spans="1:28" x14ac:dyDescent="0.25">
      <c r="A2008" t="s">
        <v>2012</v>
      </c>
      <c r="B2008">
        <v>0.99334974765950101</v>
      </c>
      <c r="C2008">
        <v>0.87719599014886096</v>
      </c>
      <c r="D2008">
        <v>0.63062468103219205</v>
      </c>
      <c r="E2008">
        <v>0.34085781018760197</v>
      </c>
      <c r="F2008">
        <v>0.22107538471906499</v>
      </c>
      <c r="G2008">
        <v>0.11394187465936099</v>
      </c>
      <c r="H2008">
        <v>0.113113755056375</v>
      </c>
      <c r="I2008">
        <v>9.2796022726587199E-2</v>
      </c>
      <c r="J2008">
        <v>0.105783141990116</v>
      </c>
      <c r="K2008">
        <v>6.5052360647840604E-2</v>
      </c>
      <c r="L2008">
        <v>832.13077974721796</v>
      </c>
      <c r="M2008">
        <v>17.613052863822901</v>
      </c>
      <c r="N2008">
        <v>47.754175033687297</v>
      </c>
      <c r="O2008">
        <v>46.648709468856097</v>
      </c>
      <c r="P2008">
        <v>-8.6317594768671096E-2</v>
      </c>
      <c r="Q2008">
        <v>8.5589940026764399E-2</v>
      </c>
      <c r="R2008">
        <v>0.99751216595105796</v>
      </c>
      <c r="S2008" t="s">
        <v>7869</v>
      </c>
      <c r="T2008" t="s">
        <v>11720</v>
      </c>
      <c r="U2008" t="s">
        <v>11720</v>
      </c>
      <c r="V2008" t="s">
        <v>11720</v>
      </c>
      <c r="W2008" t="s">
        <v>13688</v>
      </c>
      <c r="X2008">
        <v>4</v>
      </c>
      <c r="Y2008" t="s">
        <v>19454</v>
      </c>
      <c r="Z2008" t="s">
        <v>25215</v>
      </c>
      <c r="AA2008">
        <v>0.32390133934777599</v>
      </c>
      <c r="AB2008" t="str">
        <f>HYPERLINK("Melting_Curves/meltCurve_P16455_MGMT.pdf", "Melting_Curves/meltCurve_P16455_MGMT.pdf")</f>
        <v>Melting_Curves/meltCurve_P16455_MGMT.pdf</v>
      </c>
    </row>
    <row r="2009" spans="1:28" x14ac:dyDescent="0.25">
      <c r="A2009" t="s">
        <v>2013</v>
      </c>
      <c r="B2009">
        <v>0.99334974765950101</v>
      </c>
      <c r="C2009">
        <v>0.81800592765924696</v>
      </c>
      <c r="D2009">
        <v>0.47510396099900298</v>
      </c>
      <c r="E2009">
        <v>0.21539997444865699</v>
      </c>
      <c r="F2009">
        <v>0.20243154832018101</v>
      </c>
      <c r="G2009">
        <v>0.13643790940441999</v>
      </c>
      <c r="H2009">
        <v>0.12598003603485</v>
      </c>
      <c r="I2009">
        <v>0.14728314351782201</v>
      </c>
      <c r="J2009">
        <v>0.138495980245124</v>
      </c>
      <c r="K2009">
        <v>0.116384055635672</v>
      </c>
      <c r="L2009">
        <v>1107.17289760463</v>
      </c>
      <c r="M2009">
        <v>24.477933808272901</v>
      </c>
      <c r="N2009">
        <v>45.839403242985099</v>
      </c>
      <c r="O2009">
        <v>44.932830082587401</v>
      </c>
      <c r="P2009">
        <v>-0.11731685705110401</v>
      </c>
      <c r="Q2009">
        <v>0.138603649842889</v>
      </c>
      <c r="R2009">
        <v>0.99646267728930105</v>
      </c>
      <c r="S2009" t="s">
        <v>7870</v>
      </c>
      <c r="T2009" t="s">
        <v>11720</v>
      </c>
      <c r="U2009" t="s">
        <v>11720</v>
      </c>
      <c r="V2009" t="s">
        <v>11720</v>
      </c>
      <c r="W2009" t="s">
        <v>13689</v>
      </c>
      <c r="X2009">
        <v>5</v>
      </c>
      <c r="Y2009" t="s">
        <v>19455</v>
      </c>
      <c r="Z2009" t="s">
        <v>25216</v>
      </c>
      <c r="AA2009">
        <v>0.29764168971472571</v>
      </c>
      <c r="AB2009" t="str">
        <f>HYPERLINK("Melting_Curves/meltCurve_P16591_3_FER.pdf", "Melting_Curves/meltCurve_P16591_3_FER.pdf")</f>
        <v>Melting_Curves/meltCurve_P16591_3_FER.pdf</v>
      </c>
    </row>
    <row r="2010" spans="1:28" x14ac:dyDescent="0.25">
      <c r="A2010" t="s">
        <v>2014</v>
      </c>
      <c r="B2010">
        <v>0.99334974765950101</v>
      </c>
      <c r="C2010">
        <v>0.98349678602386503</v>
      </c>
      <c r="D2010">
        <v>1.03060179451657</v>
      </c>
      <c r="E2010">
        <v>1.1224517140631101</v>
      </c>
      <c r="F2010">
        <v>0.24691550452514199</v>
      </c>
      <c r="G2010">
        <v>0.166384865345825</v>
      </c>
      <c r="H2010">
        <v>0.112882686438271</v>
      </c>
      <c r="I2010">
        <v>0.104670788949405</v>
      </c>
      <c r="J2010">
        <v>8.43129708510445E-2</v>
      </c>
      <c r="K2010">
        <v>6.7129129622864298E-2</v>
      </c>
      <c r="L2010">
        <v>13160.7657211103</v>
      </c>
      <c r="M2010">
        <v>250</v>
      </c>
      <c r="N2010">
        <v>52.693858204229599</v>
      </c>
      <c r="O2010">
        <v>52.639676838353402</v>
      </c>
      <c r="P2010">
        <v>-1.0601839853149</v>
      </c>
      <c r="Q2010">
        <v>0.107075829101298</v>
      </c>
      <c r="R2010">
        <v>0.98896913704301403</v>
      </c>
      <c r="S2010" t="s">
        <v>7871</v>
      </c>
      <c r="T2010" t="s">
        <v>11720</v>
      </c>
      <c r="U2010" t="s">
        <v>11720</v>
      </c>
      <c r="V2010" t="s">
        <v>11720</v>
      </c>
      <c r="W2010" t="s">
        <v>13690</v>
      </c>
      <c r="X2010">
        <v>33</v>
      </c>
      <c r="Y2010" t="s">
        <v>19456</v>
      </c>
      <c r="Z2010" t="s">
        <v>25217</v>
      </c>
      <c r="AA2010">
        <v>0.48346820581876843</v>
      </c>
      <c r="AB2010" t="str">
        <f>HYPERLINK("Melting_Curves/meltCurve_P16615_ATP2A2.pdf", "Melting_Curves/meltCurve_P16615_ATP2A2.pdf")</f>
        <v>Melting_Curves/meltCurve_P16615_ATP2A2.pdf</v>
      </c>
    </row>
    <row r="2011" spans="1:28" x14ac:dyDescent="0.25">
      <c r="A2011" t="s">
        <v>2015</v>
      </c>
      <c r="B2011">
        <v>0.99334974765950101</v>
      </c>
      <c r="C2011">
        <v>1.07740908489587</v>
      </c>
      <c r="D2011">
        <v>0.87252660469295096</v>
      </c>
      <c r="E2011">
        <v>0.68156703655453899</v>
      </c>
      <c r="F2011">
        <v>0.21373112792930299</v>
      </c>
      <c r="G2011">
        <v>0.19536865568676501</v>
      </c>
      <c r="H2011">
        <v>0.11723164840493901</v>
      </c>
      <c r="I2011">
        <v>5.2235173677871997E-2</v>
      </c>
      <c r="J2011">
        <v>5.9832681701714102E-2</v>
      </c>
      <c r="K2011">
        <v>5.3809072156212299E-2</v>
      </c>
      <c r="L2011">
        <v>1482.7229802542699</v>
      </c>
      <c r="M2011">
        <v>29.245223045918799</v>
      </c>
      <c r="N2011">
        <v>50.998873548888298</v>
      </c>
      <c r="O2011">
        <v>50.464389686814798</v>
      </c>
      <c r="P2011">
        <v>-0.13345998616209201</v>
      </c>
      <c r="Q2011">
        <v>7.8833864448422206E-2</v>
      </c>
      <c r="R2011">
        <v>0.981354568769225</v>
      </c>
      <c r="S2011" t="s">
        <v>7872</v>
      </c>
      <c r="T2011" t="s">
        <v>11720</v>
      </c>
      <c r="U2011" t="s">
        <v>11720</v>
      </c>
      <c r="V2011" t="s">
        <v>11720</v>
      </c>
      <c r="W2011" t="s">
        <v>13691</v>
      </c>
      <c r="X2011">
        <v>2</v>
      </c>
      <c r="Y2011" t="s">
        <v>19457</v>
      </c>
      <c r="Z2011" t="s">
        <v>25218</v>
      </c>
      <c r="AA2011">
        <v>0.41343856397073359</v>
      </c>
      <c r="AB2011" t="str">
        <f>HYPERLINK("Melting_Curves/meltCurve_P16870_2_CPE.pdf", "Melting_Curves/meltCurve_P16870_2_CPE.pdf")</f>
        <v>Melting_Curves/meltCurve_P16870_2_CPE.pdf</v>
      </c>
    </row>
    <row r="2012" spans="1:28" x14ac:dyDescent="0.25">
      <c r="A2012" t="s">
        <v>2016</v>
      </c>
      <c r="B2012">
        <v>0.99334974765950101</v>
      </c>
      <c r="C2012">
        <v>0.98232870911214798</v>
      </c>
      <c r="D2012">
        <v>1.00248357870941</v>
      </c>
      <c r="E2012">
        <v>0.93557325902658806</v>
      </c>
      <c r="F2012">
        <v>0.86250539850249996</v>
      </c>
      <c r="G2012">
        <v>0.68093273712713998</v>
      </c>
      <c r="H2012">
        <v>0.60137247554769702</v>
      </c>
      <c r="I2012">
        <v>0.677474304926454</v>
      </c>
      <c r="J2012">
        <v>0.54852934758344296</v>
      </c>
      <c r="K2012">
        <v>0.201936263113383</v>
      </c>
      <c r="L2012">
        <v>541.61663487274097</v>
      </c>
      <c r="M2012">
        <v>8.3079086139585403</v>
      </c>
      <c r="N2012">
        <v>65.192895873589293</v>
      </c>
      <c r="O2012">
        <v>61.743400645524403</v>
      </c>
      <c r="P2012">
        <v>-3.3671888883526603E-2</v>
      </c>
      <c r="Q2012">
        <v>0</v>
      </c>
      <c r="R2012">
        <v>0.89002240753944095</v>
      </c>
      <c r="S2012" t="s">
        <v>7873</v>
      </c>
      <c r="T2012" t="s">
        <v>11720</v>
      </c>
      <c r="U2012" t="s">
        <v>11720</v>
      </c>
      <c r="V2012" t="s">
        <v>11720</v>
      </c>
      <c r="W2012" t="s">
        <v>13692</v>
      </c>
      <c r="X2012">
        <v>21</v>
      </c>
      <c r="Y2012" t="s">
        <v>19458</v>
      </c>
      <c r="Z2012" t="s">
        <v>25219</v>
      </c>
      <c r="AA2012">
        <v>0.76535660235318415</v>
      </c>
      <c r="AB2012" t="str">
        <f>HYPERLINK("Melting_Curves/meltCurve_P16930_FAH.pdf", "Melting_Curves/meltCurve_P16930_FAH.pdf")</f>
        <v>Melting_Curves/meltCurve_P16930_FAH.pdf</v>
      </c>
    </row>
    <row r="2013" spans="1:28" x14ac:dyDescent="0.25">
      <c r="A2013" t="s">
        <v>2017</v>
      </c>
      <c r="B2013">
        <v>0.99334974765950101</v>
      </c>
      <c r="C2013">
        <v>1.0046901368358001</v>
      </c>
      <c r="D2013">
        <v>0.99117683140175294</v>
      </c>
      <c r="E2013">
        <v>0.90680783809438403</v>
      </c>
      <c r="F2013">
        <v>1.04903940745425</v>
      </c>
      <c r="G2013">
        <v>0.97377937896860101</v>
      </c>
      <c r="H2013">
        <v>1.04770052604368</v>
      </c>
      <c r="I2013">
        <v>1.06628915292056</v>
      </c>
      <c r="J2013">
        <v>1.7266953886862799</v>
      </c>
      <c r="K2013">
        <v>1.47947153933187</v>
      </c>
      <c r="L2013">
        <v>15000</v>
      </c>
      <c r="M2013">
        <v>232.50279050824901</v>
      </c>
      <c r="O2013">
        <v>64.510561479463504</v>
      </c>
      <c r="P2013">
        <v>0.45051289521098697</v>
      </c>
      <c r="Q2013">
        <v>1.5</v>
      </c>
      <c r="R2013">
        <v>0.89399112493467203</v>
      </c>
      <c r="S2013" t="s">
        <v>7874</v>
      </c>
      <c r="T2013" t="s">
        <v>11720</v>
      </c>
      <c r="U2013" t="s">
        <v>11720</v>
      </c>
      <c r="V2013" t="s">
        <v>11720</v>
      </c>
      <c r="W2013" t="s">
        <v>11938</v>
      </c>
      <c r="X2013">
        <v>28</v>
      </c>
      <c r="Y2013" t="s">
        <v>19459</v>
      </c>
      <c r="Z2013" t="s">
        <v>25220</v>
      </c>
      <c r="AA2013">
        <v>1.091345299616395</v>
      </c>
      <c r="AB2013" t="str">
        <f>HYPERLINK("Melting_Curves/meltCurve_P16949_STMN1.pdf", "Melting_Curves/meltCurve_P16949_STMN1.pdf")</f>
        <v>Melting_Curves/meltCurve_P16949_STMN1.pdf</v>
      </c>
    </row>
    <row r="2014" spans="1:28" x14ac:dyDescent="0.25">
      <c r="A2014" t="s">
        <v>2018</v>
      </c>
      <c r="B2014">
        <v>0.99334974765950101</v>
      </c>
      <c r="C2014">
        <v>0.86492120083742696</v>
      </c>
      <c r="D2014">
        <v>1.03858637790467</v>
      </c>
      <c r="E2014">
        <v>1.1471856780724401</v>
      </c>
      <c r="F2014">
        <v>1.2842928620444001</v>
      </c>
      <c r="G2014">
        <v>1.3752298802548699</v>
      </c>
      <c r="H2014">
        <v>1.6586275063688201</v>
      </c>
      <c r="I2014">
        <v>2.2656363724667399</v>
      </c>
      <c r="J2014">
        <v>1.3695218662380699</v>
      </c>
      <c r="K2014">
        <v>1.1999130438869201</v>
      </c>
      <c r="L2014">
        <v>1515.04638299915</v>
      </c>
      <c r="M2014">
        <v>29.061621417562399</v>
      </c>
      <c r="O2014">
        <v>51.887232625876102</v>
      </c>
      <c r="P2014">
        <v>7.0012011660381998E-2</v>
      </c>
      <c r="Q2014">
        <v>1.5</v>
      </c>
      <c r="R2014">
        <v>0.48211183354088899</v>
      </c>
      <c r="S2014" t="s">
        <v>7875</v>
      </c>
      <c r="T2014" t="s">
        <v>11720</v>
      </c>
      <c r="U2014" t="s">
        <v>11720</v>
      </c>
      <c r="V2014" t="s">
        <v>11720</v>
      </c>
      <c r="W2014" t="s">
        <v>13693</v>
      </c>
      <c r="X2014">
        <v>7</v>
      </c>
      <c r="Y2014" t="s">
        <v>19460</v>
      </c>
      <c r="Z2014" t="s">
        <v>25221</v>
      </c>
      <c r="AA2014">
        <v>1.294387897855924</v>
      </c>
      <c r="AB2014" t="str">
        <f>HYPERLINK("Melting_Curves/meltCurve_P16989_YBX3.pdf", "Melting_Curves/meltCurve_P16989_YBX3.pdf")</f>
        <v>Melting_Curves/meltCurve_P16989_YBX3.pdf</v>
      </c>
    </row>
    <row r="2015" spans="1:28" x14ac:dyDescent="0.25">
      <c r="A2015" t="s">
        <v>2019</v>
      </c>
      <c r="B2015">
        <v>0.99334974765950101</v>
      </c>
      <c r="C2015">
        <v>0.88270947686603096</v>
      </c>
      <c r="D2015">
        <v>0.75262901242476998</v>
      </c>
      <c r="E2015">
        <v>0.76734725787035996</v>
      </c>
      <c r="F2015">
        <v>0.99282817135318402</v>
      </c>
      <c r="G2015">
        <v>0.684710756165957</v>
      </c>
      <c r="H2015">
        <v>0.74782808910079701</v>
      </c>
      <c r="I2015">
        <v>1.0692427250293099</v>
      </c>
      <c r="J2015">
        <v>0.82479795170210402</v>
      </c>
      <c r="K2015">
        <v>0.78477324663471804</v>
      </c>
      <c r="L2015">
        <v>10692.268307570001</v>
      </c>
      <c r="M2015">
        <v>250</v>
      </c>
      <c r="O2015">
        <v>42.766335415128601</v>
      </c>
      <c r="P2015">
        <v>-0.25133721309595602</v>
      </c>
      <c r="Q2015">
        <v>0.82801965174801495</v>
      </c>
      <c r="R2015">
        <v>0.170682462800749</v>
      </c>
      <c r="S2015" t="s">
        <v>7876</v>
      </c>
      <c r="T2015" t="s">
        <v>11720</v>
      </c>
      <c r="U2015" t="s">
        <v>11720</v>
      </c>
      <c r="V2015" t="s">
        <v>11720</v>
      </c>
      <c r="W2015" t="s">
        <v>13694</v>
      </c>
      <c r="X2015">
        <v>7</v>
      </c>
      <c r="Y2015" t="s">
        <v>19460</v>
      </c>
      <c r="Z2015" t="s">
        <v>25222</v>
      </c>
      <c r="AA2015">
        <v>0.84390676640616336</v>
      </c>
      <c r="AB2015" t="str">
        <f>HYPERLINK("Melting_Curves/meltCurve_P16989_2_YBX3.pdf", "Melting_Curves/meltCurve_P16989_2_YBX3.pdf")</f>
        <v>Melting_Curves/meltCurve_P16989_2_YBX3.pdf</v>
      </c>
    </row>
    <row r="2016" spans="1:28" x14ac:dyDescent="0.25">
      <c r="A2016" t="s">
        <v>2020</v>
      </c>
      <c r="B2016">
        <v>0.99334974765950101</v>
      </c>
      <c r="C2016">
        <v>0.95812859721983701</v>
      </c>
      <c r="D2016">
        <v>0.99103908567440002</v>
      </c>
      <c r="E2016">
        <v>0.92068753922541402</v>
      </c>
      <c r="F2016">
        <v>0.882527598955822</v>
      </c>
      <c r="G2016">
        <v>0.77147979893704199</v>
      </c>
      <c r="H2016">
        <v>0.68931469420306302</v>
      </c>
      <c r="I2016">
        <v>0.46213582094218902</v>
      </c>
      <c r="J2016">
        <v>0.18503868317585401</v>
      </c>
      <c r="K2016">
        <v>0.15635044900474901</v>
      </c>
      <c r="L2016">
        <v>957.72367332483896</v>
      </c>
      <c r="M2016">
        <v>15.2810278471534</v>
      </c>
      <c r="N2016">
        <v>62.674035001081101</v>
      </c>
      <c r="O2016">
        <v>61.630129251455998</v>
      </c>
      <c r="P2016">
        <v>-6.1992680278894298E-2</v>
      </c>
      <c r="Q2016">
        <v>0</v>
      </c>
      <c r="R2016">
        <v>0.97041759089433599</v>
      </c>
      <c r="S2016" t="s">
        <v>7877</v>
      </c>
      <c r="T2016" t="s">
        <v>11720</v>
      </c>
      <c r="U2016" t="s">
        <v>11720</v>
      </c>
      <c r="V2016" t="s">
        <v>11720</v>
      </c>
      <c r="W2016" t="s">
        <v>13695</v>
      </c>
      <c r="X2016">
        <v>10</v>
      </c>
      <c r="Y2016" t="s">
        <v>19461</v>
      </c>
      <c r="Z2016" t="s">
        <v>25223</v>
      </c>
      <c r="AA2016">
        <v>0.74948980215987504</v>
      </c>
      <c r="AB2016" t="str">
        <f>HYPERLINK("Melting_Curves/meltCurve_P17050_NAGA.pdf", "Melting_Curves/meltCurve_P17050_NAGA.pdf")</f>
        <v>Melting_Curves/meltCurve_P17050_NAGA.pdf</v>
      </c>
    </row>
    <row r="2017" spans="1:28" x14ac:dyDescent="0.25">
      <c r="A2017" t="s">
        <v>2021</v>
      </c>
      <c r="B2017">
        <v>0.99334974765950101</v>
      </c>
      <c r="C2017">
        <v>0.92258471960502597</v>
      </c>
      <c r="D2017">
        <v>0.89352356887083095</v>
      </c>
      <c r="E2017">
        <v>0.83754737306916804</v>
      </c>
      <c r="F2017">
        <v>0.72312237325263595</v>
      </c>
      <c r="G2017">
        <v>0.343143751273289</v>
      </c>
      <c r="H2017">
        <v>0.20428921602108699</v>
      </c>
      <c r="I2017">
        <v>0.17898825190850601</v>
      </c>
      <c r="J2017">
        <v>0.128947991626914</v>
      </c>
      <c r="K2017">
        <v>0.108339948434653</v>
      </c>
      <c r="L2017">
        <v>939.38835313716402</v>
      </c>
      <c r="M2017">
        <v>17.196022979259901</v>
      </c>
      <c r="N2017">
        <v>55.2541099687555</v>
      </c>
      <c r="O2017">
        <v>53.905512011691599</v>
      </c>
      <c r="P2017">
        <v>-7.2697713279616494E-2</v>
      </c>
      <c r="Q2017">
        <v>8.8492504003045494E-2</v>
      </c>
      <c r="R2017">
        <v>0.98666747165399804</v>
      </c>
      <c r="S2017" t="s">
        <v>7878</v>
      </c>
      <c r="T2017" t="s">
        <v>11720</v>
      </c>
      <c r="U2017" t="s">
        <v>11720</v>
      </c>
      <c r="V2017" t="s">
        <v>11720</v>
      </c>
      <c r="W2017" t="s">
        <v>13696</v>
      </c>
      <c r="X2017">
        <v>13</v>
      </c>
      <c r="Y2017" t="s">
        <v>19462</v>
      </c>
      <c r="Z2017" t="s">
        <v>25224</v>
      </c>
      <c r="AA2017">
        <v>0.54817431730933819</v>
      </c>
      <c r="AB2017" t="str">
        <f>HYPERLINK("Melting_Curves/meltCurve_P17066_HSPA6.pdf", "Melting_Curves/meltCurve_P17066_HSPA6.pdf")</f>
        <v>Melting_Curves/meltCurve_P17066_HSPA6.pdf</v>
      </c>
    </row>
    <row r="2018" spans="1:28" x14ac:dyDescent="0.25">
      <c r="A2018" t="s">
        <v>2022</v>
      </c>
      <c r="B2018">
        <v>0.99334974765950101</v>
      </c>
      <c r="C2018">
        <v>0.97264524293486998</v>
      </c>
      <c r="D2018">
        <v>1.0351351179982999</v>
      </c>
      <c r="E2018">
        <v>1.2795803722422101</v>
      </c>
      <c r="F2018">
        <v>1.58308813811523</v>
      </c>
      <c r="G2018">
        <v>1.43286737582432</v>
      </c>
      <c r="H2018">
        <v>1.53557528527587</v>
      </c>
      <c r="I2018">
        <v>1.6449086498149099</v>
      </c>
      <c r="J2018">
        <v>1.6789278345405101</v>
      </c>
      <c r="K2018">
        <v>1.4871319726412999</v>
      </c>
      <c r="L2018">
        <v>12488.112092270299</v>
      </c>
      <c r="M2018">
        <v>250</v>
      </c>
      <c r="O2018">
        <v>49.9492554783683</v>
      </c>
      <c r="P2018">
        <v>0.62563499838307002</v>
      </c>
      <c r="Q2018">
        <v>1.5</v>
      </c>
      <c r="R2018">
        <v>0.90035606154664605</v>
      </c>
      <c r="S2018" t="s">
        <v>7879</v>
      </c>
      <c r="T2018" t="s">
        <v>11720</v>
      </c>
      <c r="U2018" t="s">
        <v>11720</v>
      </c>
      <c r="V2018" t="s">
        <v>11720</v>
      </c>
      <c r="W2018" t="s">
        <v>13697</v>
      </c>
      <c r="X2018">
        <v>3</v>
      </c>
      <c r="Y2018" t="s">
        <v>19463</v>
      </c>
      <c r="Z2018" t="s">
        <v>25225</v>
      </c>
      <c r="AA2018">
        <v>1.3340820276305849</v>
      </c>
      <c r="AB2018" t="str">
        <f>HYPERLINK("Melting_Curves/meltCurve_P17096_2_HMGA1.pdf", "Melting_Curves/meltCurve_P17096_2_HMGA1.pdf")</f>
        <v>Melting_Curves/meltCurve_P17096_2_HMGA1.pdf</v>
      </c>
    </row>
    <row r="2019" spans="1:28" x14ac:dyDescent="0.25">
      <c r="A2019" t="s">
        <v>2023</v>
      </c>
      <c r="B2019">
        <v>0.99334974765950101</v>
      </c>
      <c r="C2019">
        <v>0.88568828740537198</v>
      </c>
      <c r="D2019">
        <v>0.78424959281070294</v>
      </c>
      <c r="E2019">
        <v>0.69119833346174098</v>
      </c>
      <c r="F2019">
        <v>0.377393619772252</v>
      </c>
      <c r="G2019">
        <v>0.18862743894936801</v>
      </c>
      <c r="H2019">
        <v>0.104454268673688</v>
      </c>
      <c r="I2019">
        <v>8.3154641834845597E-2</v>
      </c>
      <c r="J2019">
        <v>8.1872889002537794E-2</v>
      </c>
      <c r="K2019">
        <v>7.1611935509204694E-2</v>
      </c>
      <c r="L2019">
        <v>709.271813275564</v>
      </c>
      <c r="M2019">
        <v>13.836664636011999</v>
      </c>
      <c r="N2019">
        <v>51.474278622011603</v>
      </c>
      <c r="O2019">
        <v>50.225224966142498</v>
      </c>
      <c r="P2019">
        <v>-6.6957670835998906E-2</v>
      </c>
      <c r="Q2019">
        <v>2.7945876484662201E-2</v>
      </c>
      <c r="R2019">
        <v>0.98634438302897898</v>
      </c>
      <c r="S2019" t="s">
        <v>7880</v>
      </c>
      <c r="T2019" t="s">
        <v>11720</v>
      </c>
      <c r="U2019" t="s">
        <v>11720</v>
      </c>
      <c r="V2019" t="s">
        <v>11720</v>
      </c>
      <c r="W2019" t="s">
        <v>13698</v>
      </c>
      <c r="X2019">
        <v>3</v>
      </c>
      <c r="Y2019" t="s">
        <v>19464</v>
      </c>
      <c r="Z2019" t="s">
        <v>25226</v>
      </c>
      <c r="AA2019">
        <v>0.41810995555728919</v>
      </c>
      <c r="AB2019" t="str">
        <f>HYPERLINK("Melting_Curves/meltCurve_P17152_TMEM11.pdf", "Melting_Curves/meltCurve_P17152_TMEM11.pdf")</f>
        <v>Melting_Curves/meltCurve_P17152_TMEM11.pdf</v>
      </c>
    </row>
    <row r="2020" spans="1:28" x14ac:dyDescent="0.25">
      <c r="A2020" t="s">
        <v>2024</v>
      </c>
      <c r="B2020">
        <v>0.99334974765950101</v>
      </c>
      <c r="C2020">
        <v>0.97622359594974695</v>
      </c>
      <c r="D2020">
        <v>0.98505675139190396</v>
      </c>
      <c r="E2020">
        <v>0.94106796182399899</v>
      </c>
      <c r="F2020">
        <v>0.84400580663596902</v>
      </c>
      <c r="G2020">
        <v>0.81659988372560399</v>
      </c>
      <c r="H2020">
        <v>0.79008731343935801</v>
      </c>
      <c r="I2020">
        <v>1.0176611713543</v>
      </c>
      <c r="J2020">
        <v>1.0141766557412399</v>
      </c>
      <c r="K2020">
        <v>0.80638496636072798</v>
      </c>
      <c r="L2020">
        <v>12500.548256425</v>
      </c>
      <c r="M2020">
        <v>250</v>
      </c>
      <c r="O2020">
        <v>49.999006443158997</v>
      </c>
      <c r="P2020">
        <v>-0.14814552692129801</v>
      </c>
      <c r="Q2020">
        <v>0.88148596487883002</v>
      </c>
      <c r="R2020">
        <v>0.27309071473730001</v>
      </c>
      <c r="S2020" t="s">
        <v>7881</v>
      </c>
      <c r="T2020" t="s">
        <v>11720</v>
      </c>
      <c r="U2020" t="s">
        <v>11720</v>
      </c>
      <c r="V2020" t="s">
        <v>11720</v>
      </c>
      <c r="W2020" t="s">
        <v>13699</v>
      </c>
      <c r="X2020">
        <v>29</v>
      </c>
      <c r="Y2020" t="s">
        <v>19465</v>
      </c>
      <c r="Z2020" t="s">
        <v>25227</v>
      </c>
      <c r="AA2020">
        <v>0.92100970670053328</v>
      </c>
      <c r="AB2020" t="str">
        <f>HYPERLINK("Melting_Curves/meltCurve_P17174_GOT1.pdf", "Melting_Curves/meltCurve_P17174_GOT1.pdf")</f>
        <v>Melting_Curves/meltCurve_P17174_GOT1.pdf</v>
      </c>
    </row>
    <row r="2021" spans="1:28" x14ac:dyDescent="0.25">
      <c r="A2021" t="s">
        <v>2025</v>
      </c>
      <c r="B2021">
        <v>0.99334974765950101</v>
      </c>
      <c r="C2021">
        <v>0.85750248250986405</v>
      </c>
      <c r="D2021">
        <v>0.85085417770054605</v>
      </c>
      <c r="E2021">
        <v>0.55325393828984404</v>
      </c>
      <c r="F2021">
        <v>0.142655179208418</v>
      </c>
      <c r="G2021">
        <v>8.4726555132994999E-2</v>
      </c>
      <c r="H2021">
        <v>5.8945810814566298E-2</v>
      </c>
      <c r="I2021">
        <v>5.4838144319844503E-2</v>
      </c>
      <c r="J2021">
        <v>5.2257058060693799E-2</v>
      </c>
      <c r="K2021">
        <v>4.1684719932388703E-2</v>
      </c>
      <c r="L2021">
        <v>1139.0486928494099</v>
      </c>
      <c r="M2021">
        <v>22.926497293353702</v>
      </c>
      <c r="N2021">
        <v>49.852930499057301</v>
      </c>
      <c r="O2021">
        <v>49.309272271293302</v>
      </c>
      <c r="P2021">
        <v>-0.111862292668772</v>
      </c>
      <c r="Q2021">
        <v>3.7664830820967603E-2</v>
      </c>
      <c r="R2021">
        <v>0.98203508563509501</v>
      </c>
      <c r="S2021" t="s">
        <v>7882</v>
      </c>
      <c r="T2021" t="s">
        <v>11720</v>
      </c>
      <c r="U2021" t="s">
        <v>11720</v>
      </c>
      <c r="V2021" t="s">
        <v>11720</v>
      </c>
      <c r="W2021" t="s">
        <v>13700</v>
      </c>
      <c r="X2021">
        <v>35</v>
      </c>
      <c r="Y2021" t="s">
        <v>19466</v>
      </c>
      <c r="Z2021" t="s">
        <v>25228</v>
      </c>
      <c r="AA2021">
        <v>0.35847622803830048</v>
      </c>
      <c r="AB2021" t="str">
        <f>HYPERLINK("Melting_Curves/meltCurve_P17252_PRKCA.pdf", "Melting_Curves/meltCurve_P17252_PRKCA.pdf")</f>
        <v>Melting_Curves/meltCurve_P17252_PRKCA.pdf</v>
      </c>
    </row>
    <row r="2022" spans="1:28" x14ac:dyDescent="0.25">
      <c r="A2022" t="s">
        <v>2026</v>
      </c>
      <c r="B2022">
        <v>0.99334974765950101</v>
      </c>
      <c r="C2022">
        <v>0.976420526290534</v>
      </c>
      <c r="D2022">
        <v>0.87675030556872502</v>
      </c>
      <c r="E2022">
        <v>0.89618750526351298</v>
      </c>
      <c r="F2022">
        <v>1.0002331513556799</v>
      </c>
      <c r="G2022">
        <v>0.63874069418157498</v>
      </c>
      <c r="H2022">
        <v>0.59637567975155603</v>
      </c>
      <c r="I2022">
        <v>0.51188775106025197</v>
      </c>
      <c r="J2022">
        <v>0.70257323185348697</v>
      </c>
      <c r="K2022">
        <v>0.68132644894797501</v>
      </c>
      <c r="L2022">
        <v>14071.2513795</v>
      </c>
      <c r="M2022">
        <v>250</v>
      </c>
      <c r="O2022">
        <v>56.281404178421703</v>
      </c>
      <c r="P2022">
        <v>-0.41860987605900601</v>
      </c>
      <c r="Q2022">
        <v>0.62304077793315504</v>
      </c>
      <c r="R2022">
        <v>0.83337023495856499</v>
      </c>
      <c r="S2022" t="s">
        <v>7883</v>
      </c>
      <c r="T2022" t="s">
        <v>11720</v>
      </c>
      <c r="U2022" t="s">
        <v>11720</v>
      </c>
      <c r="V2022" t="s">
        <v>11720</v>
      </c>
      <c r="W2022" t="s">
        <v>13701</v>
      </c>
      <c r="X2022">
        <v>4</v>
      </c>
      <c r="Y2022" t="s">
        <v>19467</v>
      </c>
      <c r="Z2022" t="s">
        <v>25229</v>
      </c>
      <c r="AA2022">
        <v>0.82770411408517008</v>
      </c>
      <c r="AB2022" t="str">
        <f>HYPERLINK("Melting_Curves/meltCurve_P17275_JUNB.pdf", "Melting_Curves/meltCurve_P17275_JUNB.pdf")</f>
        <v>Melting_Curves/meltCurve_P17275_JUNB.pdf</v>
      </c>
    </row>
    <row r="2023" spans="1:28" x14ac:dyDescent="0.25">
      <c r="A2023" t="s">
        <v>2027</v>
      </c>
      <c r="B2023">
        <v>0.99334974765950101</v>
      </c>
      <c r="C2023">
        <v>0.935059652465557</v>
      </c>
      <c r="D2023">
        <v>1.11574002665188</v>
      </c>
      <c r="E2023">
        <v>1.33574065182158</v>
      </c>
      <c r="F2023">
        <v>1.26504030181589</v>
      </c>
      <c r="G2023">
        <v>1.15002406387398</v>
      </c>
      <c r="H2023">
        <v>0.870158936822644</v>
      </c>
      <c r="I2023">
        <v>1.01083416874468</v>
      </c>
      <c r="J2023">
        <v>0.54535209555021202</v>
      </c>
      <c r="K2023">
        <v>0.35294471879640199</v>
      </c>
      <c r="L2023">
        <v>15000</v>
      </c>
      <c r="M2023">
        <v>224.74037460565</v>
      </c>
      <c r="N2023">
        <v>67.109075483419502</v>
      </c>
      <c r="O2023">
        <v>66.738372241167994</v>
      </c>
      <c r="P2023">
        <v>-0.54475392667942701</v>
      </c>
      <c r="Q2023">
        <v>0.35292439364656603</v>
      </c>
      <c r="R2023">
        <v>0.71664042367911995</v>
      </c>
      <c r="S2023" t="s">
        <v>7884</v>
      </c>
      <c r="T2023" t="s">
        <v>11720</v>
      </c>
      <c r="U2023" t="s">
        <v>11720</v>
      </c>
      <c r="V2023" t="s">
        <v>11720</v>
      </c>
      <c r="W2023" t="s">
        <v>12155</v>
      </c>
      <c r="X2023">
        <v>33</v>
      </c>
      <c r="Y2023" t="s">
        <v>17954</v>
      </c>
      <c r="Z2023" t="s">
        <v>25230</v>
      </c>
      <c r="AA2023">
        <v>0.92985744931402714</v>
      </c>
      <c r="AB2023" t="str">
        <f>HYPERLINK("Melting_Curves/meltCurve_P17301_ITGA2.pdf", "Melting_Curves/meltCurve_P17301_ITGA2.pdf")</f>
        <v>Melting_Curves/meltCurve_P17301_ITGA2.pdf</v>
      </c>
    </row>
    <row r="2024" spans="1:28" x14ac:dyDescent="0.25">
      <c r="A2024" t="s">
        <v>2028</v>
      </c>
      <c r="B2024">
        <v>0.99334974765950101</v>
      </c>
      <c r="C2024">
        <v>1.0546281930991399</v>
      </c>
      <c r="D2024">
        <v>0.97738454797696295</v>
      </c>
      <c r="E2024">
        <v>1.1067185434004501</v>
      </c>
      <c r="F2024">
        <v>1.2950244022067201</v>
      </c>
      <c r="G2024">
        <v>0.87033762574583196</v>
      </c>
      <c r="H2024">
        <v>0.76583011196498196</v>
      </c>
      <c r="I2024">
        <v>0.931010937647479</v>
      </c>
      <c r="J2024">
        <v>0.87457945503009604</v>
      </c>
      <c r="K2024">
        <v>0.60701747867961997</v>
      </c>
      <c r="L2024">
        <v>941.42706520021102</v>
      </c>
      <c r="M2024">
        <v>12.782182701438201</v>
      </c>
      <c r="Q2024">
        <v>0</v>
      </c>
      <c r="R2024">
        <v>0.49778003969861701</v>
      </c>
      <c r="S2024" t="s">
        <v>7885</v>
      </c>
      <c r="T2024" t="s">
        <v>11720</v>
      </c>
      <c r="U2024" t="s">
        <v>11720</v>
      </c>
      <c r="V2024" t="s">
        <v>11720</v>
      </c>
      <c r="W2024" t="s">
        <v>13702</v>
      </c>
      <c r="X2024">
        <v>6</v>
      </c>
      <c r="Y2024" t="s">
        <v>19468</v>
      </c>
      <c r="Z2024" t="s">
        <v>25231</v>
      </c>
      <c r="AA2024">
        <v>0.93780337816404535</v>
      </c>
      <c r="AB2024" t="str">
        <f>HYPERLINK("Melting_Curves/meltCurve_P17302_GJA1.pdf", "Melting_Curves/meltCurve_P17302_GJA1.pdf")</f>
        <v>Melting_Curves/meltCurve_P17302_GJA1.pdf</v>
      </c>
    </row>
    <row r="2025" spans="1:28" x14ac:dyDescent="0.25">
      <c r="A2025" t="s">
        <v>2029</v>
      </c>
      <c r="B2025">
        <v>0.99334974765950101</v>
      </c>
      <c r="C2025">
        <v>0.97741097642941699</v>
      </c>
      <c r="D2025">
        <v>0.90624409348075796</v>
      </c>
      <c r="E2025">
        <v>0.84667486385331503</v>
      </c>
      <c r="F2025">
        <v>0.62079937386036799</v>
      </c>
      <c r="G2025">
        <v>0.38483435942129102</v>
      </c>
      <c r="H2025">
        <v>0.30002821790195</v>
      </c>
      <c r="I2025">
        <v>0.31053191355740301</v>
      </c>
      <c r="J2025">
        <v>0.25505463614576801</v>
      </c>
      <c r="K2025">
        <v>0.22816564182778401</v>
      </c>
      <c r="L2025">
        <v>976.29527821552904</v>
      </c>
      <c r="M2025">
        <v>18.4028362710709</v>
      </c>
      <c r="N2025">
        <v>55.007255944436601</v>
      </c>
      <c r="O2025">
        <v>52.436815704090897</v>
      </c>
      <c r="P2025">
        <v>-6.6674242647887697E-2</v>
      </c>
      <c r="Q2025">
        <v>0.24011129740443701</v>
      </c>
      <c r="R2025">
        <v>0.99316841888375995</v>
      </c>
      <c r="S2025" t="s">
        <v>7886</v>
      </c>
      <c r="T2025" t="s">
        <v>11720</v>
      </c>
      <c r="U2025" t="s">
        <v>11720</v>
      </c>
      <c r="V2025" t="s">
        <v>11720</v>
      </c>
      <c r="W2025" t="s">
        <v>13703</v>
      </c>
      <c r="X2025">
        <v>6</v>
      </c>
      <c r="Y2025" t="s">
        <v>19469</v>
      </c>
      <c r="Z2025" t="s">
        <v>25232</v>
      </c>
      <c r="AA2025">
        <v>0.58269270216873326</v>
      </c>
      <c r="AB2025" t="str">
        <f>HYPERLINK("Melting_Curves/meltCurve_P17342_2_NPR3.pdf", "Melting_Curves/meltCurve_P17342_2_NPR3.pdf")</f>
        <v>Melting_Curves/meltCurve_P17342_2_NPR3.pdf</v>
      </c>
    </row>
    <row r="2026" spans="1:28" x14ac:dyDescent="0.25">
      <c r="A2026" t="s">
        <v>2030</v>
      </c>
      <c r="B2026">
        <v>0.99334974765950101</v>
      </c>
      <c r="C2026">
        <v>1.0516601918674899</v>
      </c>
      <c r="D2026">
        <v>1.0351636818102401</v>
      </c>
      <c r="E2026">
        <v>0.90472543631081603</v>
      </c>
      <c r="F2026">
        <v>0.86215333217909795</v>
      </c>
      <c r="G2026">
        <v>0.72399127823200504</v>
      </c>
      <c r="H2026">
        <v>0.697963005119838</v>
      </c>
      <c r="I2026">
        <v>0.51985764415203695</v>
      </c>
      <c r="J2026">
        <v>0.36375459184424602</v>
      </c>
      <c r="K2026">
        <v>0.21679447931154</v>
      </c>
      <c r="L2026">
        <v>685.64938492081399</v>
      </c>
      <c r="M2026">
        <v>10.763245520939201</v>
      </c>
      <c r="N2026">
        <v>63.702861487735703</v>
      </c>
      <c r="O2026">
        <v>61.6220361266151</v>
      </c>
      <c r="P2026">
        <v>-4.3682395437142398E-2</v>
      </c>
      <c r="Q2026">
        <v>0</v>
      </c>
      <c r="R2026">
        <v>0.969050986878081</v>
      </c>
      <c r="S2026" t="s">
        <v>7887</v>
      </c>
      <c r="T2026" t="s">
        <v>11720</v>
      </c>
      <c r="U2026" t="s">
        <v>11720</v>
      </c>
      <c r="V2026" t="s">
        <v>11720</v>
      </c>
      <c r="W2026" t="s">
        <v>13704</v>
      </c>
      <c r="X2026">
        <v>11</v>
      </c>
      <c r="Y2026" t="s">
        <v>19470</v>
      </c>
      <c r="Z2026" t="s">
        <v>25233</v>
      </c>
      <c r="AA2026">
        <v>0.7566210176131466</v>
      </c>
      <c r="AB2026" t="str">
        <f>HYPERLINK("Melting_Curves/meltCurve_P17405_4_SMPD1.pdf", "Melting_Curves/meltCurve_P17405_4_SMPD1.pdf")</f>
        <v>Melting_Curves/meltCurve_P17405_4_SMPD1.pdf</v>
      </c>
    </row>
    <row r="2027" spans="1:28" x14ac:dyDescent="0.25">
      <c r="A2027" t="s">
        <v>2031</v>
      </c>
      <c r="B2027">
        <v>0.99334974765950101</v>
      </c>
      <c r="C2027">
        <v>1.0176670140493</v>
      </c>
      <c r="D2027">
        <v>1.0073956234164601</v>
      </c>
      <c r="E2027">
        <v>0.91609771231250603</v>
      </c>
      <c r="F2027">
        <v>1.3569789828171499</v>
      </c>
      <c r="G2027">
        <v>0.78159523833214195</v>
      </c>
      <c r="H2027">
        <v>0.74522661499088805</v>
      </c>
      <c r="I2027">
        <v>0.80964230424591299</v>
      </c>
      <c r="J2027">
        <v>0.946957624176895</v>
      </c>
      <c r="K2027">
        <v>1.00416737772391</v>
      </c>
      <c r="L2027">
        <v>1983.22570587574</v>
      </c>
      <c r="M2027">
        <v>35.340634507065602</v>
      </c>
      <c r="O2027">
        <v>55.9386622844751</v>
      </c>
      <c r="P2027">
        <v>-2.1311837297071302E-2</v>
      </c>
      <c r="Q2027">
        <v>0.86506732226696104</v>
      </c>
      <c r="R2027">
        <v>0.22395102849474</v>
      </c>
      <c r="S2027" t="s">
        <v>7888</v>
      </c>
      <c r="T2027" t="s">
        <v>11720</v>
      </c>
      <c r="U2027" t="s">
        <v>11720</v>
      </c>
      <c r="V2027" t="s">
        <v>11720</v>
      </c>
      <c r="W2027" t="s">
        <v>13705</v>
      </c>
      <c r="X2027">
        <v>3</v>
      </c>
      <c r="Y2027" t="s">
        <v>19471</v>
      </c>
      <c r="Z2027" t="s">
        <v>25234</v>
      </c>
      <c r="AA2027">
        <v>0.93822116764022734</v>
      </c>
      <c r="AB2027" t="str">
        <f>HYPERLINK("Melting_Curves/meltCurve_P17535_JUND.pdf", "Melting_Curves/meltCurve_P17535_JUND.pdf")</f>
        <v>Melting_Curves/meltCurve_P17535_JUND.pdf</v>
      </c>
    </row>
    <row r="2028" spans="1:28" x14ac:dyDescent="0.25">
      <c r="A2028" t="s">
        <v>2032</v>
      </c>
      <c r="B2028">
        <v>0.99334974765950101</v>
      </c>
      <c r="C2028">
        <v>0.98156355738353596</v>
      </c>
      <c r="D2028">
        <v>0.90857105463217702</v>
      </c>
      <c r="E2028">
        <v>0.80762331714992996</v>
      </c>
      <c r="F2028">
        <v>0.52824283529840799</v>
      </c>
      <c r="G2028">
        <v>0.19344294503539999</v>
      </c>
      <c r="H2028">
        <v>0.13334768525919599</v>
      </c>
      <c r="I2028">
        <v>9.0645360861211097E-2</v>
      </c>
      <c r="J2028">
        <v>0.11141488046703001</v>
      </c>
      <c r="K2028">
        <v>8.9012227003383307E-2</v>
      </c>
      <c r="L2028">
        <v>1221.9268960511499</v>
      </c>
      <c r="M2028">
        <v>23.1832931140091</v>
      </c>
      <c r="N2028">
        <v>53.141963041511197</v>
      </c>
      <c r="O2028">
        <v>52.319753815848699</v>
      </c>
      <c r="P2028">
        <v>-0.101209997477235</v>
      </c>
      <c r="Q2028">
        <v>8.6379017221814805E-2</v>
      </c>
      <c r="R2028">
        <v>0.99608793932334905</v>
      </c>
      <c r="S2028" t="s">
        <v>7889</v>
      </c>
      <c r="T2028" t="s">
        <v>11720</v>
      </c>
      <c r="U2028" t="s">
        <v>11720</v>
      </c>
      <c r="V2028" t="s">
        <v>11720</v>
      </c>
      <c r="W2028" t="s">
        <v>13706</v>
      </c>
      <c r="X2028">
        <v>12</v>
      </c>
      <c r="Y2028" t="s">
        <v>19472</v>
      </c>
      <c r="Z2028" t="s">
        <v>25235</v>
      </c>
      <c r="AA2028">
        <v>0.48303021813014019</v>
      </c>
      <c r="AB2028" t="str">
        <f>HYPERLINK("Melting_Curves/meltCurve_P17612_PRKACA.pdf", "Melting_Curves/meltCurve_P17612_PRKACA.pdf")</f>
        <v>Melting_Curves/meltCurve_P17612_PRKACA.pdf</v>
      </c>
    </row>
    <row r="2029" spans="1:28" x14ac:dyDescent="0.25">
      <c r="A2029" t="s">
        <v>2033</v>
      </c>
      <c r="B2029">
        <v>0.99334974765950101</v>
      </c>
      <c r="C2029">
        <v>1.0421362767443101</v>
      </c>
      <c r="D2029">
        <v>1.1207034099136599</v>
      </c>
      <c r="E2029">
        <v>1.09275780416486</v>
      </c>
      <c r="F2029">
        <v>1.0436290991986801</v>
      </c>
      <c r="G2029">
        <v>0.74833045343267102</v>
      </c>
      <c r="H2029">
        <v>0.190615002768599</v>
      </c>
      <c r="I2029">
        <v>0.13282733133511099</v>
      </c>
      <c r="J2029">
        <v>0.11585221531236101</v>
      </c>
      <c r="K2029">
        <v>9.2187337607609304E-2</v>
      </c>
      <c r="L2029">
        <v>2900.8164762784399</v>
      </c>
      <c r="M2029">
        <v>49.937749105426001</v>
      </c>
      <c r="N2029">
        <v>58.382937764184803</v>
      </c>
      <c r="O2029">
        <v>57.995725868019001</v>
      </c>
      <c r="P2029">
        <v>-0.19131330814952899</v>
      </c>
      <c r="Q2029">
        <v>0.11126593940724901</v>
      </c>
      <c r="R2029">
        <v>0.98536365573406604</v>
      </c>
      <c r="S2029" t="s">
        <v>7890</v>
      </c>
      <c r="T2029" t="s">
        <v>11720</v>
      </c>
      <c r="U2029" t="s">
        <v>11720</v>
      </c>
      <c r="V2029" t="s">
        <v>11720</v>
      </c>
      <c r="W2029" t="s">
        <v>13707</v>
      </c>
      <c r="X2029">
        <v>49</v>
      </c>
      <c r="Y2029" t="s">
        <v>19473</v>
      </c>
      <c r="Z2029" t="s">
        <v>25236</v>
      </c>
      <c r="AA2029">
        <v>0.64940480528847366</v>
      </c>
      <c r="AB2029" t="str">
        <f>HYPERLINK("Melting_Curves/meltCurve_P17655_CAPN2.pdf", "Melting_Curves/meltCurve_P17655_CAPN2.pdf")</f>
        <v>Melting_Curves/meltCurve_P17655_CAPN2.pdf</v>
      </c>
    </row>
    <row r="2030" spans="1:28" x14ac:dyDescent="0.25">
      <c r="A2030" t="s">
        <v>2034</v>
      </c>
      <c r="B2030">
        <v>0.99334974765950101</v>
      </c>
      <c r="C2030">
        <v>1.05702466993767</v>
      </c>
      <c r="D2030">
        <v>1.03180720476055</v>
      </c>
      <c r="E2030">
        <v>1.0463632133415799</v>
      </c>
      <c r="F2030">
        <v>1.22004576844928</v>
      </c>
      <c r="G2030">
        <v>0.85544669032746401</v>
      </c>
      <c r="H2030">
        <v>0.92121389263488096</v>
      </c>
      <c r="I2030">
        <v>0.90385904038294695</v>
      </c>
      <c r="J2030">
        <v>0.91812263631253399</v>
      </c>
      <c r="K2030">
        <v>0.80098122680246397</v>
      </c>
      <c r="L2030">
        <v>13794.066031881701</v>
      </c>
      <c r="M2030">
        <v>250</v>
      </c>
      <c r="O2030">
        <v>55.172733219904003</v>
      </c>
      <c r="P2030">
        <v>-0.13602754995198901</v>
      </c>
      <c r="Q2030">
        <v>0.87991981257171703</v>
      </c>
      <c r="R2030">
        <v>0.50113473220972005</v>
      </c>
      <c r="S2030" t="s">
        <v>7891</v>
      </c>
      <c r="T2030" t="s">
        <v>11720</v>
      </c>
      <c r="U2030" t="s">
        <v>11720</v>
      </c>
      <c r="V2030" t="s">
        <v>11720</v>
      </c>
      <c r="W2030" t="s">
        <v>13708</v>
      </c>
      <c r="X2030">
        <v>10</v>
      </c>
      <c r="Y2030" t="s">
        <v>19474</v>
      </c>
      <c r="Z2030" t="s">
        <v>25237</v>
      </c>
      <c r="AA2030">
        <v>0.94067706171796417</v>
      </c>
      <c r="AB2030" t="str">
        <f>HYPERLINK("Melting_Curves/meltCurve_P17661_DES.pdf", "Melting_Curves/meltCurve_P17661_DES.pdf")</f>
        <v>Melting_Curves/meltCurve_P17661_DES.pdf</v>
      </c>
    </row>
    <row r="2031" spans="1:28" x14ac:dyDescent="0.25">
      <c r="A2031" t="s">
        <v>2035</v>
      </c>
      <c r="B2031">
        <v>0.99334974765950101</v>
      </c>
      <c r="C2031">
        <v>0.97710067332073702</v>
      </c>
      <c r="D2031">
        <v>0.97967422382647995</v>
      </c>
      <c r="E2031">
        <v>0.67622210688182005</v>
      </c>
      <c r="F2031">
        <v>0.29523457441164602</v>
      </c>
      <c r="G2031">
        <v>0.164085573580218</v>
      </c>
      <c r="H2031">
        <v>9.0999287610686694E-2</v>
      </c>
      <c r="I2031">
        <v>6.2889612455636096E-2</v>
      </c>
      <c r="J2031">
        <v>5.6190511020105499E-2</v>
      </c>
      <c r="K2031">
        <v>4.4504957064015603E-2</v>
      </c>
      <c r="L2031">
        <v>1427.35419820886</v>
      </c>
      <c r="M2031">
        <v>27.938885722019901</v>
      </c>
      <c r="N2031">
        <v>51.356267560759498</v>
      </c>
      <c r="O2031">
        <v>50.828861244052199</v>
      </c>
      <c r="P2031">
        <v>-0.12810178774111899</v>
      </c>
      <c r="Q2031">
        <v>6.7792215301348394E-2</v>
      </c>
      <c r="R2031">
        <v>0.99718190942152396</v>
      </c>
      <c r="S2031" t="s">
        <v>7892</v>
      </c>
      <c r="T2031" t="s">
        <v>11720</v>
      </c>
      <c r="U2031" t="s">
        <v>11720</v>
      </c>
      <c r="V2031" t="s">
        <v>11720</v>
      </c>
      <c r="W2031" t="s">
        <v>13709</v>
      </c>
      <c r="X2031">
        <v>25</v>
      </c>
      <c r="Y2031" t="s">
        <v>19475</v>
      </c>
      <c r="Z2031" t="s">
        <v>25238</v>
      </c>
      <c r="AA2031">
        <v>0.41911585864817819</v>
      </c>
      <c r="AB2031" t="str">
        <f>HYPERLINK("Melting_Curves/meltCurve_P17812_CTPS1.pdf", "Melting_Curves/meltCurve_P17812_CTPS1.pdf")</f>
        <v>Melting_Curves/meltCurve_P17812_CTPS1.pdf</v>
      </c>
    </row>
    <row r="2032" spans="1:28" x14ac:dyDescent="0.25">
      <c r="A2032" t="s">
        <v>2036</v>
      </c>
      <c r="B2032">
        <v>0.99334974765950101</v>
      </c>
      <c r="C2032">
        <v>0.989949338239275</v>
      </c>
      <c r="D2032">
        <v>1.0483406394243899</v>
      </c>
      <c r="E2032">
        <v>1.08620107018114</v>
      </c>
      <c r="F2032">
        <v>1.11812883453531</v>
      </c>
      <c r="G2032">
        <v>0.953857601559159</v>
      </c>
      <c r="H2032">
        <v>0.82865351465437398</v>
      </c>
      <c r="I2032">
        <v>0.86745306020747803</v>
      </c>
      <c r="J2032">
        <v>0.610586117348772</v>
      </c>
      <c r="K2032">
        <v>0.47767140332670799</v>
      </c>
      <c r="L2032">
        <v>1162.44092532785</v>
      </c>
      <c r="M2032">
        <v>16.910535815563399</v>
      </c>
      <c r="N2032">
        <v>69.480930046847703</v>
      </c>
      <c r="O2032">
        <v>67.800941374359795</v>
      </c>
      <c r="P2032">
        <v>-5.7216960895697902E-2</v>
      </c>
      <c r="Q2032">
        <v>8.2437334056924105E-2</v>
      </c>
      <c r="R2032">
        <v>0.903971933827449</v>
      </c>
      <c r="S2032" t="s">
        <v>7893</v>
      </c>
      <c r="T2032" t="s">
        <v>11720</v>
      </c>
      <c r="U2032" t="s">
        <v>11720</v>
      </c>
      <c r="V2032" t="s">
        <v>11720</v>
      </c>
      <c r="W2032" t="s">
        <v>13710</v>
      </c>
      <c r="X2032">
        <v>24</v>
      </c>
      <c r="Y2032" t="s">
        <v>19476</v>
      </c>
      <c r="Z2032" t="s">
        <v>25239</v>
      </c>
      <c r="AA2032">
        <v>0.9032896504254474</v>
      </c>
      <c r="AB2032" t="str">
        <f>HYPERLINK("Melting_Curves/meltCurve_P17813_2_ENG.pdf", "Melting_Curves/meltCurve_P17813_2_ENG.pdf")</f>
        <v>Melting_Curves/meltCurve_P17813_2_ENG.pdf</v>
      </c>
    </row>
    <row r="2033" spans="1:28" x14ac:dyDescent="0.25">
      <c r="A2033" t="s">
        <v>2037</v>
      </c>
      <c r="B2033">
        <v>0.99334974765950101</v>
      </c>
      <c r="C2033">
        <v>0.956469703055156</v>
      </c>
      <c r="D2033">
        <v>1.07474375429092</v>
      </c>
      <c r="E2033">
        <v>1.0912705867258701</v>
      </c>
      <c r="F2033">
        <v>1.40257844969477</v>
      </c>
      <c r="G2033">
        <v>1.63048931015693</v>
      </c>
      <c r="H2033">
        <v>1.51145515660903</v>
      </c>
      <c r="I2033">
        <v>1.5275593612579399</v>
      </c>
      <c r="J2033">
        <v>0.49925409467056497</v>
      </c>
      <c r="K2033">
        <v>0.17001218066323001</v>
      </c>
      <c r="L2033">
        <v>15000</v>
      </c>
      <c r="M2033">
        <v>224.29922074696799</v>
      </c>
      <c r="N2033">
        <v>66.999033725479705</v>
      </c>
      <c r="O2033">
        <v>66.869637382339306</v>
      </c>
      <c r="P2033">
        <v>-0.69606156252695595</v>
      </c>
      <c r="Q2033">
        <v>0.16994122358865499</v>
      </c>
      <c r="R2033">
        <v>0.437100313994427</v>
      </c>
      <c r="S2033" t="s">
        <v>7894</v>
      </c>
      <c r="T2033" t="s">
        <v>11720</v>
      </c>
      <c r="U2033" t="s">
        <v>11720</v>
      </c>
      <c r="V2033" t="s">
        <v>11720</v>
      </c>
      <c r="W2033" t="s">
        <v>13711</v>
      </c>
      <c r="X2033">
        <v>28</v>
      </c>
      <c r="Y2033" t="s">
        <v>19477</v>
      </c>
      <c r="Z2033" t="s">
        <v>25240</v>
      </c>
      <c r="AA2033">
        <v>0.91365488420559238</v>
      </c>
      <c r="AB2033" t="str">
        <f>HYPERLINK("Melting_Curves/meltCurve_P17858_PFKL.pdf", "Melting_Curves/meltCurve_P17858_PFKL.pdf")</f>
        <v>Melting_Curves/meltCurve_P17858_PFKL.pdf</v>
      </c>
    </row>
    <row r="2034" spans="1:28" x14ac:dyDescent="0.25">
      <c r="A2034" t="s">
        <v>2038</v>
      </c>
      <c r="B2034">
        <v>0.99334974765950101</v>
      </c>
      <c r="C2034">
        <v>0.92642785752141299</v>
      </c>
      <c r="D2034">
        <v>0.84211069293192597</v>
      </c>
      <c r="E2034">
        <v>0.762771100263404</v>
      </c>
      <c r="F2034">
        <v>0.64869710673138703</v>
      </c>
      <c r="G2034">
        <v>0.61567722517541401</v>
      </c>
      <c r="H2034">
        <v>0.61844578143405304</v>
      </c>
      <c r="I2034">
        <v>0.84231133538677005</v>
      </c>
      <c r="J2034">
        <v>0.75167283500653503</v>
      </c>
      <c r="K2034">
        <v>0.64164232211260197</v>
      </c>
      <c r="L2034">
        <v>1028.4901952410701</v>
      </c>
      <c r="M2034">
        <v>22.4735564264411</v>
      </c>
      <c r="O2034">
        <v>45.406724041405397</v>
      </c>
      <c r="P2034">
        <v>-3.8519541425542002E-2</v>
      </c>
      <c r="Q2034">
        <v>0.68869895642276402</v>
      </c>
      <c r="R2034">
        <v>0.723844912877605</v>
      </c>
      <c r="S2034" t="s">
        <v>7895</v>
      </c>
      <c r="T2034" t="s">
        <v>11720</v>
      </c>
      <c r="U2034" t="s">
        <v>11720</v>
      </c>
      <c r="V2034" t="s">
        <v>11720</v>
      </c>
      <c r="W2034" t="s">
        <v>13712</v>
      </c>
      <c r="X2034">
        <v>9</v>
      </c>
      <c r="Y2034" t="s">
        <v>19478</v>
      </c>
      <c r="Z2034" t="s">
        <v>25241</v>
      </c>
      <c r="AA2034">
        <v>0.75225180411459758</v>
      </c>
      <c r="AB2034" t="str">
        <f>HYPERLINK("Melting_Curves/meltCurve_P17900_GM2A.pdf", "Melting_Curves/meltCurve_P17900_GM2A.pdf")</f>
        <v>Melting_Curves/meltCurve_P17900_GM2A.pdf</v>
      </c>
    </row>
    <row r="2035" spans="1:28" x14ac:dyDescent="0.25">
      <c r="A2035" t="s">
        <v>2039</v>
      </c>
      <c r="B2035">
        <v>0.99334974765950101</v>
      </c>
      <c r="C2035">
        <v>0.86664219901343498</v>
      </c>
      <c r="D2035">
        <v>0.73104411772441102</v>
      </c>
      <c r="E2035">
        <v>0.67946076165531599</v>
      </c>
      <c r="F2035">
        <v>0.326558817378444</v>
      </c>
      <c r="G2035">
        <v>0.166960187501212</v>
      </c>
      <c r="H2035">
        <v>0.1033910182607</v>
      </c>
      <c r="I2035">
        <v>9.0412943924467998E-2</v>
      </c>
      <c r="J2035">
        <v>7.6486458802966006E-2</v>
      </c>
      <c r="K2035">
        <v>7.3452671202023104E-2</v>
      </c>
      <c r="L2035">
        <v>657.35887916895899</v>
      </c>
      <c r="M2035">
        <v>12.979111453750701</v>
      </c>
      <c r="N2035">
        <v>50.839511582771401</v>
      </c>
      <c r="O2035">
        <v>49.490354885850799</v>
      </c>
      <c r="P2035">
        <v>-6.4006599014027998E-2</v>
      </c>
      <c r="Q2035">
        <v>2.3925089850712501E-2</v>
      </c>
      <c r="R2035">
        <v>0.97693644830562698</v>
      </c>
      <c r="S2035" t="s">
        <v>7896</v>
      </c>
      <c r="T2035" t="s">
        <v>11720</v>
      </c>
      <c r="U2035" t="s">
        <v>11720</v>
      </c>
      <c r="V2035" t="s">
        <v>11720</v>
      </c>
      <c r="W2035" t="s">
        <v>13713</v>
      </c>
      <c r="X2035">
        <v>18</v>
      </c>
      <c r="Y2035" t="s">
        <v>19479</v>
      </c>
      <c r="Z2035" t="s">
        <v>25242</v>
      </c>
      <c r="AA2035">
        <v>0.39921392687551521</v>
      </c>
      <c r="AB2035" t="str">
        <f>HYPERLINK("Melting_Curves/meltCurve_P17931_LGALS3.pdf", "Melting_Curves/meltCurve_P17931_LGALS3.pdf")</f>
        <v>Melting_Curves/meltCurve_P17931_LGALS3.pdf</v>
      </c>
    </row>
    <row r="2036" spans="1:28" x14ac:dyDescent="0.25">
      <c r="A2036" t="s">
        <v>2040</v>
      </c>
      <c r="B2036">
        <v>0.99334974765950101</v>
      </c>
      <c r="C2036">
        <v>1.00417030386429</v>
      </c>
      <c r="D2036">
        <v>0.97468395810550701</v>
      </c>
      <c r="E2036">
        <v>0.95651216951934404</v>
      </c>
      <c r="F2036">
        <v>0.75687347969547902</v>
      </c>
      <c r="G2036">
        <v>0.74869168913836004</v>
      </c>
      <c r="H2036">
        <v>0.67718997733650299</v>
      </c>
      <c r="I2036">
        <v>0.81774871736713195</v>
      </c>
      <c r="J2036">
        <v>0.62251694203229402</v>
      </c>
      <c r="K2036">
        <v>0.55885507676834001</v>
      </c>
      <c r="L2036">
        <v>557.01858453850502</v>
      </c>
      <c r="M2036">
        <v>9.97899334449259</v>
      </c>
      <c r="O2036">
        <v>53.716353230160301</v>
      </c>
      <c r="P2036">
        <v>-1.97408451832865E-2</v>
      </c>
      <c r="Q2036">
        <v>0.57515293423231495</v>
      </c>
      <c r="R2036">
        <v>0.83566709928261296</v>
      </c>
      <c r="S2036" t="s">
        <v>7897</v>
      </c>
      <c r="T2036" t="s">
        <v>11720</v>
      </c>
      <c r="U2036" t="s">
        <v>11720</v>
      </c>
      <c r="V2036" t="s">
        <v>11720</v>
      </c>
      <c r="W2036" t="s">
        <v>13714</v>
      </c>
      <c r="X2036">
        <v>13</v>
      </c>
      <c r="Y2036" t="s">
        <v>19480</v>
      </c>
      <c r="Z2036" t="s">
        <v>25243</v>
      </c>
      <c r="AA2036">
        <v>0.80852364786621578</v>
      </c>
      <c r="AB2036" t="str">
        <f>HYPERLINK("Melting_Curves/meltCurve_P17936_IGFBP3.pdf", "Melting_Curves/meltCurve_P17936_IGFBP3.pdf")</f>
        <v>Melting_Curves/meltCurve_P17936_IGFBP3.pdf</v>
      </c>
    </row>
    <row r="2037" spans="1:28" x14ac:dyDescent="0.25">
      <c r="A2037" t="s">
        <v>2041</v>
      </c>
      <c r="B2037">
        <v>0.99334974765950101</v>
      </c>
      <c r="C2037">
        <v>0.96946473363188002</v>
      </c>
      <c r="D2037">
        <v>0.98692903601734905</v>
      </c>
      <c r="E2037">
        <v>0.95403276961807604</v>
      </c>
      <c r="F2037">
        <v>1.12201601875904</v>
      </c>
      <c r="G2037">
        <v>1.68736804996425</v>
      </c>
      <c r="H2037">
        <v>0.94804859794700103</v>
      </c>
      <c r="I2037">
        <v>0.32885878052769002</v>
      </c>
      <c r="J2037">
        <v>0.20003609381953599</v>
      </c>
      <c r="K2037">
        <v>0.158893181900291</v>
      </c>
      <c r="L2037">
        <v>5500.0944573951101</v>
      </c>
      <c r="M2037">
        <v>87.424061652248895</v>
      </c>
      <c r="N2037">
        <v>63.229370317105499</v>
      </c>
      <c r="O2037">
        <v>62.87992570486</v>
      </c>
      <c r="P2037">
        <v>-0.28597956013318698</v>
      </c>
      <c r="Q2037">
        <v>0.17723467176813301</v>
      </c>
      <c r="R2037">
        <v>0.75653410629909401</v>
      </c>
      <c r="S2037" t="s">
        <v>7898</v>
      </c>
      <c r="T2037" t="s">
        <v>11720</v>
      </c>
      <c r="U2037" t="s">
        <v>11720</v>
      </c>
      <c r="V2037" t="s">
        <v>11720</v>
      </c>
      <c r="W2037" t="s">
        <v>13715</v>
      </c>
      <c r="X2037">
        <v>25</v>
      </c>
      <c r="Y2037" t="s">
        <v>19481</v>
      </c>
      <c r="Z2037" t="s">
        <v>25244</v>
      </c>
      <c r="AA2037">
        <v>0.80637098297021093</v>
      </c>
      <c r="AB2037" t="str">
        <f>HYPERLINK("Melting_Curves/meltCurve_P17987_TCP1.pdf", "Melting_Curves/meltCurve_P17987_TCP1.pdf")</f>
        <v>Melting_Curves/meltCurve_P17987_TCP1.pdf</v>
      </c>
    </row>
    <row r="2038" spans="1:28" x14ac:dyDescent="0.25">
      <c r="A2038" t="s">
        <v>2042</v>
      </c>
      <c r="B2038">
        <v>0.99334974765950101</v>
      </c>
      <c r="C2038">
        <v>0.92655013530108798</v>
      </c>
      <c r="D2038">
        <v>0.77850380132124297</v>
      </c>
      <c r="E2038">
        <v>0.29734627395380497</v>
      </c>
      <c r="F2038">
        <v>0.134861721702323</v>
      </c>
      <c r="G2038">
        <v>9.2851096165397703E-2</v>
      </c>
      <c r="H2038">
        <v>6.8930755082127704E-2</v>
      </c>
      <c r="I2038">
        <v>5.9643173836716197E-2</v>
      </c>
      <c r="J2038">
        <v>5.5388174555422102E-2</v>
      </c>
      <c r="K2038">
        <v>4.3375936809071702E-2</v>
      </c>
      <c r="L2038">
        <v>1216.71720966778</v>
      </c>
      <c r="M2038">
        <v>25.359858719220199</v>
      </c>
      <c r="N2038">
        <v>48.2129925137721</v>
      </c>
      <c r="O2038">
        <v>47.682723571570499</v>
      </c>
      <c r="P2038">
        <v>-0.12523506286417599</v>
      </c>
      <c r="Q2038">
        <v>5.81220093531171E-2</v>
      </c>
      <c r="R2038">
        <v>0.99872691293933302</v>
      </c>
      <c r="S2038" t="s">
        <v>7899</v>
      </c>
      <c r="T2038" t="s">
        <v>11720</v>
      </c>
      <c r="U2038" t="s">
        <v>11720</v>
      </c>
      <c r="V2038" t="s">
        <v>11720</v>
      </c>
      <c r="W2038" t="s">
        <v>13716</v>
      </c>
      <c r="X2038">
        <v>17</v>
      </c>
      <c r="Y2038" t="s">
        <v>19482</v>
      </c>
      <c r="Z2038" t="s">
        <v>25245</v>
      </c>
      <c r="AA2038">
        <v>0.31667750627984648</v>
      </c>
      <c r="AB2038" t="str">
        <f>HYPERLINK("Melting_Curves/meltCurve_P18031_PTPN1.pdf", "Melting_Curves/meltCurve_P18031_PTPN1.pdf")</f>
        <v>Melting_Curves/meltCurve_P18031_PTPN1.pdf</v>
      </c>
    </row>
    <row r="2039" spans="1:28" x14ac:dyDescent="0.25">
      <c r="A2039" t="s">
        <v>2043</v>
      </c>
      <c r="B2039">
        <v>0.99334974765950101</v>
      </c>
      <c r="C2039">
        <v>1.0258578185205001</v>
      </c>
      <c r="D2039">
        <v>0.87325269010866102</v>
      </c>
      <c r="E2039">
        <v>0.76036000048865704</v>
      </c>
      <c r="F2039">
        <v>0.73313258556590899</v>
      </c>
      <c r="G2039">
        <v>0.50686185122167104</v>
      </c>
      <c r="H2039">
        <v>0.40397880876380898</v>
      </c>
      <c r="I2039">
        <v>0.43838307892167599</v>
      </c>
      <c r="J2039">
        <v>0.465092287808963</v>
      </c>
      <c r="K2039">
        <v>0.28660824700313198</v>
      </c>
      <c r="L2039">
        <v>636.06417362997604</v>
      </c>
      <c r="M2039">
        <v>11.9252693512533</v>
      </c>
      <c r="N2039">
        <v>58.438056358063399</v>
      </c>
      <c r="O2039">
        <v>51.904022284012903</v>
      </c>
      <c r="P2039">
        <v>-3.88715197765577E-2</v>
      </c>
      <c r="Q2039">
        <v>0.323423228578268</v>
      </c>
      <c r="R2039">
        <v>0.95711727713602901</v>
      </c>
      <c r="S2039" t="s">
        <v>7900</v>
      </c>
      <c r="T2039" t="s">
        <v>11720</v>
      </c>
      <c r="U2039" t="s">
        <v>11720</v>
      </c>
      <c r="V2039" t="s">
        <v>11720</v>
      </c>
      <c r="W2039" t="s">
        <v>13717</v>
      </c>
      <c r="X2039">
        <v>10</v>
      </c>
      <c r="Y2039" t="s">
        <v>19483</v>
      </c>
      <c r="Z2039" t="s">
        <v>25246</v>
      </c>
      <c r="AA2039">
        <v>0.64308695265423277</v>
      </c>
      <c r="AB2039" t="str">
        <f>HYPERLINK("Melting_Curves/meltCurve_P18065_IGFBP2.pdf", "Melting_Curves/meltCurve_P18065_IGFBP2.pdf")</f>
        <v>Melting_Curves/meltCurve_P18065_IGFBP2.pdf</v>
      </c>
    </row>
    <row r="2040" spans="1:28" x14ac:dyDescent="0.25">
      <c r="A2040" t="s">
        <v>2044</v>
      </c>
      <c r="B2040">
        <v>0.99334974765950101</v>
      </c>
      <c r="C2040">
        <v>1.0534231305230599</v>
      </c>
      <c r="D2040">
        <v>1.15171158797935</v>
      </c>
      <c r="E2040">
        <v>1.13026090184197</v>
      </c>
      <c r="F2040">
        <v>1.6571782065299501</v>
      </c>
      <c r="G2040">
        <v>0.89415430399542495</v>
      </c>
      <c r="H2040">
        <v>0.62321795888755505</v>
      </c>
      <c r="I2040">
        <v>0.34639777402342797</v>
      </c>
      <c r="J2040">
        <v>0.20622394359378099</v>
      </c>
      <c r="K2040">
        <v>0.14942565054036</v>
      </c>
      <c r="L2040">
        <v>2150.9570384286399</v>
      </c>
      <c r="M2040">
        <v>34.988179685328603</v>
      </c>
      <c r="N2040">
        <v>62.136310912153498</v>
      </c>
      <c r="O2040">
        <v>61.276888802979002</v>
      </c>
      <c r="P2040">
        <v>-0.12060306830350299</v>
      </c>
      <c r="Q2040">
        <v>0.155125556825538</v>
      </c>
      <c r="R2040">
        <v>0.768562078525307</v>
      </c>
      <c r="S2040" t="s">
        <v>7901</v>
      </c>
      <c r="T2040" t="s">
        <v>11720</v>
      </c>
      <c r="U2040" t="s">
        <v>11720</v>
      </c>
      <c r="V2040" t="s">
        <v>11720</v>
      </c>
      <c r="W2040" t="s">
        <v>13718</v>
      </c>
      <c r="X2040">
        <v>35</v>
      </c>
      <c r="Y2040" t="s">
        <v>19484</v>
      </c>
      <c r="Z2040" t="s">
        <v>25247</v>
      </c>
      <c r="AA2040">
        <v>0.76370395232884125</v>
      </c>
      <c r="AB2040" t="str">
        <f>HYPERLINK("Melting_Curves/meltCurve_P18084_ITGB5.pdf", "Melting_Curves/meltCurve_P18084_ITGB5.pdf")</f>
        <v>Melting_Curves/meltCurve_P18084_ITGB5.pdf</v>
      </c>
    </row>
    <row r="2041" spans="1:28" x14ac:dyDescent="0.25">
      <c r="A2041" t="s">
        <v>2045</v>
      </c>
      <c r="B2041">
        <v>0.99334974765950101</v>
      </c>
      <c r="C2041">
        <v>0.99864864205855697</v>
      </c>
      <c r="D2041">
        <v>0.80809174934453798</v>
      </c>
      <c r="E2041">
        <v>0.49973149334841899</v>
      </c>
      <c r="F2041">
        <v>0.20036613483912599</v>
      </c>
      <c r="G2041">
        <v>0.101738089143861</v>
      </c>
      <c r="H2041">
        <v>7.2287511397470597E-2</v>
      </c>
      <c r="I2041">
        <v>6.0558846420288498E-2</v>
      </c>
      <c r="J2041">
        <v>5.3809490868600401E-2</v>
      </c>
      <c r="K2041">
        <v>4.2029612683480697E-2</v>
      </c>
      <c r="L2041">
        <v>1063.57544976949</v>
      </c>
      <c r="M2041">
        <v>21.508143561465399</v>
      </c>
      <c r="N2041">
        <v>49.682214839205997</v>
      </c>
      <c r="O2041">
        <v>49.028354009847597</v>
      </c>
      <c r="P2041">
        <v>-0.104427649563476</v>
      </c>
      <c r="Q2041">
        <v>4.7841032044017302E-2</v>
      </c>
      <c r="R2041">
        <v>0.99710139460678804</v>
      </c>
      <c r="S2041" t="s">
        <v>7902</v>
      </c>
      <c r="T2041" t="s">
        <v>11720</v>
      </c>
      <c r="U2041" t="s">
        <v>11720</v>
      </c>
      <c r="V2041" t="s">
        <v>11720</v>
      </c>
      <c r="W2041" t="s">
        <v>13719</v>
      </c>
      <c r="X2041">
        <v>10</v>
      </c>
      <c r="Y2041" t="s">
        <v>19485</v>
      </c>
      <c r="Z2041" t="s">
        <v>25248</v>
      </c>
      <c r="AA2041">
        <v>0.35925534553437272</v>
      </c>
      <c r="AB2041" t="str">
        <f>HYPERLINK("Melting_Curves/meltCurve_P18085_ARF4.pdf", "Melting_Curves/meltCurve_P18085_ARF4.pdf")</f>
        <v>Melting_Curves/meltCurve_P18085_ARF4.pdf</v>
      </c>
    </row>
    <row r="2042" spans="1:28" x14ac:dyDescent="0.25">
      <c r="A2042" t="s">
        <v>2046</v>
      </c>
      <c r="B2042">
        <v>0.99334974765950101</v>
      </c>
      <c r="C2042">
        <v>1.19269530623866</v>
      </c>
      <c r="D2042">
        <v>1.0281707780753699</v>
      </c>
      <c r="E2042">
        <v>1.0700198190949799</v>
      </c>
      <c r="F2042">
        <v>0.94497213680324998</v>
      </c>
      <c r="G2042">
        <v>0.62964747714199099</v>
      </c>
      <c r="H2042">
        <v>0.45140946135529397</v>
      </c>
      <c r="I2042">
        <v>0.381035635969806</v>
      </c>
      <c r="J2042">
        <v>0.28951694649442</v>
      </c>
      <c r="K2042">
        <v>0.219066611961765</v>
      </c>
      <c r="L2042">
        <v>1313.8623682098801</v>
      </c>
      <c r="M2042">
        <v>22.738421340557199</v>
      </c>
      <c r="N2042">
        <v>59.661144909173402</v>
      </c>
      <c r="O2042">
        <v>57.340257431526297</v>
      </c>
      <c r="P2042">
        <v>-7.3786869626220095E-2</v>
      </c>
      <c r="Q2042">
        <v>0.25573104928423801</v>
      </c>
      <c r="R2042">
        <v>0.95302988100042496</v>
      </c>
      <c r="S2042" t="s">
        <v>7903</v>
      </c>
      <c r="T2042" t="s">
        <v>11720</v>
      </c>
      <c r="U2042" t="s">
        <v>11720</v>
      </c>
      <c r="V2042" t="s">
        <v>11720</v>
      </c>
      <c r="W2042" t="s">
        <v>13720</v>
      </c>
      <c r="X2042">
        <v>6</v>
      </c>
      <c r="Y2042" t="s">
        <v>19486</v>
      </c>
      <c r="Z2042" t="s">
        <v>25249</v>
      </c>
      <c r="AA2042">
        <v>0.70430127450754598</v>
      </c>
      <c r="AB2042" t="str">
        <f>HYPERLINK("Melting_Curves/meltCurve_P18124_RPL7.pdf", "Melting_Curves/meltCurve_P18124_RPL7.pdf")</f>
        <v>Melting_Curves/meltCurve_P18124_RPL7.pdf</v>
      </c>
    </row>
    <row r="2043" spans="1:28" x14ac:dyDescent="0.25">
      <c r="A2043" t="s">
        <v>2047</v>
      </c>
      <c r="B2043">
        <v>0.99334974765950101</v>
      </c>
      <c r="C2043">
        <v>1.0246423690143101</v>
      </c>
      <c r="D2043">
        <v>0.81995330869514904</v>
      </c>
      <c r="E2043">
        <v>0.79060775317420195</v>
      </c>
      <c r="F2043">
        <v>0.80427297233241102</v>
      </c>
      <c r="G2043">
        <v>0.78022605884518503</v>
      </c>
      <c r="H2043">
        <v>0.63017131320233</v>
      </c>
      <c r="I2043">
        <v>0.65264923941104702</v>
      </c>
      <c r="J2043">
        <v>0.68983144618021097</v>
      </c>
      <c r="K2043">
        <v>0.92412123792711198</v>
      </c>
      <c r="L2043">
        <v>11454.409397739901</v>
      </c>
      <c r="M2043">
        <v>250</v>
      </c>
      <c r="O2043">
        <v>45.814705409740696</v>
      </c>
      <c r="P2043">
        <v>-0.33678362721586802</v>
      </c>
      <c r="Q2043">
        <v>0.75312571676350903</v>
      </c>
      <c r="R2043">
        <v>0.61441851412948401</v>
      </c>
      <c r="S2043" t="s">
        <v>7904</v>
      </c>
      <c r="T2043" t="s">
        <v>11720</v>
      </c>
      <c r="U2043" t="s">
        <v>11720</v>
      </c>
      <c r="V2043" t="s">
        <v>11720</v>
      </c>
      <c r="W2043" t="s">
        <v>13721</v>
      </c>
      <c r="X2043">
        <v>2</v>
      </c>
      <c r="Y2043" t="s">
        <v>19487</v>
      </c>
      <c r="Z2043" t="s">
        <v>25250</v>
      </c>
      <c r="AA2043">
        <v>0.80101973808381388</v>
      </c>
      <c r="AB2043" t="str">
        <f>HYPERLINK("Melting_Curves/meltCurve_P18146_EGR1.pdf", "Melting_Curves/meltCurve_P18146_EGR1.pdf")</f>
        <v>Melting_Curves/meltCurve_P18146_EGR1.pdf</v>
      </c>
    </row>
    <row r="2044" spans="1:28" x14ac:dyDescent="0.25">
      <c r="A2044" t="s">
        <v>2048</v>
      </c>
      <c r="B2044">
        <v>0.99334974765950101</v>
      </c>
      <c r="C2044">
        <v>0.95393457526334502</v>
      </c>
      <c r="D2044">
        <v>0.89851035047768502</v>
      </c>
      <c r="E2044">
        <v>0.63975604783086504</v>
      </c>
      <c r="F2044">
        <v>0.513058961960417</v>
      </c>
      <c r="G2044">
        <v>0.35486114962745502</v>
      </c>
      <c r="H2044">
        <v>0.324695597572836</v>
      </c>
      <c r="I2044">
        <v>0.33035311982340299</v>
      </c>
      <c r="J2044">
        <v>0.38998597836141102</v>
      </c>
      <c r="K2044">
        <v>0.44452305850812102</v>
      </c>
      <c r="L2044">
        <v>1086.4113305527101</v>
      </c>
      <c r="M2044">
        <v>21.967049425927499</v>
      </c>
      <c r="N2044">
        <v>52.567751945087799</v>
      </c>
      <c r="O2044">
        <v>49.0520000713231</v>
      </c>
      <c r="P2044">
        <v>-7.1233993276863194E-2</v>
      </c>
      <c r="Q2044">
        <v>0.36375741320800198</v>
      </c>
      <c r="R2044">
        <v>0.97845736618329604</v>
      </c>
      <c r="S2044" t="s">
        <v>7905</v>
      </c>
      <c r="T2044" t="s">
        <v>11720</v>
      </c>
      <c r="U2044" t="s">
        <v>11720</v>
      </c>
      <c r="V2044" t="s">
        <v>11720</v>
      </c>
      <c r="W2044" t="s">
        <v>13722</v>
      </c>
      <c r="X2044">
        <v>7</v>
      </c>
      <c r="Y2044" t="s">
        <v>19488</v>
      </c>
      <c r="Z2044" t="s">
        <v>25251</v>
      </c>
      <c r="AA2044">
        <v>0.57166565203439912</v>
      </c>
      <c r="AB2044" t="str">
        <f>HYPERLINK("Melting_Curves/meltCurve_P18615_NELFE.pdf", "Melting_Curves/meltCurve_P18615_NELFE.pdf")</f>
        <v>Melting_Curves/meltCurve_P18615_NELFE.pdf</v>
      </c>
    </row>
    <row r="2045" spans="1:28" x14ac:dyDescent="0.25">
      <c r="A2045" t="s">
        <v>2049</v>
      </c>
      <c r="B2045">
        <v>0.99334974765950101</v>
      </c>
      <c r="C2045">
        <v>0.97445895998832799</v>
      </c>
      <c r="D2045">
        <v>0.94487276734757497</v>
      </c>
      <c r="E2045">
        <v>0.77266822017109105</v>
      </c>
      <c r="F2045">
        <v>0.89822032085111103</v>
      </c>
      <c r="G2045">
        <v>0.620188822997364</v>
      </c>
      <c r="H2045">
        <v>0.58280119845466205</v>
      </c>
      <c r="I2045">
        <v>0.494219952376236</v>
      </c>
      <c r="J2045">
        <v>0.255251592307913</v>
      </c>
      <c r="K2045">
        <v>0.109106953198828</v>
      </c>
      <c r="L2045">
        <v>614.73145054986003</v>
      </c>
      <c r="M2045">
        <v>10.039656884618999</v>
      </c>
      <c r="N2045">
        <v>61.230342269726798</v>
      </c>
      <c r="O2045">
        <v>58.949812563220803</v>
      </c>
      <c r="P2045">
        <v>-4.2597534215785098E-2</v>
      </c>
      <c r="Q2045">
        <v>0</v>
      </c>
      <c r="R2045">
        <v>0.93446696225391901</v>
      </c>
      <c r="S2045" t="s">
        <v>7906</v>
      </c>
      <c r="T2045" t="s">
        <v>11720</v>
      </c>
      <c r="U2045" t="s">
        <v>11720</v>
      </c>
      <c r="V2045" t="s">
        <v>11720</v>
      </c>
      <c r="W2045" t="s">
        <v>13723</v>
      </c>
      <c r="X2045">
        <v>30</v>
      </c>
      <c r="Y2045" t="s">
        <v>19489</v>
      </c>
      <c r="Z2045" t="s">
        <v>25252</v>
      </c>
      <c r="AA2045">
        <v>0.6937348464917118</v>
      </c>
      <c r="AB2045" t="str">
        <f>HYPERLINK("Melting_Curves/meltCurve_P18669_PGAM1.pdf", "Melting_Curves/meltCurve_P18669_PGAM1.pdf")</f>
        <v>Melting_Curves/meltCurve_P18669_PGAM1.pdf</v>
      </c>
    </row>
    <row r="2046" spans="1:28" x14ac:dyDescent="0.25">
      <c r="A2046" t="s">
        <v>2050</v>
      </c>
      <c r="B2046">
        <v>0.99334974765950101</v>
      </c>
      <c r="C2046">
        <v>1.0062809702644</v>
      </c>
      <c r="D2046">
        <v>0.73716662475864003</v>
      </c>
      <c r="E2046">
        <v>0.23169517488781599</v>
      </c>
      <c r="F2046">
        <v>0.13763655254408</v>
      </c>
      <c r="G2046">
        <v>0.10358011404624699</v>
      </c>
      <c r="H2046">
        <v>8.1906248775359E-2</v>
      </c>
      <c r="I2046">
        <v>6.7720095135775205E-2</v>
      </c>
      <c r="J2046">
        <v>6.1563730937197803E-2</v>
      </c>
      <c r="K2046">
        <v>5.7923444634739099E-2</v>
      </c>
      <c r="L2046">
        <v>1463.6923191767501</v>
      </c>
      <c r="M2046">
        <v>30.847702519905901</v>
      </c>
      <c r="N2046">
        <v>47.708306560328701</v>
      </c>
      <c r="O2046">
        <v>47.250925353439797</v>
      </c>
      <c r="P2046">
        <v>-0.15061563984183499</v>
      </c>
      <c r="Q2046">
        <v>7.7184250280485894E-2</v>
      </c>
      <c r="R2046">
        <v>0.99752942727183003</v>
      </c>
      <c r="S2046" t="s">
        <v>7907</v>
      </c>
      <c r="T2046" t="s">
        <v>11720</v>
      </c>
      <c r="U2046" t="s">
        <v>11720</v>
      </c>
      <c r="V2046" t="s">
        <v>11720</v>
      </c>
      <c r="W2046" t="s">
        <v>13724</v>
      </c>
      <c r="X2046">
        <v>6</v>
      </c>
      <c r="Y2046" t="s">
        <v>19490</v>
      </c>
      <c r="Z2046" t="s">
        <v>25253</v>
      </c>
      <c r="AA2046">
        <v>0.3115374428758223</v>
      </c>
      <c r="AB2046" t="str">
        <f>HYPERLINK("Melting_Curves/meltCurve_P18754_RCC1.pdf", "Melting_Curves/meltCurve_P18754_RCC1.pdf")</f>
        <v>Melting_Curves/meltCurve_P18754_RCC1.pdf</v>
      </c>
    </row>
    <row r="2047" spans="1:28" x14ac:dyDescent="0.25">
      <c r="A2047" t="s">
        <v>2051</v>
      </c>
      <c r="B2047">
        <v>0.99334974765950101</v>
      </c>
      <c r="C2047">
        <v>0.99092577615892796</v>
      </c>
      <c r="D2047">
        <v>0.97340983375033696</v>
      </c>
      <c r="E2047">
        <v>0.95450009382671497</v>
      </c>
      <c r="F2047">
        <v>1.75228301688101</v>
      </c>
      <c r="G2047">
        <v>1.35984408301639</v>
      </c>
      <c r="H2047">
        <v>1.62980956378175</v>
      </c>
      <c r="I2047">
        <v>2.4381149524336898</v>
      </c>
      <c r="J2047">
        <v>2.24784800442049</v>
      </c>
      <c r="K2047">
        <v>1.9629050329244799</v>
      </c>
      <c r="L2047">
        <v>12821.8711933178</v>
      </c>
      <c r="M2047">
        <v>250</v>
      </c>
      <c r="O2047">
        <v>51.284218407040903</v>
      </c>
      <c r="P2047">
        <v>0.60934943582872103</v>
      </c>
      <c r="Q2047">
        <v>1.5</v>
      </c>
      <c r="R2047">
        <v>0.380377380588242</v>
      </c>
      <c r="S2047" t="s">
        <v>7908</v>
      </c>
      <c r="T2047" t="s">
        <v>11720</v>
      </c>
      <c r="U2047" t="s">
        <v>11720</v>
      </c>
      <c r="V2047" t="s">
        <v>11720</v>
      </c>
      <c r="W2047" t="s">
        <v>13725</v>
      </c>
      <c r="X2047">
        <v>5</v>
      </c>
      <c r="Y2047" t="s">
        <v>19491</v>
      </c>
      <c r="Z2047" t="s">
        <v>25254</v>
      </c>
      <c r="AA2047">
        <v>1.31183024941003</v>
      </c>
      <c r="AB2047" t="str">
        <f>HYPERLINK("Melting_Curves/meltCurve_P18827_SDC1.pdf", "Melting_Curves/meltCurve_P18827_SDC1.pdf")</f>
        <v>Melting_Curves/meltCurve_P18827_SDC1.pdf</v>
      </c>
    </row>
    <row r="2048" spans="1:28" x14ac:dyDescent="0.25">
      <c r="A2048" t="s">
        <v>2052</v>
      </c>
      <c r="B2048">
        <v>0.99334974765950101</v>
      </c>
      <c r="C2048">
        <v>1.05665061731342</v>
      </c>
      <c r="D2048">
        <v>0.87791670155474499</v>
      </c>
      <c r="E2048">
        <v>0.83348553085453903</v>
      </c>
      <c r="F2048">
        <v>0.80835772173232001</v>
      </c>
      <c r="G2048">
        <v>0.586569380575786</v>
      </c>
      <c r="H2048">
        <v>0.61582664932317199</v>
      </c>
      <c r="I2048">
        <v>0.549692216999913</v>
      </c>
      <c r="J2048">
        <v>0.73336490426805101</v>
      </c>
      <c r="K2048">
        <v>0.76488140313971198</v>
      </c>
      <c r="L2048">
        <v>993.31744864411098</v>
      </c>
      <c r="M2048">
        <v>19.878066876757298</v>
      </c>
      <c r="O2048">
        <v>49.473066330578199</v>
      </c>
      <c r="P2048">
        <v>-3.4862545231455197E-2</v>
      </c>
      <c r="Q2048">
        <v>0.65294438283504896</v>
      </c>
      <c r="R2048">
        <v>0.78176991039725297</v>
      </c>
      <c r="S2048" t="s">
        <v>7909</v>
      </c>
      <c r="T2048" t="s">
        <v>11720</v>
      </c>
      <c r="U2048" t="s">
        <v>11720</v>
      </c>
      <c r="V2048" t="s">
        <v>11720</v>
      </c>
      <c r="W2048" t="s">
        <v>13726</v>
      </c>
      <c r="X2048">
        <v>4</v>
      </c>
      <c r="Y2048" t="s">
        <v>19492</v>
      </c>
      <c r="Z2048" t="s">
        <v>25255</v>
      </c>
      <c r="AA2048">
        <v>0.77317865729026658</v>
      </c>
      <c r="AB2048" t="str">
        <f>HYPERLINK("Melting_Curves/meltCurve_P18846_ATF1.pdf", "Melting_Curves/meltCurve_P18846_ATF1.pdf")</f>
        <v>Melting_Curves/meltCurve_P18846_ATF1.pdf</v>
      </c>
    </row>
    <row r="2049" spans="1:28" x14ac:dyDescent="0.25">
      <c r="A2049" t="s">
        <v>2053</v>
      </c>
      <c r="B2049">
        <v>0.99334974765950101</v>
      </c>
      <c r="C2049">
        <v>0.96141351474919001</v>
      </c>
      <c r="D2049">
        <v>0.89310632936929502</v>
      </c>
      <c r="E2049">
        <v>0.83432964760084805</v>
      </c>
      <c r="F2049">
        <v>0.87414489032132003</v>
      </c>
      <c r="G2049">
        <v>0.90018906861554104</v>
      </c>
      <c r="H2049">
        <v>1.2670159824867699</v>
      </c>
      <c r="I2049">
        <v>3.2449112944433298</v>
      </c>
      <c r="J2049">
        <v>4.4339992969365101</v>
      </c>
      <c r="K2049">
        <v>4.8205133044835602</v>
      </c>
      <c r="L2049">
        <v>15000</v>
      </c>
      <c r="M2049">
        <v>246.03846274399601</v>
      </c>
      <c r="O2049">
        <v>60.962047657484</v>
      </c>
      <c r="P2049">
        <v>0.50449104217075902</v>
      </c>
      <c r="Q2049">
        <v>1.5</v>
      </c>
      <c r="R2049">
        <v>1.3633574964902801E-2</v>
      </c>
      <c r="S2049" t="s">
        <v>7910</v>
      </c>
      <c r="T2049" t="s">
        <v>11720</v>
      </c>
      <c r="U2049" t="s">
        <v>11720</v>
      </c>
      <c r="V2049" t="s">
        <v>11720</v>
      </c>
      <c r="W2049" t="s">
        <v>13727</v>
      </c>
      <c r="X2049">
        <v>10</v>
      </c>
      <c r="Y2049" t="s">
        <v>19493</v>
      </c>
      <c r="Z2049" t="s">
        <v>25256</v>
      </c>
      <c r="AA2049">
        <v>1.150510139887537</v>
      </c>
      <c r="AB2049" t="str">
        <f>HYPERLINK("Melting_Curves/meltCurve_P18859_ATP5J.pdf", "Melting_Curves/meltCurve_P18859_ATP5J.pdf")</f>
        <v>Melting_Curves/meltCurve_P18859_ATP5J.pdf</v>
      </c>
    </row>
    <row r="2050" spans="1:28" x14ac:dyDescent="0.25">
      <c r="A2050" t="s">
        <v>2054</v>
      </c>
      <c r="B2050">
        <v>0.99334974765950101</v>
      </c>
      <c r="C2050">
        <v>1.0651029303647199</v>
      </c>
      <c r="D2050">
        <v>0.92030939681215695</v>
      </c>
      <c r="E2050">
        <v>1.0354792118488001</v>
      </c>
      <c r="F2050">
        <v>1.07078365752085</v>
      </c>
      <c r="G2050">
        <v>0.83203300236518596</v>
      </c>
      <c r="H2050">
        <v>0.75440744524723002</v>
      </c>
      <c r="I2050">
        <v>0.90925572529603405</v>
      </c>
      <c r="J2050">
        <v>0.74323737234353204</v>
      </c>
      <c r="K2050">
        <v>0.48654847555928898</v>
      </c>
      <c r="L2050">
        <v>786.068238947292</v>
      </c>
      <c r="M2050">
        <v>10.9865082899193</v>
      </c>
      <c r="O2050">
        <v>69.300606680947993</v>
      </c>
      <c r="P2050">
        <v>-3.9646956439455802E-2</v>
      </c>
      <c r="Q2050">
        <v>0</v>
      </c>
      <c r="R2050">
        <v>0.76321664659646804</v>
      </c>
      <c r="S2050" t="s">
        <v>7911</v>
      </c>
      <c r="T2050" t="s">
        <v>11720</v>
      </c>
      <c r="U2050" t="s">
        <v>11720</v>
      </c>
      <c r="V2050" t="s">
        <v>11720</v>
      </c>
      <c r="W2050" t="s">
        <v>13728</v>
      </c>
      <c r="X2050">
        <v>7</v>
      </c>
      <c r="Y2050" t="s">
        <v>19494</v>
      </c>
      <c r="Z2050" t="s">
        <v>25257</v>
      </c>
      <c r="AA2050">
        <v>0.89915198715081945</v>
      </c>
      <c r="AB2050" t="str">
        <f>HYPERLINK("Melting_Curves/meltCurve_P19021_PAM.pdf", "Melting_Curves/meltCurve_P19021_PAM.pdf")</f>
        <v>Melting_Curves/meltCurve_P19021_PAM.pdf</v>
      </c>
    </row>
    <row r="2051" spans="1:28" x14ac:dyDescent="0.25">
      <c r="A2051" t="s">
        <v>2055</v>
      </c>
      <c r="B2051">
        <v>0.99334974765950101</v>
      </c>
      <c r="C2051">
        <v>1.01625327379451</v>
      </c>
      <c r="D2051">
        <v>1.1375976216878001</v>
      </c>
      <c r="E2051">
        <v>1.04493312470918</v>
      </c>
      <c r="F2051">
        <v>0.56735321568881203</v>
      </c>
      <c r="G2051">
        <v>0.336324283801538</v>
      </c>
      <c r="H2051">
        <v>0.31286082273185301</v>
      </c>
      <c r="I2051">
        <v>0.30152335002220598</v>
      </c>
      <c r="J2051">
        <v>0.26480196792935901</v>
      </c>
      <c r="K2051">
        <v>0.26175487048339102</v>
      </c>
      <c r="L2051">
        <v>13225.3822382486</v>
      </c>
      <c r="M2051">
        <v>250</v>
      </c>
      <c r="N2051">
        <v>53.091343626932101</v>
      </c>
      <c r="O2051">
        <v>52.898153939836199</v>
      </c>
      <c r="P2051">
        <v>-0.83243345585311601</v>
      </c>
      <c r="Q2051">
        <v>0.29545304856357901</v>
      </c>
      <c r="R2051">
        <v>0.98017151864254903</v>
      </c>
      <c r="S2051" t="s">
        <v>7912</v>
      </c>
      <c r="T2051" t="s">
        <v>11720</v>
      </c>
      <c r="U2051" t="s">
        <v>11720</v>
      </c>
      <c r="V2051" t="s">
        <v>11720</v>
      </c>
      <c r="W2051" t="s">
        <v>13729</v>
      </c>
      <c r="X2051">
        <v>27</v>
      </c>
      <c r="Y2051" t="s">
        <v>19495</v>
      </c>
      <c r="Z2051" t="s">
        <v>25258</v>
      </c>
      <c r="AA2051">
        <v>0.59850955608408718</v>
      </c>
      <c r="AB2051" t="str">
        <f>HYPERLINK("Melting_Curves/meltCurve_P19338_NCL.pdf", "Melting_Curves/meltCurve_P19338_NCL.pdf")</f>
        <v>Melting_Curves/meltCurve_P19338_NCL.pdf</v>
      </c>
    </row>
    <row r="2052" spans="1:28" x14ac:dyDescent="0.25">
      <c r="A2052" t="s">
        <v>2056</v>
      </c>
      <c r="B2052">
        <v>0.99334974765950101</v>
      </c>
      <c r="C2052">
        <v>0.97797491999680697</v>
      </c>
      <c r="D2052">
        <v>1.01803947798881</v>
      </c>
      <c r="E2052">
        <v>0.88522866978821602</v>
      </c>
      <c r="F2052">
        <v>0.27111192240136101</v>
      </c>
      <c r="G2052">
        <v>0.12246021501043999</v>
      </c>
      <c r="H2052">
        <v>8.4131876203493994E-2</v>
      </c>
      <c r="I2052">
        <v>6.9285751528476297E-2</v>
      </c>
      <c r="J2052">
        <v>6.7129641854102098E-2</v>
      </c>
      <c r="K2052">
        <v>6.4185153805082995E-2</v>
      </c>
      <c r="L2052">
        <v>2870.70716118669</v>
      </c>
      <c r="M2052">
        <v>55.484625450450402</v>
      </c>
      <c r="N2052">
        <v>51.901622491252098</v>
      </c>
      <c r="O2052">
        <v>51.671692899832301</v>
      </c>
      <c r="P2052">
        <v>-0.24700344010719399</v>
      </c>
      <c r="Q2052">
        <v>7.9883342888195E-2</v>
      </c>
      <c r="R2052">
        <v>0.99843562838658995</v>
      </c>
      <c r="S2052" t="s">
        <v>7913</v>
      </c>
      <c r="T2052" t="s">
        <v>11720</v>
      </c>
      <c r="U2052" t="s">
        <v>11720</v>
      </c>
      <c r="V2052" t="s">
        <v>11720</v>
      </c>
      <c r="W2052" t="s">
        <v>13730</v>
      </c>
      <c r="X2052">
        <v>62</v>
      </c>
      <c r="Y2052" t="s">
        <v>19496</v>
      </c>
      <c r="Z2052" t="s">
        <v>25259</v>
      </c>
      <c r="AA2052">
        <v>0.44162187536139008</v>
      </c>
      <c r="AB2052" t="str">
        <f>HYPERLINK("Melting_Curves/meltCurve_P19367_HK1.pdf", "Melting_Curves/meltCurve_P19367_HK1.pdf")</f>
        <v>Melting_Curves/meltCurve_P19367_HK1.pdf</v>
      </c>
    </row>
    <row r="2053" spans="1:28" x14ac:dyDescent="0.25">
      <c r="A2053" t="s">
        <v>2057</v>
      </c>
      <c r="B2053">
        <v>0.99334974765950101</v>
      </c>
      <c r="C2053">
        <v>0.87400003930401304</v>
      </c>
      <c r="D2053">
        <v>0.66193619041120599</v>
      </c>
      <c r="E2053">
        <v>0.55850899298005796</v>
      </c>
      <c r="F2053">
        <v>0.25300250856307299</v>
      </c>
      <c r="G2053">
        <v>0.20847598051531499</v>
      </c>
      <c r="H2053">
        <v>0.158526253888504</v>
      </c>
      <c r="I2053">
        <v>0.10100644215704301</v>
      </c>
      <c r="J2053">
        <v>6.8617395572204601E-2</v>
      </c>
      <c r="K2053">
        <v>5.4317998952124302E-2</v>
      </c>
      <c r="L2053">
        <v>609.28723776363495</v>
      </c>
      <c r="M2053">
        <v>12.3730002475319</v>
      </c>
      <c r="N2053">
        <v>49.622112215501701</v>
      </c>
      <c r="O2053">
        <v>48.010013861746401</v>
      </c>
      <c r="P2053">
        <v>-6.1538829641536202E-2</v>
      </c>
      <c r="Q2053">
        <v>4.5066687560014002E-2</v>
      </c>
      <c r="R2053">
        <v>0.98311765733381296</v>
      </c>
      <c r="S2053" t="s">
        <v>7914</v>
      </c>
      <c r="T2053" t="s">
        <v>11720</v>
      </c>
      <c r="U2053" t="s">
        <v>11720</v>
      </c>
      <c r="V2053" t="s">
        <v>11720</v>
      </c>
      <c r="W2053" t="s">
        <v>13731</v>
      </c>
      <c r="X2053">
        <v>1</v>
      </c>
      <c r="Y2053" t="s">
        <v>19497</v>
      </c>
      <c r="Z2053" t="s">
        <v>25260</v>
      </c>
      <c r="AA2053">
        <v>0.37214527951934268</v>
      </c>
      <c r="AB2053" t="str">
        <f>HYPERLINK("Melting_Curves/meltCurve_P19388_POLR2E.pdf", "Melting_Curves/meltCurve_P19388_POLR2E.pdf")</f>
        <v>Melting_Curves/meltCurve_P19388_POLR2E.pdf</v>
      </c>
    </row>
    <row r="2054" spans="1:28" x14ac:dyDescent="0.25">
      <c r="A2054" t="s">
        <v>2058</v>
      </c>
      <c r="B2054">
        <v>0.99334974765950101</v>
      </c>
      <c r="C2054">
        <v>0.91273458587684297</v>
      </c>
      <c r="D2054">
        <v>0.82309971654194403</v>
      </c>
      <c r="E2054">
        <v>0.56865337757770196</v>
      </c>
      <c r="F2054">
        <v>0.21173532794121699</v>
      </c>
      <c r="G2054">
        <v>0.158652650120817</v>
      </c>
      <c r="H2054">
        <v>0.13610522444540399</v>
      </c>
      <c r="I2054">
        <v>0.19094492640994501</v>
      </c>
      <c r="J2054">
        <v>0.36424634490345098</v>
      </c>
      <c r="K2054">
        <v>0.48090522557464199</v>
      </c>
      <c r="L2054">
        <v>1317.72723187006</v>
      </c>
      <c r="M2054">
        <v>27.180800180517998</v>
      </c>
      <c r="N2054">
        <v>49.777598995069802</v>
      </c>
      <c r="O2054">
        <v>48.219937623887901</v>
      </c>
      <c r="P2054">
        <v>-0.10515476935745301</v>
      </c>
      <c r="Q2054">
        <v>0.25381041316880998</v>
      </c>
      <c r="R2054">
        <v>0.876756726140135</v>
      </c>
      <c r="S2054" t="s">
        <v>7915</v>
      </c>
      <c r="T2054" t="s">
        <v>11720</v>
      </c>
      <c r="U2054" t="s">
        <v>11720</v>
      </c>
      <c r="V2054" t="s">
        <v>11720</v>
      </c>
      <c r="W2054" t="s">
        <v>13732</v>
      </c>
      <c r="X2054">
        <v>3</v>
      </c>
      <c r="Y2054" t="s">
        <v>19498</v>
      </c>
      <c r="Z2054" t="s">
        <v>25261</v>
      </c>
      <c r="AA2054">
        <v>0.47027487452442929</v>
      </c>
      <c r="AB2054" t="str">
        <f>HYPERLINK("Melting_Curves/meltCurve_P19532_TFE3.pdf", "Melting_Curves/meltCurve_P19532_TFE3.pdf")</f>
        <v>Melting_Curves/meltCurve_P19532_TFE3.pdf</v>
      </c>
    </row>
    <row r="2055" spans="1:28" x14ac:dyDescent="0.25">
      <c r="A2055" t="s">
        <v>2059</v>
      </c>
      <c r="B2055">
        <v>0.99334974765950101</v>
      </c>
      <c r="C2055">
        <v>0.97011987313774395</v>
      </c>
      <c r="D2055">
        <v>0.92471360479463205</v>
      </c>
      <c r="E2055">
        <v>0.58480397570063203</v>
      </c>
      <c r="F2055">
        <v>0.1475208853902</v>
      </c>
      <c r="G2055">
        <v>9.4736310381633507E-2</v>
      </c>
      <c r="H2055">
        <v>6.9129438200580498E-2</v>
      </c>
      <c r="I2055">
        <v>6.8242791947240297E-2</v>
      </c>
      <c r="J2055">
        <v>5.8144720940667999E-2</v>
      </c>
      <c r="K2055">
        <v>5.1315706331228998E-2</v>
      </c>
      <c r="L2055">
        <v>1912.7584919118101</v>
      </c>
      <c r="M2055">
        <v>38.093784843347201</v>
      </c>
      <c r="N2055">
        <v>50.388479138423399</v>
      </c>
      <c r="O2055">
        <v>50.074052221826101</v>
      </c>
      <c r="P2055">
        <v>-0.178299538686856</v>
      </c>
      <c r="Q2055">
        <v>6.2507665847531299E-2</v>
      </c>
      <c r="R2055">
        <v>0.99703068186572097</v>
      </c>
      <c r="S2055" t="s">
        <v>7916</v>
      </c>
      <c r="T2055" t="s">
        <v>11720</v>
      </c>
      <c r="U2055" t="s">
        <v>11720</v>
      </c>
      <c r="V2055" t="s">
        <v>11720</v>
      </c>
      <c r="W2055" t="s">
        <v>13733</v>
      </c>
      <c r="X2055">
        <v>16</v>
      </c>
      <c r="Y2055" t="s">
        <v>19499</v>
      </c>
      <c r="Z2055" t="s">
        <v>25262</v>
      </c>
      <c r="AA2055">
        <v>0.38521624109188551</v>
      </c>
      <c r="AB2055" t="str">
        <f>HYPERLINK("Melting_Curves/meltCurve_P19623_SRM.pdf", "Melting_Curves/meltCurve_P19623_SRM.pdf")</f>
        <v>Melting_Curves/meltCurve_P19623_SRM.pdf</v>
      </c>
    </row>
    <row r="2056" spans="1:28" x14ac:dyDescent="0.25">
      <c r="A2056" t="s">
        <v>2060</v>
      </c>
      <c r="B2056">
        <v>0.99334974765950101</v>
      </c>
      <c r="C2056">
        <v>0.96610575388666697</v>
      </c>
      <c r="D2056">
        <v>0.93809982578223206</v>
      </c>
      <c r="E2056">
        <v>0.93471747560972995</v>
      </c>
      <c r="F2056">
        <v>0.48310474365212702</v>
      </c>
      <c r="G2056">
        <v>0.50671023947042804</v>
      </c>
      <c r="H2056">
        <v>0.45384718671338697</v>
      </c>
      <c r="I2056">
        <v>0.45824222425968197</v>
      </c>
      <c r="J2056">
        <v>0.33852317963426798</v>
      </c>
      <c r="K2056">
        <v>0.245986380670078</v>
      </c>
      <c r="L2056">
        <v>3378.6078896509198</v>
      </c>
      <c r="M2056">
        <v>65.519005877677998</v>
      </c>
      <c r="N2056">
        <v>52.863620285714802</v>
      </c>
      <c r="O2056">
        <v>51.518877576349198</v>
      </c>
      <c r="P2056">
        <v>-0.190832623008097</v>
      </c>
      <c r="Q2056">
        <v>0.39977864864677898</v>
      </c>
      <c r="R2056">
        <v>0.93448617728233097</v>
      </c>
      <c r="S2056" t="s">
        <v>7917</v>
      </c>
      <c r="T2056" t="s">
        <v>11720</v>
      </c>
      <c r="U2056" t="s">
        <v>11720</v>
      </c>
      <c r="V2056" t="s">
        <v>11720</v>
      </c>
      <c r="W2056" t="s">
        <v>12166</v>
      </c>
      <c r="X2056">
        <v>4</v>
      </c>
      <c r="Y2056" t="s">
        <v>19500</v>
      </c>
      <c r="Z2056" t="s">
        <v>25263</v>
      </c>
      <c r="AA2056">
        <v>0.63199398090446812</v>
      </c>
      <c r="AB2056" t="str">
        <f>HYPERLINK("Melting_Curves/meltCurve_P19784_CSNK2A2.pdf", "Melting_Curves/meltCurve_P19784_CSNK2A2.pdf")</f>
        <v>Melting_Curves/meltCurve_P19784_CSNK2A2.pdf</v>
      </c>
    </row>
    <row r="2057" spans="1:28" x14ac:dyDescent="0.25">
      <c r="A2057" t="s">
        <v>2061</v>
      </c>
      <c r="B2057">
        <v>0.99334974765950101</v>
      </c>
      <c r="C2057">
        <v>0.91852466227018903</v>
      </c>
      <c r="D2057">
        <v>0.94185577560496403</v>
      </c>
      <c r="E2057">
        <v>0.56270092278587003</v>
      </c>
      <c r="F2057">
        <v>0.19275885983343399</v>
      </c>
      <c r="G2057">
        <v>0.116998433114854</v>
      </c>
      <c r="H2057">
        <v>8.8103980695795295E-2</v>
      </c>
      <c r="I2057">
        <v>8.9368587302498595E-2</v>
      </c>
      <c r="J2057">
        <v>8.3693362852165207E-2</v>
      </c>
      <c r="K2057">
        <v>6.10006354015772E-2</v>
      </c>
      <c r="L2057">
        <v>1617.4561099916</v>
      </c>
      <c r="M2057">
        <v>32.302819490973597</v>
      </c>
      <c r="N2057">
        <v>50.346829263100702</v>
      </c>
      <c r="O2057">
        <v>49.8809428460794</v>
      </c>
      <c r="P2057">
        <v>-0.148800063190206</v>
      </c>
      <c r="Q2057">
        <v>8.0915932441233407E-2</v>
      </c>
      <c r="R2057">
        <v>0.99493665536987297</v>
      </c>
      <c r="S2057" t="s">
        <v>7918</v>
      </c>
      <c r="T2057" t="s">
        <v>11720</v>
      </c>
      <c r="U2057" t="s">
        <v>11720</v>
      </c>
      <c r="V2057" t="s">
        <v>11720</v>
      </c>
      <c r="W2057" t="s">
        <v>13734</v>
      </c>
      <c r="X2057">
        <v>10</v>
      </c>
      <c r="Y2057" t="s">
        <v>19501</v>
      </c>
      <c r="Z2057" t="s">
        <v>25264</v>
      </c>
      <c r="AA2057">
        <v>0.39437359025341351</v>
      </c>
      <c r="AB2057" t="str">
        <f>HYPERLINK("Melting_Curves/meltCurve_P19838_NFKB1.pdf", "Melting_Curves/meltCurve_P19838_NFKB1.pdf")</f>
        <v>Melting_Curves/meltCurve_P19838_NFKB1.pdf</v>
      </c>
    </row>
    <row r="2058" spans="1:28" x14ac:dyDescent="0.25">
      <c r="A2058" t="s">
        <v>2062</v>
      </c>
      <c r="B2058">
        <v>0.99334974765950101</v>
      </c>
      <c r="C2058">
        <v>0.91399294429214095</v>
      </c>
      <c r="D2058">
        <v>0.95753547070525502</v>
      </c>
      <c r="E2058">
        <v>0.81245441626080495</v>
      </c>
      <c r="F2058">
        <v>0.86171812907293499</v>
      </c>
      <c r="G2058">
        <v>0.80640125273736296</v>
      </c>
      <c r="H2058">
        <v>0.83828413485314601</v>
      </c>
      <c r="I2058">
        <v>0.936073892576193</v>
      </c>
      <c r="J2058">
        <v>0.84318408127445299</v>
      </c>
      <c r="K2058">
        <v>0.695736266408432</v>
      </c>
      <c r="L2058">
        <v>600.24215859844503</v>
      </c>
      <c r="M2058">
        <v>13.0441164033791</v>
      </c>
      <c r="O2058">
        <v>44.975103707175798</v>
      </c>
      <c r="P2058">
        <v>-1.33195612640524E-2</v>
      </c>
      <c r="Q2058">
        <v>0.81633282984871502</v>
      </c>
      <c r="R2058">
        <v>0.46693664626319198</v>
      </c>
      <c r="S2058" t="s">
        <v>7919</v>
      </c>
      <c r="T2058" t="s">
        <v>11720</v>
      </c>
      <c r="U2058" t="s">
        <v>11720</v>
      </c>
      <c r="V2058" t="s">
        <v>11720</v>
      </c>
      <c r="W2058" t="s">
        <v>13735</v>
      </c>
      <c r="X2058">
        <v>4</v>
      </c>
      <c r="Y2058" t="s">
        <v>19502</v>
      </c>
      <c r="Z2058" t="s">
        <v>25265</v>
      </c>
      <c r="AA2058">
        <v>0.86028246370666084</v>
      </c>
      <c r="AB2058" t="str">
        <f>HYPERLINK("Melting_Curves/meltCurve_P19883_2_FST.pdf", "Melting_Curves/meltCurve_P19883_2_FST.pdf")</f>
        <v>Melting_Curves/meltCurve_P19883_2_FST.pdf</v>
      </c>
    </row>
    <row r="2059" spans="1:28" x14ac:dyDescent="0.25">
      <c r="A2059" t="s">
        <v>2063</v>
      </c>
      <c r="B2059">
        <v>0.99334974765950101</v>
      </c>
      <c r="C2059">
        <v>0.95928793507250099</v>
      </c>
      <c r="D2059">
        <v>0.94840066991332395</v>
      </c>
      <c r="E2059">
        <v>0.83881662758338704</v>
      </c>
      <c r="F2059">
        <v>0.70477644040977405</v>
      </c>
      <c r="G2059">
        <v>0.56515374701821597</v>
      </c>
      <c r="H2059">
        <v>0.45418932230251502</v>
      </c>
      <c r="I2059">
        <v>0.35306059758528102</v>
      </c>
      <c r="J2059">
        <v>0.181656539973723</v>
      </c>
      <c r="K2059">
        <v>7.6470175916268507E-2</v>
      </c>
      <c r="L2059">
        <v>593.62209063626904</v>
      </c>
      <c r="M2059">
        <v>10.1462301795685</v>
      </c>
      <c r="N2059">
        <v>58.506661566862398</v>
      </c>
      <c r="O2059">
        <v>56.370406321199098</v>
      </c>
      <c r="P2059">
        <v>-4.5018735064119901E-2</v>
      </c>
      <c r="Q2059">
        <v>0</v>
      </c>
      <c r="R2059">
        <v>0.98372282140921696</v>
      </c>
      <c r="S2059" t="s">
        <v>7920</v>
      </c>
      <c r="T2059" t="s">
        <v>11720</v>
      </c>
      <c r="U2059" t="s">
        <v>11720</v>
      </c>
      <c r="V2059" t="s">
        <v>11720</v>
      </c>
      <c r="W2059" t="s">
        <v>13736</v>
      </c>
      <c r="X2059">
        <v>19</v>
      </c>
      <c r="Y2059" t="s">
        <v>19503</v>
      </c>
      <c r="Z2059" t="s">
        <v>25266</v>
      </c>
      <c r="AA2059">
        <v>0.62393803184757402</v>
      </c>
      <c r="AB2059" t="str">
        <f>HYPERLINK("Melting_Curves/meltCurve_P19971_TYMP.pdf", "Melting_Curves/meltCurve_P19971_TYMP.pdf")</f>
        <v>Melting_Curves/meltCurve_P19971_TYMP.pdf</v>
      </c>
    </row>
    <row r="2060" spans="1:28" x14ac:dyDescent="0.25">
      <c r="A2060" t="s">
        <v>2064</v>
      </c>
      <c r="B2060">
        <v>0.99334974765950101</v>
      </c>
      <c r="C2060">
        <v>0.91908224398296201</v>
      </c>
      <c r="D2060">
        <v>0.96133243065014395</v>
      </c>
      <c r="E2060">
        <v>1.0657551111728201</v>
      </c>
      <c r="F2060">
        <v>0.66308855181510096</v>
      </c>
      <c r="G2060">
        <v>0.27436284169679998</v>
      </c>
      <c r="H2060">
        <v>0.16151377182378099</v>
      </c>
      <c r="I2060">
        <v>0.117780940446748</v>
      </c>
      <c r="J2060">
        <v>0.166779982750725</v>
      </c>
      <c r="K2060">
        <v>0.103320761884481</v>
      </c>
      <c r="L2060">
        <v>2084.2139505219998</v>
      </c>
      <c r="M2060">
        <v>38.693230865280299</v>
      </c>
      <c r="N2060">
        <v>54.332522648212901</v>
      </c>
      <c r="O2060">
        <v>53.721808832069797</v>
      </c>
      <c r="P2060">
        <v>-0.15457065979524601</v>
      </c>
      <c r="Q2060">
        <v>0.14157644684679499</v>
      </c>
      <c r="R2060">
        <v>0.98344906034208002</v>
      </c>
      <c r="S2060" t="s">
        <v>7921</v>
      </c>
      <c r="T2060" t="s">
        <v>11720</v>
      </c>
      <c r="U2060" t="s">
        <v>11720</v>
      </c>
      <c r="V2060" t="s">
        <v>11720</v>
      </c>
      <c r="W2060" t="s">
        <v>13737</v>
      </c>
      <c r="X2060">
        <v>27</v>
      </c>
      <c r="Y2060" t="s">
        <v>19504</v>
      </c>
      <c r="Z2060" t="s">
        <v>25267</v>
      </c>
      <c r="AA2060">
        <v>0.54172260831592389</v>
      </c>
      <c r="AB2060" t="str">
        <f>HYPERLINK("Melting_Curves/meltCurve_P20020_6_ATP2B1.pdf", "Melting_Curves/meltCurve_P20020_6_ATP2B1.pdf")</f>
        <v>Melting_Curves/meltCurve_P20020_6_ATP2B1.pdf</v>
      </c>
    </row>
    <row r="2061" spans="1:28" x14ac:dyDescent="0.25">
      <c r="A2061" t="s">
        <v>2065</v>
      </c>
      <c r="B2061">
        <v>0.99334974765950101</v>
      </c>
      <c r="C2061">
        <v>1.0230201825376699</v>
      </c>
      <c r="D2061">
        <v>0.96315070012741599</v>
      </c>
      <c r="E2061">
        <v>0.82024933100685504</v>
      </c>
      <c r="F2061">
        <v>0.61200609475150902</v>
      </c>
      <c r="G2061">
        <v>0.31437773257780599</v>
      </c>
      <c r="H2061">
        <v>0.24400482259290299</v>
      </c>
      <c r="I2061">
        <v>0.227563286205446</v>
      </c>
      <c r="J2061">
        <v>0.204979682993851</v>
      </c>
      <c r="K2061">
        <v>0.21314317919065101</v>
      </c>
      <c r="L2061">
        <v>1207.51243855497</v>
      </c>
      <c r="M2061">
        <v>22.828589547123599</v>
      </c>
      <c r="N2061">
        <v>54.144625806047998</v>
      </c>
      <c r="O2061">
        <v>52.4938801691737</v>
      </c>
      <c r="P2061">
        <v>-8.6455282059782201E-2</v>
      </c>
      <c r="Q2061">
        <v>0.20480672059136301</v>
      </c>
      <c r="R2061">
        <v>0.99834953778504798</v>
      </c>
      <c r="S2061" t="s">
        <v>7922</v>
      </c>
      <c r="T2061" t="s">
        <v>11720</v>
      </c>
      <c r="U2061" t="s">
        <v>11720</v>
      </c>
      <c r="V2061" t="s">
        <v>11720</v>
      </c>
      <c r="W2061" t="s">
        <v>13738</v>
      </c>
      <c r="X2061">
        <v>12</v>
      </c>
      <c r="Y2061" t="s">
        <v>19505</v>
      </c>
      <c r="Z2061" t="s">
        <v>25268</v>
      </c>
      <c r="AA2061">
        <v>0.55525929215036907</v>
      </c>
      <c r="AB2061" t="str">
        <f>HYPERLINK("Melting_Curves/meltCurve_P20042_EIF2S2.pdf", "Melting_Curves/meltCurve_P20042_EIF2S2.pdf")</f>
        <v>Melting_Curves/meltCurve_P20042_EIF2S2.pdf</v>
      </c>
    </row>
    <row r="2062" spans="1:28" x14ac:dyDescent="0.25">
      <c r="A2062" t="s">
        <v>2066</v>
      </c>
      <c r="B2062">
        <v>0.99334974765950101</v>
      </c>
      <c r="C2062">
        <v>1.1204443774119399</v>
      </c>
      <c r="D2062">
        <v>0.94717523104818302</v>
      </c>
      <c r="E2062">
        <v>1.03398064038173</v>
      </c>
      <c r="F2062">
        <v>1.3447264242971699</v>
      </c>
      <c r="G2062">
        <v>0.92973562002501398</v>
      </c>
      <c r="H2062">
        <v>1.1685410284712301</v>
      </c>
      <c r="I2062">
        <v>0.93868622995032402</v>
      </c>
      <c r="J2062">
        <v>1.8374855347001</v>
      </c>
      <c r="K2062">
        <v>2.7849386762153001</v>
      </c>
      <c r="L2062">
        <v>15000</v>
      </c>
      <c r="M2062">
        <v>229.94603236733201</v>
      </c>
      <c r="O2062">
        <v>65.227766939616501</v>
      </c>
      <c r="P2062">
        <v>0.44065981415473099</v>
      </c>
      <c r="Q2062">
        <v>1.5</v>
      </c>
      <c r="R2062">
        <v>0.374173828474961</v>
      </c>
      <c r="S2062" t="s">
        <v>7923</v>
      </c>
      <c r="T2062" t="s">
        <v>11720</v>
      </c>
      <c r="U2062" t="s">
        <v>11720</v>
      </c>
      <c r="V2062" t="s">
        <v>11720</v>
      </c>
      <c r="W2062" t="s">
        <v>13739</v>
      </c>
      <c r="X2062">
        <v>12</v>
      </c>
      <c r="Y2062" t="s">
        <v>19506</v>
      </c>
      <c r="Z2062" t="s">
        <v>25269</v>
      </c>
      <c r="AA2062">
        <v>1.0793873769424469</v>
      </c>
      <c r="AB2062" t="str">
        <f>HYPERLINK("Melting_Curves/meltCurve_P20290_BTF3.pdf", "Melting_Curves/meltCurve_P20290_BTF3.pdf")</f>
        <v>Melting_Curves/meltCurve_P20290_BTF3.pdf</v>
      </c>
    </row>
    <row r="2063" spans="1:28" x14ac:dyDescent="0.25">
      <c r="A2063" t="s">
        <v>2067</v>
      </c>
      <c r="B2063">
        <v>0.99334974765950101</v>
      </c>
      <c r="C2063">
        <v>1.04651026672709</v>
      </c>
      <c r="D2063">
        <v>0.81875921855502598</v>
      </c>
      <c r="E2063">
        <v>0.78276709816065904</v>
      </c>
      <c r="F2063">
        <v>0.75770409859897703</v>
      </c>
      <c r="G2063">
        <v>0.58369924491857605</v>
      </c>
      <c r="H2063">
        <v>0.51038994984176</v>
      </c>
      <c r="I2063">
        <v>0.814773788242668</v>
      </c>
      <c r="J2063">
        <v>1.61830014664195</v>
      </c>
      <c r="K2063">
        <v>1.87931892291842</v>
      </c>
      <c r="L2063">
        <v>8163.4421191322799</v>
      </c>
      <c r="M2063">
        <v>124.51724120914299</v>
      </c>
      <c r="O2063">
        <v>65.5438310032918</v>
      </c>
      <c r="P2063">
        <v>0.237469421417628</v>
      </c>
      <c r="Q2063">
        <v>1.5</v>
      </c>
      <c r="R2063">
        <v>0.56090628779068596</v>
      </c>
      <c r="S2063" t="s">
        <v>7924</v>
      </c>
      <c r="T2063" t="s">
        <v>11720</v>
      </c>
      <c r="U2063" t="s">
        <v>11720</v>
      </c>
      <c r="V2063" t="s">
        <v>11720</v>
      </c>
      <c r="W2063" t="s">
        <v>13740</v>
      </c>
      <c r="X2063">
        <v>10</v>
      </c>
      <c r="Y2063" t="s">
        <v>19506</v>
      </c>
      <c r="Z2063" t="s">
        <v>25270</v>
      </c>
      <c r="AA2063">
        <v>1.0737594409939679</v>
      </c>
      <c r="AB2063" t="str">
        <f>HYPERLINK("Melting_Curves/meltCurve_P20290_2_BTF3.pdf", "Melting_Curves/meltCurve_P20290_2_BTF3.pdf")</f>
        <v>Melting_Curves/meltCurve_P20290_2_BTF3.pdf</v>
      </c>
    </row>
    <row r="2064" spans="1:28" x14ac:dyDescent="0.25">
      <c r="A2064" t="s">
        <v>2068</v>
      </c>
      <c r="B2064">
        <v>0.99334974765950101</v>
      </c>
      <c r="C2064">
        <v>0.999526148622637</v>
      </c>
      <c r="D2064">
        <v>0.89692079627089105</v>
      </c>
      <c r="E2064">
        <v>0.70778406541366201</v>
      </c>
      <c r="F2064">
        <v>0.64192031388767901</v>
      </c>
      <c r="G2064">
        <v>0.36138524400070998</v>
      </c>
      <c r="H2064">
        <v>0.27043852400381801</v>
      </c>
      <c r="I2064">
        <v>0.18716966394881601</v>
      </c>
      <c r="J2064">
        <v>0.16124329029435899</v>
      </c>
      <c r="K2064">
        <v>0.13038178487068</v>
      </c>
      <c r="L2064">
        <v>674.72237680402998</v>
      </c>
      <c r="M2064">
        <v>12.516487766594601</v>
      </c>
      <c r="N2064">
        <v>54.700598153940803</v>
      </c>
      <c r="O2064">
        <v>52.586150004562398</v>
      </c>
      <c r="P2064">
        <v>-5.4573596671991402E-2</v>
      </c>
      <c r="Q2064">
        <v>8.3056510375902698E-2</v>
      </c>
      <c r="R2064">
        <v>0.99386695386012003</v>
      </c>
      <c r="S2064" t="s">
        <v>7925</v>
      </c>
      <c r="T2064" t="s">
        <v>11720</v>
      </c>
      <c r="U2064" t="s">
        <v>11720</v>
      </c>
      <c r="V2064" t="s">
        <v>11720</v>
      </c>
      <c r="W2064" t="s">
        <v>13741</v>
      </c>
      <c r="X2064">
        <v>9</v>
      </c>
      <c r="Y2064" t="s">
        <v>19507</v>
      </c>
      <c r="Z2064" t="s">
        <v>25271</v>
      </c>
      <c r="AA2064">
        <v>0.53130217878490027</v>
      </c>
      <c r="AB2064" t="str">
        <f>HYPERLINK("Melting_Curves/meltCurve_P20336_RAB3A.pdf", "Melting_Curves/meltCurve_P20336_RAB3A.pdf")</f>
        <v>Melting_Curves/meltCurve_P20336_RAB3A.pdf</v>
      </c>
    </row>
    <row r="2065" spans="1:28" x14ac:dyDescent="0.25">
      <c r="A2065" t="s">
        <v>2069</v>
      </c>
      <c r="B2065">
        <v>0.99334974765950101</v>
      </c>
      <c r="C2065">
        <v>0.92328132589619105</v>
      </c>
      <c r="D2065">
        <v>0.801988204999878</v>
      </c>
      <c r="E2065">
        <v>0.602201471212364</v>
      </c>
      <c r="F2065">
        <v>0.443921111553846</v>
      </c>
      <c r="G2065">
        <v>0.168679320010831</v>
      </c>
      <c r="H2065">
        <v>8.7126409693996501E-2</v>
      </c>
      <c r="I2065">
        <v>5.5048131818774999E-2</v>
      </c>
      <c r="J2065">
        <v>5.5144952312753397E-2</v>
      </c>
      <c r="K2065">
        <v>4.3560406016695398E-2</v>
      </c>
      <c r="L2065">
        <v>696.33859400653103</v>
      </c>
      <c r="M2065">
        <v>13.5463081670632</v>
      </c>
      <c r="N2065">
        <v>51.404307790890698</v>
      </c>
      <c r="O2065">
        <v>50.322853392162301</v>
      </c>
      <c r="P2065">
        <v>-6.7307104123355804E-2</v>
      </c>
      <c r="Q2065">
        <v>0</v>
      </c>
      <c r="R2065">
        <v>0.99566297693974404</v>
      </c>
      <c r="S2065" t="s">
        <v>7926</v>
      </c>
      <c r="T2065" t="s">
        <v>11720</v>
      </c>
      <c r="U2065" t="s">
        <v>11720</v>
      </c>
      <c r="V2065" t="s">
        <v>11720</v>
      </c>
      <c r="W2065" t="s">
        <v>13742</v>
      </c>
      <c r="X2065">
        <v>15</v>
      </c>
      <c r="Y2065" t="s">
        <v>19508</v>
      </c>
      <c r="Z2065" t="s">
        <v>25272</v>
      </c>
      <c r="AA2065">
        <v>0.40686489560528483</v>
      </c>
      <c r="AB2065" t="str">
        <f>HYPERLINK("Melting_Curves/meltCurve_P20337_RAB3B.pdf", "Melting_Curves/meltCurve_P20337_RAB3B.pdf")</f>
        <v>Melting_Curves/meltCurve_P20337_RAB3B.pdf</v>
      </c>
    </row>
    <row r="2066" spans="1:28" x14ac:dyDescent="0.25">
      <c r="A2066" t="s">
        <v>2070</v>
      </c>
      <c r="B2066">
        <v>0.99334974765950101</v>
      </c>
      <c r="C2066">
        <v>0.94942468216553</v>
      </c>
      <c r="D2066">
        <v>0.92136100855141001</v>
      </c>
      <c r="E2066">
        <v>0.78897163153036898</v>
      </c>
      <c r="F2066">
        <v>0.78812283457555898</v>
      </c>
      <c r="G2066">
        <v>0.69433516848702803</v>
      </c>
      <c r="H2066">
        <v>0.58314456101777001</v>
      </c>
      <c r="I2066">
        <v>0.53258845789201503</v>
      </c>
      <c r="J2066">
        <v>0.27969830394692502</v>
      </c>
      <c r="K2066">
        <v>0.11487881362911</v>
      </c>
      <c r="L2066">
        <v>547.64277451177395</v>
      </c>
      <c r="M2066">
        <v>8.9052503366093401</v>
      </c>
      <c r="N2066">
        <v>61.496610132697697</v>
      </c>
      <c r="O2066">
        <v>58.6326477460048</v>
      </c>
      <c r="P2066">
        <v>-3.7999230727335201E-2</v>
      </c>
      <c r="Q2066">
        <v>0</v>
      </c>
      <c r="R2066">
        <v>0.93203366307284596</v>
      </c>
      <c r="S2066" t="s">
        <v>7927</v>
      </c>
      <c r="T2066" t="s">
        <v>11720</v>
      </c>
      <c r="U2066" t="s">
        <v>11720</v>
      </c>
      <c r="V2066" t="s">
        <v>11720</v>
      </c>
      <c r="W2066" t="s">
        <v>13743</v>
      </c>
      <c r="X2066">
        <v>10</v>
      </c>
      <c r="Y2066" t="s">
        <v>19509</v>
      </c>
      <c r="Z2066" t="s">
        <v>25273</v>
      </c>
      <c r="AA2066">
        <v>0.69294906486952845</v>
      </c>
      <c r="AB2066" t="str">
        <f>HYPERLINK("Melting_Curves/meltCurve_P20338_RAB4A.pdf", "Melting_Curves/meltCurve_P20338_RAB4A.pdf")</f>
        <v>Melting_Curves/meltCurve_P20338_RAB4A.pdf</v>
      </c>
    </row>
    <row r="2067" spans="1:28" x14ac:dyDescent="0.25">
      <c r="A2067" t="s">
        <v>2071</v>
      </c>
      <c r="B2067">
        <v>0.99334974765950101</v>
      </c>
      <c r="C2067">
        <v>1.1382275362713601</v>
      </c>
      <c r="D2067">
        <v>1.00266799933541</v>
      </c>
      <c r="E2067">
        <v>0.84692799466191304</v>
      </c>
      <c r="F2067">
        <v>1.2919660868424301</v>
      </c>
      <c r="G2067">
        <v>1.5665973076669799</v>
      </c>
      <c r="H2067">
        <v>2.2260097439358999</v>
      </c>
      <c r="I2067">
        <v>1.49434565976388</v>
      </c>
      <c r="J2067">
        <v>2.97392243015116</v>
      </c>
      <c r="K2067">
        <v>2.31757465249254</v>
      </c>
      <c r="L2067">
        <v>13232.0364888811</v>
      </c>
      <c r="M2067">
        <v>250</v>
      </c>
      <c r="O2067">
        <v>52.924770333406499</v>
      </c>
      <c r="P2067">
        <v>0.59046088561022303</v>
      </c>
      <c r="Q2067">
        <v>1.5</v>
      </c>
      <c r="R2067">
        <v>0.224670314219687</v>
      </c>
      <c r="S2067" t="s">
        <v>7928</v>
      </c>
      <c r="T2067" t="s">
        <v>11720</v>
      </c>
      <c r="U2067" t="s">
        <v>11720</v>
      </c>
      <c r="V2067" t="s">
        <v>11720</v>
      </c>
      <c r="W2067" t="s">
        <v>13744</v>
      </c>
      <c r="X2067">
        <v>23</v>
      </c>
      <c r="Y2067" t="s">
        <v>19510</v>
      </c>
      <c r="Z2067" t="s">
        <v>25274</v>
      </c>
      <c r="AA2067">
        <v>1.2844844567050551</v>
      </c>
      <c r="AB2067" t="str">
        <f>HYPERLINK("Melting_Curves/meltCurve_P20340_2_RAB6A.pdf", "Melting_Curves/meltCurve_P20340_2_RAB6A.pdf")</f>
        <v>Melting_Curves/meltCurve_P20340_2_RAB6A.pdf</v>
      </c>
    </row>
    <row r="2068" spans="1:28" x14ac:dyDescent="0.25">
      <c r="A2068" t="s">
        <v>2072</v>
      </c>
      <c r="B2068">
        <v>0.99334974765950101</v>
      </c>
      <c r="C2068">
        <v>0.82527550112949799</v>
      </c>
      <c r="D2068">
        <v>0.74449110932210105</v>
      </c>
      <c r="E2068">
        <v>0.29149145039983099</v>
      </c>
      <c r="F2068">
        <v>0.115362564735758</v>
      </c>
      <c r="G2068">
        <v>6.4070645711964594E-2</v>
      </c>
      <c r="H2068">
        <v>4.6595256010238999E-2</v>
      </c>
      <c r="I2068">
        <v>5.3919376781273801E-2</v>
      </c>
      <c r="J2068">
        <v>4.7418418047757899E-2</v>
      </c>
      <c r="K2068">
        <v>4.5055642682331101E-2</v>
      </c>
      <c r="L2068">
        <v>993.765164994462</v>
      </c>
      <c r="M2068">
        <v>20.851605844489999</v>
      </c>
      <c r="N2068">
        <v>47.8371235433085</v>
      </c>
      <c r="O2068">
        <v>47.227067698847698</v>
      </c>
      <c r="P2068">
        <v>-0.10625790206614601</v>
      </c>
      <c r="Q2068">
        <v>3.73668506225837E-2</v>
      </c>
      <c r="R2068">
        <v>0.99092027018597095</v>
      </c>
      <c r="S2068" t="s">
        <v>7929</v>
      </c>
      <c r="T2068" t="s">
        <v>11720</v>
      </c>
      <c r="U2068" t="s">
        <v>11720</v>
      </c>
      <c r="V2068" t="s">
        <v>11720</v>
      </c>
      <c r="W2068" t="s">
        <v>13745</v>
      </c>
      <c r="X2068">
        <v>3</v>
      </c>
      <c r="Y2068" t="s">
        <v>19511</v>
      </c>
      <c r="Z2068" t="s">
        <v>25275</v>
      </c>
      <c r="AA2068">
        <v>0.295729790196121</v>
      </c>
      <c r="AB2068" t="str">
        <f>HYPERLINK("Melting_Curves/meltCurve_P20591_MX1.pdf", "Melting_Curves/meltCurve_P20591_MX1.pdf")</f>
        <v>Melting_Curves/meltCurve_P20591_MX1.pdf</v>
      </c>
    </row>
    <row r="2069" spans="1:28" x14ac:dyDescent="0.25">
      <c r="A2069" t="s">
        <v>2073</v>
      </c>
      <c r="B2069">
        <v>0.99334974765950101</v>
      </c>
      <c r="C2069">
        <v>0.98395296525792797</v>
      </c>
      <c r="D2069">
        <v>0.90950900258523404</v>
      </c>
      <c r="E2069">
        <v>0.908924033119059</v>
      </c>
      <c r="F2069">
        <v>1.0415930697536</v>
      </c>
      <c r="G2069">
        <v>1.88526737983959</v>
      </c>
      <c r="H2069">
        <v>2.17728547651837</v>
      </c>
      <c r="I2069">
        <v>2.5962784074826399</v>
      </c>
      <c r="J2069">
        <v>1.7015517938012199</v>
      </c>
      <c r="K2069">
        <v>1.14708718955121</v>
      </c>
      <c r="L2069">
        <v>13377.189238946799</v>
      </c>
      <c r="M2069">
        <v>250</v>
      </c>
      <c r="O2069">
        <v>53.505332761049097</v>
      </c>
      <c r="P2069">
        <v>0.58405393313769705</v>
      </c>
      <c r="Q2069">
        <v>1.5</v>
      </c>
      <c r="R2069">
        <v>0.40788479497170799</v>
      </c>
      <c r="S2069" t="s">
        <v>7930</v>
      </c>
      <c r="T2069" t="s">
        <v>11720</v>
      </c>
      <c r="U2069" t="s">
        <v>11720</v>
      </c>
      <c r="V2069" t="s">
        <v>11720</v>
      </c>
      <c r="W2069" t="s">
        <v>13746</v>
      </c>
      <c r="X2069">
        <v>9</v>
      </c>
      <c r="Y2069" t="s">
        <v>19512</v>
      </c>
      <c r="Z2069" t="s">
        <v>25276</v>
      </c>
      <c r="AA2069">
        <v>1.2748070972190439</v>
      </c>
      <c r="AB2069" t="str">
        <f>HYPERLINK("Melting_Curves/meltCurve_P20618_PSMB1.pdf", "Melting_Curves/meltCurve_P20618_PSMB1.pdf")</f>
        <v>Melting_Curves/meltCurve_P20618_PSMB1.pdf</v>
      </c>
    </row>
    <row r="2070" spans="1:28" x14ac:dyDescent="0.25">
      <c r="A2070" t="s">
        <v>2074</v>
      </c>
      <c r="B2070">
        <v>0.99334974765950101</v>
      </c>
      <c r="C2070">
        <v>0.97571103774727197</v>
      </c>
      <c r="D2070">
        <v>0.91232287184888805</v>
      </c>
      <c r="E2070">
        <v>0.85004825152554497</v>
      </c>
      <c r="F2070">
        <v>0.83328662931078901</v>
      </c>
      <c r="G2070">
        <v>0.61716722053300499</v>
      </c>
      <c r="H2070">
        <v>0.64952283871514704</v>
      </c>
      <c r="I2070">
        <v>0.98985954735782</v>
      </c>
      <c r="J2070">
        <v>1.01817746568275</v>
      </c>
      <c r="K2070">
        <v>0.76884526067745795</v>
      </c>
      <c r="L2070">
        <v>1283.922515149</v>
      </c>
      <c r="M2070">
        <v>27.772267828949801</v>
      </c>
      <c r="O2070">
        <v>45.9926793083199</v>
      </c>
      <c r="P2070">
        <v>-2.8081529069253201E-2</v>
      </c>
      <c r="Q2070">
        <v>0.81398230357048995</v>
      </c>
      <c r="R2070">
        <v>0.24882659465829099</v>
      </c>
      <c r="S2070" t="s">
        <v>7931</v>
      </c>
      <c r="T2070" t="s">
        <v>11720</v>
      </c>
      <c r="U2070" t="s">
        <v>11720</v>
      </c>
      <c r="V2070" t="s">
        <v>11720</v>
      </c>
      <c r="W2070" t="s">
        <v>13747</v>
      </c>
      <c r="X2070">
        <v>11</v>
      </c>
      <c r="Y2070" t="s">
        <v>19513</v>
      </c>
      <c r="Z2070" t="s">
        <v>25277</v>
      </c>
      <c r="AA2070">
        <v>0.85395343354387121</v>
      </c>
      <c r="AB2070" t="str">
        <f>HYPERLINK("Melting_Curves/meltCurve_P20645_M6PR.pdf", "Melting_Curves/meltCurve_P20645_M6PR.pdf")</f>
        <v>Melting_Curves/meltCurve_P20645_M6PR.pdf</v>
      </c>
    </row>
    <row r="2071" spans="1:28" x14ac:dyDescent="0.25">
      <c r="A2071" t="s">
        <v>2075</v>
      </c>
      <c r="B2071">
        <v>0.99334974765950101</v>
      </c>
      <c r="C2071">
        <v>0.98322270599586203</v>
      </c>
      <c r="D2071">
        <v>0.93441104502806605</v>
      </c>
      <c r="E2071">
        <v>0.84532691096565704</v>
      </c>
      <c r="F2071">
        <v>0.84199016202258603</v>
      </c>
      <c r="G2071">
        <v>1.1750986036617499</v>
      </c>
      <c r="H2071">
        <v>1.5487286786076899</v>
      </c>
      <c r="I2071">
        <v>2.58158338412919</v>
      </c>
      <c r="J2071">
        <v>4.39746665619752</v>
      </c>
      <c r="K2071">
        <v>3.58055094807355</v>
      </c>
      <c r="L2071">
        <v>14285.2358187518</v>
      </c>
      <c r="M2071">
        <v>250</v>
      </c>
      <c r="O2071">
        <v>57.137273128623299</v>
      </c>
      <c r="P2071">
        <v>0.54692831687427601</v>
      </c>
      <c r="Q2071">
        <v>1.5</v>
      </c>
      <c r="R2071">
        <v>6.2301039699852803E-2</v>
      </c>
      <c r="S2071" t="s">
        <v>7932</v>
      </c>
      <c r="T2071" t="s">
        <v>11720</v>
      </c>
      <c r="U2071" t="s">
        <v>11720</v>
      </c>
      <c r="V2071" t="s">
        <v>11720</v>
      </c>
      <c r="W2071" t="s">
        <v>13748</v>
      </c>
      <c r="X2071">
        <v>5</v>
      </c>
      <c r="Y2071" t="s">
        <v>19514</v>
      </c>
      <c r="Z2071" t="s">
        <v>25278</v>
      </c>
      <c r="AA2071">
        <v>1.214267471350144</v>
      </c>
      <c r="AB2071" t="str">
        <f>HYPERLINK("Melting_Curves/meltCurve_P20674_COX5A.pdf", "Melting_Curves/meltCurve_P20674_COX5A.pdf")</f>
        <v>Melting_Curves/meltCurve_P20674_COX5A.pdf</v>
      </c>
    </row>
    <row r="2072" spans="1:28" x14ac:dyDescent="0.25">
      <c r="A2072" t="s">
        <v>2076</v>
      </c>
      <c r="B2072">
        <v>0.99334974765950101</v>
      </c>
      <c r="C2072">
        <v>0.91881603612858198</v>
      </c>
      <c r="D2072">
        <v>0.92913505318605405</v>
      </c>
      <c r="E2072">
        <v>0.99969520750601104</v>
      </c>
      <c r="F2072">
        <v>1.62528231468713</v>
      </c>
      <c r="G2072">
        <v>0.95852871224846903</v>
      </c>
      <c r="H2072">
        <v>0.79587946309023505</v>
      </c>
      <c r="I2072">
        <v>0.84890155041861404</v>
      </c>
      <c r="J2072">
        <v>0.75960105146327395</v>
      </c>
      <c r="K2072">
        <v>0.76008934561785102</v>
      </c>
      <c r="L2072">
        <v>14068.4832043973</v>
      </c>
      <c r="M2072">
        <v>245.42002815145401</v>
      </c>
      <c r="O2072">
        <v>57.320301420875303</v>
      </c>
      <c r="P2072">
        <v>-0.22358524658770901</v>
      </c>
      <c r="Q2072">
        <v>0.79111773539943098</v>
      </c>
      <c r="R2072">
        <v>0.28092567688732101</v>
      </c>
      <c r="S2072" t="s">
        <v>7933</v>
      </c>
      <c r="T2072" t="s">
        <v>11720</v>
      </c>
      <c r="U2072" t="s">
        <v>11720</v>
      </c>
      <c r="V2072" t="s">
        <v>11720</v>
      </c>
      <c r="W2072" t="s">
        <v>13749</v>
      </c>
      <c r="X2072">
        <v>4</v>
      </c>
      <c r="Y2072" t="s">
        <v>19515</v>
      </c>
      <c r="Z2072" t="s">
        <v>25279</v>
      </c>
      <c r="AA2072">
        <v>0.91176281020618399</v>
      </c>
      <c r="AB2072" t="str">
        <f>HYPERLINK("Melting_Curves/meltCurve_P20700_LMNB1.pdf", "Melting_Curves/meltCurve_P20700_LMNB1.pdf")</f>
        <v>Melting_Curves/meltCurve_P20700_LMNB1.pdf</v>
      </c>
    </row>
    <row r="2073" spans="1:28" x14ac:dyDescent="0.25">
      <c r="A2073" t="s">
        <v>2077</v>
      </c>
      <c r="B2073">
        <v>0.99334974765950101</v>
      </c>
      <c r="C2073">
        <v>0.89102395165630799</v>
      </c>
      <c r="D2073">
        <v>0.62587221735418597</v>
      </c>
      <c r="E2073">
        <v>0.55099816279576896</v>
      </c>
      <c r="F2073">
        <v>0.31500090986597401</v>
      </c>
      <c r="G2073">
        <v>7.6803850742219598E-2</v>
      </c>
      <c r="H2073">
        <v>0.184767920197108</v>
      </c>
      <c r="I2073">
        <v>9.1579189316212506E-2</v>
      </c>
      <c r="J2073">
        <v>0.271500115357797</v>
      </c>
      <c r="K2073">
        <v>0.13642482298422501</v>
      </c>
      <c r="L2073">
        <v>720.23765541095895</v>
      </c>
      <c r="M2073">
        <v>14.9747545083442</v>
      </c>
      <c r="N2073">
        <v>49.116729469996599</v>
      </c>
      <c r="O2073">
        <v>47.263516184003301</v>
      </c>
      <c r="P2073">
        <v>-6.8631421996493705E-2</v>
      </c>
      <c r="Q2073">
        <v>0.13362653963759899</v>
      </c>
      <c r="R2073">
        <v>0.94346550588808398</v>
      </c>
      <c r="S2073" t="s">
        <v>7934</v>
      </c>
      <c r="T2073" t="s">
        <v>11720</v>
      </c>
      <c r="U2073" t="s">
        <v>11720</v>
      </c>
      <c r="V2073" t="s">
        <v>11720</v>
      </c>
      <c r="W2073" t="s">
        <v>13750</v>
      </c>
      <c r="X2073">
        <v>1</v>
      </c>
      <c r="Y2073" t="s">
        <v>19516</v>
      </c>
      <c r="Z2073" t="s">
        <v>25280</v>
      </c>
      <c r="AA2073">
        <v>0.38972302086321781</v>
      </c>
      <c r="AB2073" t="str">
        <f>HYPERLINK("Melting_Curves/meltCurve_P20719_HOXA5.pdf", "Melting_Curves/meltCurve_P20719_HOXA5.pdf")</f>
        <v>Melting_Curves/meltCurve_P20719_HOXA5.pdf</v>
      </c>
    </row>
    <row r="2074" spans="1:28" x14ac:dyDescent="0.25">
      <c r="A2074" t="s">
        <v>2078</v>
      </c>
      <c r="B2074">
        <v>0.99334974765950101</v>
      </c>
      <c r="C2074">
        <v>1.1138356950583801</v>
      </c>
      <c r="D2074">
        <v>1.0113670317388599</v>
      </c>
      <c r="E2074">
        <v>1.21182978430545</v>
      </c>
      <c r="F2074">
        <v>1.41123498911746</v>
      </c>
      <c r="G2074">
        <v>1.2432165123857599</v>
      </c>
      <c r="H2074">
        <v>0.84119441974611298</v>
      </c>
      <c r="I2074">
        <v>0.850088202907339</v>
      </c>
      <c r="J2074">
        <v>0.61871025398028401</v>
      </c>
      <c r="K2074">
        <v>0.53363150183303698</v>
      </c>
      <c r="L2074">
        <v>2070.37532711527</v>
      </c>
      <c r="M2074">
        <v>31.793589410998901</v>
      </c>
      <c r="O2074">
        <v>64.863283753645206</v>
      </c>
      <c r="P2074">
        <v>-6.3724367509752702E-2</v>
      </c>
      <c r="Q2074">
        <v>0.47997698799023603</v>
      </c>
      <c r="R2074">
        <v>0.56485796139739397</v>
      </c>
      <c r="S2074" t="s">
        <v>7935</v>
      </c>
      <c r="T2074" t="s">
        <v>11720</v>
      </c>
      <c r="U2074" t="s">
        <v>11720</v>
      </c>
      <c r="V2074" t="s">
        <v>11720</v>
      </c>
      <c r="W2074" t="s">
        <v>13751</v>
      </c>
      <c r="X2074">
        <v>34</v>
      </c>
      <c r="Y2074" t="s">
        <v>18432</v>
      </c>
      <c r="Z2074" t="s">
        <v>25281</v>
      </c>
      <c r="AA2074">
        <v>0.91455007608607963</v>
      </c>
      <c r="AB2074" t="str">
        <f>HYPERLINK("Melting_Curves/meltCurve_P20908_COL5A1.pdf", "Melting_Curves/meltCurve_P20908_COL5A1.pdf")</f>
        <v>Melting_Curves/meltCurve_P20908_COL5A1.pdf</v>
      </c>
    </row>
    <row r="2075" spans="1:28" x14ac:dyDescent="0.25">
      <c r="A2075" t="s">
        <v>2079</v>
      </c>
      <c r="B2075">
        <v>0.99334974765950101</v>
      </c>
      <c r="C2075">
        <v>0.89809235738316096</v>
      </c>
      <c r="D2075">
        <v>0.76560547817352897</v>
      </c>
      <c r="E2075">
        <v>0.84288168009761399</v>
      </c>
      <c r="F2075">
        <v>0.410897102904555</v>
      </c>
      <c r="G2075">
        <v>0.34076360893173602</v>
      </c>
      <c r="H2075">
        <v>0.152537935084574</v>
      </c>
      <c r="I2075">
        <v>0.172660992043977</v>
      </c>
      <c r="J2075">
        <v>0.18287303809007299</v>
      </c>
      <c r="K2075">
        <v>0.21591059562798301</v>
      </c>
      <c r="L2075">
        <v>748.12237328275796</v>
      </c>
      <c r="M2075">
        <v>14.457402249053599</v>
      </c>
      <c r="N2075">
        <v>52.9357915510341</v>
      </c>
      <c r="O2075">
        <v>50.786844822560901</v>
      </c>
      <c r="P2075">
        <v>-6.1306916248668797E-2</v>
      </c>
      <c r="Q2075">
        <v>0.1386497852861</v>
      </c>
      <c r="R2075">
        <v>0.940720981522984</v>
      </c>
      <c r="S2075" t="s">
        <v>7936</v>
      </c>
      <c r="T2075" t="s">
        <v>11720</v>
      </c>
      <c r="U2075" t="s">
        <v>11720</v>
      </c>
      <c r="V2075" t="s">
        <v>11720</v>
      </c>
      <c r="W2075" t="s">
        <v>13752</v>
      </c>
      <c r="X2075">
        <v>4</v>
      </c>
      <c r="Y2075" t="s">
        <v>19517</v>
      </c>
      <c r="Z2075" t="s">
        <v>25282</v>
      </c>
      <c r="AA2075">
        <v>0.49647652273880027</v>
      </c>
      <c r="AB2075" t="str">
        <f>HYPERLINK("Melting_Curves/meltCurve_P20933_AGA.pdf", "Melting_Curves/meltCurve_P20933_AGA.pdf")</f>
        <v>Melting_Curves/meltCurve_P20933_AGA.pdf</v>
      </c>
    </row>
    <row r="2076" spans="1:28" x14ac:dyDescent="0.25">
      <c r="A2076" t="s">
        <v>2080</v>
      </c>
      <c r="B2076">
        <v>0.99334974765950101</v>
      </c>
      <c r="C2076">
        <v>1.1227531460877</v>
      </c>
      <c r="D2076">
        <v>0.89699720509590397</v>
      </c>
      <c r="E2076">
        <v>0.92023633412307204</v>
      </c>
      <c r="F2076">
        <v>1.1766345846278401</v>
      </c>
      <c r="G2076">
        <v>0.85345127501788098</v>
      </c>
      <c r="H2076">
        <v>1.0095033019122299</v>
      </c>
      <c r="I2076">
        <v>0.91648976154031203</v>
      </c>
      <c r="J2076">
        <v>1.5660869086064799</v>
      </c>
      <c r="K2076">
        <v>1.44599409566829</v>
      </c>
      <c r="L2076">
        <v>15000</v>
      </c>
      <c r="M2076">
        <v>229.01690402170499</v>
      </c>
      <c r="O2076">
        <v>65.492348063099797</v>
      </c>
      <c r="P2076">
        <v>0.43710618516816202</v>
      </c>
      <c r="Q2076">
        <v>1.5</v>
      </c>
      <c r="R2076">
        <v>0.811479569160662</v>
      </c>
      <c r="S2076" t="s">
        <v>7937</v>
      </c>
      <c r="T2076" t="s">
        <v>11720</v>
      </c>
      <c r="U2076" t="s">
        <v>11720</v>
      </c>
      <c r="V2076" t="s">
        <v>11720</v>
      </c>
      <c r="W2076" t="s">
        <v>13753</v>
      </c>
      <c r="X2076">
        <v>7</v>
      </c>
      <c r="Y2076" t="s">
        <v>19518</v>
      </c>
      <c r="Z2076" t="s">
        <v>25283</v>
      </c>
      <c r="AA2076">
        <v>1.0749757015526</v>
      </c>
      <c r="AB2076" t="str">
        <f>HYPERLINK("Melting_Curves/meltCurve_P20962_PTMS.pdf", "Melting_Curves/meltCurve_P20962_PTMS.pdf")</f>
        <v>Melting_Curves/meltCurve_P20962_PTMS.pdf</v>
      </c>
    </row>
    <row r="2077" spans="1:28" x14ac:dyDescent="0.25">
      <c r="A2077" t="s">
        <v>2081</v>
      </c>
      <c r="B2077">
        <v>0.99334974765950101</v>
      </c>
      <c r="C2077">
        <v>0.93796653691437404</v>
      </c>
      <c r="D2077">
        <v>0.526933811898467</v>
      </c>
      <c r="E2077">
        <v>0.21844102123412701</v>
      </c>
      <c r="F2077">
        <v>0.130051815813824</v>
      </c>
      <c r="G2077">
        <v>6.9870550083722296E-2</v>
      </c>
      <c r="H2077">
        <v>5.6625776276957203E-2</v>
      </c>
      <c r="I2077">
        <v>5.1550061663988601E-2</v>
      </c>
      <c r="J2077">
        <v>5.2406028632097E-2</v>
      </c>
      <c r="K2077">
        <v>4.1012963881235001E-2</v>
      </c>
      <c r="L2077">
        <v>1154.23915920647</v>
      </c>
      <c r="M2077">
        <v>24.926127252836402</v>
      </c>
      <c r="N2077">
        <v>46.546323123396697</v>
      </c>
      <c r="O2077">
        <v>46.011437246953399</v>
      </c>
      <c r="P2077">
        <v>-0.12727160525321199</v>
      </c>
      <c r="Q2077">
        <v>6.02840555474594E-2</v>
      </c>
      <c r="R2077">
        <v>0.99449195255377298</v>
      </c>
      <c r="S2077" t="s">
        <v>7938</v>
      </c>
      <c r="T2077" t="s">
        <v>11720</v>
      </c>
      <c r="U2077" t="s">
        <v>11720</v>
      </c>
      <c r="V2077" t="s">
        <v>11720</v>
      </c>
      <c r="W2077" t="s">
        <v>13754</v>
      </c>
      <c r="X2077">
        <v>26</v>
      </c>
      <c r="Y2077" t="s">
        <v>19519</v>
      </c>
      <c r="Z2077" t="s">
        <v>25284</v>
      </c>
      <c r="AA2077">
        <v>0.26644373629275209</v>
      </c>
      <c r="AB2077" t="str">
        <f>HYPERLINK("Melting_Curves/meltCurve_P21266_GSTM3.pdf", "Melting_Curves/meltCurve_P21266_GSTM3.pdf")</f>
        <v>Melting_Curves/meltCurve_P21266_GSTM3.pdf</v>
      </c>
    </row>
    <row r="2078" spans="1:28" x14ac:dyDescent="0.25">
      <c r="A2078" t="s">
        <v>2082</v>
      </c>
      <c r="B2078">
        <v>0.99334974765950101</v>
      </c>
      <c r="C2078">
        <v>1.02916269122481</v>
      </c>
      <c r="D2078">
        <v>1.1668002907989901</v>
      </c>
      <c r="E2078">
        <v>1.32983632932128</v>
      </c>
      <c r="F2078">
        <v>1.14541678130617</v>
      </c>
      <c r="G2078">
        <v>1.33971684249542</v>
      </c>
      <c r="H2078">
        <v>1.09092757732838</v>
      </c>
      <c r="I2078">
        <v>0.44924298577399802</v>
      </c>
      <c r="J2078">
        <v>0.194759028175438</v>
      </c>
      <c r="K2078">
        <v>0.12404412021816801</v>
      </c>
      <c r="L2078">
        <v>15000</v>
      </c>
      <c r="M2078">
        <v>235.01687787757999</v>
      </c>
      <c r="N2078">
        <v>63.929605134359697</v>
      </c>
      <c r="O2078">
        <v>63.8205815895247</v>
      </c>
      <c r="P2078">
        <v>-0.77387603600686905</v>
      </c>
      <c r="Q2078">
        <v>0.159392822619422</v>
      </c>
      <c r="R2078">
        <v>0.84785851297928605</v>
      </c>
      <c r="S2078" t="s">
        <v>7939</v>
      </c>
      <c r="T2078" t="s">
        <v>11720</v>
      </c>
      <c r="U2078" t="s">
        <v>11720</v>
      </c>
      <c r="V2078" t="s">
        <v>11720</v>
      </c>
      <c r="W2078" t="s">
        <v>13755</v>
      </c>
      <c r="X2078">
        <v>26</v>
      </c>
      <c r="Y2078" t="s">
        <v>19520</v>
      </c>
      <c r="Z2078" t="s">
        <v>25285</v>
      </c>
      <c r="AA2078">
        <v>0.82708726795181831</v>
      </c>
      <c r="AB2078" t="str">
        <f>HYPERLINK("Melting_Curves/meltCurve_P21281_ATP6V1B2.pdf", "Melting_Curves/meltCurve_P21281_ATP6V1B2.pdf")</f>
        <v>Melting_Curves/meltCurve_P21281_ATP6V1B2.pdf</v>
      </c>
    </row>
    <row r="2079" spans="1:28" x14ac:dyDescent="0.25">
      <c r="A2079" t="s">
        <v>2083</v>
      </c>
      <c r="B2079">
        <v>0.99334974765950101</v>
      </c>
      <c r="C2079">
        <v>1.0165693388522301</v>
      </c>
      <c r="D2079">
        <v>1.0580939796722599</v>
      </c>
      <c r="E2079">
        <v>0.76651475403162705</v>
      </c>
      <c r="F2079">
        <v>0.37278317432838698</v>
      </c>
      <c r="G2079">
        <v>0.275924031590281</v>
      </c>
      <c r="H2079">
        <v>0.12818131643599501</v>
      </c>
      <c r="I2079">
        <v>9.3329909105084499E-2</v>
      </c>
      <c r="J2079">
        <v>9.6975015657824903E-2</v>
      </c>
      <c r="K2079">
        <v>7.7067327224610502E-2</v>
      </c>
      <c r="L2079">
        <v>1440.502042415</v>
      </c>
      <c r="M2079">
        <v>27.814477783754601</v>
      </c>
      <c r="N2079">
        <v>52.260194408867797</v>
      </c>
      <c r="O2079">
        <v>51.524163201400199</v>
      </c>
      <c r="P2079">
        <v>-0.12001007178701301</v>
      </c>
      <c r="Q2079">
        <v>0.110770401124027</v>
      </c>
      <c r="R2079">
        <v>0.98650920182622404</v>
      </c>
      <c r="S2079" t="s">
        <v>7940</v>
      </c>
      <c r="T2079" t="s">
        <v>11720</v>
      </c>
      <c r="U2079" t="s">
        <v>11720</v>
      </c>
      <c r="V2079" t="s">
        <v>11720</v>
      </c>
      <c r="W2079" t="s">
        <v>13756</v>
      </c>
      <c r="X2079">
        <v>16</v>
      </c>
      <c r="Y2079" t="s">
        <v>19521</v>
      </c>
      <c r="Z2079" t="s">
        <v>25286</v>
      </c>
      <c r="AA2079">
        <v>0.46680443993461851</v>
      </c>
      <c r="AB2079" t="str">
        <f>HYPERLINK("Melting_Curves/meltCurve_P21283_ATP6V1C1.pdf", "Melting_Curves/meltCurve_P21283_ATP6V1C1.pdf")</f>
        <v>Melting_Curves/meltCurve_P21283_ATP6V1C1.pdf</v>
      </c>
    </row>
    <row r="2080" spans="1:28" x14ac:dyDescent="0.25">
      <c r="A2080" t="s">
        <v>2084</v>
      </c>
      <c r="B2080">
        <v>0.99334974765950101</v>
      </c>
      <c r="C2080">
        <v>1.0234130848365499</v>
      </c>
      <c r="D2080">
        <v>0.81608953484831803</v>
      </c>
      <c r="E2080">
        <v>0.84223561491717602</v>
      </c>
      <c r="F2080">
        <v>0.73155206110115001</v>
      </c>
      <c r="G2080">
        <v>0.52840353973604803</v>
      </c>
      <c r="H2080">
        <v>0.50601360250156902</v>
      </c>
      <c r="I2080">
        <v>0.72913810770927701</v>
      </c>
      <c r="J2080">
        <v>0.798453384956059</v>
      </c>
      <c r="K2080">
        <v>0.63632448626021199</v>
      </c>
      <c r="L2080">
        <v>908.06328035335298</v>
      </c>
      <c r="M2080">
        <v>18.812566233274499</v>
      </c>
      <c r="O2080">
        <v>47.733486455219897</v>
      </c>
      <c r="P2080">
        <v>-3.48738939618463E-2</v>
      </c>
      <c r="Q2080">
        <v>0.64606986292372004</v>
      </c>
      <c r="R2080">
        <v>0.68294909142885896</v>
      </c>
      <c r="S2080" t="s">
        <v>7941</v>
      </c>
      <c r="T2080" t="s">
        <v>11720</v>
      </c>
      <c r="U2080" t="s">
        <v>11720</v>
      </c>
      <c r="V2080" t="s">
        <v>11720</v>
      </c>
      <c r="W2080" t="s">
        <v>13757</v>
      </c>
      <c r="X2080">
        <v>20</v>
      </c>
      <c r="Y2080" t="s">
        <v>19522</v>
      </c>
      <c r="Z2080" t="s">
        <v>25287</v>
      </c>
      <c r="AA2080">
        <v>0.74931150907711486</v>
      </c>
      <c r="AB2080" t="str">
        <f>HYPERLINK("Melting_Curves/meltCurve_P21291_CSRP1.pdf", "Melting_Curves/meltCurve_P21291_CSRP1.pdf")</f>
        <v>Melting_Curves/meltCurve_P21291_CSRP1.pdf</v>
      </c>
    </row>
    <row r="2081" spans="1:28" x14ac:dyDescent="0.25">
      <c r="A2081" t="s">
        <v>2085</v>
      </c>
      <c r="B2081">
        <v>0.99334974765950101</v>
      </c>
      <c r="C2081">
        <v>0.88523915313038204</v>
      </c>
      <c r="D2081">
        <v>1.16576975384591</v>
      </c>
      <c r="E2081">
        <v>1.0383358905828199</v>
      </c>
      <c r="F2081">
        <v>0.34879617358428799</v>
      </c>
      <c r="G2081">
        <v>0.21969173910794301</v>
      </c>
      <c r="H2081">
        <v>0.162510448925691</v>
      </c>
      <c r="I2081">
        <v>0.13488325994522801</v>
      </c>
      <c r="J2081">
        <v>0.115948463542433</v>
      </c>
      <c r="K2081">
        <v>0.100381090134607</v>
      </c>
      <c r="L2081">
        <v>13187.9903616423</v>
      </c>
      <c r="M2081">
        <v>250</v>
      </c>
      <c r="N2081">
        <v>52.8253138191319</v>
      </c>
      <c r="O2081">
        <v>52.7485856803617</v>
      </c>
      <c r="P2081">
        <v>-1.0110662446543901</v>
      </c>
      <c r="Q2081">
        <v>0.146682970197963</v>
      </c>
      <c r="R2081">
        <v>0.97133136589547298</v>
      </c>
      <c r="S2081" t="s">
        <v>7942</v>
      </c>
      <c r="T2081" t="s">
        <v>11720</v>
      </c>
      <c r="U2081" t="s">
        <v>11720</v>
      </c>
      <c r="V2081" t="s">
        <v>11720</v>
      </c>
      <c r="W2081" t="s">
        <v>13758</v>
      </c>
      <c r="X2081">
        <v>151</v>
      </c>
      <c r="Y2081" t="s">
        <v>19523</v>
      </c>
      <c r="Z2081" t="s">
        <v>25288</v>
      </c>
      <c r="AA2081">
        <v>0.50947749818335841</v>
      </c>
      <c r="AB2081" t="str">
        <f>HYPERLINK("Melting_Curves/meltCurve_P21333_2_FLNA.pdf", "Melting_Curves/meltCurve_P21333_2_FLNA.pdf")</f>
        <v>Melting_Curves/meltCurve_P21333_2_FLNA.pdf</v>
      </c>
    </row>
    <row r="2082" spans="1:28" x14ac:dyDescent="0.25">
      <c r="A2082" t="s">
        <v>2086</v>
      </c>
      <c r="B2082">
        <v>0.99334974765950101</v>
      </c>
      <c r="C2082">
        <v>0.828461898991671</v>
      </c>
      <c r="D2082">
        <v>0.86464081298843098</v>
      </c>
      <c r="E2082">
        <v>0.984968740152811</v>
      </c>
      <c r="F2082">
        <v>1.03864255701358</v>
      </c>
      <c r="G2082">
        <v>1.00900345571229</v>
      </c>
      <c r="H2082">
        <v>0.58264237223058102</v>
      </c>
      <c r="I2082">
        <v>0.25542034651407702</v>
      </c>
      <c r="J2082">
        <v>0.245397992314458</v>
      </c>
      <c r="K2082">
        <v>0.208235772614354</v>
      </c>
      <c r="L2082">
        <v>4366.8416411727403</v>
      </c>
      <c r="M2082">
        <v>71.745654465918903</v>
      </c>
      <c r="N2082">
        <v>61.387510664754103</v>
      </c>
      <c r="O2082">
        <v>60.818354431883897</v>
      </c>
      <c r="P2082">
        <v>-0.227582322555789</v>
      </c>
      <c r="Q2082">
        <v>0.228319562575134</v>
      </c>
      <c r="R2082">
        <v>0.95335503383492204</v>
      </c>
      <c r="S2082" t="s">
        <v>7943</v>
      </c>
      <c r="T2082" t="s">
        <v>11720</v>
      </c>
      <c r="U2082" t="s">
        <v>11720</v>
      </c>
      <c r="V2082" t="s">
        <v>11720</v>
      </c>
      <c r="W2082" t="s">
        <v>13759</v>
      </c>
      <c r="X2082">
        <v>8</v>
      </c>
      <c r="Y2082" t="s">
        <v>19524</v>
      </c>
      <c r="Z2082" t="s">
        <v>25289</v>
      </c>
      <c r="AA2082">
        <v>0.76603927551412432</v>
      </c>
      <c r="AB2082" t="str">
        <f>HYPERLINK("Melting_Curves/meltCurve_P21397_MAOA.pdf", "Melting_Curves/meltCurve_P21397_MAOA.pdf")</f>
        <v>Melting_Curves/meltCurve_P21397_MAOA.pdf</v>
      </c>
    </row>
    <row r="2083" spans="1:28" x14ac:dyDescent="0.25">
      <c r="A2083" t="s">
        <v>2087</v>
      </c>
      <c r="B2083">
        <v>0.99334974765950101</v>
      </c>
      <c r="C2083">
        <v>0.93570140278063396</v>
      </c>
      <c r="D2083">
        <v>0.82775648423852299</v>
      </c>
      <c r="E2083">
        <v>0.455981860609047</v>
      </c>
      <c r="F2083">
        <v>0.21319967855895</v>
      </c>
      <c r="G2083">
        <v>9.0513574325827004E-2</v>
      </c>
      <c r="H2083">
        <v>6.8486669934395505E-2</v>
      </c>
      <c r="I2083">
        <v>6.1587953444293603E-2</v>
      </c>
      <c r="J2083">
        <v>5.36202404783203E-2</v>
      </c>
      <c r="K2083">
        <v>4.2746306382096401E-2</v>
      </c>
      <c r="L2083">
        <v>1033.52242503605</v>
      </c>
      <c r="M2083">
        <v>20.987905461963699</v>
      </c>
      <c r="N2083">
        <v>49.474194936646903</v>
      </c>
      <c r="O2083">
        <v>48.803193485899698</v>
      </c>
      <c r="P2083">
        <v>-0.102508506353704</v>
      </c>
      <c r="Q2083">
        <v>4.6573138599930897E-2</v>
      </c>
      <c r="R2083">
        <v>0.99936534251346898</v>
      </c>
      <c r="S2083" t="s">
        <v>7944</v>
      </c>
      <c r="T2083" t="s">
        <v>11720</v>
      </c>
      <c r="U2083" t="s">
        <v>11720</v>
      </c>
      <c r="V2083" t="s">
        <v>11720</v>
      </c>
      <c r="W2083" t="s">
        <v>13760</v>
      </c>
      <c r="X2083">
        <v>43</v>
      </c>
      <c r="Y2083" t="s">
        <v>19525</v>
      </c>
      <c r="Z2083" t="s">
        <v>25290</v>
      </c>
      <c r="AA2083">
        <v>0.35243823920781969</v>
      </c>
      <c r="AB2083" t="str">
        <f>HYPERLINK("Melting_Curves/meltCurve_P21399_ACO1.pdf", "Melting_Curves/meltCurve_P21399_ACO1.pdf")</f>
        <v>Melting_Curves/meltCurve_P21399_ACO1.pdf</v>
      </c>
    </row>
    <row r="2084" spans="1:28" x14ac:dyDescent="0.25">
      <c r="A2084" t="s">
        <v>2088</v>
      </c>
      <c r="B2084">
        <v>0.99334974765950101</v>
      </c>
      <c r="C2084">
        <v>0.93674823686199005</v>
      </c>
      <c r="D2084">
        <v>0.95452945482521601</v>
      </c>
      <c r="E2084">
        <v>0.84340267785109202</v>
      </c>
      <c r="F2084">
        <v>0.87084363719995905</v>
      </c>
      <c r="G2084">
        <v>0.73577725127153804</v>
      </c>
      <c r="H2084">
        <v>0.70514867388579805</v>
      </c>
      <c r="I2084">
        <v>0.68129007841900302</v>
      </c>
      <c r="J2084">
        <v>0.84423252048044395</v>
      </c>
      <c r="K2084">
        <v>0.69465857577925705</v>
      </c>
      <c r="L2084">
        <v>654.96706117126405</v>
      </c>
      <c r="M2084">
        <v>13.0025313315394</v>
      </c>
      <c r="O2084">
        <v>49.225465547201999</v>
      </c>
      <c r="P2084">
        <v>-1.8693364910522699E-2</v>
      </c>
      <c r="Q2084">
        <v>0.71696989925760002</v>
      </c>
      <c r="R2084">
        <v>0.791890191339363</v>
      </c>
      <c r="S2084" t="s">
        <v>7945</v>
      </c>
      <c r="T2084" t="s">
        <v>11720</v>
      </c>
      <c r="U2084" t="s">
        <v>11720</v>
      </c>
      <c r="V2084" t="s">
        <v>11720</v>
      </c>
      <c r="W2084" t="s">
        <v>13761</v>
      </c>
      <c r="X2084">
        <v>3</v>
      </c>
      <c r="Y2084" t="s">
        <v>19526</v>
      </c>
      <c r="Z2084" t="s">
        <v>25291</v>
      </c>
      <c r="AA2084">
        <v>0.8232853222362666</v>
      </c>
      <c r="AB2084" t="str">
        <f>HYPERLINK("Melting_Curves/meltCurve_P21583_2_KITLG.pdf", "Melting_Curves/meltCurve_P21583_2_KITLG.pdf")</f>
        <v>Melting_Curves/meltCurve_P21583_2_KITLG.pdf</v>
      </c>
    </row>
    <row r="2085" spans="1:28" x14ac:dyDescent="0.25">
      <c r="A2085" t="s">
        <v>2089</v>
      </c>
      <c r="B2085">
        <v>0.99334974765950101</v>
      </c>
      <c r="C2085">
        <v>1.1388962960192599</v>
      </c>
      <c r="D2085">
        <v>1.0688769453865701</v>
      </c>
      <c r="E2085">
        <v>1.1415058429582501</v>
      </c>
      <c r="F2085">
        <v>1.5003411190473599</v>
      </c>
      <c r="G2085">
        <v>1.2284420726977701</v>
      </c>
      <c r="H2085">
        <v>1.0503038389502899</v>
      </c>
      <c r="I2085">
        <v>1.2906068266466499</v>
      </c>
      <c r="J2085">
        <v>0.87229287689730495</v>
      </c>
      <c r="K2085">
        <v>0.57841275850499496</v>
      </c>
      <c r="L2085">
        <v>15000</v>
      </c>
      <c r="M2085">
        <v>223.04674866647699</v>
      </c>
      <c r="O2085">
        <v>67.245083605893498</v>
      </c>
      <c r="P2085">
        <v>-0.34964920419308299</v>
      </c>
      <c r="Q2085">
        <v>0.57834516471326403</v>
      </c>
      <c r="R2085">
        <v>0.216133556815745</v>
      </c>
      <c r="S2085" t="s">
        <v>7946</v>
      </c>
      <c r="T2085" t="s">
        <v>11720</v>
      </c>
      <c r="U2085" t="s">
        <v>11720</v>
      </c>
      <c r="V2085" t="s">
        <v>11720</v>
      </c>
      <c r="W2085" t="s">
        <v>13762</v>
      </c>
      <c r="X2085">
        <v>26</v>
      </c>
      <c r="Y2085" t="s">
        <v>19527</v>
      </c>
      <c r="Z2085" t="s">
        <v>25292</v>
      </c>
      <c r="AA2085">
        <v>0.96141679238172395</v>
      </c>
      <c r="AB2085" t="str">
        <f>HYPERLINK("Melting_Curves/meltCurve_P21589_NT5E.pdf", "Melting_Curves/meltCurve_P21589_NT5E.pdf")</f>
        <v>Melting_Curves/meltCurve_P21589_NT5E.pdf</v>
      </c>
    </row>
    <row r="2086" spans="1:28" x14ac:dyDescent="0.25">
      <c r="A2086" t="s">
        <v>2090</v>
      </c>
      <c r="B2086">
        <v>0.99334974765950101</v>
      </c>
      <c r="C2086">
        <v>0.82659708724800296</v>
      </c>
      <c r="D2086">
        <v>0.75921935840218902</v>
      </c>
      <c r="E2086">
        <v>0.881154521853868</v>
      </c>
      <c r="F2086">
        <v>0.76797341039094302</v>
      </c>
      <c r="G2086">
        <v>0.76249682466136404</v>
      </c>
      <c r="H2086">
        <v>0.68975365065489602</v>
      </c>
      <c r="I2086">
        <v>0.838554912233621</v>
      </c>
      <c r="J2086">
        <v>0.72195175482607399</v>
      </c>
      <c r="K2086">
        <v>0.51072787651287099</v>
      </c>
      <c r="L2086">
        <v>160.61336503242501</v>
      </c>
      <c r="M2086">
        <v>1.6905608194688599</v>
      </c>
      <c r="O2086">
        <v>50.604828014370099</v>
      </c>
      <c r="P2086">
        <v>-9.4535609666866402E-3</v>
      </c>
      <c r="Q2086">
        <v>0</v>
      </c>
      <c r="R2086">
        <v>0.53823958660646298</v>
      </c>
      <c r="S2086" t="s">
        <v>7947</v>
      </c>
      <c r="T2086" t="s">
        <v>11720</v>
      </c>
      <c r="U2086" t="s">
        <v>11720</v>
      </c>
      <c r="V2086" t="s">
        <v>11720</v>
      </c>
      <c r="W2086" t="s">
        <v>13763</v>
      </c>
      <c r="X2086">
        <v>21</v>
      </c>
      <c r="Y2086" t="s">
        <v>19528</v>
      </c>
      <c r="Z2086" t="s">
        <v>25293</v>
      </c>
      <c r="AA2086">
        <v>0.77576479728950865</v>
      </c>
      <c r="AB2086" t="str">
        <f>HYPERLINK("Melting_Curves/meltCurve_P21796_VDAC1.pdf", "Melting_Curves/meltCurve_P21796_VDAC1.pdf")</f>
        <v>Melting_Curves/meltCurve_P21796_VDAC1.pdf</v>
      </c>
    </row>
    <row r="2087" spans="1:28" x14ac:dyDescent="0.25">
      <c r="A2087" t="s">
        <v>2091</v>
      </c>
      <c r="B2087">
        <v>0.99334974765950101</v>
      </c>
      <c r="C2087">
        <v>0.86293641784034403</v>
      </c>
      <c r="D2087">
        <v>0.94130828745059703</v>
      </c>
      <c r="E2087">
        <v>1.0231166086738099</v>
      </c>
      <c r="F2087">
        <v>1.0506550677119599</v>
      </c>
      <c r="G2087">
        <v>0.87886398860454396</v>
      </c>
      <c r="H2087">
        <v>0.62221318131452397</v>
      </c>
      <c r="I2087">
        <v>0.25494115646110799</v>
      </c>
      <c r="J2087">
        <v>0.193290517503132</v>
      </c>
      <c r="K2087">
        <v>0.13610303982508201</v>
      </c>
      <c r="L2087">
        <v>1977.74968463954</v>
      </c>
      <c r="M2087">
        <v>32.297243303084898</v>
      </c>
      <c r="N2087">
        <v>61.7648514327039</v>
      </c>
      <c r="O2087">
        <v>61.002529575336503</v>
      </c>
      <c r="P2087">
        <v>-0.116369028438568</v>
      </c>
      <c r="Q2087">
        <v>0.120820143649361</v>
      </c>
      <c r="R2087">
        <v>0.97386558382083799</v>
      </c>
      <c r="S2087" t="s">
        <v>7948</v>
      </c>
      <c r="T2087" t="s">
        <v>11720</v>
      </c>
      <c r="U2087" t="s">
        <v>11720</v>
      </c>
      <c r="V2087" t="s">
        <v>11720</v>
      </c>
      <c r="W2087" t="s">
        <v>13764</v>
      </c>
      <c r="X2087">
        <v>17</v>
      </c>
      <c r="Y2087" t="s">
        <v>19529</v>
      </c>
      <c r="Z2087" t="s">
        <v>25294</v>
      </c>
      <c r="AA2087">
        <v>0.74753269869839123</v>
      </c>
      <c r="AB2087" t="str">
        <f>HYPERLINK("Melting_Curves/meltCurve_P21912_SDHB.pdf", "Melting_Curves/meltCurve_P21912_SDHB.pdf")</f>
        <v>Melting_Curves/meltCurve_P21912_SDHB.pdf</v>
      </c>
    </row>
    <row r="2088" spans="1:28" x14ac:dyDescent="0.25">
      <c r="A2088" t="s">
        <v>2092</v>
      </c>
      <c r="B2088">
        <v>0.99334974765950101</v>
      </c>
      <c r="C2088">
        <v>1.1337627022944201</v>
      </c>
      <c r="D2088">
        <v>1.21098669178701</v>
      </c>
      <c r="E2088">
        <v>1.1126136143119301</v>
      </c>
      <c r="F2088">
        <v>0.88425995866636897</v>
      </c>
      <c r="G2088">
        <v>0.61546534572744904</v>
      </c>
      <c r="H2088">
        <v>0.47078020155887002</v>
      </c>
      <c r="I2088">
        <v>0.593347384540588</v>
      </c>
      <c r="J2088">
        <v>0.376324728823067</v>
      </c>
      <c r="K2088">
        <v>0.324824599490321</v>
      </c>
      <c r="L2088">
        <v>1706.0903143144401</v>
      </c>
      <c r="M2088">
        <v>30.514927376684199</v>
      </c>
      <c r="N2088">
        <v>59.574475139608502</v>
      </c>
      <c r="O2088">
        <v>55.671554567386103</v>
      </c>
      <c r="P2088">
        <v>-7.9002359885682105E-2</v>
      </c>
      <c r="Q2088">
        <v>0.42347462234408401</v>
      </c>
      <c r="R2088">
        <v>0.88305733156821598</v>
      </c>
      <c r="S2088" t="s">
        <v>7949</v>
      </c>
      <c r="T2088" t="s">
        <v>11720</v>
      </c>
      <c r="U2088" t="s">
        <v>11720</v>
      </c>
      <c r="V2088" t="s">
        <v>11720</v>
      </c>
      <c r="W2088" t="s">
        <v>13765</v>
      </c>
      <c r="X2088">
        <v>1</v>
      </c>
      <c r="Y2088" t="s">
        <v>19530</v>
      </c>
      <c r="Z2088" t="s">
        <v>25295</v>
      </c>
      <c r="AA2088">
        <v>0.73295053792795761</v>
      </c>
      <c r="AB2088" t="str">
        <f>HYPERLINK("Melting_Curves/meltCurve_P21953_BCKDHB.pdf", "Melting_Curves/meltCurve_P21953_BCKDHB.pdf")</f>
        <v>Melting_Curves/meltCurve_P21953_BCKDHB.pdf</v>
      </c>
    </row>
    <row r="2089" spans="1:28" x14ac:dyDescent="0.25">
      <c r="A2089" t="s">
        <v>2093</v>
      </c>
      <c r="B2089">
        <v>0.99334974765950101</v>
      </c>
      <c r="C2089">
        <v>0.98715924202378502</v>
      </c>
      <c r="D2089">
        <v>0.81699989516538696</v>
      </c>
      <c r="E2089">
        <v>0.56312424279214002</v>
      </c>
      <c r="F2089">
        <v>0.27865892924809799</v>
      </c>
      <c r="G2089">
        <v>0.170440252168989</v>
      </c>
      <c r="H2089">
        <v>0.130762642772844</v>
      </c>
      <c r="I2089">
        <v>0.13285904137048399</v>
      </c>
      <c r="J2089">
        <v>0.105674537518526</v>
      </c>
      <c r="K2089">
        <v>7.4173446672740798E-2</v>
      </c>
      <c r="L2089">
        <v>967.51608399685404</v>
      </c>
      <c r="M2089">
        <v>19.4330544930414</v>
      </c>
      <c r="N2089">
        <v>50.346655890113702</v>
      </c>
      <c r="O2089">
        <v>49.2689063093434</v>
      </c>
      <c r="P2089">
        <v>-8.9033729377203497E-2</v>
      </c>
      <c r="Q2089">
        <v>9.7118761940049897E-2</v>
      </c>
      <c r="R2089">
        <v>0.99610960172089202</v>
      </c>
      <c r="S2089" t="s">
        <v>7950</v>
      </c>
      <c r="T2089" t="s">
        <v>11720</v>
      </c>
      <c r="U2089" t="s">
        <v>11720</v>
      </c>
      <c r="V2089" t="s">
        <v>11720</v>
      </c>
      <c r="W2089" t="s">
        <v>13766</v>
      </c>
      <c r="X2089">
        <v>21</v>
      </c>
      <c r="Y2089" t="s">
        <v>19531</v>
      </c>
      <c r="Z2089" t="s">
        <v>25296</v>
      </c>
      <c r="AA2089">
        <v>0.40498356222710369</v>
      </c>
      <c r="AB2089" t="str">
        <f>HYPERLINK("Melting_Curves/meltCurve_P21964_2_COMT.pdf", "Melting_Curves/meltCurve_P21964_2_COMT.pdf")</f>
        <v>Melting_Curves/meltCurve_P21964_2_COMT.pdf</v>
      </c>
    </row>
    <row r="2090" spans="1:28" x14ac:dyDescent="0.25">
      <c r="A2090" t="s">
        <v>2094</v>
      </c>
      <c r="B2090">
        <v>0.99334974765950101</v>
      </c>
      <c r="C2090">
        <v>0.99196440127911301</v>
      </c>
      <c r="D2090">
        <v>1.0956455727128001</v>
      </c>
      <c r="E2090">
        <v>0.964113400477009</v>
      </c>
      <c r="F2090">
        <v>0.44225595685564401</v>
      </c>
      <c r="G2090">
        <v>0.18615471820952001</v>
      </c>
      <c r="H2090">
        <v>0.103908529549604</v>
      </c>
      <c r="I2090">
        <v>8.6417364579318395E-2</v>
      </c>
      <c r="J2090">
        <v>6.9730338626722593E-2</v>
      </c>
      <c r="K2090">
        <v>5.8984023721101599E-2</v>
      </c>
      <c r="L2090">
        <v>2749.0743750122801</v>
      </c>
      <c r="M2090">
        <v>52.297087208938997</v>
      </c>
      <c r="N2090">
        <v>52.783088268074401</v>
      </c>
      <c r="O2090">
        <v>52.489798045042598</v>
      </c>
      <c r="P2090">
        <v>-0.22502776093051199</v>
      </c>
      <c r="Q2090">
        <v>9.6572757799482406E-2</v>
      </c>
      <c r="R2090">
        <v>0.99047360472325696</v>
      </c>
      <c r="S2090" t="s">
        <v>7951</v>
      </c>
      <c r="T2090" t="s">
        <v>11720</v>
      </c>
      <c r="U2090" t="s">
        <v>11720</v>
      </c>
      <c r="V2090" t="s">
        <v>11720</v>
      </c>
      <c r="W2090" t="s">
        <v>13767</v>
      </c>
      <c r="X2090">
        <v>32</v>
      </c>
      <c r="Y2090" t="s">
        <v>19532</v>
      </c>
      <c r="Z2090" t="s">
        <v>25297</v>
      </c>
      <c r="AA2090">
        <v>0.47691688047862563</v>
      </c>
      <c r="AB2090" t="str">
        <f>HYPERLINK("Melting_Curves/meltCurve_P21980_TGM2.pdf", "Melting_Curves/meltCurve_P21980_TGM2.pdf")</f>
        <v>Melting_Curves/meltCurve_P21980_TGM2.pdf</v>
      </c>
    </row>
    <row r="2091" spans="1:28" x14ac:dyDescent="0.25">
      <c r="A2091" t="s">
        <v>2095</v>
      </c>
      <c r="B2091">
        <v>0.99334974765950101</v>
      </c>
      <c r="C2091">
        <v>0.98459008753292498</v>
      </c>
      <c r="D2091">
        <v>1.0939021009523999</v>
      </c>
      <c r="E2091">
        <v>0.71409208436219695</v>
      </c>
      <c r="F2091">
        <v>0.28805093150229499</v>
      </c>
      <c r="G2091">
        <v>0.20544828864599099</v>
      </c>
      <c r="H2091">
        <v>0.14263169482203999</v>
      </c>
      <c r="I2091">
        <v>0.122442323981706</v>
      </c>
      <c r="J2091">
        <v>7.99777069560801E-2</v>
      </c>
      <c r="K2091">
        <v>6.5521631446284298E-2</v>
      </c>
      <c r="L2091">
        <v>1949.47716490981</v>
      </c>
      <c r="M2091">
        <v>38.196462701772703</v>
      </c>
      <c r="N2091">
        <v>51.402032113615398</v>
      </c>
      <c r="O2091">
        <v>50.898869599520701</v>
      </c>
      <c r="P2091">
        <v>-0.16538534287288401</v>
      </c>
      <c r="Q2091">
        <v>0.118462293621711</v>
      </c>
      <c r="R2091">
        <v>0.98669937403581798</v>
      </c>
      <c r="S2091" t="s">
        <v>7952</v>
      </c>
      <c r="T2091" t="s">
        <v>11720</v>
      </c>
      <c r="U2091" t="s">
        <v>11720</v>
      </c>
      <c r="V2091" t="s">
        <v>11720</v>
      </c>
      <c r="W2091" t="s">
        <v>13768</v>
      </c>
      <c r="X2091">
        <v>13</v>
      </c>
      <c r="Y2091" t="s">
        <v>19533</v>
      </c>
      <c r="Z2091" t="s">
        <v>25298</v>
      </c>
      <c r="AA2091">
        <v>0.44622667835786162</v>
      </c>
      <c r="AB2091" t="str">
        <f>HYPERLINK("Melting_Curves/meltCurve_P22033_MUT.pdf", "Melting_Curves/meltCurve_P22033_MUT.pdf")</f>
        <v>Melting_Curves/meltCurve_P22033_MUT.pdf</v>
      </c>
    </row>
    <row r="2092" spans="1:28" x14ac:dyDescent="0.25">
      <c r="A2092" t="s">
        <v>2096</v>
      </c>
      <c r="B2092">
        <v>0.99334974765950101</v>
      </c>
      <c r="C2092">
        <v>0.99559697806247804</v>
      </c>
      <c r="D2092">
        <v>1.1187244753749599</v>
      </c>
      <c r="E2092">
        <v>1.18931918744582</v>
      </c>
      <c r="F2092">
        <v>0.67901021695339203</v>
      </c>
      <c r="G2092">
        <v>0.25282809167596398</v>
      </c>
      <c r="H2092">
        <v>0.159207069639066</v>
      </c>
      <c r="I2092">
        <v>0.119198333504068</v>
      </c>
      <c r="J2092">
        <v>9.9367404531471304E-2</v>
      </c>
      <c r="K2092">
        <v>7.7209872883674993E-2</v>
      </c>
      <c r="L2092">
        <v>2570.9902717754298</v>
      </c>
      <c r="M2092">
        <v>47.744126142910098</v>
      </c>
      <c r="N2092">
        <v>54.180404621945002</v>
      </c>
      <c r="O2092">
        <v>53.755156497871802</v>
      </c>
      <c r="P2092">
        <v>-0.19395332276503399</v>
      </c>
      <c r="Q2092">
        <v>0.12651233522890101</v>
      </c>
      <c r="R2092">
        <v>0.96522281756055295</v>
      </c>
      <c r="S2092" t="s">
        <v>7953</v>
      </c>
      <c r="T2092" t="s">
        <v>11720</v>
      </c>
      <c r="U2092" t="s">
        <v>11720</v>
      </c>
      <c r="V2092" t="s">
        <v>11720</v>
      </c>
      <c r="W2092" t="s">
        <v>13769</v>
      </c>
      <c r="X2092">
        <v>28</v>
      </c>
      <c r="Y2092" t="s">
        <v>19534</v>
      </c>
      <c r="Z2092" t="s">
        <v>25299</v>
      </c>
      <c r="AA2092">
        <v>0.53202940458774362</v>
      </c>
      <c r="AB2092" t="str">
        <f>HYPERLINK("Melting_Curves/meltCurve_P22059_OSBP.pdf", "Melting_Curves/meltCurve_P22059_OSBP.pdf")</f>
        <v>Melting_Curves/meltCurve_P22059_OSBP.pdf</v>
      </c>
    </row>
    <row r="2093" spans="1:28" x14ac:dyDescent="0.25">
      <c r="A2093" t="s">
        <v>2097</v>
      </c>
      <c r="B2093">
        <v>0.99334974765950101</v>
      </c>
      <c r="C2093">
        <v>0.96117249196921195</v>
      </c>
      <c r="D2093">
        <v>0.88192765762858005</v>
      </c>
      <c r="E2093">
        <v>0.51177248353452998</v>
      </c>
      <c r="F2093">
        <v>0.155679776571651</v>
      </c>
      <c r="G2093">
        <v>0.106059591074911</v>
      </c>
      <c r="H2093">
        <v>7.9321489129142705E-2</v>
      </c>
      <c r="I2093">
        <v>6.9180181462764195E-2</v>
      </c>
      <c r="J2093">
        <v>5.1601601130176103E-2</v>
      </c>
      <c r="K2093">
        <v>4.75293110856101E-2</v>
      </c>
      <c r="L2093">
        <v>1359.0140786086699</v>
      </c>
      <c r="M2093">
        <v>27.379687059711401</v>
      </c>
      <c r="N2093">
        <v>49.863516926914301</v>
      </c>
      <c r="O2093">
        <v>49.373333829779902</v>
      </c>
      <c r="P2093">
        <v>-0.13049163037622799</v>
      </c>
      <c r="Q2093">
        <v>5.8755283055811798E-2</v>
      </c>
      <c r="R2093">
        <v>0.99679424635957803</v>
      </c>
      <c r="S2093" t="s">
        <v>7954</v>
      </c>
      <c r="T2093" t="s">
        <v>11720</v>
      </c>
      <c r="U2093" t="s">
        <v>11720</v>
      </c>
      <c r="V2093" t="s">
        <v>11720</v>
      </c>
      <c r="W2093" t="s">
        <v>13770</v>
      </c>
      <c r="X2093">
        <v>36</v>
      </c>
      <c r="Y2093" t="s">
        <v>19535</v>
      </c>
      <c r="Z2093" t="s">
        <v>25300</v>
      </c>
      <c r="AA2093">
        <v>0.36804802481048149</v>
      </c>
      <c r="AB2093" t="str">
        <f>HYPERLINK("Melting_Curves/meltCurve_P22102_GART.pdf", "Melting_Curves/meltCurve_P22102_GART.pdf")</f>
        <v>Melting_Curves/meltCurve_P22102_GART.pdf</v>
      </c>
    </row>
    <row r="2094" spans="1:28" x14ac:dyDescent="0.25">
      <c r="A2094" t="s">
        <v>2098</v>
      </c>
      <c r="B2094">
        <v>0.99334974765950101</v>
      </c>
      <c r="C2094">
        <v>0.93465360905299</v>
      </c>
      <c r="D2094">
        <v>1.08984927300252</v>
      </c>
      <c r="E2094">
        <v>0.89212649245954101</v>
      </c>
      <c r="F2094">
        <v>1.0896125878668901</v>
      </c>
      <c r="G2094">
        <v>0.70360360040472503</v>
      </c>
      <c r="H2094">
        <v>0.74330706080462805</v>
      </c>
      <c r="I2094">
        <v>0.62844465493411195</v>
      </c>
      <c r="J2094">
        <v>0.41490545891446001</v>
      </c>
      <c r="K2094">
        <v>0.17888213664067901</v>
      </c>
      <c r="L2094">
        <v>910.04621466844003</v>
      </c>
      <c r="M2094">
        <v>14.0199404967081</v>
      </c>
      <c r="N2094">
        <v>64.910847242098995</v>
      </c>
      <c r="O2094">
        <v>63.6330235622966</v>
      </c>
      <c r="P2094">
        <v>-5.5088477297178202E-2</v>
      </c>
      <c r="Q2094">
        <v>0</v>
      </c>
      <c r="R2094">
        <v>0.89568319453677203</v>
      </c>
      <c r="S2094" t="s">
        <v>7955</v>
      </c>
      <c r="T2094" t="s">
        <v>11720</v>
      </c>
      <c r="U2094" t="s">
        <v>11720</v>
      </c>
      <c r="V2094" t="s">
        <v>11720</v>
      </c>
      <c r="W2094" t="s">
        <v>13771</v>
      </c>
      <c r="X2094">
        <v>4</v>
      </c>
      <c r="Y2094" t="s">
        <v>19536</v>
      </c>
      <c r="Z2094" t="s">
        <v>25301</v>
      </c>
      <c r="AA2094">
        <v>0.80177758890870854</v>
      </c>
      <c r="AB2094" t="str">
        <f>HYPERLINK("Melting_Curves/meltCurve_P22304_IDS.pdf", "Melting_Curves/meltCurve_P22304_IDS.pdf")</f>
        <v>Melting_Curves/meltCurve_P22304_IDS.pdf</v>
      </c>
    </row>
    <row r="2095" spans="1:28" x14ac:dyDescent="0.25">
      <c r="A2095" t="s">
        <v>2099</v>
      </c>
      <c r="B2095">
        <v>0.99334974765950101</v>
      </c>
      <c r="C2095">
        <v>0.98603786664771098</v>
      </c>
      <c r="D2095">
        <v>0.967994645910774</v>
      </c>
      <c r="E2095">
        <v>0.69599921829735301</v>
      </c>
      <c r="F2095">
        <v>0.29686489740063199</v>
      </c>
      <c r="G2095">
        <v>0.18513260724120101</v>
      </c>
      <c r="H2095">
        <v>0.129558902230407</v>
      </c>
      <c r="I2095">
        <v>0.117195627655794</v>
      </c>
      <c r="J2095">
        <v>9.7495404707606606E-2</v>
      </c>
      <c r="K2095">
        <v>8.5738527902426795E-2</v>
      </c>
      <c r="L2095">
        <v>1606.0248909321499</v>
      </c>
      <c r="M2095">
        <v>31.515158721506701</v>
      </c>
      <c r="N2095">
        <v>51.377578772286</v>
      </c>
      <c r="O2095">
        <v>50.756526612007399</v>
      </c>
      <c r="P2095">
        <v>-0.13770423614598601</v>
      </c>
      <c r="Q2095">
        <v>0.112890267574386</v>
      </c>
      <c r="R2095">
        <v>0.997597335942776</v>
      </c>
      <c r="S2095" t="s">
        <v>7956</v>
      </c>
      <c r="T2095" t="s">
        <v>11720</v>
      </c>
      <c r="U2095" t="s">
        <v>11720</v>
      </c>
      <c r="V2095" t="s">
        <v>11720</v>
      </c>
      <c r="W2095" t="s">
        <v>13772</v>
      </c>
      <c r="X2095">
        <v>38</v>
      </c>
      <c r="Y2095" t="s">
        <v>19537</v>
      </c>
      <c r="Z2095" t="s">
        <v>25302</v>
      </c>
      <c r="AA2095">
        <v>0.44204207295991732</v>
      </c>
      <c r="AB2095" t="str">
        <f>HYPERLINK("Melting_Curves/meltCurve_P22307_SCP2.pdf", "Melting_Curves/meltCurve_P22307_SCP2.pdf")</f>
        <v>Melting_Curves/meltCurve_P22307_SCP2.pdf</v>
      </c>
    </row>
    <row r="2096" spans="1:28" x14ac:dyDescent="0.25">
      <c r="A2096" t="s">
        <v>2100</v>
      </c>
      <c r="B2096">
        <v>0.99334974765950101</v>
      </c>
      <c r="C2096">
        <v>0.96805266663061995</v>
      </c>
      <c r="D2096">
        <v>1.25011497210361</v>
      </c>
      <c r="E2096">
        <v>1.08894522403266</v>
      </c>
      <c r="F2096">
        <v>0.47310627827374202</v>
      </c>
      <c r="G2096">
        <v>0.32101897183212103</v>
      </c>
      <c r="H2096">
        <v>0.210554369382255</v>
      </c>
      <c r="I2096">
        <v>0.174993103705746</v>
      </c>
      <c r="J2096">
        <v>0.115694160467556</v>
      </c>
      <c r="K2096">
        <v>7.2738663398610001E-2</v>
      </c>
      <c r="L2096">
        <v>13219.098041674501</v>
      </c>
      <c r="M2096">
        <v>250</v>
      </c>
      <c r="N2096">
        <v>52.9702938624241</v>
      </c>
      <c r="O2096">
        <v>52.8730018993976</v>
      </c>
      <c r="P2096">
        <v>-0.97048592767400699</v>
      </c>
      <c r="Q2096">
        <v>0.17899983063049299</v>
      </c>
      <c r="R2096">
        <v>0.942536830835494</v>
      </c>
      <c r="S2096" t="s">
        <v>7957</v>
      </c>
      <c r="T2096" t="s">
        <v>11720</v>
      </c>
      <c r="U2096" t="s">
        <v>11720</v>
      </c>
      <c r="V2096" t="s">
        <v>11720</v>
      </c>
      <c r="W2096" t="s">
        <v>13773</v>
      </c>
      <c r="X2096">
        <v>24</v>
      </c>
      <c r="Y2096" t="s">
        <v>19537</v>
      </c>
      <c r="Z2096" t="s">
        <v>25303</v>
      </c>
      <c r="AA2096">
        <v>0.53146002217552057</v>
      </c>
      <c r="AB2096" t="str">
        <f>HYPERLINK("Melting_Curves/meltCurve_P22307_2_SCP2.pdf", "Melting_Curves/meltCurve_P22307_2_SCP2.pdf")</f>
        <v>Melting_Curves/meltCurve_P22307_2_SCP2.pdf</v>
      </c>
    </row>
    <row r="2097" spans="1:28" x14ac:dyDescent="0.25">
      <c r="A2097" t="s">
        <v>2101</v>
      </c>
      <c r="B2097">
        <v>0.99334974765950101</v>
      </c>
      <c r="C2097">
        <v>0.95636562087340005</v>
      </c>
      <c r="D2097">
        <v>1.0004261845221301</v>
      </c>
      <c r="E2097">
        <v>0.37032039052171301</v>
      </c>
      <c r="F2097">
        <v>0.13766340866126101</v>
      </c>
      <c r="G2097">
        <v>8.2205328860830401E-2</v>
      </c>
      <c r="H2097">
        <v>6.0664137803862699E-2</v>
      </c>
      <c r="I2097">
        <v>4.9270718971720702E-2</v>
      </c>
      <c r="J2097">
        <v>4.4991590684661603E-2</v>
      </c>
      <c r="K2097">
        <v>3.3612277585895002E-2</v>
      </c>
      <c r="L2097">
        <v>2284.0738610663998</v>
      </c>
      <c r="M2097">
        <v>46.3348569474553</v>
      </c>
      <c r="N2097">
        <v>49.432466686793497</v>
      </c>
      <c r="O2097">
        <v>49.2033780370637</v>
      </c>
      <c r="P2097">
        <v>-0.22118831320756999</v>
      </c>
      <c r="Q2097">
        <v>6.0474087227155499E-2</v>
      </c>
      <c r="R2097">
        <v>0.99623680884628596</v>
      </c>
      <c r="S2097" t="s">
        <v>7958</v>
      </c>
      <c r="T2097" t="s">
        <v>11720</v>
      </c>
      <c r="U2097" t="s">
        <v>11720</v>
      </c>
      <c r="V2097" t="s">
        <v>11720</v>
      </c>
      <c r="W2097" t="s">
        <v>13774</v>
      </c>
      <c r="X2097">
        <v>62</v>
      </c>
      <c r="Y2097" t="s">
        <v>19538</v>
      </c>
      <c r="Z2097" t="s">
        <v>25304</v>
      </c>
      <c r="AA2097">
        <v>0.35395004585048329</v>
      </c>
      <c r="AB2097" t="str">
        <f>HYPERLINK("Melting_Curves/meltCurve_P22314_UBA1.pdf", "Melting_Curves/meltCurve_P22314_UBA1.pdf")</f>
        <v>Melting_Curves/meltCurve_P22314_UBA1.pdf</v>
      </c>
    </row>
    <row r="2098" spans="1:28" x14ac:dyDescent="0.25">
      <c r="A2098" t="s">
        <v>2102</v>
      </c>
      <c r="B2098">
        <v>0.99334974765950101</v>
      </c>
      <c r="C2098">
        <v>1.1843663887740601</v>
      </c>
      <c r="D2098">
        <v>0.94147828675032996</v>
      </c>
      <c r="E2098">
        <v>0.82203218106644005</v>
      </c>
      <c r="F2098">
        <v>0.69479826640669595</v>
      </c>
      <c r="G2098">
        <v>0.71050465230438498</v>
      </c>
      <c r="H2098">
        <v>0.55187009998137904</v>
      </c>
      <c r="I2098">
        <v>0.55001703631537202</v>
      </c>
      <c r="J2098">
        <v>0.37579914943127002</v>
      </c>
      <c r="K2098">
        <v>0.30291829573047901</v>
      </c>
      <c r="L2098">
        <v>472.61768784237398</v>
      </c>
      <c r="M2098">
        <v>7.6328179687014996</v>
      </c>
      <c r="N2098">
        <v>62.903719533474998</v>
      </c>
      <c r="O2098">
        <v>58.098146587327001</v>
      </c>
      <c r="P2098">
        <v>-3.1036989217772398E-2</v>
      </c>
      <c r="Q2098">
        <v>5.6303602305597403E-2</v>
      </c>
      <c r="R2098">
        <v>0.90358240603458495</v>
      </c>
      <c r="S2098" t="s">
        <v>7959</v>
      </c>
      <c r="T2098" t="s">
        <v>11720</v>
      </c>
      <c r="U2098" t="s">
        <v>11720</v>
      </c>
      <c r="V2098" t="s">
        <v>11720</v>
      </c>
      <c r="W2098" t="s">
        <v>13775</v>
      </c>
      <c r="X2098">
        <v>1</v>
      </c>
      <c r="Y2098" t="s">
        <v>19539</v>
      </c>
      <c r="Z2098" t="s">
        <v>25305</v>
      </c>
      <c r="AA2098">
        <v>0.70851682278250072</v>
      </c>
      <c r="AB2098" t="str">
        <f>HYPERLINK("Melting_Curves/meltCurve_P22352_GPX3.pdf", "Melting_Curves/meltCurve_P22352_GPX3.pdf")</f>
        <v>Melting_Curves/meltCurve_P22352_GPX3.pdf</v>
      </c>
    </row>
    <row r="2099" spans="1:28" x14ac:dyDescent="0.25">
      <c r="A2099" t="s">
        <v>2103</v>
      </c>
      <c r="B2099">
        <v>0.99334974765950101</v>
      </c>
      <c r="C2099">
        <v>1.0005444938763399</v>
      </c>
      <c r="D2099">
        <v>0.97866664232600298</v>
      </c>
      <c r="E2099">
        <v>1.0683240672056</v>
      </c>
      <c r="F2099">
        <v>0.96802030540666995</v>
      </c>
      <c r="G2099">
        <v>0.83489347470011599</v>
      </c>
      <c r="H2099">
        <v>0.655537948711019</v>
      </c>
      <c r="I2099">
        <v>0.76338067363302198</v>
      </c>
      <c r="J2099">
        <v>0.48123419696617498</v>
      </c>
      <c r="K2099">
        <v>0.391802755650764</v>
      </c>
      <c r="L2099">
        <v>713.05729858858194</v>
      </c>
      <c r="M2099">
        <v>10.5845229575758</v>
      </c>
      <c r="N2099">
        <v>67.367919256003802</v>
      </c>
      <c r="O2099">
        <v>65.096593632888002</v>
      </c>
      <c r="P2099">
        <v>-4.0665195191743601E-2</v>
      </c>
      <c r="Q2099">
        <v>0</v>
      </c>
      <c r="R2099">
        <v>0.92505905378451403</v>
      </c>
      <c r="S2099" t="s">
        <v>7960</v>
      </c>
      <c r="T2099" t="s">
        <v>11720</v>
      </c>
      <c r="U2099" t="s">
        <v>11720</v>
      </c>
      <c r="V2099" t="s">
        <v>11720</v>
      </c>
      <c r="W2099" t="s">
        <v>13776</v>
      </c>
      <c r="X2099">
        <v>21</v>
      </c>
      <c r="Y2099" t="s">
        <v>19540</v>
      </c>
      <c r="Z2099" t="s">
        <v>25306</v>
      </c>
      <c r="AA2099">
        <v>0.83024888580203238</v>
      </c>
      <c r="AB2099" t="str">
        <f>HYPERLINK("Melting_Curves/meltCurve_P22413_ENPP1.pdf", "Melting_Curves/meltCurve_P22413_ENPP1.pdf")</f>
        <v>Melting_Curves/meltCurve_P22413_ENPP1.pdf</v>
      </c>
    </row>
    <row r="2100" spans="1:28" x14ac:dyDescent="0.25">
      <c r="A2100" t="s">
        <v>2104</v>
      </c>
      <c r="B2100">
        <v>0.99334974765950101</v>
      </c>
      <c r="C2100">
        <v>1.00598534827033</v>
      </c>
      <c r="D2100">
        <v>0.84913213931458398</v>
      </c>
      <c r="E2100">
        <v>0.66099693024304296</v>
      </c>
      <c r="F2100">
        <v>0.336107788124617</v>
      </c>
      <c r="G2100">
        <v>0.164677877722159</v>
      </c>
      <c r="H2100">
        <v>0.17383232687751901</v>
      </c>
      <c r="I2100">
        <v>0.113602963579472</v>
      </c>
      <c r="J2100">
        <v>0.20425127213880001</v>
      </c>
      <c r="K2100">
        <v>0.17586721891486701</v>
      </c>
      <c r="L2100">
        <v>1181.5819089377701</v>
      </c>
      <c r="M2100">
        <v>23.447803599716799</v>
      </c>
      <c r="N2100">
        <v>51.181459680898897</v>
      </c>
      <c r="O2100">
        <v>50.029772701955402</v>
      </c>
      <c r="P2100">
        <v>-9.9391170333117299E-2</v>
      </c>
      <c r="Q2100">
        <v>0.15174463334287</v>
      </c>
      <c r="R2100">
        <v>0.98833429569666098</v>
      </c>
      <c r="S2100" t="s">
        <v>7961</v>
      </c>
      <c r="T2100" t="s">
        <v>11720</v>
      </c>
      <c r="U2100" t="s">
        <v>11720</v>
      </c>
      <c r="V2100" t="s">
        <v>11720</v>
      </c>
      <c r="W2100" t="s">
        <v>13777</v>
      </c>
      <c r="X2100">
        <v>27</v>
      </c>
      <c r="Y2100" t="s">
        <v>19541</v>
      </c>
      <c r="Z2100" t="s">
        <v>25307</v>
      </c>
      <c r="AA2100">
        <v>0.45422679665781163</v>
      </c>
      <c r="AB2100" t="str">
        <f>HYPERLINK("Melting_Curves/meltCurve_P22570_FDXR.pdf", "Melting_Curves/meltCurve_P22570_FDXR.pdf")</f>
        <v>Melting_Curves/meltCurve_P22570_FDXR.pdf</v>
      </c>
    </row>
    <row r="2101" spans="1:28" x14ac:dyDescent="0.25">
      <c r="A2101" t="s">
        <v>2105</v>
      </c>
      <c r="B2101">
        <v>0.99334974765950101</v>
      </c>
      <c r="C2101">
        <v>1.14347214243986</v>
      </c>
      <c r="D2101">
        <v>1.0363601840319301</v>
      </c>
      <c r="E2101">
        <v>0.96032944514934304</v>
      </c>
      <c r="F2101">
        <v>0.469925781824446</v>
      </c>
      <c r="G2101">
        <v>0.27092928078421202</v>
      </c>
      <c r="H2101">
        <v>0.207559561010184</v>
      </c>
      <c r="I2101">
        <v>0.194790736353222</v>
      </c>
      <c r="J2101">
        <v>0.236982789634996</v>
      </c>
      <c r="K2101">
        <v>0.32778995814005202</v>
      </c>
      <c r="L2101">
        <v>3267.0969056857498</v>
      </c>
      <c r="M2101">
        <v>62.501313942070503</v>
      </c>
      <c r="N2101">
        <v>52.847140080736899</v>
      </c>
      <c r="O2101">
        <v>52.219023522111897</v>
      </c>
      <c r="P2101">
        <v>-0.22543525776082499</v>
      </c>
      <c r="Q2101">
        <v>0.24660760333380599</v>
      </c>
      <c r="R2101">
        <v>0.97652078242819096</v>
      </c>
      <c r="S2101" t="s">
        <v>7962</v>
      </c>
      <c r="T2101" t="s">
        <v>11720</v>
      </c>
      <c r="U2101" t="s">
        <v>11720</v>
      </c>
      <c r="V2101" t="s">
        <v>11720</v>
      </c>
      <c r="W2101" t="s">
        <v>13778</v>
      </c>
      <c r="X2101">
        <v>16</v>
      </c>
      <c r="Y2101" t="s">
        <v>19542</v>
      </c>
      <c r="Z2101" t="s">
        <v>25308</v>
      </c>
      <c r="AA2101">
        <v>0.55591613319077671</v>
      </c>
      <c r="AB2101" t="str">
        <f>HYPERLINK("Melting_Curves/meltCurve_P22626_HNRNPA2B1.pdf", "Melting_Curves/meltCurve_P22626_HNRNPA2B1.pdf")</f>
        <v>Melting_Curves/meltCurve_P22626_HNRNPA2B1.pdf</v>
      </c>
    </row>
    <row r="2102" spans="1:28" x14ac:dyDescent="0.25">
      <c r="A2102" t="s">
        <v>2106</v>
      </c>
      <c r="B2102">
        <v>0.99334974765950101</v>
      </c>
      <c r="C2102">
        <v>0.96729851698918401</v>
      </c>
      <c r="D2102">
        <v>0.93918840756769995</v>
      </c>
      <c r="E2102">
        <v>0.82858903985420795</v>
      </c>
      <c r="F2102">
        <v>0.75559478352457998</v>
      </c>
      <c r="G2102">
        <v>0.39242766986347699</v>
      </c>
      <c r="H2102">
        <v>0.28153192759732898</v>
      </c>
      <c r="I2102">
        <v>0.287583262650494</v>
      </c>
      <c r="J2102">
        <v>0.26153938535147297</v>
      </c>
      <c r="K2102">
        <v>0.235218185370627</v>
      </c>
      <c r="L2102">
        <v>1081.0627708765501</v>
      </c>
      <c r="M2102">
        <v>20.005224730333499</v>
      </c>
      <c r="N2102">
        <v>55.7759364279175</v>
      </c>
      <c r="O2102">
        <v>53.507741522320899</v>
      </c>
      <c r="P2102">
        <v>-7.1802428097568399E-2</v>
      </c>
      <c r="Q2102">
        <v>0.23182850754479201</v>
      </c>
      <c r="R2102">
        <v>0.98832385460224303</v>
      </c>
      <c r="S2102" t="s">
        <v>7963</v>
      </c>
      <c r="T2102" t="s">
        <v>11720</v>
      </c>
      <c r="U2102" t="s">
        <v>11720</v>
      </c>
      <c r="V2102" t="s">
        <v>11720</v>
      </c>
      <c r="W2102" t="s">
        <v>13779</v>
      </c>
      <c r="X2102">
        <v>3</v>
      </c>
      <c r="Y2102" t="s">
        <v>19543</v>
      </c>
      <c r="Z2102" t="s">
        <v>25309</v>
      </c>
      <c r="AA2102">
        <v>0.60173738977076019</v>
      </c>
      <c r="AB2102" t="str">
        <f>HYPERLINK("Melting_Curves/meltCurve_P22676_CALB2.pdf", "Melting_Curves/meltCurve_P22676_CALB2.pdf")</f>
        <v>Melting_Curves/meltCurve_P22676_CALB2.pdf</v>
      </c>
    </row>
    <row r="2103" spans="1:28" x14ac:dyDescent="0.25">
      <c r="A2103" t="s">
        <v>2107</v>
      </c>
      <c r="B2103">
        <v>0.99334974765950101</v>
      </c>
      <c r="C2103">
        <v>0.98667232800401194</v>
      </c>
      <c r="D2103">
        <v>0.97225815273712002</v>
      </c>
      <c r="E2103">
        <v>0.87516621106366999</v>
      </c>
      <c r="F2103">
        <v>0.739101744285794</v>
      </c>
      <c r="G2103">
        <v>0.42950858390042002</v>
      </c>
      <c r="H2103">
        <v>0.19474376180266301</v>
      </c>
      <c r="I2103">
        <v>0.19063325970602299</v>
      </c>
      <c r="J2103">
        <v>0.18279469242976101</v>
      </c>
      <c r="K2103">
        <v>0.171957676046289</v>
      </c>
      <c r="L2103">
        <v>1161.16319456212</v>
      </c>
      <c r="M2103">
        <v>21.1774308270092</v>
      </c>
      <c r="N2103">
        <v>55.774912953530503</v>
      </c>
      <c r="O2103">
        <v>54.348336458008099</v>
      </c>
      <c r="P2103">
        <v>-8.2736075704186299E-2</v>
      </c>
      <c r="Q2103">
        <v>0.15070876172674799</v>
      </c>
      <c r="R2103">
        <v>0.99678395192292102</v>
      </c>
      <c r="S2103" t="s">
        <v>7964</v>
      </c>
      <c r="T2103" t="s">
        <v>11720</v>
      </c>
      <c r="U2103" t="s">
        <v>11720</v>
      </c>
      <c r="V2103" t="s">
        <v>11720</v>
      </c>
      <c r="W2103" t="s">
        <v>13780</v>
      </c>
      <c r="X2103">
        <v>24</v>
      </c>
      <c r="Y2103" t="s">
        <v>19544</v>
      </c>
      <c r="Z2103" t="s">
        <v>25310</v>
      </c>
      <c r="AA2103">
        <v>0.58093830999023133</v>
      </c>
      <c r="AB2103" t="str">
        <f>HYPERLINK("Melting_Curves/meltCurve_P22681_CBL.pdf", "Melting_Curves/meltCurve_P22681_CBL.pdf")</f>
        <v>Melting_Curves/meltCurve_P22681_CBL.pdf</v>
      </c>
    </row>
    <row r="2104" spans="1:28" x14ac:dyDescent="0.25">
      <c r="A2104" t="s">
        <v>2108</v>
      </c>
      <c r="B2104">
        <v>0.99334974765950101</v>
      </c>
      <c r="C2104">
        <v>1.0334232557408201</v>
      </c>
      <c r="D2104">
        <v>0.92173453096933899</v>
      </c>
      <c r="E2104">
        <v>0.80950816660659597</v>
      </c>
      <c r="F2104">
        <v>0.86307649477225201</v>
      </c>
      <c r="G2104">
        <v>0.63387775026763504</v>
      </c>
      <c r="H2104">
        <v>0.56896900190502997</v>
      </c>
      <c r="I2104">
        <v>0.59684704686694501</v>
      </c>
      <c r="J2104">
        <v>0.69775774134651702</v>
      </c>
      <c r="K2104">
        <v>0.55254595385949401</v>
      </c>
      <c r="L2104">
        <v>789.74461996497996</v>
      </c>
      <c r="M2104">
        <v>15.107731074753101</v>
      </c>
      <c r="O2104">
        <v>51.384005400187199</v>
      </c>
      <c r="P2104">
        <v>-3.0705380766342001E-2</v>
      </c>
      <c r="Q2104">
        <v>0.58230399842916103</v>
      </c>
      <c r="R2104">
        <v>0.89357525783499703</v>
      </c>
      <c r="S2104" t="s">
        <v>7965</v>
      </c>
      <c r="T2104" t="s">
        <v>11720</v>
      </c>
      <c r="U2104" t="s">
        <v>11720</v>
      </c>
      <c r="V2104" t="s">
        <v>11720</v>
      </c>
      <c r="W2104" t="s">
        <v>13781</v>
      </c>
      <c r="X2104">
        <v>10</v>
      </c>
      <c r="Y2104" t="s">
        <v>19545</v>
      </c>
      <c r="Z2104" t="s">
        <v>25311</v>
      </c>
      <c r="AA2104">
        <v>0.76234909805593676</v>
      </c>
      <c r="AB2104" t="str">
        <f>HYPERLINK("Melting_Curves/meltCurve_P22692_IGFBP4.pdf", "Melting_Curves/meltCurve_P22692_IGFBP4.pdf")</f>
        <v>Melting_Curves/meltCurve_P22692_IGFBP4.pdf</v>
      </c>
    </row>
    <row r="2105" spans="1:28" x14ac:dyDescent="0.25">
      <c r="A2105" t="s">
        <v>2109</v>
      </c>
      <c r="B2105">
        <v>0.99334974765950101</v>
      </c>
      <c r="C2105">
        <v>0.94884739668167495</v>
      </c>
      <c r="D2105">
        <v>0.85016777821372602</v>
      </c>
      <c r="E2105">
        <v>0.46867940818787801</v>
      </c>
      <c r="F2105">
        <v>0.28590155650687998</v>
      </c>
      <c r="G2105">
        <v>0.13283805992564399</v>
      </c>
      <c r="H2105">
        <v>0.111036948270706</v>
      </c>
      <c r="I2105">
        <v>0.104708953545757</v>
      </c>
      <c r="J2105">
        <v>0.12905760743922201</v>
      </c>
      <c r="K2105">
        <v>0.109752062660783</v>
      </c>
      <c r="L2105">
        <v>1059.46454548258</v>
      </c>
      <c r="M2105">
        <v>21.514250991717901</v>
      </c>
      <c r="N2105">
        <v>49.795250623509602</v>
      </c>
      <c r="O2105">
        <v>48.825264613683103</v>
      </c>
      <c r="P2105">
        <v>-9.8503419055026797E-2</v>
      </c>
      <c r="Q2105">
        <v>0.105832499520433</v>
      </c>
      <c r="R2105">
        <v>0.99858167082319804</v>
      </c>
      <c r="S2105" t="s">
        <v>7966</v>
      </c>
      <c r="T2105" t="s">
        <v>11720</v>
      </c>
      <c r="U2105" t="s">
        <v>11720</v>
      </c>
      <c r="V2105" t="s">
        <v>11720</v>
      </c>
      <c r="W2105" t="s">
        <v>13782</v>
      </c>
      <c r="X2105">
        <v>12</v>
      </c>
      <c r="Y2105" t="s">
        <v>19546</v>
      </c>
      <c r="Z2105" t="s">
        <v>25312</v>
      </c>
      <c r="AA2105">
        <v>0.39216290846453378</v>
      </c>
      <c r="AB2105" t="str">
        <f>HYPERLINK("Melting_Curves/meltCurve_P22694_PRKACB.pdf", "Melting_Curves/meltCurve_P22694_PRKACB.pdf")</f>
        <v>Melting_Curves/meltCurve_P22694_PRKACB.pdf</v>
      </c>
    </row>
    <row r="2106" spans="1:28" x14ac:dyDescent="0.25">
      <c r="A2106" t="s">
        <v>2110</v>
      </c>
      <c r="B2106">
        <v>0.99334974765950101</v>
      </c>
      <c r="C2106">
        <v>0.99637874944564198</v>
      </c>
      <c r="D2106">
        <v>1.0608116058454899</v>
      </c>
      <c r="E2106">
        <v>0.99431846507967203</v>
      </c>
      <c r="F2106">
        <v>0.62593282157880203</v>
      </c>
      <c r="G2106">
        <v>0.29049130843495602</v>
      </c>
      <c r="H2106">
        <v>0.173205883424182</v>
      </c>
      <c r="I2106">
        <v>0.157182207232544</v>
      </c>
      <c r="J2106">
        <v>0.14228746769273501</v>
      </c>
      <c r="K2106">
        <v>0.11368035850116701</v>
      </c>
      <c r="L2106">
        <v>1790.15185010085</v>
      </c>
      <c r="M2106">
        <v>33.348274969067397</v>
      </c>
      <c r="N2106">
        <v>54.246509896368103</v>
      </c>
      <c r="O2106">
        <v>53.488566093572402</v>
      </c>
      <c r="P2106">
        <v>-0.132964499286224</v>
      </c>
      <c r="Q2106">
        <v>0.146936384418838</v>
      </c>
      <c r="R2106">
        <v>0.99237827426450298</v>
      </c>
      <c r="S2106" t="s">
        <v>7967</v>
      </c>
      <c r="T2106" t="s">
        <v>11720</v>
      </c>
      <c r="U2106" t="s">
        <v>11720</v>
      </c>
      <c r="V2106" t="s">
        <v>11720</v>
      </c>
      <c r="W2106" t="s">
        <v>13783</v>
      </c>
      <c r="X2106">
        <v>20</v>
      </c>
      <c r="Y2106" t="s">
        <v>19547</v>
      </c>
      <c r="Z2106" t="s">
        <v>25313</v>
      </c>
      <c r="AA2106">
        <v>0.5404853641894688</v>
      </c>
      <c r="AB2106" t="str">
        <f>HYPERLINK("Melting_Curves/meltCurve_P22830_FECH.pdf", "Melting_Curves/meltCurve_P22830_FECH.pdf")</f>
        <v>Melting_Curves/meltCurve_P22830_FECH.pdf</v>
      </c>
    </row>
    <row r="2107" spans="1:28" x14ac:dyDescent="0.25">
      <c r="A2107" t="s">
        <v>2111</v>
      </c>
      <c r="B2107">
        <v>0.99334974765950101</v>
      </c>
      <c r="C2107">
        <v>1.01870422471249</v>
      </c>
      <c r="D2107">
        <v>1.05042048304568</v>
      </c>
      <c r="E2107">
        <v>1.06951972152513</v>
      </c>
      <c r="F2107">
        <v>0.76498400390126198</v>
      </c>
      <c r="G2107">
        <v>0.46936917993597499</v>
      </c>
      <c r="H2107">
        <v>0.26285624853879103</v>
      </c>
      <c r="I2107">
        <v>0.251704762315824</v>
      </c>
      <c r="J2107">
        <v>0.19479462864566399</v>
      </c>
      <c r="K2107">
        <v>0.129152932796715</v>
      </c>
      <c r="L2107">
        <v>1434.8325020756899</v>
      </c>
      <c r="M2107">
        <v>25.812851880133898</v>
      </c>
      <c r="N2107">
        <v>56.562445967884997</v>
      </c>
      <c r="O2107">
        <v>55.255576617804799</v>
      </c>
      <c r="P2107">
        <v>-9.5792479135175704E-2</v>
      </c>
      <c r="Q2107">
        <v>0.17978749279689399</v>
      </c>
      <c r="R2107">
        <v>0.98292517671233903</v>
      </c>
      <c r="S2107" t="s">
        <v>7968</v>
      </c>
      <c r="T2107" t="s">
        <v>11720</v>
      </c>
      <c r="U2107" t="s">
        <v>11720</v>
      </c>
      <c r="V2107" t="s">
        <v>11720</v>
      </c>
      <c r="W2107" t="s">
        <v>13784</v>
      </c>
      <c r="X2107">
        <v>26</v>
      </c>
      <c r="Y2107" t="s">
        <v>19548</v>
      </c>
      <c r="Z2107" t="s">
        <v>25314</v>
      </c>
      <c r="AA2107">
        <v>0.61307219679071279</v>
      </c>
      <c r="AB2107" t="str">
        <f>HYPERLINK("Melting_Curves/meltCurve_P23141_3_CES1.pdf", "Melting_Curves/meltCurve_P23141_3_CES1.pdf")</f>
        <v>Melting_Curves/meltCurve_P23141_3_CES1.pdf</v>
      </c>
    </row>
    <row r="2108" spans="1:28" x14ac:dyDescent="0.25">
      <c r="A2108" t="s">
        <v>2112</v>
      </c>
      <c r="B2108">
        <v>0.99334974765950101</v>
      </c>
      <c r="C2108">
        <v>1.0895116301185599</v>
      </c>
      <c r="D2108">
        <v>1.4112605475289299</v>
      </c>
      <c r="E2108">
        <v>1.6515842614827601</v>
      </c>
      <c r="F2108">
        <v>1.3606101039438501</v>
      </c>
      <c r="G2108">
        <v>2.7456214033901198</v>
      </c>
      <c r="H2108">
        <v>1.41386974430132</v>
      </c>
      <c r="I2108">
        <v>1.1708365314240301</v>
      </c>
      <c r="J2108">
        <v>0.642404732120475</v>
      </c>
      <c r="K2108">
        <v>0.56457785211739697</v>
      </c>
      <c r="L2108">
        <v>15000</v>
      </c>
      <c r="M2108">
        <v>225.40185758969201</v>
      </c>
      <c r="O2108">
        <v>66.542571366299399</v>
      </c>
      <c r="P2108">
        <v>-0.36881940007914699</v>
      </c>
      <c r="Q2108">
        <v>0.56447224600061396</v>
      </c>
      <c r="R2108">
        <v>-0.18065783641053501</v>
      </c>
      <c r="S2108" t="s">
        <v>7969</v>
      </c>
      <c r="T2108" t="s">
        <v>11720</v>
      </c>
      <c r="U2108" t="s">
        <v>11720</v>
      </c>
      <c r="V2108" t="s">
        <v>11720</v>
      </c>
      <c r="W2108" t="s">
        <v>13785</v>
      </c>
      <c r="X2108">
        <v>12</v>
      </c>
      <c r="Y2108" t="s">
        <v>19549</v>
      </c>
      <c r="Z2108" t="s">
        <v>25315</v>
      </c>
      <c r="AA2108">
        <v>0.94994502037831219</v>
      </c>
      <c r="AB2108" t="str">
        <f>HYPERLINK("Melting_Curves/meltCurve_P23142_4_FBLN1.pdf", "Melting_Curves/meltCurve_P23142_4_FBLN1.pdf")</f>
        <v>Melting_Curves/meltCurve_P23142_4_FBLN1.pdf</v>
      </c>
    </row>
    <row r="2109" spans="1:28" x14ac:dyDescent="0.25">
      <c r="A2109" t="s">
        <v>2113</v>
      </c>
      <c r="B2109">
        <v>0.99334974765950101</v>
      </c>
      <c r="C2109">
        <v>1.0036662454154499</v>
      </c>
      <c r="D2109">
        <v>0.91077807822579904</v>
      </c>
      <c r="E2109">
        <v>0.76498835375311103</v>
      </c>
      <c r="F2109">
        <v>0.51485601966352201</v>
      </c>
      <c r="G2109">
        <v>0.28835181661974002</v>
      </c>
      <c r="H2109">
        <v>0.20784943829468699</v>
      </c>
      <c r="I2109">
        <v>0.195436670057928</v>
      </c>
      <c r="J2109">
        <v>0.19769119722956499</v>
      </c>
      <c r="K2109">
        <v>0.17423629050167899</v>
      </c>
      <c r="L2109">
        <v>1047.6779110310099</v>
      </c>
      <c r="M2109">
        <v>20.121086357041399</v>
      </c>
      <c r="N2109">
        <v>53.199971558027698</v>
      </c>
      <c r="O2109">
        <v>51.5625251916588</v>
      </c>
      <c r="P2109">
        <v>-8.0578967747330199E-2</v>
      </c>
      <c r="Q2109">
        <v>0.17405584388595499</v>
      </c>
      <c r="R2109">
        <v>0.99820386710810605</v>
      </c>
      <c r="S2109" t="s">
        <v>7970</v>
      </c>
      <c r="T2109" t="s">
        <v>11720</v>
      </c>
      <c r="U2109" t="s">
        <v>11720</v>
      </c>
      <c r="V2109" t="s">
        <v>11720</v>
      </c>
      <c r="W2109" t="s">
        <v>13786</v>
      </c>
      <c r="X2109">
        <v>22</v>
      </c>
      <c r="Y2109" t="s">
        <v>19550</v>
      </c>
      <c r="Z2109" t="s">
        <v>25316</v>
      </c>
      <c r="AA2109">
        <v>0.51762764747850842</v>
      </c>
      <c r="AB2109" t="str">
        <f>HYPERLINK("Melting_Curves/meltCurve_P23193_TCEA1.pdf", "Melting_Curves/meltCurve_P23193_TCEA1.pdf")</f>
        <v>Melting_Curves/meltCurve_P23193_TCEA1.pdf</v>
      </c>
    </row>
    <row r="2110" spans="1:28" x14ac:dyDescent="0.25">
      <c r="A2110" t="s">
        <v>2114</v>
      </c>
      <c r="B2110">
        <v>0.99334974765950101</v>
      </c>
      <c r="C2110">
        <v>0.98447640194918096</v>
      </c>
      <c r="D2110">
        <v>1.13282695984224</v>
      </c>
      <c r="E2110">
        <v>1.13646724692929</v>
      </c>
      <c r="F2110">
        <v>1.0004202049261599</v>
      </c>
      <c r="G2110">
        <v>0.78793667510037402</v>
      </c>
      <c r="H2110">
        <v>0.40174147609347299</v>
      </c>
      <c r="I2110">
        <v>0.15283099683538401</v>
      </c>
      <c r="J2110">
        <v>8.9316233803538994E-2</v>
      </c>
      <c r="K2110">
        <v>6.5442974261074996E-2</v>
      </c>
      <c r="L2110">
        <v>1743.88138228663</v>
      </c>
      <c r="M2110">
        <v>29.200479019027402</v>
      </c>
      <c r="N2110">
        <v>59.934632416175504</v>
      </c>
      <c r="O2110">
        <v>59.4429964351921</v>
      </c>
      <c r="P2110">
        <v>-0.11673943104167001</v>
      </c>
      <c r="Q2110">
        <v>4.9427762229266599E-2</v>
      </c>
      <c r="R2110">
        <v>0.97826722783327302</v>
      </c>
      <c r="S2110" t="s">
        <v>7971</v>
      </c>
      <c r="T2110" t="s">
        <v>11720</v>
      </c>
      <c r="U2110" t="s">
        <v>11720</v>
      </c>
      <c r="V2110" t="s">
        <v>11720</v>
      </c>
      <c r="W2110" t="s">
        <v>13787</v>
      </c>
      <c r="X2110">
        <v>15</v>
      </c>
      <c r="Y2110" t="s">
        <v>19551</v>
      </c>
      <c r="Z2110" t="s">
        <v>25317</v>
      </c>
      <c r="AA2110">
        <v>0.68039944390689533</v>
      </c>
      <c r="AB2110" t="str">
        <f>HYPERLINK("Melting_Curves/meltCurve_P23219_3_PTGS1.pdf", "Melting_Curves/meltCurve_P23219_3_PTGS1.pdf")</f>
        <v>Melting_Curves/meltCurve_P23219_3_PTGS1.pdf</v>
      </c>
    </row>
    <row r="2111" spans="1:28" x14ac:dyDescent="0.25">
      <c r="A2111" t="s">
        <v>2115</v>
      </c>
      <c r="B2111">
        <v>0.99334974765950101</v>
      </c>
      <c r="C2111">
        <v>1.2167764168355699</v>
      </c>
      <c r="D2111">
        <v>1.6562719431459201</v>
      </c>
      <c r="E2111">
        <v>1.93524289119688</v>
      </c>
      <c r="F2111">
        <v>0.91381558296855303</v>
      </c>
      <c r="G2111">
        <v>0.517726317953912</v>
      </c>
      <c r="H2111">
        <v>0.39214960425606699</v>
      </c>
      <c r="I2111">
        <v>0.39638750710513498</v>
      </c>
      <c r="J2111">
        <v>0.414297157386321</v>
      </c>
      <c r="K2111">
        <v>0.48295702982963401</v>
      </c>
      <c r="L2111">
        <v>3342.6378646435401</v>
      </c>
      <c r="M2111">
        <v>60.445063142639803</v>
      </c>
      <c r="N2111">
        <v>57.070047887642502</v>
      </c>
      <c r="O2111">
        <v>55.239999765572698</v>
      </c>
      <c r="P2111">
        <v>-0.157769284612649</v>
      </c>
      <c r="Q2111">
        <v>0.42326664590169899</v>
      </c>
      <c r="R2111">
        <v>0.51696433336343595</v>
      </c>
      <c r="S2111" t="s">
        <v>7972</v>
      </c>
      <c r="T2111" t="s">
        <v>11720</v>
      </c>
      <c r="U2111" t="s">
        <v>11720</v>
      </c>
      <c r="V2111" t="s">
        <v>11720</v>
      </c>
      <c r="W2111" t="s">
        <v>13788</v>
      </c>
      <c r="X2111">
        <v>13</v>
      </c>
      <c r="Y2111" t="s">
        <v>19552</v>
      </c>
      <c r="Z2111" t="s">
        <v>25318</v>
      </c>
      <c r="AA2111">
        <v>0.71836972689571255</v>
      </c>
      <c r="AB2111" t="str">
        <f>HYPERLINK("Melting_Curves/meltCurve_P23246_SFPQ.pdf", "Melting_Curves/meltCurve_P23246_SFPQ.pdf")</f>
        <v>Melting_Curves/meltCurve_P23246_SFPQ.pdf</v>
      </c>
    </row>
    <row r="2112" spans="1:28" x14ac:dyDescent="0.25">
      <c r="A2112" t="s">
        <v>2116</v>
      </c>
      <c r="B2112">
        <v>0.99334974765950101</v>
      </c>
      <c r="C2112">
        <v>0.99149837490526405</v>
      </c>
      <c r="D2112">
        <v>1.0218953778012601</v>
      </c>
      <c r="E2112">
        <v>0.85799436506452897</v>
      </c>
      <c r="F2112">
        <v>0.86114791936062896</v>
      </c>
      <c r="G2112">
        <v>0.58653228467414698</v>
      </c>
      <c r="H2112">
        <v>0.393471955905771</v>
      </c>
      <c r="I2112">
        <v>0.140351252034249</v>
      </c>
      <c r="J2112">
        <v>0.106315745285366</v>
      </c>
      <c r="K2112">
        <v>3.9522202263264201E-2</v>
      </c>
      <c r="L2112">
        <v>948.08129408986395</v>
      </c>
      <c r="M2112">
        <v>16.241563085965399</v>
      </c>
      <c r="N2112">
        <v>58.373772166104601</v>
      </c>
      <c r="O2112">
        <v>57.510367294112399</v>
      </c>
      <c r="P2112">
        <v>-7.0608004453949796E-2</v>
      </c>
      <c r="Q2112">
        <v>0</v>
      </c>
      <c r="R2112">
        <v>0.98920055598427403</v>
      </c>
      <c r="S2112" t="s">
        <v>7973</v>
      </c>
      <c r="T2112" t="s">
        <v>11720</v>
      </c>
      <c r="U2112" t="s">
        <v>11720</v>
      </c>
      <c r="V2112" t="s">
        <v>11720</v>
      </c>
      <c r="W2112" t="s">
        <v>13789</v>
      </c>
      <c r="X2112">
        <v>7</v>
      </c>
      <c r="Y2112" t="s">
        <v>19553</v>
      </c>
      <c r="Z2112" t="s">
        <v>25319</v>
      </c>
      <c r="AA2112">
        <v>0.62473913045956564</v>
      </c>
      <c r="AB2112" t="str">
        <f>HYPERLINK("Melting_Curves/meltCurve_P23258_TUBG1.pdf", "Melting_Curves/meltCurve_P23258_TUBG1.pdf")</f>
        <v>Melting_Curves/meltCurve_P23258_TUBG1.pdf</v>
      </c>
    </row>
    <row r="2113" spans="1:28" x14ac:dyDescent="0.25">
      <c r="A2113" t="s">
        <v>2117</v>
      </c>
      <c r="B2113">
        <v>0.99334974765950101</v>
      </c>
      <c r="C2113">
        <v>0.96880733900565297</v>
      </c>
      <c r="D2113">
        <v>0.92810795438222904</v>
      </c>
      <c r="E2113">
        <v>0.71889069658402405</v>
      </c>
      <c r="F2113">
        <v>0.241117689075623</v>
      </c>
      <c r="G2113">
        <v>0.18086881594568799</v>
      </c>
      <c r="H2113">
        <v>0.13249320300237999</v>
      </c>
      <c r="I2113">
        <v>0.12847614996325299</v>
      </c>
      <c r="J2113">
        <v>0.106264284017922</v>
      </c>
      <c r="K2113">
        <v>9.2655236642778999E-2</v>
      </c>
      <c r="L2113">
        <v>2107.6894644054901</v>
      </c>
      <c r="M2113">
        <v>41.4641432806133</v>
      </c>
      <c r="N2113">
        <v>51.181584889651099</v>
      </c>
      <c r="O2113">
        <v>50.713833210010598</v>
      </c>
      <c r="P2113">
        <v>-0.17917174191843499</v>
      </c>
      <c r="Q2113">
        <v>0.123438727571266</v>
      </c>
      <c r="R2113">
        <v>0.99387930952454795</v>
      </c>
      <c r="S2113" t="s">
        <v>7974</v>
      </c>
      <c r="T2113" t="s">
        <v>11720</v>
      </c>
      <c r="U2113" t="s">
        <v>11720</v>
      </c>
      <c r="V2113" t="s">
        <v>11720</v>
      </c>
      <c r="W2113" t="s">
        <v>13790</v>
      </c>
      <c r="X2113">
        <v>25</v>
      </c>
      <c r="Y2113" t="s">
        <v>19554</v>
      </c>
      <c r="Z2113" t="s">
        <v>25320</v>
      </c>
      <c r="AA2113">
        <v>0.4427893286178835</v>
      </c>
      <c r="AB2113" t="str">
        <f>HYPERLINK("Melting_Curves/meltCurve_P23284_PPIB.pdf", "Melting_Curves/meltCurve_P23284_PPIB.pdf")</f>
        <v>Melting_Curves/meltCurve_P23284_PPIB.pdf</v>
      </c>
    </row>
    <row r="2114" spans="1:28" x14ac:dyDescent="0.25">
      <c r="A2114" t="s">
        <v>2118</v>
      </c>
      <c r="B2114">
        <v>0.99334974765950101</v>
      </c>
      <c r="C2114">
        <v>0.99639386171447697</v>
      </c>
      <c r="D2114">
        <v>1.0451394863414201</v>
      </c>
      <c r="E2114">
        <v>0.88231868318756801</v>
      </c>
      <c r="F2114">
        <v>0.63391784516472705</v>
      </c>
      <c r="G2114">
        <v>0.43674558371259797</v>
      </c>
      <c r="H2114">
        <v>0.20446953248717101</v>
      </c>
      <c r="I2114">
        <v>0.16082403628913899</v>
      </c>
      <c r="J2114">
        <v>0.129144561365651</v>
      </c>
      <c r="K2114">
        <v>0.10307461869468899</v>
      </c>
      <c r="L2114">
        <v>995.48951958144698</v>
      </c>
      <c r="M2114">
        <v>18.1544407978541</v>
      </c>
      <c r="N2114">
        <v>55.470059874249301</v>
      </c>
      <c r="O2114">
        <v>54.1821463334797</v>
      </c>
      <c r="P2114">
        <v>-7.59037865173285E-2</v>
      </c>
      <c r="Q2114">
        <v>9.3900181639845801E-2</v>
      </c>
      <c r="R2114">
        <v>0.99297044633577003</v>
      </c>
      <c r="S2114" t="s">
        <v>7975</v>
      </c>
      <c r="T2114" t="s">
        <v>11720</v>
      </c>
      <c r="U2114" t="s">
        <v>11720</v>
      </c>
      <c r="V2114" t="s">
        <v>11720</v>
      </c>
      <c r="W2114" t="s">
        <v>13791</v>
      </c>
      <c r="X2114">
        <v>23</v>
      </c>
      <c r="Y2114" t="s">
        <v>19555</v>
      </c>
      <c r="Z2114" t="s">
        <v>25321</v>
      </c>
      <c r="AA2114">
        <v>0.55589453417110379</v>
      </c>
      <c r="AB2114" t="str">
        <f>HYPERLINK("Melting_Curves/meltCurve_P23368_ME2.pdf", "Melting_Curves/meltCurve_P23368_ME2.pdf")</f>
        <v>Melting_Curves/meltCurve_P23368_ME2.pdf</v>
      </c>
    </row>
    <row r="2115" spans="1:28" x14ac:dyDescent="0.25">
      <c r="A2115" t="s">
        <v>2119</v>
      </c>
      <c r="B2115">
        <v>0.99334974765950101</v>
      </c>
      <c r="C2115">
        <v>0.99078548886416995</v>
      </c>
      <c r="D2115">
        <v>1.0683539338971499</v>
      </c>
      <c r="E2115">
        <v>1.0058334489568499</v>
      </c>
      <c r="F2115">
        <v>0.91636733928158898</v>
      </c>
      <c r="G2115">
        <v>0.81284527874559798</v>
      </c>
      <c r="H2115">
        <v>0.65615668551979001</v>
      </c>
      <c r="I2115">
        <v>0.81160961531943898</v>
      </c>
      <c r="J2115">
        <v>0.59355998962399603</v>
      </c>
      <c r="K2115">
        <v>0.46858822145765899</v>
      </c>
      <c r="L2115">
        <v>546.77250181800196</v>
      </c>
      <c r="M2115">
        <v>7.8010829271378102</v>
      </c>
      <c r="O2115">
        <v>65.930994671666397</v>
      </c>
      <c r="P2115">
        <v>-2.96172323476885E-2</v>
      </c>
      <c r="Q2115">
        <v>0</v>
      </c>
      <c r="R2115">
        <v>0.88539947273571995</v>
      </c>
      <c r="S2115" t="s">
        <v>7976</v>
      </c>
      <c r="T2115" t="s">
        <v>11720</v>
      </c>
      <c r="U2115" t="s">
        <v>11720</v>
      </c>
      <c r="V2115" t="s">
        <v>11720</v>
      </c>
      <c r="W2115" t="s">
        <v>13792</v>
      </c>
      <c r="X2115">
        <v>29</v>
      </c>
      <c r="Y2115" t="s">
        <v>18277</v>
      </c>
      <c r="Z2115" t="s">
        <v>25322</v>
      </c>
      <c r="AA2115">
        <v>0.83955343842746799</v>
      </c>
      <c r="AB2115" t="str">
        <f>HYPERLINK("Melting_Curves/meltCurve_P23381_WARS.pdf", "Melting_Curves/meltCurve_P23381_WARS.pdf")</f>
        <v>Melting_Curves/meltCurve_P23381_WARS.pdf</v>
      </c>
    </row>
    <row r="2116" spans="1:28" x14ac:dyDescent="0.25">
      <c r="A2116" t="s">
        <v>2120</v>
      </c>
      <c r="B2116">
        <v>0.99334974765950101</v>
      </c>
      <c r="C2116">
        <v>1.01740737708036</v>
      </c>
      <c r="D2116">
        <v>0.72994514785933995</v>
      </c>
      <c r="E2116">
        <v>0.60980455126894395</v>
      </c>
      <c r="F2116">
        <v>0.41656954967180299</v>
      </c>
      <c r="G2116">
        <v>0.27870037823820498</v>
      </c>
      <c r="H2116">
        <v>0.177072184419516</v>
      </c>
      <c r="I2116">
        <v>0.13470452325701199</v>
      </c>
      <c r="J2116">
        <v>0.118252893028207</v>
      </c>
      <c r="K2116">
        <v>8.1238154954197103E-2</v>
      </c>
      <c r="L2116">
        <v>647.63273798068303</v>
      </c>
      <c r="M2116">
        <v>12.705323922252701</v>
      </c>
      <c r="N2116">
        <v>51.586253446964903</v>
      </c>
      <c r="O2116">
        <v>49.760051285073899</v>
      </c>
      <c r="P2116">
        <v>-5.9372417653104498E-2</v>
      </c>
      <c r="Q2116">
        <v>7.0057783638869706E-2</v>
      </c>
      <c r="R2116">
        <v>0.98524809198686003</v>
      </c>
      <c r="S2116" t="s">
        <v>7977</v>
      </c>
      <c r="T2116" t="s">
        <v>11720</v>
      </c>
      <c r="U2116" t="s">
        <v>11720</v>
      </c>
      <c r="V2116" t="s">
        <v>11720</v>
      </c>
      <c r="W2116" t="s">
        <v>13793</v>
      </c>
      <c r="X2116">
        <v>12</v>
      </c>
      <c r="Y2116" t="s">
        <v>19556</v>
      </c>
      <c r="Z2116" t="s">
        <v>25323</v>
      </c>
      <c r="AA2116">
        <v>0.43815132897685433</v>
      </c>
      <c r="AB2116" t="str">
        <f>HYPERLINK("Melting_Curves/meltCurve_P23396_RPS3.pdf", "Melting_Curves/meltCurve_P23396_RPS3.pdf")</f>
        <v>Melting_Curves/meltCurve_P23396_RPS3.pdf</v>
      </c>
    </row>
    <row r="2117" spans="1:28" x14ac:dyDescent="0.25">
      <c r="A2117" t="s">
        <v>2121</v>
      </c>
      <c r="B2117">
        <v>0.99334974765950101</v>
      </c>
      <c r="C2117">
        <v>1.0405301564849001</v>
      </c>
      <c r="D2117">
        <v>1.0040405625561799</v>
      </c>
      <c r="E2117">
        <v>0.85714904691127702</v>
      </c>
      <c r="F2117">
        <v>0.81417938607014195</v>
      </c>
      <c r="G2117">
        <v>0.82914336112960296</v>
      </c>
      <c r="H2117">
        <v>0.830232946705321</v>
      </c>
      <c r="I2117">
        <v>0.67583765152809905</v>
      </c>
      <c r="J2117">
        <v>0.69870908408430099</v>
      </c>
      <c r="K2117">
        <v>0.60369729662124305</v>
      </c>
      <c r="L2117">
        <v>372.00291448182401</v>
      </c>
      <c r="M2117">
        <v>5.4568090553187396</v>
      </c>
      <c r="O2117">
        <v>60.6494251461259</v>
      </c>
      <c r="P2117">
        <v>-1.5723323617133401E-2</v>
      </c>
      <c r="Q2117">
        <v>0.30412639051196799</v>
      </c>
      <c r="R2117">
        <v>0.88302335617614103</v>
      </c>
      <c r="S2117" t="s">
        <v>7978</v>
      </c>
      <c r="T2117" t="s">
        <v>11720</v>
      </c>
      <c r="U2117" t="s">
        <v>11720</v>
      </c>
      <c r="V2117" t="s">
        <v>11720</v>
      </c>
      <c r="W2117" t="s">
        <v>13794</v>
      </c>
      <c r="X2117">
        <v>4</v>
      </c>
      <c r="Y2117" t="s">
        <v>19557</v>
      </c>
      <c r="Z2117" t="s">
        <v>25324</v>
      </c>
      <c r="AA2117">
        <v>0.83539678540516737</v>
      </c>
      <c r="AB2117" t="str">
        <f>HYPERLINK("Melting_Curves/meltCurve_P23434_GCSH.pdf", "Melting_Curves/meltCurve_P23434_GCSH.pdf")</f>
        <v>Melting_Curves/meltCurve_P23434_GCSH.pdf</v>
      </c>
    </row>
    <row r="2118" spans="1:28" x14ac:dyDescent="0.25">
      <c r="A2118" t="s">
        <v>2122</v>
      </c>
      <c r="B2118">
        <v>0.99334974765950101</v>
      </c>
      <c r="C2118">
        <v>0.97260526135888303</v>
      </c>
      <c r="D2118">
        <v>0.84556346069402299</v>
      </c>
      <c r="E2118">
        <v>0.61915940258415303</v>
      </c>
      <c r="F2118">
        <v>0.32005832176175403</v>
      </c>
      <c r="G2118">
        <v>0.198492621771724</v>
      </c>
      <c r="H2118">
        <v>0.17503992160601101</v>
      </c>
      <c r="I2118">
        <v>0.12800512583204501</v>
      </c>
      <c r="J2118">
        <v>0.18365878051350101</v>
      </c>
      <c r="K2118">
        <v>0.149799571211854</v>
      </c>
      <c r="L2118">
        <v>1037.6884861579899</v>
      </c>
      <c r="M2118">
        <v>20.733670593306901</v>
      </c>
      <c r="N2118">
        <v>50.894741455838599</v>
      </c>
      <c r="O2118">
        <v>49.589873522694397</v>
      </c>
      <c r="P2118">
        <v>-8.9288357146673103E-2</v>
      </c>
      <c r="Q2118">
        <v>0.145800386597047</v>
      </c>
      <c r="R2118">
        <v>0.99487409799928195</v>
      </c>
      <c r="S2118" t="s">
        <v>7979</v>
      </c>
      <c r="T2118" t="s">
        <v>11720</v>
      </c>
      <c r="U2118" t="s">
        <v>11720</v>
      </c>
      <c r="V2118" t="s">
        <v>11720</v>
      </c>
      <c r="W2118" t="s">
        <v>13795</v>
      </c>
      <c r="X2118">
        <v>3</v>
      </c>
      <c r="Y2118" t="s">
        <v>19558</v>
      </c>
      <c r="Z2118" t="s">
        <v>25325</v>
      </c>
      <c r="AA2118">
        <v>0.44299485577471198</v>
      </c>
      <c r="AB2118" t="str">
        <f>HYPERLINK("Melting_Curves/meltCurve_P23470_2_PTPRG.pdf", "Melting_Curves/meltCurve_P23470_2_PTPRG.pdf")</f>
        <v>Melting_Curves/meltCurve_P23470_2_PTPRG.pdf</v>
      </c>
    </row>
    <row r="2119" spans="1:28" x14ac:dyDescent="0.25">
      <c r="A2119" t="s">
        <v>2123</v>
      </c>
      <c r="B2119">
        <v>0.99334974765950101</v>
      </c>
      <c r="C2119">
        <v>0.95082646289948303</v>
      </c>
      <c r="D2119">
        <v>0.88356600420602804</v>
      </c>
      <c r="E2119">
        <v>0.75272303326502799</v>
      </c>
      <c r="F2119">
        <v>0.76177139198605004</v>
      </c>
      <c r="G2119">
        <v>0.53091450077077396</v>
      </c>
      <c r="H2119">
        <v>0.49981940356520799</v>
      </c>
      <c r="I2119">
        <v>0.49851119065812799</v>
      </c>
      <c r="J2119">
        <v>0.66189262281807504</v>
      </c>
      <c r="K2119">
        <v>0.60918345729574996</v>
      </c>
      <c r="L2119">
        <v>789.03451584332004</v>
      </c>
      <c r="M2119">
        <v>15.902001128736099</v>
      </c>
      <c r="O2119">
        <v>48.853775749770101</v>
      </c>
      <c r="P2119">
        <v>-3.6281093803063699E-2</v>
      </c>
      <c r="Q2119">
        <v>0.55418792903281999</v>
      </c>
      <c r="R2119">
        <v>0.87884714924922402</v>
      </c>
      <c r="S2119" t="s">
        <v>7980</v>
      </c>
      <c r="T2119" t="s">
        <v>11720</v>
      </c>
      <c r="U2119" t="s">
        <v>11720</v>
      </c>
      <c r="V2119" t="s">
        <v>11720</v>
      </c>
      <c r="W2119" t="s">
        <v>13796</v>
      </c>
      <c r="X2119">
        <v>20</v>
      </c>
      <c r="Y2119" t="s">
        <v>19559</v>
      </c>
      <c r="Z2119" t="s">
        <v>25326</v>
      </c>
      <c r="AA2119">
        <v>0.70679411558362892</v>
      </c>
      <c r="AB2119" t="str">
        <f>HYPERLINK("Melting_Curves/meltCurve_P23497_SP100.pdf", "Melting_Curves/meltCurve_P23497_SP100.pdf")</f>
        <v>Melting_Curves/meltCurve_P23497_SP100.pdf</v>
      </c>
    </row>
    <row r="2120" spans="1:28" x14ac:dyDescent="0.25">
      <c r="A2120" t="s">
        <v>2124</v>
      </c>
      <c r="B2120">
        <v>0.99334974765950101</v>
      </c>
      <c r="C2120">
        <v>0.92591898331394396</v>
      </c>
      <c r="D2120">
        <v>0.87928143643347501</v>
      </c>
      <c r="E2120">
        <v>0.677597722007238</v>
      </c>
      <c r="F2120">
        <v>0.312892451948516</v>
      </c>
      <c r="G2120">
        <v>0.198311466852017</v>
      </c>
      <c r="H2120">
        <v>0.13179939613872299</v>
      </c>
      <c r="I2120">
        <v>0.161914101906842</v>
      </c>
      <c r="J2120">
        <v>9.1179502181395103E-2</v>
      </c>
      <c r="K2120">
        <v>0.103125432540541</v>
      </c>
      <c r="L2120">
        <v>1079.5270539626799</v>
      </c>
      <c r="M2120">
        <v>21.280783251297699</v>
      </c>
      <c r="N2120">
        <v>51.322809830796203</v>
      </c>
      <c r="O2120">
        <v>50.286198670117003</v>
      </c>
      <c r="P2120">
        <v>-9.4234710724796805E-2</v>
      </c>
      <c r="Q2120">
        <v>0.10932100572109101</v>
      </c>
      <c r="R2120">
        <v>0.99038464453999997</v>
      </c>
      <c r="S2120" t="s">
        <v>7981</v>
      </c>
      <c r="T2120" t="s">
        <v>11720</v>
      </c>
      <c r="U2120" t="s">
        <v>11720</v>
      </c>
      <c r="V2120" t="s">
        <v>11720</v>
      </c>
      <c r="W2120" t="s">
        <v>13797</v>
      </c>
      <c r="X2120">
        <v>1</v>
      </c>
      <c r="Y2120" t="s">
        <v>19560</v>
      </c>
      <c r="Z2120" t="s">
        <v>25327</v>
      </c>
      <c r="AA2120">
        <v>0.43881139988358009</v>
      </c>
      <c r="AB2120" t="str">
        <f>HYPERLINK("Melting_Curves/meltCurve_P23508_2_MCC.pdf", "Melting_Curves/meltCurve_P23508_2_MCC.pdf")</f>
        <v>Melting_Curves/meltCurve_P23508_2_MCC.pdf</v>
      </c>
    </row>
    <row r="2121" spans="1:28" x14ac:dyDescent="0.25">
      <c r="A2121" t="s">
        <v>2125</v>
      </c>
      <c r="B2121">
        <v>0.99334974765950101</v>
      </c>
      <c r="C2121">
        <v>1.17385148802432</v>
      </c>
      <c r="D2121">
        <v>1.0204575435112699</v>
      </c>
      <c r="E2121">
        <v>0.88578080963532202</v>
      </c>
      <c r="F2121">
        <v>0.85952367843240196</v>
      </c>
      <c r="G2121">
        <v>0.68662325607207497</v>
      </c>
      <c r="H2121">
        <v>0.68348585572629295</v>
      </c>
      <c r="I2121">
        <v>0.75492259200612999</v>
      </c>
      <c r="J2121">
        <v>0.77042931572307205</v>
      </c>
      <c r="K2121">
        <v>0.76822831771560696</v>
      </c>
      <c r="L2121">
        <v>1557.5861661194001</v>
      </c>
      <c r="M2121">
        <v>30.2696159236787</v>
      </c>
      <c r="O2121">
        <v>51.234062581341</v>
      </c>
      <c r="P2121">
        <v>-3.9164568930012397E-2</v>
      </c>
      <c r="Q2121">
        <v>0.734843366737995</v>
      </c>
      <c r="R2121">
        <v>0.80902225974798103</v>
      </c>
      <c r="S2121" t="s">
        <v>7982</v>
      </c>
      <c r="T2121" t="s">
        <v>11720</v>
      </c>
      <c r="U2121" t="s">
        <v>11720</v>
      </c>
      <c r="V2121" t="s">
        <v>11720</v>
      </c>
      <c r="W2121" t="s">
        <v>13798</v>
      </c>
      <c r="X2121">
        <v>2</v>
      </c>
      <c r="Y2121" t="s">
        <v>19561</v>
      </c>
      <c r="Z2121" t="s">
        <v>25328</v>
      </c>
      <c r="AA2121">
        <v>0.83775733602998426</v>
      </c>
      <c r="AB2121" t="str">
        <f>HYPERLINK("Melting_Curves/meltCurve_P23511_2_NFYA.pdf", "Melting_Curves/meltCurve_P23511_2_NFYA.pdf")</f>
        <v>Melting_Curves/meltCurve_P23511_2_NFYA.pdf</v>
      </c>
    </row>
    <row r="2122" spans="1:28" x14ac:dyDescent="0.25">
      <c r="A2122" t="s">
        <v>2126</v>
      </c>
      <c r="B2122">
        <v>0.99334974765950101</v>
      </c>
      <c r="C2122">
        <v>1.0441785737078899</v>
      </c>
      <c r="D2122">
        <v>1.20905460719128</v>
      </c>
      <c r="E2122">
        <v>1.48937397907944</v>
      </c>
      <c r="F2122">
        <v>1.4518357904663399</v>
      </c>
      <c r="G2122">
        <v>1.66004856205678</v>
      </c>
      <c r="H2122">
        <v>1.2902840122697099</v>
      </c>
      <c r="I2122">
        <v>0.95555412999358103</v>
      </c>
      <c r="J2122">
        <v>0.38826074887409801</v>
      </c>
      <c r="K2122">
        <v>0.17664130282392501</v>
      </c>
      <c r="L2122">
        <v>5864.8096159012603</v>
      </c>
      <c r="M2122">
        <v>88.571918698648403</v>
      </c>
      <c r="N2122">
        <v>66.527955242540799</v>
      </c>
      <c r="O2122">
        <v>66.181483283931897</v>
      </c>
      <c r="P2122">
        <v>-0.27760925526145802</v>
      </c>
      <c r="Q2122">
        <v>0.17027456877549599</v>
      </c>
      <c r="R2122">
        <v>0.50021399511313303</v>
      </c>
      <c r="S2122" t="s">
        <v>7983</v>
      </c>
      <c r="T2122" t="s">
        <v>11720</v>
      </c>
      <c r="U2122" t="s">
        <v>11720</v>
      </c>
      <c r="V2122" t="s">
        <v>11720</v>
      </c>
      <c r="W2122" t="s">
        <v>13799</v>
      </c>
      <c r="X2122">
        <v>25</v>
      </c>
      <c r="Y2122" t="s">
        <v>19562</v>
      </c>
      <c r="Z2122" t="s">
        <v>25329</v>
      </c>
      <c r="AA2122">
        <v>0.89589566523634667</v>
      </c>
      <c r="AB2122" t="str">
        <f>HYPERLINK("Melting_Curves/meltCurve_P23526_AHCY.pdf", "Melting_Curves/meltCurve_P23526_AHCY.pdf")</f>
        <v>Melting_Curves/meltCurve_P23526_AHCY.pdf</v>
      </c>
    </row>
    <row r="2123" spans="1:28" x14ac:dyDescent="0.25">
      <c r="A2123" t="s">
        <v>2127</v>
      </c>
      <c r="B2123">
        <v>0.99334974765950101</v>
      </c>
      <c r="C2123">
        <v>1.0294030792618201</v>
      </c>
      <c r="D2123">
        <v>0.97463961738042304</v>
      </c>
      <c r="E2123">
        <v>0.88597865567604395</v>
      </c>
      <c r="F2123">
        <v>0.93590172440199804</v>
      </c>
      <c r="G2123">
        <v>0.49110388224000801</v>
      </c>
      <c r="H2123">
        <v>0.21739945866565599</v>
      </c>
      <c r="I2123">
        <v>0.18445123224010401</v>
      </c>
      <c r="J2123">
        <v>0.15865751417774401</v>
      </c>
      <c r="K2123">
        <v>0.13709174473240601</v>
      </c>
      <c r="L2123">
        <v>1811.7912519931001</v>
      </c>
      <c r="M2123">
        <v>32.1459570235006</v>
      </c>
      <c r="N2123">
        <v>56.996439033280602</v>
      </c>
      <c r="O2123">
        <v>56.144633662762999</v>
      </c>
      <c r="P2123">
        <v>-0.121594581559994</v>
      </c>
      <c r="Q2123">
        <v>0.15051843911386201</v>
      </c>
      <c r="R2123">
        <v>0.99064121029190899</v>
      </c>
      <c r="S2123" t="s">
        <v>7984</v>
      </c>
      <c r="T2123" t="s">
        <v>11720</v>
      </c>
      <c r="U2123" t="s">
        <v>11720</v>
      </c>
      <c r="V2123" t="s">
        <v>11720</v>
      </c>
      <c r="W2123" t="s">
        <v>13800</v>
      </c>
      <c r="X2123">
        <v>25</v>
      </c>
      <c r="Y2123" t="s">
        <v>19563</v>
      </c>
      <c r="Z2123" t="s">
        <v>25330</v>
      </c>
      <c r="AA2123">
        <v>0.61880126359363896</v>
      </c>
      <c r="AB2123" t="str">
        <f>HYPERLINK("Melting_Curves/meltCurve_P23528_CFL1.pdf", "Melting_Curves/meltCurve_P23528_CFL1.pdf")</f>
        <v>Melting_Curves/meltCurve_P23528_CFL1.pdf</v>
      </c>
    </row>
    <row r="2124" spans="1:28" x14ac:dyDescent="0.25">
      <c r="A2124" t="s">
        <v>2128</v>
      </c>
      <c r="B2124">
        <v>0.99334974765950101</v>
      </c>
      <c r="C2124">
        <v>1.02678863877316</v>
      </c>
      <c r="D2124">
        <v>1.01613331691196</v>
      </c>
      <c r="E2124">
        <v>0.80297074605794505</v>
      </c>
      <c r="F2124">
        <v>0.20597921595676799</v>
      </c>
      <c r="G2124">
        <v>0.20241522313253099</v>
      </c>
      <c r="H2124">
        <v>0.176183043008735</v>
      </c>
      <c r="I2124">
        <v>9.5057829749686004E-2</v>
      </c>
      <c r="J2124">
        <v>7.8788770554042195E-2</v>
      </c>
      <c r="K2124">
        <v>6.0745865984785097E-2</v>
      </c>
      <c r="L2124">
        <v>3033.3742233934099</v>
      </c>
      <c r="M2124">
        <v>59.4314589856127</v>
      </c>
      <c r="N2124">
        <v>51.2804532776725</v>
      </c>
      <c r="O2124">
        <v>50.982184500402902</v>
      </c>
      <c r="P2124">
        <v>-0.25597726483049299</v>
      </c>
      <c r="Q2124">
        <v>0.12165884725489701</v>
      </c>
      <c r="R2124">
        <v>0.99016210582865805</v>
      </c>
      <c r="S2124" t="s">
        <v>7985</v>
      </c>
      <c r="T2124" t="s">
        <v>11720</v>
      </c>
      <c r="U2124" t="s">
        <v>11720</v>
      </c>
      <c r="V2124" t="s">
        <v>11720</v>
      </c>
      <c r="W2124" t="s">
        <v>13801</v>
      </c>
      <c r="X2124">
        <v>3</v>
      </c>
      <c r="Y2124" t="s">
        <v>19564</v>
      </c>
      <c r="Z2124" t="s">
        <v>25331</v>
      </c>
      <c r="AA2124">
        <v>0.44628208012164328</v>
      </c>
      <c r="AB2124" t="str">
        <f>HYPERLINK("Melting_Curves/meltCurve_P23610_F8A1.pdf", "Melting_Curves/meltCurve_P23610_F8A1.pdf")</f>
        <v>Melting_Curves/meltCurve_P23610_F8A1.pdf</v>
      </c>
    </row>
    <row r="2125" spans="1:28" x14ac:dyDescent="0.25">
      <c r="A2125" t="s">
        <v>2129</v>
      </c>
      <c r="B2125">
        <v>0.99334974765950101</v>
      </c>
      <c r="C2125">
        <v>0.81452750357221904</v>
      </c>
      <c r="D2125">
        <v>0.96478646362808596</v>
      </c>
      <c r="E2125">
        <v>1.2252220703447601</v>
      </c>
      <c r="F2125">
        <v>0.48031604581444898</v>
      </c>
      <c r="G2125">
        <v>0.28661820612710498</v>
      </c>
      <c r="H2125">
        <v>0.13321479643031101</v>
      </c>
      <c r="I2125">
        <v>9.8581642852505202E-2</v>
      </c>
      <c r="J2125">
        <v>7.2305239889572895E-2</v>
      </c>
      <c r="K2125">
        <v>6.4043827833545897E-2</v>
      </c>
      <c r="L2125">
        <v>13228.9533767385</v>
      </c>
      <c r="M2125">
        <v>250</v>
      </c>
      <c r="N2125">
        <v>52.980170237458701</v>
      </c>
      <c r="O2125">
        <v>52.912448342062604</v>
      </c>
      <c r="P2125">
        <v>-1.0265160561084801</v>
      </c>
      <c r="Q2125">
        <v>0.13095270069297901</v>
      </c>
      <c r="R2125">
        <v>0.933442305107824</v>
      </c>
      <c r="S2125" t="s">
        <v>7986</v>
      </c>
      <c r="T2125" t="s">
        <v>11720</v>
      </c>
      <c r="U2125" t="s">
        <v>11720</v>
      </c>
      <c r="V2125" t="s">
        <v>11720</v>
      </c>
      <c r="W2125" t="s">
        <v>13802</v>
      </c>
      <c r="X2125">
        <v>43</v>
      </c>
      <c r="Y2125" t="s">
        <v>19565</v>
      </c>
      <c r="Z2125" t="s">
        <v>25332</v>
      </c>
      <c r="AA2125">
        <v>0.50518183423148277</v>
      </c>
      <c r="AB2125" t="str">
        <f>HYPERLINK("Melting_Curves/meltCurve_P23634_5_ATP2B4.pdf", "Melting_Curves/meltCurve_P23634_5_ATP2B4.pdf")</f>
        <v>Melting_Curves/meltCurve_P23634_5_ATP2B4.pdf</v>
      </c>
    </row>
    <row r="2126" spans="1:28" x14ac:dyDescent="0.25">
      <c r="A2126" t="s">
        <v>2130</v>
      </c>
      <c r="B2126">
        <v>0.99334974765950101</v>
      </c>
      <c r="C2126">
        <v>0.926299331069109</v>
      </c>
      <c r="D2126">
        <v>0.94737560837068602</v>
      </c>
      <c r="E2126">
        <v>1.2269966774699399</v>
      </c>
      <c r="F2126">
        <v>1.3459804653590299</v>
      </c>
      <c r="G2126">
        <v>0.38194152729945202</v>
      </c>
      <c r="H2126">
        <v>0.13828682191762001</v>
      </c>
      <c r="I2126">
        <v>0.14588087048078099</v>
      </c>
      <c r="J2126">
        <v>0.1096375391678</v>
      </c>
      <c r="K2126">
        <v>8.2559293891895799E-2</v>
      </c>
      <c r="L2126">
        <v>14201.265124572599</v>
      </c>
      <c r="M2126">
        <v>250</v>
      </c>
      <c r="N2126">
        <v>56.866942465378401</v>
      </c>
      <c r="O2126">
        <v>56.801415170932998</v>
      </c>
      <c r="P2126">
        <v>-0.969285626386587</v>
      </c>
      <c r="Q2126">
        <v>0.119091118170411</v>
      </c>
      <c r="R2126">
        <v>0.92079776314401696</v>
      </c>
      <c r="S2126" t="s">
        <v>7987</v>
      </c>
      <c r="T2126" t="s">
        <v>11720</v>
      </c>
      <c r="U2126" t="s">
        <v>11720</v>
      </c>
      <c r="V2126" t="s">
        <v>11720</v>
      </c>
      <c r="W2126" t="s">
        <v>13803</v>
      </c>
      <c r="X2126">
        <v>43</v>
      </c>
      <c r="Y2126" t="s">
        <v>19565</v>
      </c>
      <c r="Z2126" t="s">
        <v>25333</v>
      </c>
      <c r="AA2126">
        <v>0.6126365061570167</v>
      </c>
      <c r="AB2126" t="str">
        <f>HYPERLINK("Melting_Curves/meltCurve_P23634_8_ATP2B4.pdf", "Melting_Curves/meltCurve_P23634_8_ATP2B4.pdf")</f>
        <v>Melting_Curves/meltCurve_P23634_8_ATP2B4.pdf</v>
      </c>
    </row>
    <row r="2127" spans="1:28" x14ac:dyDescent="0.25">
      <c r="A2127" t="s">
        <v>2131</v>
      </c>
      <c r="B2127">
        <v>0.99334974765950101</v>
      </c>
      <c r="C2127">
        <v>0.87555287882467103</v>
      </c>
      <c r="D2127">
        <v>0.71767395728693595</v>
      </c>
      <c r="E2127">
        <v>0.25628824945753098</v>
      </c>
      <c r="F2127">
        <v>0.15854982132044401</v>
      </c>
      <c r="G2127">
        <v>0.106506472420903</v>
      </c>
      <c r="H2127">
        <v>9.2432358696697803E-2</v>
      </c>
      <c r="I2127">
        <v>8.6704469624922301E-2</v>
      </c>
      <c r="J2127">
        <v>9.52610023092232E-2</v>
      </c>
      <c r="K2127">
        <v>8.2361894048989595E-2</v>
      </c>
      <c r="L2127">
        <v>1121.9953998584799</v>
      </c>
      <c r="M2127">
        <v>23.7478005914218</v>
      </c>
      <c r="N2127">
        <v>47.629273958006003</v>
      </c>
      <c r="O2127">
        <v>46.915090272133597</v>
      </c>
      <c r="P2127">
        <v>-0.115549733633331</v>
      </c>
      <c r="Q2127">
        <v>8.6915563139171897E-2</v>
      </c>
      <c r="R2127">
        <v>0.99647242725896001</v>
      </c>
      <c r="S2127" t="s">
        <v>7988</v>
      </c>
      <c r="T2127" t="s">
        <v>11720</v>
      </c>
      <c r="U2127" t="s">
        <v>11720</v>
      </c>
      <c r="V2127" t="s">
        <v>11720</v>
      </c>
      <c r="W2127" t="s">
        <v>13804</v>
      </c>
      <c r="X2127">
        <v>21</v>
      </c>
      <c r="Y2127" t="s">
        <v>19566</v>
      </c>
      <c r="Z2127" t="s">
        <v>25334</v>
      </c>
      <c r="AA2127">
        <v>0.31654912274428221</v>
      </c>
      <c r="AB2127" t="str">
        <f>HYPERLINK("Melting_Curves/meltCurve_P23743_DGKA.pdf", "Melting_Curves/meltCurve_P23743_DGKA.pdf")</f>
        <v>Melting_Curves/meltCurve_P23743_DGKA.pdf</v>
      </c>
    </row>
    <row r="2128" spans="1:28" x14ac:dyDescent="0.25">
      <c r="A2128" t="s">
        <v>2132</v>
      </c>
      <c r="B2128">
        <v>0.99334974765950101</v>
      </c>
      <c r="C2128">
        <v>0.96617064462784696</v>
      </c>
      <c r="D2128">
        <v>0.88156758252988099</v>
      </c>
      <c r="E2128">
        <v>0.398762799929547</v>
      </c>
      <c r="F2128">
        <v>0.15121098576971301</v>
      </c>
      <c r="G2128">
        <v>9.1672240903132293E-2</v>
      </c>
      <c r="H2128">
        <v>7.0700374757429005E-2</v>
      </c>
      <c r="I2128">
        <v>6.0885880339345097E-2</v>
      </c>
      <c r="J2128">
        <v>6.8766842304676903E-2</v>
      </c>
      <c r="K2128">
        <v>5.8227173515821101E-2</v>
      </c>
      <c r="L2128">
        <v>1428.0664911848301</v>
      </c>
      <c r="M2128">
        <v>29.154299899850098</v>
      </c>
      <c r="N2128">
        <v>49.2184997557315</v>
      </c>
      <c r="O2128">
        <v>48.754333164619801</v>
      </c>
      <c r="P2128">
        <v>-0.1397664979563</v>
      </c>
      <c r="Q2128">
        <v>6.5088646559384997E-2</v>
      </c>
      <c r="R2128">
        <v>0.99955211454837301</v>
      </c>
      <c r="S2128" t="s">
        <v>7989</v>
      </c>
      <c r="T2128" t="s">
        <v>11720</v>
      </c>
      <c r="U2128" t="s">
        <v>11720</v>
      </c>
      <c r="V2128" t="s">
        <v>11720</v>
      </c>
      <c r="W2128" t="s">
        <v>13805</v>
      </c>
      <c r="X2128">
        <v>26</v>
      </c>
      <c r="Y2128" t="s">
        <v>19567</v>
      </c>
      <c r="Z2128" t="s">
        <v>25335</v>
      </c>
      <c r="AA2128">
        <v>0.35107059384814671</v>
      </c>
      <c r="AB2128" t="str">
        <f>HYPERLINK("Melting_Curves/meltCurve_P23786_CPT2.pdf", "Melting_Curves/meltCurve_P23786_CPT2.pdf")</f>
        <v>Melting_Curves/meltCurve_P23786_CPT2.pdf</v>
      </c>
    </row>
    <row r="2129" spans="1:28" x14ac:dyDescent="0.25">
      <c r="A2129" t="s">
        <v>2133</v>
      </c>
      <c r="B2129">
        <v>0.99334974765950101</v>
      </c>
      <c r="C2129">
        <v>0.92258735638707001</v>
      </c>
      <c r="D2129">
        <v>0.82315225628012001</v>
      </c>
      <c r="E2129">
        <v>0.62498980851762198</v>
      </c>
      <c r="F2129">
        <v>0.33662359316352303</v>
      </c>
      <c r="G2129">
        <v>0.16141313175403299</v>
      </c>
      <c r="H2129">
        <v>0.11623408951224</v>
      </c>
      <c r="I2129">
        <v>0.10779168616305</v>
      </c>
      <c r="J2129">
        <v>8.2913328509387901E-2</v>
      </c>
      <c r="K2129">
        <v>7.3319861322771199E-2</v>
      </c>
      <c r="L2129">
        <v>840.17012008615905</v>
      </c>
      <c r="M2129">
        <v>16.618798186551</v>
      </c>
      <c r="N2129">
        <v>50.971781793632303</v>
      </c>
      <c r="O2129">
        <v>49.840410214411101</v>
      </c>
      <c r="P2129">
        <v>-7.80743601925738E-2</v>
      </c>
      <c r="Q2129">
        <v>6.3471392426884904E-2</v>
      </c>
      <c r="R2129">
        <v>0.99553397495794704</v>
      </c>
      <c r="S2129" t="s">
        <v>7990</v>
      </c>
      <c r="T2129" t="s">
        <v>11720</v>
      </c>
      <c r="U2129" t="s">
        <v>11720</v>
      </c>
      <c r="V2129" t="s">
        <v>11720</v>
      </c>
      <c r="W2129" t="s">
        <v>13806</v>
      </c>
      <c r="X2129">
        <v>17</v>
      </c>
      <c r="Y2129" t="s">
        <v>19568</v>
      </c>
      <c r="Z2129" t="s">
        <v>25336</v>
      </c>
      <c r="AA2129">
        <v>0.41132711167839953</v>
      </c>
      <c r="AB2129" t="str">
        <f>HYPERLINK("Melting_Curves/meltCurve_P23919_DTYMK.pdf", "Melting_Curves/meltCurve_P23919_DTYMK.pdf")</f>
        <v>Melting_Curves/meltCurve_P23919_DTYMK.pdf</v>
      </c>
    </row>
    <row r="2130" spans="1:28" x14ac:dyDescent="0.25">
      <c r="A2130" t="s">
        <v>2134</v>
      </c>
      <c r="B2130">
        <v>0.99334974765950101</v>
      </c>
      <c r="C2130">
        <v>0.94965130158233202</v>
      </c>
      <c r="D2130">
        <v>0.82201481675765598</v>
      </c>
      <c r="E2130">
        <v>0.496047087015698</v>
      </c>
      <c r="F2130">
        <v>0.27458306133878602</v>
      </c>
      <c r="G2130">
        <v>0.133944343147507</v>
      </c>
      <c r="H2130">
        <v>0.11211594565901201</v>
      </c>
      <c r="I2130">
        <v>0.110802790095627</v>
      </c>
      <c r="J2130">
        <v>0.110749598925896</v>
      </c>
      <c r="K2130">
        <v>8.3903378366261203E-2</v>
      </c>
      <c r="L2130">
        <v>979.43277743637702</v>
      </c>
      <c r="M2130">
        <v>19.8476249877688</v>
      </c>
      <c r="N2130">
        <v>49.856907550878603</v>
      </c>
      <c r="O2130">
        <v>48.854842319356003</v>
      </c>
      <c r="P2130">
        <v>-9.2248018432070297E-2</v>
      </c>
      <c r="Q2130">
        <v>9.1758099682326497E-2</v>
      </c>
      <c r="R2130">
        <v>0.99934839927986796</v>
      </c>
      <c r="S2130" t="s">
        <v>7991</v>
      </c>
      <c r="T2130" t="s">
        <v>11720</v>
      </c>
      <c r="U2130" t="s">
        <v>11720</v>
      </c>
      <c r="V2130" t="s">
        <v>11720</v>
      </c>
      <c r="W2130" t="s">
        <v>13807</v>
      </c>
      <c r="X2130">
        <v>12</v>
      </c>
      <c r="Y2130" t="s">
        <v>19569</v>
      </c>
      <c r="Z2130" t="s">
        <v>25337</v>
      </c>
      <c r="AA2130">
        <v>0.38763698077563719</v>
      </c>
      <c r="AB2130" t="str">
        <f>HYPERLINK("Melting_Curves/meltCurve_P23921_RRM1.pdf", "Melting_Curves/meltCurve_P23921_RRM1.pdf")</f>
        <v>Melting_Curves/meltCurve_P23921_RRM1.pdf</v>
      </c>
    </row>
    <row r="2131" spans="1:28" x14ac:dyDescent="0.25">
      <c r="A2131" t="s">
        <v>2135</v>
      </c>
      <c r="B2131">
        <v>0.99334974765950101</v>
      </c>
      <c r="C2131">
        <v>1.19493759541595</v>
      </c>
      <c r="D2131">
        <v>1.19312323925216</v>
      </c>
      <c r="E2131">
        <v>0.94122707542564898</v>
      </c>
      <c r="F2131">
        <v>0.93918163536143795</v>
      </c>
      <c r="G2131">
        <v>0.89923526202124504</v>
      </c>
      <c r="H2131">
        <v>0.684083550713388</v>
      </c>
      <c r="I2131">
        <v>0.57859355271572199</v>
      </c>
      <c r="J2131">
        <v>0.35659948875330799</v>
      </c>
      <c r="K2131">
        <v>0.159562257832388</v>
      </c>
      <c r="L2131">
        <v>1083.6425315971901</v>
      </c>
      <c r="M2131">
        <v>16.823546782806801</v>
      </c>
      <c r="N2131">
        <v>64.412252163690198</v>
      </c>
      <c r="O2131">
        <v>63.522798142587</v>
      </c>
      <c r="P2131">
        <v>-6.6214915739442395E-2</v>
      </c>
      <c r="Q2131">
        <v>0</v>
      </c>
      <c r="R2131">
        <v>0.91928981564884005</v>
      </c>
      <c r="S2131" t="s">
        <v>7992</v>
      </c>
      <c r="T2131" t="s">
        <v>11720</v>
      </c>
      <c r="U2131" t="s">
        <v>11720</v>
      </c>
      <c r="V2131" t="s">
        <v>11720</v>
      </c>
      <c r="W2131" t="s">
        <v>13808</v>
      </c>
      <c r="X2131">
        <v>2</v>
      </c>
      <c r="Y2131" t="s">
        <v>19570</v>
      </c>
      <c r="Z2131" t="s">
        <v>25338</v>
      </c>
      <c r="AA2131">
        <v>0.79899261675013611</v>
      </c>
      <c r="AB2131" t="str">
        <f>HYPERLINK("Melting_Curves/meltCurve_P24043_LAMA2.pdf", "Melting_Curves/meltCurve_P24043_LAMA2.pdf")</f>
        <v>Melting_Curves/meltCurve_P24043_LAMA2.pdf</v>
      </c>
    </row>
    <row r="2132" spans="1:28" x14ac:dyDescent="0.25">
      <c r="A2132" t="s">
        <v>2136</v>
      </c>
      <c r="B2132">
        <v>0.99334974765950101</v>
      </c>
      <c r="C2132">
        <v>0.70089956708294399</v>
      </c>
      <c r="D2132">
        <v>0.45534307764108001</v>
      </c>
      <c r="E2132">
        <v>0.28204970521157102</v>
      </c>
      <c r="F2132">
        <v>0.165772878402241</v>
      </c>
      <c r="G2132">
        <v>0.124829106478303</v>
      </c>
      <c r="H2132">
        <v>8.7993285677824495E-2</v>
      </c>
      <c r="I2132">
        <v>8.1096806110650593E-2</v>
      </c>
      <c r="J2132">
        <v>5.74633432415202E-2</v>
      </c>
      <c r="K2132">
        <v>4.8066389887314397E-2</v>
      </c>
      <c r="L2132">
        <v>730.63057346769904</v>
      </c>
      <c r="M2132">
        <v>16.0938180446968</v>
      </c>
      <c r="N2132">
        <v>45.835169930567901</v>
      </c>
      <c r="O2132">
        <v>44.714638597642796</v>
      </c>
      <c r="P2132">
        <v>-8.3587838019351296E-2</v>
      </c>
      <c r="Q2132">
        <v>7.1118243323286007E-2</v>
      </c>
      <c r="R2132">
        <v>0.985706611245449</v>
      </c>
      <c r="S2132" t="s">
        <v>7993</v>
      </c>
      <c r="T2132" t="s">
        <v>11720</v>
      </c>
      <c r="U2132" t="s">
        <v>11720</v>
      </c>
      <c r="V2132" t="s">
        <v>11720</v>
      </c>
      <c r="W2132" t="s">
        <v>13809</v>
      </c>
      <c r="X2132">
        <v>5</v>
      </c>
      <c r="Y2132" t="s">
        <v>19571</v>
      </c>
      <c r="Z2132" t="s">
        <v>25339</v>
      </c>
      <c r="AA2132">
        <v>0.26289469693581702</v>
      </c>
      <c r="AB2132" t="str">
        <f>HYPERLINK("Melting_Curves/meltCurve_P24385_CCND1.pdf", "Melting_Curves/meltCurve_P24385_CCND1.pdf")</f>
        <v>Melting_Curves/meltCurve_P24385_CCND1.pdf</v>
      </c>
    </row>
    <row r="2133" spans="1:28" x14ac:dyDescent="0.25">
      <c r="A2133" t="s">
        <v>2137</v>
      </c>
      <c r="B2133">
        <v>0.99334974765950101</v>
      </c>
      <c r="C2133">
        <v>0.80426340596086399</v>
      </c>
      <c r="D2133">
        <v>0.47800260921007398</v>
      </c>
      <c r="E2133">
        <v>0.30537449043608</v>
      </c>
      <c r="F2133">
        <v>0.29299842206048599</v>
      </c>
      <c r="G2133">
        <v>0.221180347569602</v>
      </c>
      <c r="H2133">
        <v>0.17814930056786299</v>
      </c>
      <c r="I2133">
        <v>0.125781867421454</v>
      </c>
      <c r="J2133">
        <v>0.17722582311336599</v>
      </c>
      <c r="K2133">
        <v>0.12507797825590899</v>
      </c>
      <c r="L2133">
        <v>865.069058130244</v>
      </c>
      <c r="M2133">
        <v>19.082077474201899</v>
      </c>
      <c r="N2133">
        <v>46.354354867810201</v>
      </c>
      <c r="O2133">
        <v>44.8450380345936</v>
      </c>
      <c r="P2133">
        <v>-8.8140388270516401E-2</v>
      </c>
      <c r="Q2133">
        <v>0.17147299237326499</v>
      </c>
      <c r="R2133">
        <v>0.97932479521728799</v>
      </c>
      <c r="S2133" t="s">
        <v>7994</v>
      </c>
      <c r="T2133" t="s">
        <v>11720</v>
      </c>
      <c r="U2133" t="s">
        <v>11720</v>
      </c>
      <c r="V2133" t="s">
        <v>11720</v>
      </c>
      <c r="W2133" t="s">
        <v>13810</v>
      </c>
      <c r="X2133">
        <v>1</v>
      </c>
      <c r="Y2133" t="s">
        <v>19572</v>
      </c>
      <c r="Z2133" t="s">
        <v>25340</v>
      </c>
      <c r="AA2133">
        <v>0.33388378732704599</v>
      </c>
      <c r="AB2133" t="str">
        <f>HYPERLINK("Melting_Curves/meltCurve_P24522_GADD45A.pdf", "Melting_Curves/meltCurve_P24522_GADD45A.pdf")</f>
        <v>Melting_Curves/meltCurve_P24522_GADD45A.pdf</v>
      </c>
    </row>
    <row r="2134" spans="1:28" x14ac:dyDescent="0.25">
      <c r="A2134" t="s">
        <v>2138</v>
      </c>
      <c r="B2134">
        <v>0.99334974765950101</v>
      </c>
      <c r="C2134">
        <v>1.01964373859215</v>
      </c>
      <c r="D2134">
        <v>1.0318892152327499</v>
      </c>
      <c r="E2134">
        <v>0.94242757540623801</v>
      </c>
      <c r="F2134">
        <v>0.52234370393225404</v>
      </c>
      <c r="G2134">
        <v>0.45060073519449201</v>
      </c>
      <c r="H2134">
        <v>0.62164796890544605</v>
      </c>
      <c r="I2134">
        <v>1.74320520932322</v>
      </c>
      <c r="J2134">
        <v>2.9540382830452598</v>
      </c>
      <c r="K2134">
        <v>3.2012111829877599</v>
      </c>
      <c r="L2134">
        <v>7213.5931126646501</v>
      </c>
      <c r="M2134">
        <v>115.291710932369</v>
      </c>
      <c r="O2134">
        <v>62.549359826727603</v>
      </c>
      <c r="P2134">
        <v>0.230401444892399</v>
      </c>
      <c r="Q2134">
        <v>1.5</v>
      </c>
      <c r="R2134">
        <v>0.33387421852541799</v>
      </c>
      <c r="S2134" t="s">
        <v>7995</v>
      </c>
      <c r="T2134" t="s">
        <v>11720</v>
      </c>
      <c r="U2134" t="s">
        <v>11720</v>
      </c>
      <c r="V2134" t="s">
        <v>11720</v>
      </c>
      <c r="W2134" t="s">
        <v>13811</v>
      </c>
      <c r="X2134">
        <v>10</v>
      </c>
      <c r="Y2134" t="s">
        <v>19573</v>
      </c>
      <c r="Z2134" t="s">
        <v>25341</v>
      </c>
      <c r="AA2134">
        <v>1.123605270163714</v>
      </c>
      <c r="AB2134" t="str">
        <f>HYPERLINK("Melting_Curves/meltCurve_P24534_EEF1B2.pdf", "Melting_Curves/meltCurve_P24534_EEF1B2.pdf")</f>
        <v>Melting_Curves/meltCurve_P24534_EEF1B2.pdf</v>
      </c>
    </row>
    <row r="2135" spans="1:28" x14ac:dyDescent="0.25">
      <c r="A2135" t="s">
        <v>2139</v>
      </c>
      <c r="B2135">
        <v>0.99334974765950101</v>
      </c>
      <c r="C2135">
        <v>0.94184537816616598</v>
      </c>
      <c r="D2135">
        <v>0.84283249219795997</v>
      </c>
      <c r="E2135">
        <v>0.76266927788958105</v>
      </c>
      <c r="F2135">
        <v>0.708324409599701</v>
      </c>
      <c r="G2135">
        <v>0.51984909247330902</v>
      </c>
      <c r="H2135">
        <v>0.44659200712111602</v>
      </c>
      <c r="I2135">
        <v>0.501756926907441</v>
      </c>
      <c r="J2135">
        <v>0.51199879098899304</v>
      </c>
      <c r="K2135">
        <v>0.42843250566938201</v>
      </c>
      <c r="L2135">
        <v>593.21833477791597</v>
      </c>
      <c r="M2135">
        <v>11.590236445567101</v>
      </c>
      <c r="N2135">
        <v>61.238156094767099</v>
      </c>
      <c r="O2135">
        <v>49.730108506405998</v>
      </c>
      <c r="P2135">
        <v>-3.34856660895567E-2</v>
      </c>
      <c r="Q2135">
        <v>0.42545205310192002</v>
      </c>
      <c r="R2135">
        <v>0.96831980903608095</v>
      </c>
      <c r="S2135" t="s">
        <v>7996</v>
      </c>
      <c r="T2135" t="s">
        <v>11720</v>
      </c>
      <c r="U2135" t="s">
        <v>11720</v>
      </c>
      <c r="V2135" t="s">
        <v>11720</v>
      </c>
      <c r="W2135" t="s">
        <v>13812</v>
      </c>
      <c r="X2135">
        <v>5</v>
      </c>
      <c r="Y2135" t="s">
        <v>19574</v>
      </c>
      <c r="Z2135" t="s">
        <v>25342</v>
      </c>
      <c r="AA2135">
        <v>0.65906127021446259</v>
      </c>
      <c r="AB2135" t="str">
        <f>HYPERLINK("Melting_Curves/meltCurve_P24592_IGFBP6.pdf", "Melting_Curves/meltCurve_P24592_IGFBP6.pdf")</f>
        <v>Melting_Curves/meltCurve_P24592_IGFBP6.pdf</v>
      </c>
    </row>
    <row r="2136" spans="1:28" x14ac:dyDescent="0.25">
      <c r="A2136" t="s">
        <v>2140</v>
      </c>
      <c r="B2136">
        <v>0.99334974765950101</v>
      </c>
      <c r="C2136">
        <v>1.0145763209202801</v>
      </c>
      <c r="D2136">
        <v>0.94274254596086204</v>
      </c>
      <c r="E2136">
        <v>0.79331214507612802</v>
      </c>
      <c r="F2136">
        <v>0.73644606848721295</v>
      </c>
      <c r="G2136">
        <v>0.55936725227074802</v>
      </c>
      <c r="H2136">
        <v>0.50591024882746105</v>
      </c>
      <c r="I2136">
        <v>0.49694376102589199</v>
      </c>
      <c r="J2136">
        <v>0.50129748577731803</v>
      </c>
      <c r="K2136">
        <v>0.39140464225883997</v>
      </c>
      <c r="L2136">
        <v>735.04403503841297</v>
      </c>
      <c r="M2136">
        <v>13.8964158943906</v>
      </c>
      <c r="N2136">
        <v>61.440572625018604</v>
      </c>
      <c r="O2136">
        <v>51.835253251368599</v>
      </c>
      <c r="P2136">
        <v>-3.83661388505772E-2</v>
      </c>
      <c r="Q2136">
        <v>0.42763726824640402</v>
      </c>
      <c r="R2136">
        <v>0.98170600336314695</v>
      </c>
      <c r="S2136" t="s">
        <v>7997</v>
      </c>
      <c r="T2136" t="s">
        <v>11720</v>
      </c>
      <c r="U2136" t="s">
        <v>11720</v>
      </c>
      <c r="V2136" t="s">
        <v>11720</v>
      </c>
      <c r="W2136" t="s">
        <v>13813</v>
      </c>
      <c r="X2136">
        <v>14</v>
      </c>
      <c r="Y2136" t="s">
        <v>19575</v>
      </c>
      <c r="Z2136" t="s">
        <v>25343</v>
      </c>
      <c r="AA2136">
        <v>0.68737507140207299</v>
      </c>
      <c r="AB2136" t="str">
        <f>HYPERLINK("Melting_Curves/meltCurve_P24593_IGFBP5.pdf", "Melting_Curves/meltCurve_P24593_IGFBP5.pdf")</f>
        <v>Melting_Curves/meltCurve_P24593_IGFBP5.pdf</v>
      </c>
    </row>
    <row r="2137" spans="1:28" x14ac:dyDescent="0.25">
      <c r="A2137" t="s">
        <v>2141</v>
      </c>
      <c r="B2137">
        <v>0.99334974765950101</v>
      </c>
      <c r="C2137">
        <v>0.94965987845876698</v>
      </c>
      <c r="D2137">
        <v>0.75101300690002704</v>
      </c>
      <c r="E2137">
        <v>0.34278452031642198</v>
      </c>
      <c r="F2137">
        <v>9.5223233485753206E-2</v>
      </c>
      <c r="G2137">
        <v>5.72376863170376E-2</v>
      </c>
      <c r="H2137">
        <v>3.7011220478793003E-2</v>
      </c>
      <c r="I2137">
        <v>4.2188263327270402E-2</v>
      </c>
      <c r="J2137">
        <v>3.5096782825937402E-2</v>
      </c>
      <c r="K2137">
        <v>2.14094379215043E-2</v>
      </c>
      <c r="L2137">
        <v>1135.1518907693801</v>
      </c>
      <c r="M2137">
        <v>23.554417709789298</v>
      </c>
      <c r="N2137">
        <v>48.310127715808299</v>
      </c>
      <c r="O2137">
        <v>47.849407234089597</v>
      </c>
      <c r="P2137">
        <v>-0.119644465893733</v>
      </c>
      <c r="Q2137">
        <v>2.7814006344673601E-2</v>
      </c>
      <c r="R2137">
        <v>0.99853063376960705</v>
      </c>
      <c r="S2137" t="s">
        <v>7998</v>
      </c>
      <c r="T2137" t="s">
        <v>11720</v>
      </c>
      <c r="U2137" t="s">
        <v>11720</v>
      </c>
      <c r="V2137" t="s">
        <v>11720</v>
      </c>
      <c r="W2137" t="s">
        <v>13814</v>
      </c>
      <c r="X2137">
        <v>14</v>
      </c>
      <c r="Y2137" t="s">
        <v>19576</v>
      </c>
      <c r="Z2137" t="s">
        <v>25344</v>
      </c>
      <c r="AA2137">
        <v>0.30305241255634802</v>
      </c>
      <c r="AB2137" t="str">
        <f>HYPERLINK("Melting_Curves/meltCurve_P24666_ACP1.pdf", "Melting_Curves/meltCurve_P24666_ACP1.pdf")</f>
        <v>Melting_Curves/meltCurve_P24666_ACP1.pdf</v>
      </c>
    </row>
    <row r="2138" spans="1:28" x14ac:dyDescent="0.25">
      <c r="A2138" t="s">
        <v>2142</v>
      </c>
      <c r="B2138">
        <v>0.99334974765950101</v>
      </c>
      <c r="C2138">
        <v>1.0375389657577401</v>
      </c>
      <c r="D2138">
        <v>0.89256591160323095</v>
      </c>
      <c r="E2138">
        <v>0.75194193487317496</v>
      </c>
      <c r="F2138">
        <v>0.843162435636025</v>
      </c>
      <c r="G2138">
        <v>0.309014221939237</v>
      </c>
      <c r="H2138">
        <v>0.25567556730567698</v>
      </c>
      <c r="I2138">
        <v>0.25368688687854002</v>
      </c>
      <c r="J2138">
        <v>0.25476770099052698</v>
      </c>
      <c r="K2138">
        <v>0.23567031390201701</v>
      </c>
      <c r="L2138">
        <v>1184.0508883110699</v>
      </c>
      <c r="M2138">
        <v>21.918054497470401</v>
      </c>
      <c r="N2138">
        <v>55.458011926611903</v>
      </c>
      <c r="O2138">
        <v>53.578051236287401</v>
      </c>
      <c r="P2138">
        <v>-8.0124202883589901E-2</v>
      </c>
      <c r="Q2138">
        <v>0.216572514172333</v>
      </c>
      <c r="R2138">
        <v>0.94293005679159403</v>
      </c>
      <c r="S2138" t="s">
        <v>7999</v>
      </c>
      <c r="T2138" t="s">
        <v>11720</v>
      </c>
      <c r="U2138" t="s">
        <v>11720</v>
      </c>
      <c r="V2138" t="s">
        <v>11720</v>
      </c>
      <c r="W2138" t="s">
        <v>13815</v>
      </c>
      <c r="X2138">
        <v>10</v>
      </c>
      <c r="Y2138" t="s">
        <v>19576</v>
      </c>
      <c r="Z2138" t="s">
        <v>25345</v>
      </c>
      <c r="AA2138">
        <v>0.59188412241981259</v>
      </c>
      <c r="AB2138" t="str">
        <f>HYPERLINK("Melting_Curves/meltCurve_P24666_2_ACP1.pdf", "Melting_Curves/meltCurve_P24666_2_ACP1.pdf")</f>
        <v>Melting_Curves/meltCurve_P24666_2_ACP1.pdf</v>
      </c>
    </row>
    <row r="2139" spans="1:28" x14ac:dyDescent="0.25">
      <c r="A2139" t="s">
        <v>2143</v>
      </c>
      <c r="B2139">
        <v>0.99334974765950101</v>
      </c>
      <c r="C2139">
        <v>1.01198354205596</v>
      </c>
      <c r="D2139">
        <v>1.1841673366571901</v>
      </c>
      <c r="E2139">
        <v>1.2495642093530901</v>
      </c>
      <c r="F2139">
        <v>1.0466875395079001</v>
      </c>
      <c r="G2139">
        <v>0.32227137649496801</v>
      </c>
      <c r="H2139">
        <v>0.146490404337805</v>
      </c>
      <c r="I2139">
        <v>8.6279415750779007E-2</v>
      </c>
      <c r="J2139">
        <v>8.3299202715458903E-2</v>
      </c>
      <c r="K2139">
        <v>7.6276612659191098E-2</v>
      </c>
      <c r="L2139">
        <v>13338.4452936618</v>
      </c>
      <c r="M2139">
        <v>235.11408716376499</v>
      </c>
      <c r="N2139">
        <v>56.784540453180902</v>
      </c>
      <c r="O2139">
        <v>56.727712908916601</v>
      </c>
      <c r="P2139">
        <v>-0.93451970935380602</v>
      </c>
      <c r="Q2139">
        <v>9.8086385549481694E-2</v>
      </c>
      <c r="R2139">
        <v>0.95709050470652801</v>
      </c>
      <c r="S2139" t="s">
        <v>8000</v>
      </c>
      <c r="T2139" t="s">
        <v>11720</v>
      </c>
      <c r="U2139" t="s">
        <v>11720</v>
      </c>
      <c r="V2139" t="s">
        <v>11720</v>
      </c>
      <c r="W2139" t="s">
        <v>13816</v>
      </c>
      <c r="X2139">
        <v>27</v>
      </c>
      <c r="Y2139" t="s">
        <v>19577</v>
      </c>
      <c r="Z2139" t="s">
        <v>25346</v>
      </c>
      <c r="AA2139">
        <v>0.60120918089883923</v>
      </c>
      <c r="AB2139" t="str">
        <f>HYPERLINK("Melting_Curves/meltCurve_P24752_ACAT1.pdf", "Melting_Curves/meltCurve_P24752_ACAT1.pdf")</f>
        <v>Melting_Curves/meltCurve_P24752_ACAT1.pdf</v>
      </c>
    </row>
    <row r="2140" spans="1:28" x14ac:dyDescent="0.25">
      <c r="A2140" t="s">
        <v>2144</v>
      </c>
      <c r="B2140">
        <v>0.99334974765950101</v>
      </c>
      <c r="C2140">
        <v>0.95507392739607799</v>
      </c>
      <c r="D2140">
        <v>0.97953220921267603</v>
      </c>
      <c r="E2140">
        <v>0.56851811552212195</v>
      </c>
      <c r="F2140">
        <v>0.30888924230343501</v>
      </c>
      <c r="G2140">
        <v>0.20858530379384099</v>
      </c>
      <c r="H2140">
        <v>0.18777981349526299</v>
      </c>
      <c r="I2140">
        <v>0.232490399150377</v>
      </c>
      <c r="J2140">
        <v>0.22640463438104699</v>
      </c>
      <c r="K2140">
        <v>0.20125945110337601</v>
      </c>
      <c r="L2140">
        <v>1765.21839691375</v>
      </c>
      <c r="M2140">
        <v>35.450587853524503</v>
      </c>
      <c r="N2140">
        <v>50.576921594631997</v>
      </c>
      <c r="O2140">
        <v>49.6361200766937</v>
      </c>
      <c r="P2140">
        <v>-0.14083971143471399</v>
      </c>
      <c r="Q2140">
        <v>0.21121608198258399</v>
      </c>
      <c r="R2140">
        <v>0.99646824816191404</v>
      </c>
      <c r="S2140" t="s">
        <v>8001</v>
      </c>
      <c r="T2140" t="s">
        <v>11720</v>
      </c>
      <c r="U2140" t="s">
        <v>11720</v>
      </c>
      <c r="V2140" t="s">
        <v>11720</v>
      </c>
      <c r="W2140" t="s">
        <v>13817</v>
      </c>
      <c r="X2140">
        <v>29</v>
      </c>
      <c r="Y2140" t="s">
        <v>19578</v>
      </c>
      <c r="Z2140" t="s">
        <v>25347</v>
      </c>
      <c r="AA2140">
        <v>0.47218858566248378</v>
      </c>
      <c r="AB2140" t="str">
        <f>HYPERLINK("Melting_Curves/meltCurve_P24821_4_TNC.pdf", "Melting_Curves/meltCurve_P24821_4_TNC.pdf")</f>
        <v>Melting_Curves/meltCurve_P24821_4_TNC.pdf</v>
      </c>
    </row>
    <row r="2141" spans="1:28" x14ac:dyDescent="0.25">
      <c r="A2141" t="s">
        <v>2145</v>
      </c>
      <c r="B2141">
        <v>0.99334974765950101</v>
      </c>
      <c r="C2141">
        <v>1.10330583953907</v>
      </c>
      <c r="D2141">
        <v>1.2969373994403199</v>
      </c>
      <c r="E2141">
        <v>1.3683354377126999</v>
      </c>
      <c r="F2141">
        <v>1.03339390923545</v>
      </c>
      <c r="G2141">
        <v>0.870044460977076</v>
      </c>
      <c r="H2141">
        <v>0.73571661659403798</v>
      </c>
      <c r="I2141">
        <v>0.82256406503544999</v>
      </c>
      <c r="J2141">
        <v>1.0362639253564701</v>
      </c>
      <c r="K2141">
        <v>1.88893234893508</v>
      </c>
      <c r="L2141">
        <v>15000</v>
      </c>
      <c r="M2141">
        <v>221.44708175204499</v>
      </c>
      <c r="O2141">
        <v>67.730749256361605</v>
      </c>
      <c r="P2141">
        <v>0.40869008256425099</v>
      </c>
      <c r="Q2141">
        <v>1.5</v>
      </c>
      <c r="R2141">
        <v>0.50121646433161804</v>
      </c>
      <c r="S2141" t="s">
        <v>8002</v>
      </c>
      <c r="T2141" t="s">
        <v>11720</v>
      </c>
      <c r="U2141" t="s">
        <v>11720</v>
      </c>
      <c r="V2141" t="s">
        <v>11720</v>
      </c>
      <c r="W2141" t="s">
        <v>13818</v>
      </c>
      <c r="X2141">
        <v>7</v>
      </c>
      <c r="Y2141" t="s">
        <v>19579</v>
      </c>
      <c r="Z2141" t="s">
        <v>25348</v>
      </c>
      <c r="AA2141">
        <v>1.037657286928757</v>
      </c>
      <c r="AB2141" t="str">
        <f>HYPERLINK("Melting_Curves/meltCurve_P24844_MYL9.pdf", "Melting_Curves/meltCurve_P24844_MYL9.pdf")</f>
        <v>Melting_Curves/meltCurve_P24844_MYL9.pdf</v>
      </c>
    </row>
    <row r="2142" spans="1:28" x14ac:dyDescent="0.25">
      <c r="A2142" t="s">
        <v>2146</v>
      </c>
      <c r="B2142">
        <v>0.99334974765950101</v>
      </c>
      <c r="C2142">
        <v>1.0478742091289399</v>
      </c>
      <c r="D2142">
        <v>1.1445035161583299</v>
      </c>
      <c r="E2142">
        <v>1.2530728478629201</v>
      </c>
      <c r="F2142">
        <v>0.70413655965083599</v>
      </c>
      <c r="G2142">
        <v>0.68486058753037604</v>
      </c>
      <c r="H2142">
        <v>0.56574561283042502</v>
      </c>
      <c r="I2142">
        <v>0.59462846111061995</v>
      </c>
      <c r="J2142">
        <v>0.62000227963492105</v>
      </c>
      <c r="K2142">
        <v>0.588995826416157</v>
      </c>
      <c r="L2142">
        <v>13188.829443320499</v>
      </c>
      <c r="M2142">
        <v>250</v>
      </c>
      <c r="O2142">
        <v>52.751941785104101</v>
      </c>
      <c r="P2142">
        <v>-0.46106552585252297</v>
      </c>
      <c r="Q2142">
        <v>0.61084637201042302</v>
      </c>
      <c r="R2142">
        <v>0.84463302030416798</v>
      </c>
      <c r="S2142" t="s">
        <v>8003</v>
      </c>
      <c r="T2142" t="s">
        <v>11720</v>
      </c>
      <c r="U2142" t="s">
        <v>11720</v>
      </c>
      <c r="V2142" t="s">
        <v>11720</v>
      </c>
      <c r="W2142" t="s">
        <v>13819</v>
      </c>
      <c r="X2142">
        <v>4</v>
      </c>
      <c r="Y2142" t="s">
        <v>19580</v>
      </c>
      <c r="Z2142" t="s">
        <v>25349</v>
      </c>
      <c r="AA2142">
        <v>0.77634167462739845</v>
      </c>
      <c r="AB2142" t="str">
        <f>HYPERLINK("Melting_Curves/meltCurve_P24928_POLR2A.pdf", "Melting_Curves/meltCurve_P24928_POLR2A.pdf")</f>
        <v>Melting_Curves/meltCurve_P24928_POLR2A.pdf</v>
      </c>
    </row>
    <row r="2143" spans="1:28" x14ac:dyDescent="0.25">
      <c r="A2143" t="s">
        <v>2147</v>
      </c>
      <c r="B2143">
        <v>0.99334974765950101</v>
      </c>
      <c r="C2143">
        <v>0.99410290573055404</v>
      </c>
      <c r="D2143">
        <v>1.0160455666330299</v>
      </c>
      <c r="E2143">
        <v>0.73793502446682402</v>
      </c>
      <c r="F2143">
        <v>0.34396996004131197</v>
      </c>
      <c r="G2143">
        <v>0.222091596130883</v>
      </c>
      <c r="H2143">
        <v>0.14881196269286601</v>
      </c>
      <c r="I2143">
        <v>0.15915590049669301</v>
      </c>
      <c r="J2143">
        <v>0.13257068633840499</v>
      </c>
      <c r="K2143">
        <v>0.10606903994905401</v>
      </c>
      <c r="L2143">
        <v>1707.1985022198801</v>
      </c>
      <c r="M2143">
        <v>33.325926342019301</v>
      </c>
      <c r="N2143">
        <v>51.758968036752997</v>
      </c>
      <c r="O2143">
        <v>51.0439381389508</v>
      </c>
      <c r="P2143">
        <v>-0.139565861805902</v>
      </c>
      <c r="Q2143">
        <v>0.14493472107073499</v>
      </c>
      <c r="R2143">
        <v>0.99605604149506899</v>
      </c>
      <c r="S2143" t="s">
        <v>8004</v>
      </c>
      <c r="T2143" t="s">
        <v>11720</v>
      </c>
      <c r="U2143" t="s">
        <v>11720</v>
      </c>
      <c r="V2143" t="s">
        <v>11720</v>
      </c>
      <c r="W2143" t="s">
        <v>13820</v>
      </c>
      <c r="X2143">
        <v>8</v>
      </c>
      <c r="Y2143" t="s">
        <v>19581</v>
      </c>
      <c r="Z2143" t="s">
        <v>25350</v>
      </c>
      <c r="AA2143">
        <v>0.46930922755911292</v>
      </c>
      <c r="AB2143" t="str">
        <f>HYPERLINK("Melting_Curves/meltCurve_P25098_ADRBK1.pdf", "Melting_Curves/meltCurve_P25098_ADRBK1.pdf")</f>
        <v>Melting_Curves/meltCurve_P25098_ADRBK1.pdf</v>
      </c>
    </row>
    <row r="2144" spans="1:28" x14ac:dyDescent="0.25">
      <c r="A2144" t="s">
        <v>2148</v>
      </c>
      <c r="B2144">
        <v>0.99334974765950101</v>
      </c>
      <c r="C2144">
        <v>1.05694345526348</v>
      </c>
      <c r="D2144">
        <v>1.23142254835655</v>
      </c>
      <c r="E2144">
        <v>1.6124580595546001</v>
      </c>
      <c r="F2144">
        <v>1.5075091312650399</v>
      </c>
      <c r="G2144">
        <v>1.8187991424004399</v>
      </c>
      <c r="H2144">
        <v>1.7476215185572801</v>
      </c>
      <c r="I2144">
        <v>2.29308792709327</v>
      </c>
      <c r="J2144">
        <v>2.1332624257955599</v>
      </c>
      <c r="K2144">
        <v>1.6944164300128799</v>
      </c>
      <c r="L2144">
        <v>6566.4348792096698</v>
      </c>
      <c r="M2144">
        <v>142.59981544183199</v>
      </c>
      <c r="O2144">
        <v>46.038937083220802</v>
      </c>
      <c r="P2144">
        <v>0.38717179633520998</v>
      </c>
      <c r="Q2144">
        <v>1.5</v>
      </c>
      <c r="R2144">
        <v>0.24440679003744301</v>
      </c>
      <c r="S2144" t="s">
        <v>8005</v>
      </c>
      <c r="T2144" t="s">
        <v>11720</v>
      </c>
      <c r="U2144" t="s">
        <v>11720</v>
      </c>
      <c r="V2144" t="s">
        <v>11720</v>
      </c>
      <c r="W2144" t="s">
        <v>13821</v>
      </c>
      <c r="X2144">
        <v>4</v>
      </c>
      <c r="Y2144" t="s">
        <v>19582</v>
      </c>
      <c r="Z2144" t="s">
        <v>25351</v>
      </c>
      <c r="AA2144">
        <v>1.399075916498931</v>
      </c>
      <c r="AB2144" t="str">
        <f>HYPERLINK("Melting_Curves/meltCurve_P25116_F2R.pdf", "Melting_Curves/meltCurve_P25116_F2R.pdf")</f>
        <v>Melting_Curves/meltCurve_P25116_F2R.pdf</v>
      </c>
    </row>
    <row r="2145" spans="1:28" x14ac:dyDescent="0.25">
      <c r="A2145" t="s">
        <v>2149</v>
      </c>
      <c r="B2145">
        <v>0.99334974765950101</v>
      </c>
      <c r="C2145">
        <v>1.0864667111805399</v>
      </c>
      <c r="D2145">
        <v>0.93114357303516904</v>
      </c>
      <c r="E2145">
        <v>0.70577059882159698</v>
      </c>
      <c r="F2145">
        <v>0.37031237225348201</v>
      </c>
      <c r="G2145">
        <v>0.23858085620849601</v>
      </c>
      <c r="H2145">
        <v>0.18354985774023</v>
      </c>
      <c r="I2145">
        <v>0.193570884429344</v>
      </c>
      <c r="J2145">
        <v>0.18655206166025201</v>
      </c>
      <c r="K2145">
        <v>0.17448529386575101</v>
      </c>
      <c r="L2145">
        <v>1455.5355698636699</v>
      </c>
      <c r="M2145">
        <v>28.5970037789095</v>
      </c>
      <c r="N2145">
        <v>51.731063848585798</v>
      </c>
      <c r="O2145">
        <v>50.651241244937601</v>
      </c>
      <c r="P2145">
        <v>-0.11510749123820201</v>
      </c>
      <c r="Q2145">
        <v>0.18448922458276701</v>
      </c>
      <c r="R2145">
        <v>0.99227339708960705</v>
      </c>
      <c r="S2145" t="s">
        <v>8006</v>
      </c>
      <c r="T2145" t="s">
        <v>11720</v>
      </c>
      <c r="U2145" t="s">
        <v>11720</v>
      </c>
      <c r="V2145" t="s">
        <v>11720</v>
      </c>
      <c r="W2145" t="s">
        <v>13822</v>
      </c>
      <c r="X2145">
        <v>10</v>
      </c>
      <c r="Y2145" t="s">
        <v>19583</v>
      </c>
      <c r="Z2145" t="s">
        <v>25352</v>
      </c>
      <c r="AA2145">
        <v>0.48637621760688621</v>
      </c>
      <c r="AB2145" t="str">
        <f>HYPERLINK("Melting_Curves/meltCurve_P25398_RPS12.pdf", "Melting_Curves/meltCurve_P25398_RPS12.pdf")</f>
        <v>Melting_Curves/meltCurve_P25398_RPS12.pdf</v>
      </c>
    </row>
    <row r="2146" spans="1:28" x14ac:dyDescent="0.25">
      <c r="A2146" t="s">
        <v>2150</v>
      </c>
      <c r="B2146">
        <v>0.99334974765950101</v>
      </c>
      <c r="C2146">
        <v>0.96709439895179705</v>
      </c>
      <c r="D2146">
        <v>0.93269784417800095</v>
      </c>
      <c r="E2146">
        <v>0.91623601676798405</v>
      </c>
      <c r="F2146">
        <v>0.789559515840068</v>
      </c>
      <c r="G2146">
        <v>0.68669183472005402</v>
      </c>
      <c r="H2146">
        <v>0.55288951142646803</v>
      </c>
      <c r="I2146">
        <v>0.64798885386156002</v>
      </c>
      <c r="J2146">
        <v>0.57997027261054801</v>
      </c>
      <c r="K2146">
        <v>0.44939685715122402</v>
      </c>
      <c r="L2146">
        <v>570.13139753419102</v>
      </c>
      <c r="M2146">
        <v>10.1671982140106</v>
      </c>
      <c r="O2146">
        <v>54.0360141594929</v>
      </c>
      <c r="P2146">
        <v>-2.61008970469262E-2</v>
      </c>
      <c r="Q2146">
        <v>0.44537526132008898</v>
      </c>
      <c r="R2146">
        <v>0.94631550869806702</v>
      </c>
      <c r="S2146" t="s">
        <v>8007</v>
      </c>
      <c r="T2146" t="s">
        <v>11720</v>
      </c>
      <c r="U2146" t="s">
        <v>11720</v>
      </c>
      <c r="V2146" t="s">
        <v>11720</v>
      </c>
      <c r="W2146" t="s">
        <v>13823</v>
      </c>
      <c r="X2146">
        <v>10</v>
      </c>
      <c r="Y2146" t="s">
        <v>19584</v>
      </c>
      <c r="Z2146" t="s">
        <v>25353</v>
      </c>
      <c r="AA2146">
        <v>0.75406953732377846</v>
      </c>
      <c r="AB2146" t="str">
        <f>HYPERLINK("Melting_Curves/meltCurve_P25445_6_FAS.pdf", "Melting_Curves/meltCurve_P25445_6_FAS.pdf")</f>
        <v>Melting_Curves/meltCurve_P25445_6_FAS.pdf</v>
      </c>
    </row>
    <row r="2147" spans="1:28" x14ac:dyDescent="0.25">
      <c r="A2147" t="s">
        <v>2151</v>
      </c>
      <c r="B2147">
        <v>0.99334974765950101</v>
      </c>
      <c r="C2147">
        <v>0.87684206603613801</v>
      </c>
      <c r="D2147">
        <v>0.789629382790072</v>
      </c>
      <c r="E2147">
        <v>0.43687933475956298</v>
      </c>
      <c r="F2147">
        <v>0.19500949304217299</v>
      </c>
      <c r="G2147">
        <v>0.133681771686322</v>
      </c>
      <c r="H2147">
        <v>0.18513713889546399</v>
      </c>
      <c r="I2147">
        <v>9.1289135191993095E-2</v>
      </c>
      <c r="J2147">
        <v>8.9553538870982899E-2</v>
      </c>
      <c r="K2147">
        <v>7.7398920327686194E-2</v>
      </c>
      <c r="L2147">
        <v>943.30708193518001</v>
      </c>
      <c r="M2147">
        <v>19.4568413045033</v>
      </c>
      <c r="N2147">
        <v>49.013572721782801</v>
      </c>
      <c r="O2147">
        <v>47.9786005387054</v>
      </c>
      <c r="P2147">
        <v>-9.1743112310009797E-2</v>
      </c>
      <c r="Q2147">
        <v>9.5115927633720204E-2</v>
      </c>
      <c r="R2147">
        <v>0.98959079089278601</v>
      </c>
      <c r="S2147" t="s">
        <v>8008</v>
      </c>
      <c r="T2147" t="s">
        <v>11720</v>
      </c>
      <c r="U2147" t="s">
        <v>11720</v>
      </c>
      <c r="V2147" t="s">
        <v>11720</v>
      </c>
      <c r="W2147" t="s">
        <v>13824</v>
      </c>
      <c r="X2147">
        <v>10</v>
      </c>
      <c r="Y2147" t="s">
        <v>19585</v>
      </c>
      <c r="Z2147" t="s">
        <v>25354</v>
      </c>
      <c r="AA2147">
        <v>0.36445950534628208</v>
      </c>
      <c r="AB2147" t="str">
        <f>HYPERLINK("Melting_Curves/meltCurve_P25685_DNAJB1.pdf", "Melting_Curves/meltCurve_P25685_DNAJB1.pdf")</f>
        <v>Melting_Curves/meltCurve_P25685_DNAJB1.pdf</v>
      </c>
    </row>
    <row r="2148" spans="1:28" x14ac:dyDescent="0.25">
      <c r="A2148" t="s">
        <v>2152</v>
      </c>
      <c r="B2148">
        <v>0.99334974765950101</v>
      </c>
      <c r="C2148">
        <v>0.93243091216121499</v>
      </c>
      <c r="D2148">
        <v>0.72428217338001599</v>
      </c>
      <c r="E2148">
        <v>0.60256189437575203</v>
      </c>
      <c r="F2148">
        <v>0.38307992141363401</v>
      </c>
      <c r="G2148">
        <v>0.27912736919948</v>
      </c>
      <c r="H2148">
        <v>0.21271772922626001</v>
      </c>
      <c r="I2148">
        <v>0.26154508001529397</v>
      </c>
      <c r="J2148">
        <v>0.212963196099446</v>
      </c>
      <c r="K2148">
        <v>0.13898527593242499</v>
      </c>
      <c r="L2148">
        <v>669.12124679310898</v>
      </c>
      <c r="M2148">
        <v>13.538123047806</v>
      </c>
      <c r="N2148">
        <v>50.996403794581099</v>
      </c>
      <c r="O2148">
        <v>48.383954096634</v>
      </c>
      <c r="P2148">
        <v>-5.8030285669594901E-2</v>
      </c>
      <c r="Q2148">
        <v>0.170546404061548</v>
      </c>
      <c r="R2148">
        <v>0.98523368735494399</v>
      </c>
      <c r="S2148" t="s">
        <v>8009</v>
      </c>
      <c r="T2148" t="s">
        <v>11720</v>
      </c>
      <c r="U2148" t="s">
        <v>11720</v>
      </c>
      <c r="V2148" t="s">
        <v>11720</v>
      </c>
      <c r="W2148" t="s">
        <v>13825</v>
      </c>
      <c r="X2148">
        <v>4</v>
      </c>
      <c r="Y2148" t="s">
        <v>19586</v>
      </c>
      <c r="Z2148" t="s">
        <v>25355</v>
      </c>
      <c r="AA2148">
        <v>0.45536227347366498</v>
      </c>
      <c r="AB2148" t="str">
        <f>HYPERLINK("Melting_Curves/meltCurve_P25686_DNAJB2.pdf", "Melting_Curves/meltCurve_P25686_DNAJB2.pdf")</f>
        <v>Melting_Curves/meltCurve_P25686_DNAJB2.pdf</v>
      </c>
    </row>
    <row r="2149" spans="1:28" x14ac:dyDescent="0.25">
      <c r="A2149" t="s">
        <v>2153</v>
      </c>
      <c r="B2149">
        <v>0.99334974765950101</v>
      </c>
      <c r="C2149">
        <v>1.03470289288688</v>
      </c>
      <c r="D2149">
        <v>1.0255269062919801</v>
      </c>
      <c r="E2149">
        <v>1.2488225358042999</v>
      </c>
      <c r="F2149">
        <v>1.1335280398638401</v>
      </c>
      <c r="G2149">
        <v>1.3600627651322399</v>
      </c>
      <c r="H2149">
        <v>1.3516863399857599</v>
      </c>
      <c r="I2149">
        <v>1.7530735057240301</v>
      </c>
      <c r="J2149">
        <v>0.27829616587517902</v>
      </c>
      <c r="K2149">
        <v>0.148796877224598</v>
      </c>
      <c r="L2149">
        <v>15000</v>
      </c>
      <c r="M2149">
        <v>225.585621464063</v>
      </c>
      <c r="N2149">
        <v>66.597350829297199</v>
      </c>
      <c r="O2149">
        <v>66.488373824724704</v>
      </c>
      <c r="P2149">
        <v>-0.72254714904602002</v>
      </c>
      <c r="Q2149">
        <v>0.148155197229319</v>
      </c>
      <c r="R2149">
        <v>0.57772823827483499</v>
      </c>
      <c r="S2149" t="s">
        <v>8010</v>
      </c>
      <c r="T2149" t="s">
        <v>11720</v>
      </c>
      <c r="U2149" t="s">
        <v>11720</v>
      </c>
      <c r="V2149" t="s">
        <v>11720</v>
      </c>
      <c r="W2149" t="s">
        <v>13826</v>
      </c>
      <c r="X2149">
        <v>41</v>
      </c>
      <c r="Y2149" t="s">
        <v>19587</v>
      </c>
      <c r="Z2149" t="s">
        <v>25356</v>
      </c>
      <c r="AA2149">
        <v>0.90055834714230132</v>
      </c>
      <c r="AB2149" t="str">
        <f>HYPERLINK("Melting_Curves/meltCurve_P25705_ATP5A1.pdf", "Melting_Curves/meltCurve_P25705_ATP5A1.pdf")</f>
        <v>Melting_Curves/meltCurve_P25705_ATP5A1.pdf</v>
      </c>
    </row>
    <row r="2150" spans="1:28" x14ac:dyDescent="0.25">
      <c r="A2150" t="s">
        <v>2154</v>
      </c>
      <c r="B2150">
        <v>0.99334974765950101</v>
      </c>
      <c r="C2150">
        <v>1.00271972345696</v>
      </c>
      <c r="D2150">
        <v>0.86258551187389698</v>
      </c>
      <c r="E2150">
        <v>0.67577144819824997</v>
      </c>
      <c r="F2150">
        <v>0.84242894588825101</v>
      </c>
      <c r="G2150">
        <v>2.0394308023866401</v>
      </c>
      <c r="H2150">
        <v>2.6007499613983498</v>
      </c>
      <c r="I2150">
        <v>2.8463755660896899</v>
      </c>
      <c r="J2150">
        <v>2.0902666853213798</v>
      </c>
      <c r="K2150">
        <v>1.32259173857872</v>
      </c>
      <c r="L2150">
        <v>4785.4789434677396</v>
      </c>
      <c r="M2150">
        <v>87.688270779488093</v>
      </c>
      <c r="O2150">
        <v>54.5453983336511</v>
      </c>
      <c r="P2150">
        <v>0.20095251253848501</v>
      </c>
      <c r="Q2150">
        <v>1.5</v>
      </c>
      <c r="R2150">
        <v>0.32235029398492099</v>
      </c>
      <c r="S2150" t="s">
        <v>8011</v>
      </c>
      <c r="T2150" t="s">
        <v>11720</v>
      </c>
      <c r="U2150" t="s">
        <v>11720</v>
      </c>
      <c r="V2150" t="s">
        <v>11720</v>
      </c>
      <c r="W2150" t="s">
        <v>13827</v>
      </c>
      <c r="X2150">
        <v>12</v>
      </c>
      <c r="Y2150" t="s">
        <v>19588</v>
      </c>
      <c r="Z2150" t="s">
        <v>25357</v>
      </c>
      <c r="AA2150">
        <v>1.2567140810960751</v>
      </c>
      <c r="AB2150" t="str">
        <f>HYPERLINK("Melting_Curves/meltCurve_P25786_PSMA1.pdf", "Melting_Curves/meltCurve_P25786_PSMA1.pdf")</f>
        <v>Melting_Curves/meltCurve_P25786_PSMA1.pdf</v>
      </c>
    </row>
    <row r="2151" spans="1:28" x14ac:dyDescent="0.25">
      <c r="A2151" t="s">
        <v>2155</v>
      </c>
      <c r="B2151">
        <v>0.99334974765950101</v>
      </c>
      <c r="C2151">
        <v>0.98977240459438598</v>
      </c>
      <c r="D2151">
        <v>0.91822222442167301</v>
      </c>
      <c r="E2151">
        <v>1.00549077827913</v>
      </c>
      <c r="F2151">
        <v>1.17817890658154</v>
      </c>
      <c r="G2151">
        <v>2.2775830867293698</v>
      </c>
      <c r="H2151">
        <v>2.6963805076169698</v>
      </c>
      <c r="I2151">
        <v>2.8298085061232499</v>
      </c>
      <c r="J2151">
        <v>2.21618573573042</v>
      </c>
      <c r="K2151">
        <v>1.4869446539868001</v>
      </c>
      <c r="L2151">
        <v>13281.333942360699</v>
      </c>
      <c r="M2151">
        <v>250</v>
      </c>
      <c r="O2151">
        <v>53.121936144147597</v>
      </c>
      <c r="P2151">
        <v>0.58826922229660905</v>
      </c>
      <c r="Q2151">
        <v>1.5</v>
      </c>
      <c r="R2151">
        <v>0.179077619395515</v>
      </c>
      <c r="S2151" t="s">
        <v>8012</v>
      </c>
      <c r="T2151" t="s">
        <v>11720</v>
      </c>
      <c r="U2151" t="s">
        <v>11720</v>
      </c>
      <c r="V2151" t="s">
        <v>11720</v>
      </c>
      <c r="W2151" t="s">
        <v>13828</v>
      </c>
      <c r="X2151">
        <v>10</v>
      </c>
      <c r="Y2151" t="s">
        <v>19589</v>
      </c>
      <c r="Z2151" t="s">
        <v>25358</v>
      </c>
      <c r="AA2151">
        <v>1.2811977867738891</v>
      </c>
      <c r="AB2151" t="str">
        <f>HYPERLINK("Melting_Curves/meltCurve_P25787_PSMA2.pdf", "Melting_Curves/meltCurve_P25787_PSMA2.pdf")</f>
        <v>Melting_Curves/meltCurve_P25787_PSMA2.pdf</v>
      </c>
    </row>
    <row r="2152" spans="1:28" x14ac:dyDescent="0.25">
      <c r="A2152" t="s">
        <v>2156</v>
      </c>
      <c r="B2152">
        <v>0.99334974765950101</v>
      </c>
      <c r="C2152">
        <v>1.06350348359208</v>
      </c>
      <c r="D2152">
        <v>1.0286021831457799</v>
      </c>
      <c r="E2152">
        <v>1.03520171532245</v>
      </c>
      <c r="F2152">
        <v>1.14936127978411</v>
      </c>
      <c r="G2152">
        <v>2.8150790906308498</v>
      </c>
      <c r="H2152">
        <v>3.2665265749477501</v>
      </c>
      <c r="I2152">
        <v>3.5600626766063099</v>
      </c>
      <c r="J2152">
        <v>2.5123281330653402</v>
      </c>
      <c r="K2152">
        <v>1.60287317187718</v>
      </c>
      <c r="L2152">
        <v>13295.229422345499</v>
      </c>
      <c r="M2152">
        <v>250</v>
      </c>
      <c r="O2152">
        <v>53.1775012203207</v>
      </c>
      <c r="P2152">
        <v>0.58765439343369996</v>
      </c>
      <c r="Q2152">
        <v>1.5</v>
      </c>
      <c r="R2152">
        <v>-6.5078109799612302E-2</v>
      </c>
      <c r="S2152" t="s">
        <v>8013</v>
      </c>
      <c r="T2152" t="s">
        <v>11720</v>
      </c>
      <c r="U2152" t="s">
        <v>11720</v>
      </c>
      <c r="V2152" t="s">
        <v>11720</v>
      </c>
      <c r="W2152" t="s">
        <v>13829</v>
      </c>
      <c r="X2152">
        <v>13</v>
      </c>
      <c r="Y2152" t="s">
        <v>19590</v>
      </c>
      <c r="Z2152" t="s">
        <v>25359</v>
      </c>
      <c r="AA2152">
        <v>1.280271372668867</v>
      </c>
      <c r="AB2152" t="str">
        <f>HYPERLINK("Melting_Curves/meltCurve_P25788_2_PSMA3.pdf", "Melting_Curves/meltCurve_P25788_2_PSMA3.pdf")</f>
        <v>Melting_Curves/meltCurve_P25788_2_PSMA3.pdf</v>
      </c>
    </row>
    <row r="2153" spans="1:28" x14ac:dyDescent="0.25">
      <c r="A2153" t="s">
        <v>2157</v>
      </c>
      <c r="B2153">
        <v>0.99334974765950101</v>
      </c>
      <c r="C2153">
        <v>0.96747140599949599</v>
      </c>
      <c r="D2153">
        <v>0.73772503840906301</v>
      </c>
      <c r="E2153">
        <v>0.64838789502788197</v>
      </c>
      <c r="F2153">
        <v>0.79436793844728304</v>
      </c>
      <c r="G2153">
        <v>1.4581591066056001</v>
      </c>
      <c r="H2153">
        <v>1.67811608841328</v>
      </c>
      <c r="I2153">
        <v>2.1783860346994999</v>
      </c>
      <c r="J2153">
        <v>1.20932977837013</v>
      </c>
      <c r="K2153">
        <v>0.782538772516852</v>
      </c>
      <c r="L2153">
        <v>13979.3078709458</v>
      </c>
      <c r="M2153">
        <v>250</v>
      </c>
      <c r="O2153">
        <v>55.913653568718601</v>
      </c>
      <c r="P2153">
        <v>0.51653237614533598</v>
      </c>
      <c r="Q2153">
        <v>1.46209939340267</v>
      </c>
      <c r="R2153">
        <v>0.39271540850203301</v>
      </c>
      <c r="S2153" t="s">
        <v>8014</v>
      </c>
      <c r="T2153" t="s">
        <v>11720</v>
      </c>
      <c r="U2153" t="s">
        <v>11720</v>
      </c>
      <c r="V2153" t="s">
        <v>11720</v>
      </c>
      <c r="W2153" t="s">
        <v>13830</v>
      </c>
      <c r="X2153">
        <v>11</v>
      </c>
      <c r="Y2153" t="s">
        <v>19591</v>
      </c>
      <c r="Z2153" t="s">
        <v>25360</v>
      </c>
      <c r="AA2153">
        <v>1.2168759453568769</v>
      </c>
      <c r="AB2153" t="str">
        <f>HYPERLINK("Melting_Curves/meltCurve_P25789_PSMA4.pdf", "Melting_Curves/meltCurve_P25789_PSMA4.pdf")</f>
        <v>Melting_Curves/meltCurve_P25789_PSMA4.pdf</v>
      </c>
    </row>
    <row r="2154" spans="1:28" x14ac:dyDescent="0.25">
      <c r="A2154" t="s">
        <v>2158</v>
      </c>
      <c r="B2154">
        <v>0.99334974765950101</v>
      </c>
      <c r="C2154">
        <v>1.0380707441952399</v>
      </c>
      <c r="D2154">
        <v>1.0759185002946301</v>
      </c>
      <c r="E2154">
        <v>1.53141116861033</v>
      </c>
      <c r="F2154">
        <v>1.58043413674458</v>
      </c>
      <c r="G2154">
        <v>1.4945240296791</v>
      </c>
      <c r="H2154">
        <v>1.3405783636345101</v>
      </c>
      <c r="I2154">
        <v>2.1174209756361702</v>
      </c>
      <c r="J2154">
        <v>1.7169363157025701</v>
      </c>
      <c r="K2154">
        <v>1.20809437193882</v>
      </c>
      <c r="L2154">
        <v>11579.1321994807</v>
      </c>
      <c r="M2154">
        <v>250</v>
      </c>
      <c r="O2154">
        <v>46.313565180542597</v>
      </c>
      <c r="P2154">
        <v>0.67474831919429501</v>
      </c>
      <c r="Q2154">
        <v>1.5</v>
      </c>
      <c r="R2154">
        <v>0.50850551757525797</v>
      </c>
      <c r="S2154" t="s">
        <v>8015</v>
      </c>
      <c r="T2154" t="s">
        <v>11720</v>
      </c>
      <c r="U2154" t="s">
        <v>11720</v>
      </c>
      <c r="V2154" t="s">
        <v>11720</v>
      </c>
      <c r="W2154" t="s">
        <v>13831</v>
      </c>
      <c r="X2154">
        <v>16</v>
      </c>
      <c r="Y2154" t="s">
        <v>19592</v>
      </c>
      <c r="Z2154" t="s">
        <v>25361</v>
      </c>
      <c r="AA2154">
        <v>1.394683877641022</v>
      </c>
      <c r="AB2154" t="str">
        <f>HYPERLINK("Melting_Curves/meltCurve_P26006_ITGA3.pdf", "Melting_Curves/meltCurve_P26006_ITGA3.pdf")</f>
        <v>Melting_Curves/meltCurve_P26006_ITGA3.pdf</v>
      </c>
    </row>
    <row r="2155" spans="1:28" x14ac:dyDescent="0.25">
      <c r="A2155" t="s">
        <v>2159</v>
      </c>
      <c r="B2155">
        <v>0.99334974765950101</v>
      </c>
      <c r="C2155">
        <v>0.91853283417677201</v>
      </c>
      <c r="D2155">
        <v>0.900938915504927</v>
      </c>
      <c r="E2155">
        <v>0.63541344414355405</v>
      </c>
      <c r="F2155">
        <v>0.53178324121772402</v>
      </c>
      <c r="G2155">
        <v>0.38230565752232998</v>
      </c>
      <c r="H2155">
        <v>0.31857768438530998</v>
      </c>
      <c r="I2155">
        <v>0.308064568944654</v>
      </c>
      <c r="J2155">
        <v>0.247684497582769</v>
      </c>
      <c r="K2155">
        <v>0.19756762174964301</v>
      </c>
      <c r="L2155">
        <v>653.421120016955</v>
      </c>
      <c r="M2155">
        <v>12.7242999963737</v>
      </c>
      <c r="N2155">
        <v>53.6645639810056</v>
      </c>
      <c r="O2155">
        <v>50.133427297858503</v>
      </c>
      <c r="P2155">
        <v>-5.0071679436337099E-2</v>
      </c>
      <c r="Q2155">
        <v>0.21102679011474601</v>
      </c>
      <c r="R2155">
        <v>0.99081990130589803</v>
      </c>
      <c r="S2155" t="s">
        <v>8016</v>
      </c>
      <c r="T2155" t="s">
        <v>11720</v>
      </c>
      <c r="U2155" t="s">
        <v>11720</v>
      </c>
      <c r="V2155" t="s">
        <v>11720</v>
      </c>
      <c r="W2155" t="s">
        <v>13832</v>
      </c>
      <c r="X2155">
        <v>8</v>
      </c>
      <c r="Y2155" t="s">
        <v>19593</v>
      </c>
      <c r="Z2155" t="s">
        <v>25362</v>
      </c>
      <c r="AA2155">
        <v>0.53275880936059317</v>
      </c>
      <c r="AB2155" t="str">
        <f>HYPERLINK("Melting_Curves/meltCurve_P26022_PTX3.pdf", "Melting_Curves/meltCurve_P26022_PTX3.pdf")</f>
        <v>Melting_Curves/meltCurve_P26022_PTX3.pdf</v>
      </c>
    </row>
    <row r="2156" spans="1:28" x14ac:dyDescent="0.25">
      <c r="A2156" t="s">
        <v>2160</v>
      </c>
      <c r="B2156">
        <v>0.99334974765950101</v>
      </c>
      <c r="C2156">
        <v>1.0057621803977901</v>
      </c>
      <c r="D2156">
        <v>0.97983464023647004</v>
      </c>
      <c r="E2156">
        <v>0.88869627391436401</v>
      </c>
      <c r="F2156">
        <v>0.22869937603754401</v>
      </c>
      <c r="G2156">
        <v>9.7126109398408697E-2</v>
      </c>
      <c r="H2156">
        <v>6.7035718488068496E-2</v>
      </c>
      <c r="I2156">
        <v>5.6599704737630298E-2</v>
      </c>
      <c r="J2156">
        <v>6.3589521464375895E-2</v>
      </c>
      <c r="K2156">
        <v>5.3023123742196497E-2</v>
      </c>
      <c r="L2156">
        <v>3122.5420833268699</v>
      </c>
      <c r="M2156">
        <v>60.464411287605401</v>
      </c>
      <c r="N2156">
        <v>51.7649922472432</v>
      </c>
      <c r="O2156">
        <v>51.586240895851297</v>
      </c>
      <c r="P2156">
        <v>-0.27351528675908798</v>
      </c>
      <c r="Q2156">
        <v>6.6583431428607204E-2</v>
      </c>
      <c r="R2156">
        <v>0.999188613276774</v>
      </c>
      <c r="S2156" t="s">
        <v>8017</v>
      </c>
      <c r="T2156" t="s">
        <v>11720</v>
      </c>
      <c r="U2156" t="s">
        <v>11720</v>
      </c>
      <c r="V2156" t="s">
        <v>11720</v>
      </c>
      <c r="W2156" t="s">
        <v>13833</v>
      </c>
      <c r="X2156">
        <v>81</v>
      </c>
      <c r="Y2156" t="s">
        <v>19594</v>
      </c>
      <c r="Z2156" t="s">
        <v>25363</v>
      </c>
      <c r="AA2156">
        <v>0.4302827504908508</v>
      </c>
      <c r="AB2156" t="str">
        <f>HYPERLINK("Melting_Curves/meltCurve_P26038_MSN.pdf", "Melting_Curves/meltCurve_P26038_MSN.pdf")</f>
        <v>Melting_Curves/meltCurve_P26038_MSN.pdf</v>
      </c>
    </row>
    <row r="2157" spans="1:28" x14ac:dyDescent="0.25">
      <c r="A2157" t="s">
        <v>2161</v>
      </c>
      <c r="B2157">
        <v>0.99334974765950101</v>
      </c>
      <c r="C2157">
        <v>1.03771973969084</v>
      </c>
      <c r="D2157">
        <v>0.976017613585347</v>
      </c>
      <c r="E2157">
        <v>0.75179193050809001</v>
      </c>
      <c r="F2157">
        <v>0.31292595106443999</v>
      </c>
      <c r="G2157">
        <v>0.22448546489117699</v>
      </c>
      <c r="H2157">
        <v>0.19117783780481601</v>
      </c>
      <c r="I2157">
        <v>0.18955324350574901</v>
      </c>
      <c r="J2157">
        <v>0.19026171701861799</v>
      </c>
      <c r="K2157">
        <v>0.16817311425154299</v>
      </c>
      <c r="L2157">
        <v>2176.36127799218</v>
      </c>
      <c r="M2157">
        <v>42.728357002984701</v>
      </c>
      <c r="N2157">
        <v>51.511020014327698</v>
      </c>
      <c r="O2157">
        <v>50.823645798073301</v>
      </c>
      <c r="P2157">
        <v>-0.170251959159018</v>
      </c>
      <c r="Q2157">
        <v>0.18997030838128201</v>
      </c>
      <c r="R2157">
        <v>0.99779546946398501</v>
      </c>
      <c r="S2157" t="s">
        <v>8018</v>
      </c>
      <c r="T2157" t="s">
        <v>11720</v>
      </c>
      <c r="U2157" t="s">
        <v>11720</v>
      </c>
      <c r="V2157" t="s">
        <v>11720</v>
      </c>
      <c r="W2157" t="s">
        <v>13834</v>
      </c>
      <c r="X2157">
        <v>14</v>
      </c>
      <c r="Y2157" t="s">
        <v>19595</v>
      </c>
      <c r="Z2157" t="s">
        <v>25364</v>
      </c>
      <c r="AA2157">
        <v>0.48771823531083769</v>
      </c>
      <c r="AB2157" t="str">
        <f>HYPERLINK("Melting_Curves/meltCurve_P26196_DDX6.pdf", "Melting_Curves/meltCurve_P26196_DDX6.pdf")</f>
        <v>Melting_Curves/meltCurve_P26196_DDX6.pdf</v>
      </c>
    </row>
    <row r="2158" spans="1:28" x14ac:dyDescent="0.25">
      <c r="A2158" t="s">
        <v>2162</v>
      </c>
      <c r="B2158">
        <v>0.99334974765950101</v>
      </c>
      <c r="C2158">
        <v>1.05214196083778</v>
      </c>
      <c r="D2158">
        <v>1.0418404701378099</v>
      </c>
      <c r="E2158">
        <v>0.75083609601838797</v>
      </c>
      <c r="F2158">
        <v>0.47268688699517297</v>
      </c>
      <c r="G2158">
        <v>0.36164743078984701</v>
      </c>
      <c r="H2158">
        <v>0.13055713150221199</v>
      </c>
      <c r="I2158">
        <v>3.8899685010165601E-2</v>
      </c>
      <c r="J2158">
        <v>2.90896839567613E-2</v>
      </c>
      <c r="K2158">
        <v>3.09693967004585E-2</v>
      </c>
      <c r="L2158">
        <v>892.90194107705202</v>
      </c>
      <c r="M2158">
        <v>16.662417547512099</v>
      </c>
      <c r="N2158">
        <v>53.6378309886084</v>
      </c>
      <c r="O2158">
        <v>52.833761398998</v>
      </c>
      <c r="P2158">
        <v>-7.8240651046224505E-2</v>
      </c>
      <c r="Q2158">
        <v>7.7138629114404502E-3</v>
      </c>
      <c r="R2158">
        <v>0.98261683991510196</v>
      </c>
      <c r="S2158" t="s">
        <v>8019</v>
      </c>
      <c r="T2158" t="s">
        <v>11720</v>
      </c>
      <c r="U2158" t="s">
        <v>11720</v>
      </c>
      <c r="V2158" t="s">
        <v>11720</v>
      </c>
      <c r="W2158" t="s">
        <v>13835</v>
      </c>
      <c r="X2158">
        <v>9</v>
      </c>
      <c r="Y2158" t="s">
        <v>19596</v>
      </c>
      <c r="Z2158" t="s">
        <v>25365</v>
      </c>
      <c r="AA2158">
        <v>0.47514465640089393</v>
      </c>
      <c r="AB2158" t="str">
        <f>HYPERLINK("Melting_Curves/meltCurve_P26232_3_CTNNA2.pdf", "Melting_Curves/meltCurve_P26232_3_CTNNA2.pdf")</f>
        <v>Melting_Curves/meltCurve_P26232_3_CTNNA2.pdf</v>
      </c>
    </row>
    <row r="2159" spans="1:28" x14ac:dyDescent="0.25">
      <c r="A2159" t="s">
        <v>2163</v>
      </c>
      <c r="B2159">
        <v>0.99334974765950101</v>
      </c>
      <c r="C2159">
        <v>0.98074816074772897</v>
      </c>
      <c r="D2159">
        <v>0.84541683740690399</v>
      </c>
      <c r="E2159">
        <v>0.60361540270190905</v>
      </c>
      <c r="F2159">
        <v>0.437158957910464</v>
      </c>
      <c r="G2159">
        <v>0.270512147910142</v>
      </c>
      <c r="H2159">
        <v>0.230615665482159</v>
      </c>
      <c r="I2159">
        <v>0.18928510852132799</v>
      </c>
      <c r="J2159">
        <v>0.267075733019212</v>
      </c>
      <c r="K2159">
        <v>0.19977907730727801</v>
      </c>
      <c r="L2159">
        <v>889.85300090084502</v>
      </c>
      <c r="M2159">
        <v>17.787812935948001</v>
      </c>
      <c r="N2159">
        <v>51.561642951923197</v>
      </c>
      <c r="O2159">
        <v>49.406571253480799</v>
      </c>
      <c r="P2159">
        <v>-7.1502800501424393E-2</v>
      </c>
      <c r="Q2159">
        <v>0.20563008395122601</v>
      </c>
      <c r="R2159">
        <v>0.99463522791070902</v>
      </c>
      <c r="S2159" t="s">
        <v>8020</v>
      </c>
      <c r="T2159" t="s">
        <v>11720</v>
      </c>
      <c r="U2159" t="s">
        <v>11720</v>
      </c>
      <c r="V2159" t="s">
        <v>11720</v>
      </c>
      <c r="W2159" t="s">
        <v>13836</v>
      </c>
      <c r="X2159">
        <v>9</v>
      </c>
      <c r="Y2159" t="s">
        <v>19597</v>
      </c>
      <c r="Z2159" t="s">
        <v>25366</v>
      </c>
      <c r="AA2159">
        <v>0.48495797402803131</v>
      </c>
      <c r="AB2159" t="str">
        <f>HYPERLINK("Melting_Curves/meltCurve_P26373_RPL13.pdf", "Melting_Curves/meltCurve_P26373_RPL13.pdf")</f>
        <v>Melting_Curves/meltCurve_P26373_RPL13.pdf</v>
      </c>
    </row>
    <row r="2160" spans="1:28" x14ac:dyDescent="0.25">
      <c r="A2160" t="s">
        <v>2164</v>
      </c>
      <c r="B2160">
        <v>0.99334974765950101</v>
      </c>
      <c r="C2160">
        <v>0.95546614613729897</v>
      </c>
      <c r="D2160">
        <v>1.01331210211024</v>
      </c>
      <c r="E2160">
        <v>0.81897579843489399</v>
      </c>
      <c r="F2160">
        <v>0.53948667964966202</v>
      </c>
      <c r="G2160">
        <v>0.19496646473095</v>
      </c>
      <c r="H2160">
        <v>7.8545081073457507E-2</v>
      </c>
      <c r="I2160">
        <v>6.4150450659844704E-2</v>
      </c>
      <c r="J2160">
        <v>6.5826653037711999E-2</v>
      </c>
      <c r="K2160">
        <v>3.0822635904888599E-2</v>
      </c>
      <c r="L2160">
        <v>1301.6216008271399</v>
      </c>
      <c r="M2160">
        <v>24.505067702419101</v>
      </c>
      <c r="N2160">
        <v>53.319008764526401</v>
      </c>
      <c r="O2160">
        <v>52.766488654368999</v>
      </c>
      <c r="P2160">
        <v>-0.110942196801672</v>
      </c>
      <c r="Q2160">
        <v>4.4451543422925698E-2</v>
      </c>
      <c r="R2160">
        <v>0.99783000789235599</v>
      </c>
      <c r="S2160" t="s">
        <v>8021</v>
      </c>
      <c r="T2160" t="s">
        <v>11720</v>
      </c>
      <c r="U2160" t="s">
        <v>11720</v>
      </c>
      <c r="V2160" t="s">
        <v>11720</v>
      </c>
      <c r="W2160" t="s">
        <v>13837</v>
      </c>
      <c r="X2160">
        <v>6</v>
      </c>
      <c r="Y2160" t="s">
        <v>19598</v>
      </c>
      <c r="Z2160" t="s">
        <v>25367</v>
      </c>
      <c r="AA2160">
        <v>0.47137041845287159</v>
      </c>
      <c r="AB2160" t="str">
        <f>HYPERLINK("Melting_Curves/meltCurve_P26374_CHML.pdf", "Melting_Curves/meltCurve_P26374_CHML.pdf")</f>
        <v>Melting_Curves/meltCurve_P26374_CHML.pdf</v>
      </c>
    </row>
    <row r="2161" spans="1:28" x14ac:dyDescent="0.25">
      <c r="A2161" t="s">
        <v>2165</v>
      </c>
      <c r="B2161">
        <v>0.99334974765950101</v>
      </c>
      <c r="C2161">
        <v>1.0240400314296501</v>
      </c>
      <c r="D2161">
        <v>1.19298465072904</v>
      </c>
      <c r="E2161">
        <v>1.3701941826194</v>
      </c>
      <c r="F2161">
        <v>0.88636141629792298</v>
      </c>
      <c r="G2161">
        <v>0.62920313712683495</v>
      </c>
      <c r="H2161">
        <v>0.420684530199746</v>
      </c>
      <c r="I2161">
        <v>0.23426410518832699</v>
      </c>
      <c r="J2161">
        <v>0.160790050856461</v>
      </c>
      <c r="K2161">
        <v>0.12421886273710001</v>
      </c>
      <c r="L2161">
        <v>1410.86860179255</v>
      </c>
      <c r="M2161">
        <v>24.144084388191899</v>
      </c>
      <c r="N2161">
        <v>59.181820269118901</v>
      </c>
      <c r="O2161">
        <v>58.038927879162401</v>
      </c>
      <c r="P2161">
        <v>-9.0349287386407795E-2</v>
      </c>
      <c r="Q2161">
        <v>0.13126632220419099</v>
      </c>
      <c r="R2161">
        <v>0.89307148129884595</v>
      </c>
      <c r="S2161" t="s">
        <v>8022</v>
      </c>
      <c r="T2161" t="s">
        <v>11720</v>
      </c>
      <c r="U2161" t="s">
        <v>11720</v>
      </c>
      <c r="V2161" t="s">
        <v>11720</v>
      </c>
      <c r="W2161" t="s">
        <v>13838</v>
      </c>
      <c r="X2161">
        <v>12</v>
      </c>
      <c r="Y2161" t="s">
        <v>19599</v>
      </c>
      <c r="Z2161" t="s">
        <v>25368</v>
      </c>
      <c r="AA2161">
        <v>0.67283964857537615</v>
      </c>
      <c r="AB2161" t="str">
        <f>HYPERLINK("Melting_Curves/meltCurve_P26440_IVD.pdf", "Melting_Curves/meltCurve_P26440_IVD.pdf")</f>
        <v>Melting_Curves/meltCurve_P26440_IVD.pdf</v>
      </c>
    </row>
    <row r="2162" spans="1:28" x14ac:dyDescent="0.25">
      <c r="A2162" t="s">
        <v>2166</v>
      </c>
      <c r="B2162">
        <v>0.99334974765950101</v>
      </c>
      <c r="C2162">
        <v>1.0127060487677</v>
      </c>
      <c r="D2162">
        <v>0.91658709591101295</v>
      </c>
      <c r="E2162">
        <v>0.79109709080804802</v>
      </c>
      <c r="F2162">
        <v>0.66776215633871405</v>
      </c>
      <c r="G2162">
        <v>0.542545592619469</v>
      </c>
      <c r="H2162">
        <v>0.40470612508871601</v>
      </c>
      <c r="I2162">
        <v>0.28223358809447702</v>
      </c>
      <c r="J2162">
        <v>0.259726781276368</v>
      </c>
      <c r="K2162">
        <v>0.194959213682973</v>
      </c>
      <c r="L2162">
        <v>564.43612991949499</v>
      </c>
      <c r="M2162">
        <v>9.9804049678972806</v>
      </c>
      <c r="N2162">
        <v>57.658221606296699</v>
      </c>
      <c r="O2162">
        <v>54.424532821091397</v>
      </c>
      <c r="P2162">
        <v>-4.1879013580586398E-2</v>
      </c>
      <c r="Q2162">
        <v>8.6959145726266507E-2</v>
      </c>
      <c r="R2162">
        <v>0.99470318820728898</v>
      </c>
      <c r="S2162" t="s">
        <v>8023</v>
      </c>
      <c r="T2162" t="s">
        <v>11720</v>
      </c>
      <c r="U2162" t="s">
        <v>11720</v>
      </c>
      <c r="V2162" t="s">
        <v>11720</v>
      </c>
      <c r="W2162" t="s">
        <v>13839</v>
      </c>
      <c r="X2162">
        <v>11</v>
      </c>
      <c r="Y2162" t="s">
        <v>19600</v>
      </c>
      <c r="Z2162" t="s">
        <v>25369</v>
      </c>
      <c r="AA2162">
        <v>0.60742586622664119</v>
      </c>
      <c r="AB2162" t="str">
        <f>HYPERLINK("Melting_Curves/meltCurve_P26447_S100A4.pdf", "Melting_Curves/meltCurve_P26447_S100A4.pdf")</f>
        <v>Melting_Curves/meltCurve_P26447_S100A4.pdf</v>
      </c>
    </row>
    <row r="2163" spans="1:28" x14ac:dyDescent="0.25">
      <c r="A2163" t="s">
        <v>2167</v>
      </c>
      <c r="B2163">
        <v>0.99334974765950101</v>
      </c>
      <c r="C2163">
        <v>0.91267722262845896</v>
      </c>
      <c r="D2163">
        <v>0.92076595447930298</v>
      </c>
      <c r="E2163">
        <v>0.75103923852486998</v>
      </c>
      <c r="F2163">
        <v>0.28445161030607302</v>
      </c>
      <c r="G2163">
        <v>0.14421079296264</v>
      </c>
      <c r="H2163">
        <v>0.114196286085749</v>
      </c>
      <c r="I2163">
        <v>8.9411927389876605E-2</v>
      </c>
      <c r="J2163">
        <v>6.2324354081287801E-2</v>
      </c>
      <c r="K2163">
        <v>4.9000460292418703E-2</v>
      </c>
      <c r="L2163">
        <v>1739.32220592047</v>
      </c>
      <c r="M2163">
        <v>33.924460444993102</v>
      </c>
      <c r="N2163">
        <v>51.542248281996002</v>
      </c>
      <c r="O2163">
        <v>51.093273872719003</v>
      </c>
      <c r="P2163">
        <v>-0.15239791017342</v>
      </c>
      <c r="Q2163">
        <v>8.1904095584295303E-2</v>
      </c>
      <c r="R2163">
        <v>0.98943874222286399</v>
      </c>
      <c r="S2163" t="s">
        <v>8024</v>
      </c>
      <c r="T2163" t="s">
        <v>11720</v>
      </c>
      <c r="U2163" t="s">
        <v>11720</v>
      </c>
      <c r="V2163" t="s">
        <v>11720</v>
      </c>
      <c r="W2163" t="s">
        <v>13840</v>
      </c>
      <c r="X2163">
        <v>9</v>
      </c>
      <c r="Y2163" t="s">
        <v>19601</v>
      </c>
      <c r="Z2163" t="s">
        <v>25370</v>
      </c>
      <c r="AA2163">
        <v>0.43134754270433551</v>
      </c>
      <c r="AB2163" t="str">
        <f>HYPERLINK("Melting_Curves/meltCurve_P26572_MGAT1.pdf", "Melting_Curves/meltCurve_P26572_MGAT1.pdf")</f>
        <v>Melting_Curves/meltCurve_P26572_MGAT1.pdf</v>
      </c>
    </row>
    <row r="2164" spans="1:28" x14ac:dyDescent="0.25">
      <c r="A2164" t="s">
        <v>2168</v>
      </c>
      <c r="B2164">
        <v>0.99334974765950101</v>
      </c>
      <c r="C2164">
        <v>1.11689855778735</v>
      </c>
      <c r="D2164">
        <v>0.87862117439685194</v>
      </c>
      <c r="E2164">
        <v>0.80143460462481197</v>
      </c>
      <c r="F2164">
        <v>0.61493456521530998</v>
      </c>
      <c r="G2164">
        <v>0.45758071047175403</v>
      </c>
      <c r="H2164">
        <v>0.42883770752625899</v>
      </c>
      <c r="I2164">
        <v>0.47396184236899502</v>
      </c>
      <c r="J2164">
        <v>0.51614790240821695</v>
      </c>
      <c r="K2164">
        <v>0.43660051507076603</v>
      </c>
      <c r="L2164">
        <v>1199.5580312374</v>
      </c>
      <c r="M2164">
        <v>23.592316925194002</v>
      </c>
      <c r="N2164">
        <v>56.563291715978103</v>
      </c>
      <c r="O2164">
        <v>50.484198609357499</v>
      </c>
      <c r="P2164">
        <v>-6.3795794707161804E-2</v>
      </c>
      <c r="Q2164">
        <v>0.45395356913587898</v>
      </c>
      <c r="R2164">
        <v>0.95074783144524599</v>
      </c>
      <c r="S2164" t="s">
        <v>8025</v>
      </c>
      <c r="T2164" t="s">
        <v>11720</v>
      </c>
      <c r="U2164" t="s">
        <v>11720</v>
      </c>
      <c r="V2164" t="s">
        <v>11720</v>
      </c>
      <c r="W2164" t="s">
        <v>13841</v>
      </c>
      <c r="X2164">
        <v>11</v>
      </c>
      <c r="Y2164" t="s">
        <v>19602</v>
      </c>
      <c r="Z2164" t="s">
        <v>25371</v>
      </c>
      <c r="AA2164">
        <v>0.65687337249288424</v>
      </c>
      <c r="AB2164" t="str">
        <f>HYPERLINK("Melting_Curves/meltCurve_P26583_HMGB2.pdf", "Melting_Curves/meltCurve_P26583_HMGB2.pdf")</f>
        <v>Melting_Curves/meltCurve_P26583_HMGB2.pdf</v>
      </c>
    </row>
    <row r="2165" spans="1:28" x14ac:dyDescent="0.25">
      <c r="A2165" t="s">
        <v>2169</v>
      </c>
      <c r="B2165">
        <v>0.99334974765950101</v>
      </c>
      <c r="C2165">
        <v>1.1830781261073</v>
      </c>
      <c r="D2165">
        <v>0.99906925468782803</v>
      </c>
      <c r="E2165">
        <v>0.64898701952014004</v>
      </c>
      <c r="F2165">
        <v>0.21826867494280999</v>
      </c>
      <c r="G2165">
        <v>0.15589995098185599</v>
      </c>
      <c r="H2165">
        <v>0.109786963939597</v>
      </c>
      <c r="I2165">
        <v>9.8172314402278194E-2</v>
      </c>
      <c r="J2165">
        <v>9.3255055914909804E-2</v>
      </c>
      <c r="K2165">
        <v>7.0727728673669193E-2</v>
      </c>
      <c r="L2165">
        <v>2077.0095648532701</v>
      </c>
      <c r="M2165">
        <v>41.087320415585602</v>
      </c>
      <c r="N2165">
        <v>50.837029238715203</v>
      </c>
      <c r="O2165">
        <v>50.431808070810902</v>
      </c>
      <c r="P2165">
        <v>-0.18266567205676601</v>
      </c>
      <c r="Q2165">
        <v>0.103164515535412</v>
      </c>
      <c r="R2165">
        <v>0.97962948288295304</v>
      </c>
      <c r="S2165" t="s">
        <v>8026</v>
      </c>
      <c r="T2165" t="s">
        <v>11720</v>
      </c>
      <c r="U2165" t="s">
        <v>11720</v>
      </c>
      <c r="V2165" t="s">
        <v>11720</v>
      </c>
      <c r="W2165" t="s">
        <v>13842</v>
      </c>
      <c r="X2165">
        <v>11</v>
      </c>
      <c r="Y2165" t="s">
        <v>19603</v>
      </c>
      <c r="Z2165" t="s">
        <v>25372</v>
      </c>
      <c r="AA2165">
        <v>0.42155394344999542</v>
      </c>
      <c r="AB2165" t="str">
        <f>HYPERLINK("Melting_Curves/meltCurve_P26599_PTBP1.pdf", "Melting_Curves/meltCurve_P26599_PTBP1.pdf")</f>
        <v>Melting_Curves/meltCurve_P26599_PTBP1.pdf</v>
      </c>
    </row>
    <row r="2166" spans="1:28" x14ac:dyDescent="0.25">
      <c r="A2166" t="s">
        <v>2170</v>
      </c>
      <c r="B2166">
        <v>0.99334974765950101</v>
      </c>
      <c r="C2166">
        <v>1.07888837496868</v>
      </c>
      <c r="D2166">
        <v>1.2451908208585001</v>
      </c>
      <c r="E2166">
        <v>1.5001027246621299</v>
      </c>
      <c r="F2166">
        <v>0.61831432607050696</v>
      </c>
      <c r="G2166">
        <v>0.269326855137341</v>
      </c>
      <c r="H2166">
        <v>0.18074034619912299</v>
      </c>
      <c r="I2166">
        <v>0.144498307881641</v>
      </c>
      <c r="J2166">
        <v>0.14196796161293199</v>
      </c>
      <c r="K2166">
        <v>0.110579244932687</v>
      </c>
      <c r="L2166">
        <v>13258.595921954</v>
      </c>
      <c r="M2166">
        <v>250</v>
      </c>
      <c r="N2166">
        <v>53.122305076753698</v>
      </c>
      <c r="O2166">
        <v>53.031004091316497</v>
      </c>
      <c r="P2166">
        <v>-0.97888222290242599</v>
      </c>
      <c r="Q2166">
        <v>0.169422508575891</v>
      </c>
      <c r="R2166">
        <v>0.86975836750924096</v>
      </c>
      <c r="S2166" t="s">
        <v>8027</v>
      </c>
      <c r="T2166" t="s">
        <v>11720</v>
      </c>
      <c r="U2166" t="s">
        <v>11720</v>
      </c>
      <c r="V2166" t="s">
        <v>11720</v>
      </c>
      <c r="W2166" t="s">
        <v>13843</v>
      </c>
      <c r="X2166">
        <v>19</v>
      </c>
      <c r="Y2166" t="s">
        <v>19604</v>
      </c>
      <c r="Z2166" t="s">
        <v>25373</v>
      </c>
      <c r="AA2166">
        <v>0.53036867103173035</v>
      </c>
      <c r="AB2166" t="str">
        <f>HYPERLINK("Melting_Curves/meltCurve_P26639_TARS.pdf", "Melting_Curves/meltCurve_P26639_TARS.pdf")</f>
        <v>Melting_Curves/meltCurve_P26639_TARS.pdf</v>
      </c>
    </row>
    <row r="2167" spans="1:28" x14ac:dyDescent="0.25">
      <c r="A2167" t="s">
        <v>2171</v>
      </c>
      <c r="B2167">
        <v>0.99334974765950101</v>
      </c>
      <c r="C2167">
        <v>1.1403079020985201</v>
      </c>
      <c r="D2167">
        <v>1.1717667487976999</v>
      </c>
      <c r="E2167">
        <v>0.96164362372548196</v>
      </c>
      <c r="F2167">
        <v>0.21459660387406601</v>
      </c>
      <c r="G2167">
        <v>0.19540028763241299</v>
      </c>
      <c r="H2167">
        <v>0.12870328706511799</v>
      </c>
      <c r="I2167">
        <v>0.14467904578453</v>
      </c>
      <c r="J2167">
        <v>0.14151670538557901</v>
      </c>
      <c r="K2167">
        <v>0.17565873606815799</v>
      </c>
      <c r="L2167">
        <v>4996.5382273852501</v>
      </c>
      <c r="M2167">
        <v>96.888020664402305</v>
      </c>
      <c r="N2167">
        <v>51.771865297212599</v>
      </c>
      <c r="O2167">
        <v>51.548278529251299</v>
      </c>
      <c r="P2167">
        <v>-0.39604315978715698</v>
      </c>
      <c r="Q2167">
        <v>0.15715723266140999</v>
      </c>
      <c r="R2167">
        <v>0.97364907041057602</v>
      </c>
      <c r="S2167" t="s">
        <v>8028</v>
      </c>
      <c r="T2167" t="s">
        <v>11720</v>
      </c>
      <c r="U2167" t="s">
        <v>11720</v>
      </c>
      <c r="V2167" t="s">
        <v>11720</v>
      </c>
      <c r="W2167" t="s">
        <v>13844</v>
      </c>
      <c r="X2167">
        <v>14</v>
      </c>
      <c r="Y2167" t="s">
        <v>19605</v>
      </c>
      <c r="Z2167" t="s">
        <v>25374</v>
      </c>
      <c r="AA2167">
        <v>0.482728778005315</v>
      </c>
      <c r="AB2167" t="str">
        <f>HYPERLINK("Melting_Curves/meltCurve_P26641_EEF1G.pdf", "Melting_Curves/meltCurve_P26641_EEF1G.pdf")</f>
        <v>Melting_Curves/meltCurve_P26641_EEF1G.pdf</v>
      </c>
    </row>
    <row r="2168" spans="1:28" x14ac:dyDescent="0.25">
      <c r="A2168" t="s">
        <v>2172</v>
      </c>
      <c r="B2168">
        <v>0.99334974765950101</v>
      </c>
      <c r="C2168">
        <v>0.98170558729660795</v>
      </c>
      <c r="D2168">
        <v>0.92740108159058399</v>
      </c>
      <c r="E2168">
        <v>0.77076960720471999</v>
      </c>
      <c r="F2168">
        <v>0.60834439687120501</v>
      </c>
      <c r="G2168">
        <v>0.46822949473016001</v>
      </c>
      <c r="H2168">
        <v>0.30454557958504702</v>
      </c>
      <c r="I2168">
        <v>0.23470439603210699</v>
      </c>
      <c r="J2168">
        <v>0.18022454084519901</v>
      </c>
      <c r="K2168">
        <v>0.153152457412607</v>
      </c>
      <c r="L2168">
        <v>636.27613853345895</v>
      </c>
      <c r="M2168">
        <v>11.599053281193999</v>
      </c>
      <c r="N2168">
        <v>55.769179035725301</v>
      </c>
      <c r="O2168">
        <v>53.301396583748399</v>
      </c>
      <c r="P2168">
        <v>-4.9710866990603203E-2</v>
      </c>
      <c r="Q2168">
        <v>8.6501204881599E-2</v>
      </c>
      <c r="R2168">
        <v>0.99821228233610904</v>
      </c>
      <c r="S2168" t="s">
        <v>8029</v>
      </c>
      <c r="T2168" t="s">
        <v>11720</v>
      </c>
      <c r="U2168" t="s">
        <v>11720</v>
      </c>
      <c r="V2168" t="s">
        <v>11720</v>
      </c>
      <c r="W2168" t="s">
        <v>13845</v>
      </c>
      <c r="X2168">
        <v>10</v>
      </c>
      <c r="Y2168" t="s">
        <v>19606</v>
      </c>
      <c r="Z2168" t="s">
        <v>25375</v>
      </c>
      <c r="AA2168">
        <v>0.56118033801232514</v>
      </c>
      <c r="AB2168" t="str">
        <f>HYPERLINK("Melting_Curves/meltCurve_P26885_FKBP2.pdf", "Melting_Curves/meltCurve_P26885_FKBP2.pdf")</f>
        <v>Melting_Curves/meltCurve_P26885_FKBP2.pdf</v>
      </c>
    </row>
    <row r="2169" spans="1:28" x14ac:dyDescent="0.25">
      <c r="A2169" t="s">
        <v>2173</v>
      </c>
      <c r="B2169">
        <v>0.99334974765950101</v>
      </c>
      <c r="C2169">
        <v>1.0277561670809301</v>
      </c>
      <c r="D2169">
        <v>0.90373146401668902</v>
      </c>
      <c r="E2169">
        <v>0.76127836887742995</v>
      </c>
      <c r="F2169">
        <v>0.38778303298766598</v>
      </c>
      <c r="G2169">
        <v>0.19875535641219699</v>
      </c>
      <c r="H2169">
        <v>0.13647533103142701</v>
      </c>
      <c r="I2169">
        <v>0.116337342529598</v>
      </c>
      <c r="J2169">
        <v>0.104192578623665</v>
      </c>
      <c r="K2169">
        <v>8.3833248061388393E-2</v>
      </c>
      <c r="L2169">
        <v>1273.53410009864</v>
      </c>
      <c r="M2169">
        <v>24.6458237089793</v>
      </c>
      <c r="N2169">
        <v>52.1595193586097</v>
      </c>
      <c r="O2169">
        <v>51.336829345329797</v>
      </c>
      <c r="P2169">
        <v>-0.107706722313651</v>
      </c>
      <c r="Q2169">
        <v>0.102607732800998</v>
      </c>
      <c r="R2169">
        <v>0.99510797568251597</v>
      </c>
      <c r="S2169" t="s">
        <v>8030</v>
      </c>
      <c r="T2169" t="s">
        <v>11720</v>
      </c>
      <c r="U2169" t="s">
        <v>11720</v>
      </c>
      <c r="V2169" t="s">
        <v>11720</v>
      </c>
      <c r="W2169" t="s">
        <v>13846</v>
      </c>
      <c r="X2169">
        <v>10</v>
      </c>
      <c r="Y2169" t="s">
        <v>19607</v>
      </c>
      <c r="Z2169" t="s">
        <v>25376</v>
      </c>
      <c r="AA2169">
        <v>0.46018994914035921</v>
      </c>
      <c r="AB2169" t="str">
        <f>HYPERLINK("Melting_Curves/meltCurve_P27144_AK4.pdf", "Melting_Curves/meltCurve_P27144_AK4.pdf")</f>
        <v>Melting_Curves/meltCurve_P27144_AK4.pdf</v>
      </c>
    </row>
    <row r="2170" spans="1:28" x14ac:dyDescent="0.25">
      <c r="A2170" t="s">
        <v>2174</v>
      </c>
      <c r="B2170">
        <v>0.99334974765950101</v>
      </c>
      <c r="C2170">
        <v>0.89503704999237799</v>
      </c>
      <c r="D2170">
        <v>0.89157632540993004</v>
      </c>
      <c r="E2170">
        <v>1.0031198513836901</v>
      </c>
      <c r="F2170">
        <v>0.97614502294694705</v>
      </c>
      <c r="G2170">
        <v>0.89176359942550398</v>
      </c>
      <c r="H2170">
        <v>0.77962538863000297</v>
      </c>
      <c r="I2170">
        <v>0.80418199808689905</v>
      </c>
      <c r="J2170">
        <v>0.70594386567562695</v>
      </c>
      <c r="K2170">
        <v>0.35753358145798297</v>
      </c>
      <c r="L2170">
        <v>949.60974288849798</v>
      </c>
      <c r="M2170">
        <v>13.759747750216899</v>
      </c>
      <c r="N2170">
        <v>69.013601162938102</v>
      </c>
      <c r="O2170">
        <v>67.6048906720128</v>
      </c>
      <c r="P2170">
        <v>-5.08901636650749E-2</v>
      </c>
      <c r="Q2170">
        <v>0</v>
      </c>
      <c r="R2170">
        <v>0.83355971731119705</v>
      </c>
      <c r="S2170" t="s">
        <v>8031</v>
      </c>
      <c r="T2170" t="s">
        <v>11720</v>
      </c>
      <c r="U2170" t="s">
        <v>11720</v>
      </c>
      <c r="V2170" t="s">
        <v>11720</v>
      </c>
      <c r="W2170" t="s">
        <v>13847</v>
      </c>
      <c r="X2170">
        <v>24</v>
      </c>
      <c r="Y2170" t="s">
        <v>19608</v>
      </c>
      <c r="Z2170" t="s">
        <v>25377</v>
      </c>
      <c r="AA2170">
        <v>0.88316378843490229</v>
      </c>
      <c r="AB2170" t="str">
        <f>HYPERLINK("Melting_Curves/meltCurve_P27338_MAOB.pdf", "Melting_Curves/meltCurve_P27338_MAOB.pdf")</f>
        <v>Melting_Curves/meltCurve_P27338_MAOB.pdf</v>
      </c>
    </row>
    <row r="2171" spans="1:28" x14ac:dyDescent="0.25">
      <c r="A2171" t="s">
        <v>2175</v>
      </c>
      <c r="B2171">
        <v>0.99334974765950101</v>
      </c>
      <c r="C2171">
        <v>0.97827296584995704</v>
      </c>
      <c r="D2171">
        <v>0.953732511952886</v>
      </c>
      <c r="E2171">
        <v>0.81947513276279005</v>
      </c>
      <c r="F2171">
        <v>0.37902523017256601</v>
      </c>
      <c r="G2171">
        <v>0.112981624073239</v>
      </c>
      <c r="H2171">
        <v>7.2525335789340298E-2</v>
      </c>
      <c r="I2171">
        <v>6.1397914742409E-2</v>
      </c>
      <c r="J2171">
        <v>6.4077481335873904E-2</v>
      </c>
      <c r="K2171">
        <v>5.0113760702399403E-2</v>
      </c>
      <c r="L2171">
        <v>1775.8741487003999</v>
      </c>
      <c r="M2171">
        <v>34.145490783909104</v>
      </c>
      <c r="N2171">
        <v>52.207817366340201</v>
      </c>
      <c r="O2171">
        <v>51.831620483586001</v>
      </c>
      <c r="P2171">
        <v>-0.15465604899628899</v>
      </c>
      <c r="Q2171">
        <v>6.0954491133145501E-2</v>
      </c>
      <c r="R2171">
        <v>0.998759832296231</v>
      </c>
      <c r="S2171" t="s">
        <v>8032</v>
      </c>
      <c r="T2171" t="s">
        <v>11720</v>
      </c>
      <c r="U2171" t="s">
        <v>11720</v>
      </c>
      <c r="V2171" t="s">
        <v>11720</v>
      </c>
      <c r="W2171" t="s">
        <v>13848</v>
      </c>
      <c r="X2171">
        <v>26</v>
      </c>
      <c r="Y2171" t="s">
        <v>19609</v>
      </c>
      <c r="Z2171" t="s">
        <v>25378</v>
      </c>
      <c r="AA2171">
        <v>0.44149163916503148</v>
      </c>
      <c r="AB2171" t="str">
        <f>HYPERLINK("Melting_Curves/meltCurve_P27348_YWHAQ.pdf", "Melting_Curves/meltCurve_P27348_YWHAQ.pdf")</f>
        <v>Melting_Curves/meltCurve_P27348_YWHAQ.pdf</v>
      </c>
    </row>
    <row r="2172" spans="1:28" x14ac:dyDescent="0.25">
      <c r="A2172" t="s">
        <v>2176</v>
      </c>
      <c r="B2172">
        <v>0.99334974765950101</v>
      </c>
      <c r="C2172">
        <v>0.93753297852629403</v>
      </c>
      <c r="D2172">
        <v>0.82037543372490096</v>
      </c>
      <c r="E2172">
        <v>0.64811283553918897</v>
      </c>
      <c r="F2172">
        <v>0.33812222670355302</v>
      </c>
      <c r="G2172">
        <v>0.26705829434246298</v>
      </c>
      <c r="H2172">
        <v>0.21221481857486901</v>
      </c>
      <c r="I2172">
        <v>0.17228288037245201</v>
      </c>
      <c r="J2172">
        <v>0.188696180158021</v>
      </c>
      <c r="K2172">
        <v>0.14153652956155</v>
      </c>
      <c r="L2172">
        <v>835.63245370620996</v>
      </c>
      <c r="M2172">
        <v>16.6668094653674</v>
      </c>
      <c r="N2172">
        <v>51.282398025094203</v>
      </c>
      <c r="O2172">
        <v>49.432411662688402</v>
      </c>
      <c r="P2172">
        <v>-7.1200927548596193E-2</v>
      </c>
      <c r="Q2172">
        <v>0.15535161349082599</v>
      </c>
      <c r="R2172">
        <v>0.99080503210925297</v>
      </c>
      <c r="S2172" t="s">
        <v>8033</v>
      </c>
      <c r="T2172" t="s">
        <v>11720</v>
      </c>
      <c r="U2172" t="s">
        <v>11720</v>
      </c>
      <c r="V2172" t="s">
        <v>11720</v>
      </c>
      <c r="W2172" t="s">
        <v>13849</v>
      </c>
      <c r="X2172">
        <v>21</v>
      </c>
      <c r="Y2172" t="s">
        <v>18350</v>
      </c>
      <c r="Z2172" t="s">
        <v>25379</v>
      </c>
      <c r="AA2172">
        <v>0.4573665554835421</v>
      </c>
      <c r="AB2172" t="str">
        <f>HYPERLINK("Melting_Curves/meltCurve_P27361_MAPK3.pdf", "Melting_Curves/meltCurve_P27361_MAPK3.pdf")</f>
        <v>Melting_Curves/meltCurve_P27361_MAPK3.pdf</v>
      </c>
    </row>
    <row r="2173" spans="1:28" x14ac:dyDescent="0.25">
      <c r="A2173" t="s">
        <v>2177</v>
      </c>
      <c r="B2173">
        <v>0.99334974765950101</v>
      </c>
      <c r="C2173">
        <v>0.90561986978364395</v>
      </c>
      <c r="D2173">
        <v>0.92738896598740705</v>
      </c>
      <c r="E2173">
        <v>0.79661555554961505</v>
      </c>
      <c r="F2173">
        <v>0.69611717177941101</v>
      </c>
      <c r="G2173">
        <v>0.62666305862236404</v>
      </c>
      <c r="H2173">
        <v>0.68166436952428799</v>
      </c>
      <c r="I2173">
        <v>1.22582142170844</v>
      </c>
      <c r="J2173">
        <v>2.58894671598271</v>
      </c>
      <c r="K2173">
        <v>2.6925450664914701</v>
      </c>
      <c r="L2173">
        <v>15000</v>
      </c>
      <c r="M2173">
        <v>234.18207277292399</v>
      </c>
      <c r="O2173">
        <v>64.048054100066196</v>
      </c>
      <c r="P2173">
        <v>0.45704369259150901</v>
      </c>
      <c r="Q2173">
        <v>1.5</v>
      </c>
      <c r="R2173">
        <v>0.44231582924512203</v>
      </c>
      <c r="S2173" t="s">
        <v>8034</v>
      </c>
      <c r="T2173" t="s">
        <v>11720</v>
      </c>
      <c r="U2173" t="s">
        <v>11720</v>
      </c>
      <c r="V2173" t="s">
        <v>11720</v>
      </c>
      <c r="W2173" t="s">
        <v>13850</v>
      </c>
      <c r="X2173">
        <v>1</v>
      </c>
      <c r="Y2173" t="s">
        <v>19610</v>
      </c>
      <c r="Z2173" t="s">
        <v>25380</v>
      </c>
      <c r="AA2173">
        <v>1.0990571863473291</v>
      </c>
      <c r="AB2173" t="str">
        <f>HYPERLINK("Melting_Curves/meltCurve_P27449_ATP6V0C.pdf", "Melting_Curves/meltCurve_P27449_ATP6V0C.pdf")</f>
        <v>Melting_Curves/meltCurve_P27449_ATP6V0C.pdf</v>
      </c>
    </row>
    <row r="2174" spans="1:28" x14ac:dyDescent="0.25">
      <c r="A2174" t="s">
        <v>2178</v>
      </c>
      <c r="B2174">
        <v>0.99334974765950101</v>
      </c>
      <c r="C2174">
        <v>0.91177318365409998</v>
      </c>
      <c r="D2174">
        <v>0.81682477638861295</v>
      </c>
      <c r="E2174">
        <v>0.64045315854463503</v>
      </c>
      <c r="F2174">
        <v>0.442013073573986</v>
      </c>
      <c r="G2174">
        <v>0.29535797970733502</v>
      </c>
      <c r="H2174">
        <v>0.234293203314796</v>
      </c>
      <c r="I2174">
        <v>0.34283976166952401</v>
      </c>
      <c r="J2174">
        <v>0.309961695665883</v>
      </c>
      <c r="K2174">
        <v>0.22093360705485901</v>
      </c>
      <c r="L2174">
        <v>789.33729124827903</v>
      </c>
      <c r="M2174">
        <v>15.9260088138293</v>
      </c>
      <c r="N2174">
        <v>51.849747369154798</v>
      </c>
      <c r="O2174">
        <v>48.801092547422797</v>
      </c>
      <c r="P2174">
        <v>-6.1005606013010499E-2</v>
      </c>
      <c r="Q2174">
        <v>0.25231676904269901</v>
      </c>
      <c r="R2174">
        <v>0.97962217653685302</v>
      </c>
      <c r="S2174" t="s">
        <v>8035</v>
      </c>
      <c r="T2174" t="s">
        <v>11720</v>
      </c>
      <c r="U2174" t="s">
        <v>11720</v>
      </c>
      <c r="V2174" t="s">
        <v>11720</v>
      </c>
      <c r="W2174" t="s">
        <v>13851</v>
      </c>
      <c r="X2174">
        <v>1</v>
      </c>
      <c r="Y2174" t="s">
        <v>19611</v>
      </c>
      <c r="Z2174" t="s">
        <v>25381</v>
      </c>
      <c r="AA2174">
        <v>0.50684548316520595</v>
      </c>
      <c r="AB2174" t="str">
        <f>HYPERLINK("Melting_Curves/meltCurve_P27540_2_ARNT.pdf", "Melting_Curves/meltCurve_P27540_2_ARNT.pdf")</f>
        <v>Melting_Curves/meltCurve_P27540_2_ARNT.pdf</v>
      </c>
    </row>
    <row r="2175" spans="1:28" x14ac:dyDescent="0.25">
      <c r="A2175" t="s">
        <v>2179</v>
      </c>
      <c r="B2175">
        <v>0.99334974765950101</v>
      </c>
      <c r="C2175">
        <v>1.02998281841628</v>
      </c>
      <c r="D2175">
        <v>0.92475981680719999</v>
      </c>
      <c r="E2175">
        <v>0.78019791692878804</v>
      </c>
      <c r="F2175">
        <v>0.60707962952232897</v>
      </c>
      <c r="G2175">
        <v>0.412931581537551</v>
      </c>
      <c r="H2175">
        <v>0.19444263942211801</v>
      </c>
      <c r="I2175">
        <v>0.16855231262835599</v>
      </c>
      <c r="J2175">
        <v>0.14993168664946499</v>
      </c>
      <c r="K2175">
        <v>0.12943116679849001</v>
      </c>
      <c r="L2175">
        <v>807.88777731334596</v>
      </c>
      <c r="M2175">
        <v>14.9520606383886</v>
      </c>
      <c r="N2175">
        <v>54.783202345440699</v>
      </c>
      <c r="O2175">
        <v>53.092983503330998</v>
      </c>
      <c r="P2175">
        <v>-6.3884807197260404E-2</v>
      </c>
      <c r="Q2175">
        <v>9.2703129718465699E-2</v>
      </c>
      <c r="R2175">
        <v>0.99564972418479203</v>
      </c>
      <c r="S2175" t="s">
        <v>8036</v>
      </c>
      <c r="T2175" t="s">
        <v>11720</v>
      </c>
      <c r="U2175" t="s">
        <v>11720</v>
      </c>
      <c r="V2175" t="s">
        <v>11720</v>
      </c>
      <c r="W2175" t="s">
        <v>13852</v>
      </c>
      <c r="X2175">
        <v>10</v>
      </c>
      <c r="Y2175" t="s">
        <v>19612</v>
      </c>
      <c r="Z2175" t="s">
        <v>25382</v>
      </c>
      <c r="AA2175">
        <v>0.53572899688198306</v>
      </c>
      <c r="AB2175" t="str">
        <f>HYPERLINK("Melting_Curves/meltCurve_P27635_RPL10.pdf", "Melting_Curves/meltCurve_P27635_RPL10.pdf")</f>
        <v>Melting_Curves/meltCurve_P27635_RPL10.pdf</v>
      </c>
    </row>
    <row r="2176" spans="1:28" x14ac:dyDescent="0.25">
      <c r="A2176" t="s">
        <v>2180</v>
      </c>
      <c r="B2176">
        <v>0.99334974765950101</v>
      </c>
      <c r="C2176">
        <v>0.96902945870634105</v>
      </c>
      <c r="D2176">
        <v>0.79659729193579698</v>
      </c>
      <c r="E2176">
        <v>0.70358787422770097</v>
      </c>
      <c r="F2176">
        <v>0.55351454646925602</v>
      </c>
      <c r="G2176">
        <v>0.52530849608632701</v>
      </c>
      <c r="H2176">
        <v>0.50134871835623196</v>
      </c>
      <c r="I2176">
        <v>0.53343360434821696</v>
      </c>
      <c r="J2176">
        <v>0.49336664593109603</v>
      </c>
      <c r="K2176">
        <v>0.39647223120081998</v>
      </c>
      <c r="L2176">
        <v>729.74594174665503</v>
      </c>
      <c r="M2176">
        <v>15.0516477632929</v>
      </c>
      <c r="N2176">
        <v>59.169430523869103</v>
      </c>
      <c r="O2176">
        <v>47.651170260674199</v>
      </c>
      <c r="P2176">
        <v>-4.2093081337622698E-2</v>
      </c>
      <c r="Q2176">
        <v>0.46701283931412901</v>
      </c>
      <c r="R2176">
        <v>0.96496716288722995</v>
      </c>
      <c r="S2176" t="s">
        <v>8037</v>
      </c>
      <c r="T2176" t="s">
        <v>11720</v>
      </c>
      <c r="U2176" t="s">
        <v>11720</v>
      </c>
      <c r="V2176" t="s">
        <v>11720</v>
      </c>
      <c r="W2176" t="s">
        <v>13853</v>
      </c>
      <c r="X2176">
        <v>9</v>
      </c>
      <c r="Y2176" t="s">
        <v>19613</v>
      </c>
      <c r="Z2176" t="s">
        <v>25383</v>
      </c>
      <c r="AA2176">
        <v>0.63105630708742122</v>
      </c>
      <c r="AB2176" t="str">
        <f>HYPERLINK("Melting_Curves/meltCurve_P27658_COL8A1.pdf", "Melting_Curves/meltCurve_P27658_COL8A1.pdf")</f>
        <v>Melting_Curves/meltCurve_P27658_COL8A1.pdf</v>
      </c>
    </row>
    <row r="2177" spans="1:28" x14ac:dyDescent="0.25">
      <c r="A2177" t="s">
        <v>2181</v>
      </c>
      <c r="B2177">
        <v>0.99334974765950101</v>
      </c>
      <c r="C2177">
        <v>1.0198335089459101</v>
      </c>
      <c r="D2177">
        <v>0.91651761825104405</v>
      </c>
      <c r="E2177">
        <v>0.50807837614562601</v>
      </c>
      <c r="F2177">
        <v>0.28739579821073402</v>
      </c>
      <c r="G2177">
        <v>0.17593623132368399</v>
      </c>
      <c r="H2177">
        <v>0.14077192022110799</v>
      </c>
      <c r="I2177">
        <v>0.14448759490139201</v>
      </c>
      <c r="J2177">
        <v>0.11903427515404801</v>
      </c>
      <c r="K2177">
        <v>0.110440779705616</v>
      </c>
      <c r="L2177">
        <v>1302.2873681332901</v>
      </c>
      <c r="M2177">
        <v>26.2272183068951</v>
      </c>
      <c r="N2177">
        <v>50.238172534599897</v>
      </c>
      <c r="O2177">
        <v>49.368046625639799</v>
      </c>
      <c r="P2177">
        <v>-0.115361323807673</v>
      </c>
      <c r="Q2177">
        <v>0.131421090707214</v>
      </c>
      <c r="R2177">
        <v>0.99782952864011698</v>
      </c>
      <c r="S2177" t="s">
        <v>8038</v>
      </c>
      <c r="T2177" t="s">
        <v>11720</v>
      </c>
      <c r="U2177" t="s">
        <v>11720</v>
      </c>
      <c r="V2177" t="s">
        <v>11720</v>
      </c>
      <c r="W2177" t="s">
        <v>13854</v>
      </c>
      <c r="X2177">
        <v>13</v>
      </c>
      <c r="Y2177" t="s">
        <v>19614</v>
      </c>
      <c r="Z2177" t="s">
        <v>25384</v>
      </c>
      <c r="AA2177">
        <v>0.41795121913522132</v>
      </c>
      <c r="AB2177" t="str">
        <f>HYPERLINK("Melting_Curves/meltCurve_P27694_RPA1.pdf", "Melting_Curves/meltCurve_P27694_RPA1.pdf")</f>
        <v>Melting_Curves/meltCurve_P27694_RPA1.pdf</v>
      </c>
    </row>
    <row r="2178" spans="1:28" x14ac:dyDescent="0.25">
      <c r="A2178" t="s">
        <v>2182</v>
      </c>
      <c r="B2178">
        <v>0.99334974765950101</v>
      </c>
      <c r="C2178">
        <v>1.0440604737927599</v>
      </c>
      <c r="D2178">
        <v>0.991244409113608</v>
      </c>
      <c r="E2178">
        <v>0.57489174968433798</v>
      </c>
      <c r="F2178">
        <v>0.40481227106711998</v>
      </c>
      <c r="G2178">
        <v>0.22468286932574699</v>
      </c>
      <c r="H2178">
        <v>0.16046130605702599</v>
      </c>
      <c r="I2178">
        <v>0.11924229251375</v>
      </c>
      <c r="J2178">
        <v>0.22718093330160899</v>
      </c>
      <c r="K2178">
        <v>0.116955302920389</v>
      </c>
      <c r="L2178">
        <v>1237.95691024691</v>
      </c>
      <c r="M2178">
        <v>24.508563087319398</v>
      </c>
      <c r="N2178">
        <v>51.3104963392394</v>
      </c>
      <c r="O2178">
        <v>50.178519366242099</v>
      </c>
      <c r="P2178">
        <v>-0.10273249968312501</v>
      </c>
      <c r="Q2178">
        <v>0.15867940413779399</v>
      </c>
      <c r="R2178">
        <v>0.98480621382923705</v>
      </c>
      <c r="S2178" t="s">
        <v>8039</v>
      </c>
      <c r="T2178" t="s">
        <v>11720</v>
      </c>
      <c r="U2178" t="s">
        <v>11720</v>
      </c>
      <c r="V2178" t="s">
        <v>11720</v>
      </c>
      <c r="W2178" t="s">
        <v>13855</v>
      </c>
      <c r="X2178">
        <v>19</v>
      </c>
      <c r="Y2178" t="s">
        <v>19615</v>
      </c>
      <c r="Z2178" t="s">
        <v>25385</v>
      </c>
      <c r="AA2178">
        <v>0.46131980026244601</v>
      </c>
      <c r="AB2178" t="str">
        <f>HYPERLINK("Melting_Curves/meltCurve_P27695_APEX1.pdf", "Melting_Curves/meltCurve_P27695_APEX1.pdf")</f>
        <v>Melting_Curves/meltCurve_P27695_APEX1.pdf</v>
      </c>
    </row>
    <row r="2179" spans="1:28" x14ac:dyDescent="0.25">
      <c r="A2179" t="s">
        <v>2183</v>
      </c>
      <c r="B2179">
        <v>0.99334974765950101</v>
      </c>
      <c r="C2179">
        <v>0.99362814256653198</v>
      </c>
      <c r="D2179">
        <v>0.86431893526666603</v>
      </c>
      <c r="E2179">
        <v>1.0022218778288301</v>
      </c>
      <c r="F2179">
        <v>0.96701642522351405</v>
      </c>
      <c r="G2179">
        <v>0.82659407132861495</v>
      </c>
      <c r="H2179">
        <v>0.678872266251068</v>
      </c>
      <c r="I2179">
        <v>1.5907881668466599</v>
      </c>
      <c r="J2179">
        <v>0.77680309019639804</v>
      </c>
      <c r="K2179">
        <v>0.43286453955595899</v>
      </c>
      <c r="L2179">
        <v>15000</v>
      </c>
      <c r="M2179">
        <v>223.44766680817401</v>
      </c>
      <c r="N2179">
        <v>67.738206969387704</v>
      </c>
      <c r="O2179">
        <v>67.124434359039398</v>
      </c>
      <c r="P2179">
        <v>-0.47203353048265501</v>
      </c>
      <c r="Q2179">
        <v>0.43279812127914602</v>
      </c>
      <c r="R2179">
        <v>0.37033097457136599</v>
      </c>
      <c r="S2179" t="s">
        <v>8040</v>
      </c>
      <c r="T2179" t="s">
        <v>11720</v>
      </c>
      <c r="U2179" t="s">
        <v>11720</v>
      </c>
      <c r="V2179" t="s">
        <v>11720</v>
      </c>
      <c r="W2179" t="s">
        <v>13856</v>
      </c>
      <c r="X2179">
        <v>1</v>
      </c>
      <c r="Y2179" t="s">
        <v>19616</v>
      </c>
      <c r="Z2179" t="s">
        <v>25386</v>
      </c>
      <c r="AA2179">
        <v>0.9458171420798317</v>
      </c>
      <c r="AB2179" t="str">
        <f>HYPERLINK("Melting_Curves/meltCurve_P27701_CD82.pdf", "Melting_Curves/meltCurve_P27701_CD82.pdf")</f>
        <v>Melting_Curves/meltCurve_P27701_CD82.pdf</v>
      </c>
    </row>
    <row r="2180" spans="1:28" x14ac:dyDescent="0.25">
      <c r="A2180" t="s">
        <v>2184</v>
      </c>
      <c r="B2180">
        <v>0.99334974765950101</v>
      </c>
      <c r="C2180">
        <v>1.0257793414598599</v>
      </c>
      <c r="D2180">
        <v>0.74272361435253598</v>
      </c>
      <c r="E2180">
        <v>0.433401772658495</v>
      </c>
      <c r="F2180">
        <v>0.22280680346036899</v>
      </c>
      <c r="G2180">
        <v>0.15276113493041399</v>
      </c>
      <c r="H2180">
        <v>0.12856594523419301</v>
      </c>
      <c r="I2180">
        <v>0.153498615332292</v>
      </c>
      <c r="J2180">
        <v>0.12448759270488199</v>
      </c>
      <c r="K2180">
        <v>0.109393133800519</v>
      </c>
      <c r="L2180">
        <v>1077.1781255757801</v>
      </c>
      <c r="M2180">
        <v>22.279919234569899</v>
      </c>
      <c r="N2180">
        <v>48.980857257382802</v>
      </c>
      <c r="O2180">
        <v>47.963046566509</v>
      </c>
      <c r="P2180">
        <v>-0.101598239521596</v>
      </c>
      <c r="Q2180">
        <v>0.12515694905230401</v>
      </c>
      <c r="R2180">
        <v>0.99261263126875499</v>
      </c>
      <c r="S2180" t="s">
        <v>8041</v>
      </c>
      <c r="T2180" t="s">
        <v>11720</v>
      </c>
      <c r="U2180" t="s">
        <v>11720</v>
      </c>
      <c r="V2180" t="s">
        <v>11720</v>
      </c>
      <c r="W2180" t="s">
        <v>13857</v>
      </c>
      <c r="X2180">
        <v>34</v>
      </c>
      <c r="Y2180" t="s">
        <v>19617</v>
      </c>
      <c r="Z2180" t="s">
        <v>25387</v>
      </c>
      <c r="AA2180">
        <v>0.37843211720365488</v>
      </c>
      <c r="AB2180" t="str">
        <f>HYPERLINK("Melting_Curves/meltCurve_P27797_CALR.pdf", "Melting_Curves/meltCurve_P27797_CALR.pdf")</f>
        <v>Melting_Curves/meltCurve_P27797_CALR.pdf</v>
      </c>
    </row>
    <row r="2181" spans="1:28" x14ac:dyDescent="0.25">
      <c r="A2181" t="s">
        <v>2185</v>
      </c>
      <c r="B2181">
        <v>0.99334974765950101</v>
      </c>
      <c r="C2181">
        <v>1.19313576394251</v>
      </c>
      <c r="D2181">
        <v>0.91785354701814903</v>
      </c>
      <c r="E2181">
        <v>0.78099504054996705</v>
      </c>
      <c r="F2181">
        <v>0.82051789273986397</v>
      </c>
      <c r="G2181">
        <v>0.67839986383648798</v>
      </c>
      <c r="H2181">
        <v>0.66332199919583801</v>
      </c>
      <c r="I2181">
        <v>0.67879785120389202</v>
      </c>
      <c r="J2181">
        <v>0.74163771664003797</v>
      </c>
      <c r="K2181">
        <v>0.651459470973351</v>
      </c>
      <c r="L2181">
        <v>1153.55248004389</v>
      </c>
      <c r="M2181">
        <v>23.306776883861101</v>
      </c>
      <c r="O2181">
        <v>49.134244524857699</v>
      </c>
      <c r="P2181">
        <v>-3.7127530975640699E-2</v>
      </c>
      <c r="Q2181">
        <v>0.68692354231538</v>
      </c>
      <c r="R2181">
        <v>0.80039588665551198</v>
      </c>
      <c r="S2181" t="s">
        <v>8042</v>
      </c>
      <c r="T2181" t="s">
        <v>11720</v>
      </c>
      <c r="U2181" t="s">
        <v>11720</v>
      </c>
      <c r="V2181" t="s">
        <v>11720</v>
      </c>
      <c r="W2181" t="s">
        <v>13858</v>
      </c>
      <c r="X2181">
        <v>46</v>
      </c>
      <c r="Y2181" t="s">
        <v>17974</v>
      </c>
      <c r="Z2181" t="s">
        <v>25388</v>
      </c>
      <c r="AA2181">
        <v>0.78921612166795196</v>
      </c>
      <c r="AB2181" t="str">
        <f>HYPERLINK("Melting_Curves/meltCurve_P27816_5_MAP4.pdf", "Melting_Curves/meltCurve_P27816_5_MAP4.pdf")</f>
        <v>Melting_Curves/meltCurve_P27816_5_MAP4.pdf</v>
      </c>
    </row>
    <row r="2182" spans="1:28" x14ac:dyDescent="0.25">
      <c r="A2182" t="s">
        <v>2186</v>
      </c>
      <c r="B2182">
        <v>0.99334974765950101</v>
      </c>
      <c r="C2182">
        <v>0.88576607827929499</v>
      </c>
      <c r="D2182">
        <v>0.53816549219905896</v>
      </c>
      <c r="E2182">
        <v>0.28181972673294298</v>
      </c>
      <c r="F2182">
        <v>0.174530585476872</v>
      </c>
      <c r="G2182">
        <v>0.13267648483726099</v>
      </c>
      <c r="H2182">
        <v>0.106900328499188</v>
      </c>
      <c r="I2182">
        <v>0.103848919310432</v>
      </c>
      <c r="J2182">
        <v>8.8999157067680107E-2</v>
      </c>
      <c r="K2182">
        <v>7.2432325971876502E-2</v>
      </c>
      <c r="L2182">
        <v>963.61799602875601</v>
      </c>
      <c r="M2182">
        <v>20.820934231415301</v>
      </c>
      <c r="N2182">
        <v>46.779839860136299</v>
      </c>
      <c r="O2182">
        <v>45.8606226127676</v>
      </c>
      <c r="P2182">
        <v>-0.10220907099440001</v>
      </c>
      <c r="Q2182">
        <v>9.9513644554505704E-2</v>
      </c>
      <c r="R2182">
        <v>0.995085576347436</v>
      </c>
      <c r="S2182" t="s">
        <v>8043</v>
      </c>
      <c r="T2182" t="s">
        <v>11720</v>
      </c>
      <c r="U2182" t="s">
        <v>11720</v>
      </c>
      <c r="V2182" t="s">
        <v>11720</v>
      </c>
      <c r="W2182" t="s">
        <v>13859</v>
      </c>
      <c r="X2182">
        <v>35</v>
      </c>
      <c r="Y2182" t="s">
        <v>19618</v>
      </c>
      <c r="Z2182" t="s">
        <v>25389</v>
      </c>
      <c r="AA2182">
        <v>0.30052234182301418</v>
      </c>
      <c r="AB2182" t="str">
        <f>HYPERLINK("Melting_Curves/meltCurve_P27824_CANX.pdf", "Melting_Curves/meltCurve_P27824_CANX.pdf")</f>
        <v>Melting_Curves/meltCurve_P27824_CANX.pdf</v>
      </c>
    </row>
    <row r="2183" spans="1:28" x14ac:dyDescent="0.25">
      <c r="A2183" t="s">
        <v>2187</v>
      </c>
      <c r="B2183">
        <v>0.99334974765950101</v>
      </c>
      <c r="C2183">
        <v>0.836019724906228</v>
      </c>
      <c r="D2183">
        <v>0.79809632308097</v>
      </c>
      <c r="E2183">
        <v>0.612708872657029</v>
      </c>
      <c r="F2183">
        <v>1.0410464537836599</v>
      </c>
      <c r="G2183">
        <v>0.70900184427678903</v>
      </c>
      <c r="H2183">
        <v>1.04247400167422</v>
      </c>
      <c r="I2183">
        <v>0.93697828811074402</v>
      </c>
      <c r="J2183">
        <v>0.88969117984842305</v>
      </c>
      <c r="K2183">
        <v>0.394502463543835</v>
      </c>
      <c r="L2183">
        <v>116.83992289023</v>
      </c>
      <c r="M2183">
        <v>0.57772279636522905</v>
      </c>
      <c r="O2183">
        <v>44.835264315300201</v>
      </c>
      <c r="P2183">
        <v>-5.9721577333263897E-3</v>
      </c>
      <c r="Q2183">
        <v>0</v>
      </c>
      <c r="R2183">
        <v>6.9675651954597101E-2</v>
      </c>
      <c r="S2183" t="s">
        <v>8044</v>
      </c>
      <c r="T2183" t="s">
        <v>11720</v>
      </c>
      <c r="U2183" t="s">
        <v>11720</v>
      </c>
      <c r="V2183" t="s">
        <v>11720</v>
      </c>
      <c r="W2183" t="s">
        <v>13860</v>
      </c>
      <c r="X2183">
        <v>3</v>
      </c>
      <c r="Y2183" t="s">
        <v>19619</v>
      </c>
      <c r="Z2183" t="s">
        <v>25390</v>
      </c>
      <c r="AA2183">
        <v>0.82659611150881185</v>
      </c>
      <c r="AB2183" t="str">
        <f>HYPERLINK("Melting_Curves/meltCurve_P28062_2_PSMB8.pdf", "Melting_Curves/meltCurve_P28062_2_PSMB8.pdf")</f>
        <v>Melting_Curves/meltCurve_P28062_2_PSMB8.pdf</v>
      </c>
    </row>
    <row r="2184" spans="1:28" x14ac:dyDescent="0.25">
      <c r="A2184" t="s">
        <v>2188</v>
      </c>
      <c r="B2184">
        <v>0.99334974765950101</v>
      </c>
      <c r="C2184">
        <v>0.93300680522398505</v>
      </c>
      <c r="D2184">
        <v>0.66066455497965404</v>
      </c>
      <c r="E2184">
        <v>0.36087686937475999</v>
      </c>
      <c r="F2184">
        <v>0.25899177691965503</v>
      </c>
      <c r="G2184">
        <v>0.45105921126624099</v>
      </c>
      <c r="H2184">
        <v>0.51005104505883903</v>
      </c>
      <c r="I2184">
        <v>0.55459172502708598</v>
      </c>
      <c r="J2184">
        <v>0.388914118754359</v>
      </c>
      <c r="K2184">
        <v>0.285617046993212</v>
      </c>
      <c r="L2184">
        <v>1993.3583693738699</v>
      </c>
      <c r="M2184">
        <v>43.689087679644103</v>
      </c>
      <c r="N2184">
        <v>47.376002388904702</v>
      </c>
      <c r="O2184">
        <v>45.530719036868</v>
      </c>
      <c r="P2184">
        <v>-0.14382807774252299</v>
      </c>
      <c r="Q2184">
        <v>0.40043735677291598</v>
      </c>
      <c r="R2184">
        <v>0.86944423709042296</v>
      </c>
      <c r="S2184" t="s">
        <v>8045</v>
      </c>
      <c r="T2184" t="s">
        <v>11720</v>
      </c>
      <c r="U2184" t="s">
        <v>11720</v>
      </c>
      <c r="V2184" t="s">
        <v>11720</v>
      </c>
      <c r="W2184" t="s">
        <v>13861</v>
      </c>
      <c r="X2184">
        <v>12</v>
      </c>
      <c r="Y2184" t="s">
        <v>19620</v>
      </c>
      <c r="Z2184" t="s">
        <v>25391</v>
      </c>
      <c r="AA2184">
        <v>0.51449163855297753</v>
      </c>
      <c r="AB2184" t="str">
        <f>HYPERLINK("Melting_Curves/meltCurve_P28066_PSMA5.pdf", "Melting_Curves/meltCurve_P28066_PSMA5.pdf")</f>
        <v>Melting_Curves/meltCurve_P28066_PSMA5.pdf</v>
      </c>
    </row>
    <row r="2185" spans="1:28" x14ac:dyDescent="0.25">
      <c r="A2185" t="s">
        <v>2189</v>
      </c>
      <c r="B2185">
        <v>0.99334974765950101</v>
      </c>
      <c r="C2185">
        <v>1.03358438803057</v>
      </c>
      <c r="D2185">
        <v>1.00944616164513</v>
      </c>
      <c r="E2185">
        <v>1.15812641551989</v>
      </c>
      <c r="F2185">
        <v>1.4926420584709099</v>
      </c>
      <c r="G2185">
        <v>3.4638963606103901</v>
      </c>
      <c r="H2185">
        <v>4.5370173609058897</v>
      </c>
      <c r="I2185">
        <v>4.3969798890295104</v>
      </c>
      <c r="J2185">
        <v>3.9554875124925699</v>
      </c>
      <c r="K2185">
        <v>2.8301768484920302</v>
      </c>
      <c r="L2185">
        <v>5193.4806271225198</v>
      </c>
      <c r="M2185">
        <v>103.09800245190399</v>
      </c>
      <c r="O2185">
        <v>50.355286143206598</v>
      </c>
      <c r="P2185">
        <v>0.25592657331726498</v>
      </c>
      <c r="Q2185">
        <v>1.5</v>
      </c>
      <c r="R2185">
        <v>-0.43774073179776701</v>
      </c>
      <c r="S2185" t="s">
        <v>8046</v>
      </c>
      <c r="T2185" t="s">
        <v>11720</v>
      </c>
      <c r="U2185" t="s">
        <v>11720</v>
      </c>
      <c r="V2185" t="s">
        <v>11720</v>
      </c>
      <c r="W2185" t="s">
        <v>13862</v>
      </c>
      <c r="X2185">
        <v>7</v>
      </c>
      <c r="Y2185" t="s">
        <v>19621</v>
      </c>
      <c r="Z2185" t="s">
        <v>25392</v>
      </c>
      <c r="AA2185">
        <v>1.326836271353105</v>
      </c>
      <c r="AB2185" t="str">
        <f>HYPERLINK("Melting_Curves/meltCurve_P28070_PSMB4.pdf", "Melting_Curves/meltCurve_P28070_PSMB4.pdf")</f>
        <v>Melting_Curves/meltCurve_P28070_PSMB4.pdf</v>
      </c>
    </row>
    <row r="2186" spans="1:28" x14ac:dyDescent="0.25">
      <c r="A2186" t="s">
        <v>2190</v>
      </c>
      <c r="B2186">
        <v>0.99334974765950101</v>
      </c>
      <c r="C2186">
        <v>0.96337657659112597</v>
      </c>
      <c r="D2186">
        <v>0.70761186287840205</v>
      </c>
      <c r="E2186">
        <v>0.61581499343683699</v>
      </c>
      <c r="F2186">
        <v>0.67181473240462197</v>
      </c>
      <c r="G2186">
        <v>1.9006633893310101</v>
      </c>
      <c r="H2186">
        <v>2.3332711052134401</v>
      </c>
      <c r="I2186">
        <v>3.0062479482396598</v>
      </c>
      <c r="J2186">
        <v>2.2284227970804</v>
      </c>
      <c r="K2186">
        <v>1.82755033627624</v>
      </c>
      <c r="L2186">
        <v>3553.93211221602</v>
      </c>
      <c r="M2186">
        <v>64.800708988314099</v>
      </c>
      <c r="O2186">
        <v>54.791857584625298</v>
      </c>
      <c r="P2186">
        <v>0.14783381068345799</v>
      </c>
      <c r="Q2186">
        <v>1.5</v>
      </c>
      <c r="R2186">
        <v>0.34758496451454401</v>
      </c>
      <c r="S2186" t="s">
        <v>8047</v>
      </c>
      <c r="T2186" t="s">
        <v>11720</v>
      </c>
      <c r="U2186" t="s">
        <v>11720</v>
      </c>
      <c r="V2186" t="s">
        <v>11720</v>
      </c>
      <c r="W2186" t="s">
        <v>13863</v>
      </c>
      <c r="X2186">
        <v>8</v>
      </c>
      <c r="Y2186" t="s">
        <v>19622</v>
      </c>
      <c r="Z2186" t="s">
        <v>25393</v>
      </c>
      <c r="AA2186">
        <v>1.251880984726931</v>
      </c>
      <c r="AB2186" t="str">
        <f>HYPERLINK("Melting_Curves/meltCurve_P28072_PSMB6.pdf", "Melting_Curves/meltCurve_P28072_PSMB6.pdf")</f>
        <v>Melting_Curves/meltCurve_P28072_PSMB6.pdf</v>
      </c>
    </row>
    <row r="2187" spans="1:28" x14ac:dyDescent="0.25">
      <c r="A2187" t="s">
        <v>2191</v>
      </c>
      <c r="B2187">
        <v>0.99334974765950101</v>
      </c>
      <c r="C2187">
        <v>0.98881312216393702</v>
      </c>
      <c r="D2187">
        <v>0.86225670241968</v>
      </c>
      <c r="E2187">
        <v>0.80562464669504796</v>
      </c>
      <c r="F2187">
        <v>0.79380780872518797</v>
      </c>
      <c r="G2187">
        <v>1.16558002341783</v>
      </c>
      <c r="H2187">
        <v>1.4674611518906799</v>
      </c>
      <c r="I2187">
        <v>1.9393111098282201</v>
      </c>
      <c r="J2187">
        <v>1.7504896818859199</v>
      </c>
      <c r="K2187">
        <v>1.1514906465780601</v>
      </c>
      <c r="L2187">
        <v>5688.8509184165796</v>
      </c>
      <c r="M2187">
        <v>99.096205677495803</v>
      </c>
      <c r="O2187">
        <v>57.383988374927497</v>
      </c>
      <c r="P2187">
        <v>0.21586207780953601</v>
      </c>
      <c r="Q2187">
        <v>1.5</v>
      </c>
      <c r="R2187">
        <v>0.66963996460644304</v>
      </c>
      <c r="S2187" t="s">
        <v>8048</v>
      </c>
      <c r="T2187" t="s">
        <v>11720</v>
      </c>
      <c r="U2187" t="s">
        <v>11720</v>
      </c>
      <c r="V2187" t="s">
        <v>11720</v>
      </c>
      <c r="W2187" t="s">
        <v>13864</v>
      </c>
      <c r="X2187">
        <v>10</v>
      </c>
      <c r="Y2187" t="s">
        <v>19623</v>
      </c>
      <c r="Z2187" t="s">
        <v>25394</v>
      </c>
      <c r="AA2187">
        <v>1.20955644914938</v>
      </c>
      <c r="AB2187" t="str">
        <f>HYPERLINK("Melting_Curves/meltCurve_P28074_PSMB5.pdf", "Melting_Curves/meltCurve_P28074_PSMB5.pdf")</f>
        <v>Melting_Curves/meltCurve_P28074_PSMB5.pdf</v>
      </c>
    </row>
    <row r="2188" spans="1:28" x14ac:dyDescent="0.25">
      <c r="A2188" t="s">
        <v>2192</v>
      </c>
      <c r="B2188">
        <v>0.99334974765950101</v>
      </c>
      <c r="C2188">
        <v>0.99096601312168897</v>
      </c>
      <c r="D2188">
        <v>0.88126878686724297</v>
      </c>
      <c r="E2188">
        <v>0.39775455910114899</v>
      </c>
      <c r="F2188">
        <v>0.16778089873624299</v>
      </c>
      <c r="G2188">
        <v>0.10620056022053399</v>
      </c>
      <c r="H2188">
        <v>7.8452560816996406E-2</v>
      </c>
      <c r="I2188">
        <v>7.3139468819648806E-2</v>
      </c>
      <c r="J2188">
        <v>6.3017506597291204E-2</v>
      </c>
      <c r="K2188">
        <v>4.7124583788442302E-2</v>
      </c>
      <c r="L2188">
        <v>1411.28247204326</v>
      </c>
      <c r="M2188">
        <v>28.804464505824399</v>
      </c>
      <c r="N2188">
        <v>49.250677480003802</v>
      </c>
      <c r="O2188">
        <v>48.760947266421603</v>
      </c>
      <c r="P2188">
        <v>-0.137437402160244</v>
      </c>
      <c r="Q2188">
        <v>6.9376798610627496E-2</v>
      </c>
      <c r="R2188">
        <v>0.99923452058062701</v>
      </c>
      <c r="S2188" t="s">
        <v>8049</v>
      </c>
      <c r="T2188" t="s">
        <v>11720</v>
      </c>
      <c r="U2188" t="s">
        <v>11720</v>
      </c>
      <c r="V2188" t="s">
        <v>11720</v>
      </c>
      <c r="W2188" t="s">
        <v>13865</v>
      </c>
      <c r="X2188">
        <v>20</v>
      </c>
      <c r="Y2188" t="s">
        <v>19624</v>
      </c>
      <c r="Z2188" t="s">
        <v>25395</v>
      </c>
      <c r="AA2188">
        <v>0.35457789556107921</v>
      </c>
      <c r="AB2188" t="str">
        <f>HYPERLINK("Melting_Curves/meltCurve_P28161_GSTM2.pdf", "Melting_Curves/meltCurve_P28161_GSTM2.pdf")</f>
        <v>Melting_Curves/meltCurve_P28161_GSTM2.pdf</v>
      </c>
    </row>
    <row r="2189" spans="1:28" x14ac:dyDescent="0.25">
      <c r="A2189" t="s">
        <v>2193</v>
      </c>
      <c r="B2189">
        <v>0.99334974765950101</v>
      </c>
      <c r="C2189">
        <v>1.0849604402095301</v>
      </c>
      <c r="D2189">
        <v>1.10008073730659</v>
      </c>
      <c r="E2189">
        <v>1.32190830111095</v>
      </c>
      <c r="F2189">
        <v>1.0037976378219899</v>
      </c>
      <c r="G2189">
        <v>0.84236188309722404</v>
      </c>
      <c r="H2189">
        <v>0.78673645157984196</v>
      </c>
      <c r="I2189">
        <v>0.81583576876201702</v>
      </c>
      <c r="J2189">
        <v>0.71224825879814901</v>
      </c>
      <c r="K2189">
        <v>0.42541093092695098</v>
      </c>
      <c r="L2189">
        <v>922.52065013355502</v>
      </c>
      <c r="M2189">
        <v>13.2298776690339</v>
      </c>
      <c r="N2189">
        <v>69.730096047444903</v>
      </c>
      <c r="O2189">
        <v>68.194697125274203</v>
      </c>
      <c r="P2189">
        <v>-4.8508399241497399E-2</v>
      </c>
      <c r="Q2189">
        <v>0</v>
      </c>
      <c r="R2189">
        <v>0.71817483413155403</v>
      </c>
      <c r="S2189" t="s">
        <v>8050</v>
      </c>
      <c r="T2189" t="s">
        <v>11720</v>
      </c>
      <c r="U2189" t="s">
        <v>11720</v>
      </c>
      <c r="V2189" t="s">
        <v>11720</v>
      </c>
      <c r="W2189" t="s">
        <v>13866</v>
      </c>
      <c r="X2189">
        <v>7</v>
      </c>
      <c r="Y2189" t="s">
        <v>19625</v>
      </c>
      <c r="Z2189" t="s">
        <v>25396</v>
      </c>
      <c r="AA2189">
        <v>0.89134299934658301</v>
      </c>
      <c r="AB2189" t="str">
        <f>HYPERLINK("Melting_Curves/meltCurve_P28300_LOX.pdf", "Melting_Curves/meltCurve_P28300_LOX.pdf")</f>
        <v>Melting_Curves/meltCurve_P28300_LOX.pdf</v>
      </c>
    </row>
    <row r="2190" spans="1:28" x14ac:dyDescent="0.25">
      <c r="A2190" t="s">
        <v>2194</v>
      </c>
      <c r="B2190">
        <v>0.99334974765950101</v>
      </c>
      <c r="C2190">
        <v>0.92831566691677303</v>
      </c>
      <c r="D2190">
        <v>0.97572373293749004</v>
      </c>
      <c r="E2190">
        <v>0.92391924173115603</v>
      </c>
      <c r="F2190">
        <v>0.51086365084368801</v>
      </c>
      <c r="G2190">
        <v>0.14071307705184399</v>
      </c>
      <c r="H2190">
        <v>8.7750924258319707E-2</v>
      </c>
      <c r="I2190">
        <v>6.8816219897371605E-2</v>
      </c>
      <c r="J2190">
        <v>7.0034181295291001E-2</v>
      </c>
      <c r="K2190">
        <v>5.3287899651183697E-2</v>
      </c>
      <c r="L2190">
        <v>2026.8880560288201</v>
      </c>
      <c r="M2190">
        <v>38.312975470684897</v>
      </c>
      <c r="N2190">
        <v>53.114966572614598</v>
      </c>
      <c r="O2190">
        <v>52.759926408503397</v>
      </c>
      <c r="P2190">
        <v>-0.16869895678361199</v>
      </c>
      <c r="Q2190">
        <v>7.0756333748573902E-2</v>
      </c>
      <c r="R2190">
        <v>0.99613733737959897</v>
      </c>
      <c r="S2190" t="s">
        <v>8051</v>
      </c>
      <c r="T2190" t="s">
        <v>11720</v>
      </c>
      <c r="U2190" t="s">
        <v>11720</v>
      </c>
      <c r="V2190" t="s">
        <v>11720</v>
      </c>
      <c r="W2190" t="s">
        <v>13867</v>
      </c>
      <c r="X2190">
        <v>19</v>
      </c>
      <c r="Y2190" t="s">
        <v>19626</v>
      </c>
      <c r="Z2190" t="s">
        <v>25397</v>
      </c>
      <c r="AA2190">
        <v>0.47413866667534449</v>
      </c>
      <c r="AB2190" t="str">
        <f>HYPERLINK("Melting_Curves/meltCurve_P28331_NDUFS1.pdf", "Melting_Curves/meltCurve_P28331_NDUFS1.pdf")</f>
        <v>Melting_Curves/meltCurve_P28331_NDUFS1.pdf</v>
      </c>
    </row>
    <row r="2191" spans="1:28" x14ac:dyDescent="0.25">
      <c r="A2191" t="s">
        <v>2195</v>
      </c>
      <c r="B2191">
        <v>0.99334974765950101</v>
      </c>
      <c r="C2191">
        <v>0.99448288402139096</v>
      </c>
      <c r="D2191">
        <v>0.95532650844637701</v>
      </c>
      <c r="E2191">
        <v>0.85867886127827198</v>
      </c>
      <c r="F2191">
        <v>0.64581204474818499</v>
      </c>
      <c r="G2191">
        <v>0.32559993305742801</v>
      </c>
      <c r="H2191">
        <v>0.115619858316344</v>
      </c>
      <c r="I2191">
        <v>7.9278551046294193E-2</v>
      </c>
      <c r="J2191">
        <v>7.1097887453087302E-2</v>
      </c>
      <c r="K2191">
        <v>5.7941365241434999E-2</v>
      </c>
      <c r="L2191">
        <v>1090.3499723582499</v>
      </c>
      <c r="M2191">
        <v>20.0417442319741</v>
      </c>
      <c r="N2191">
        <v>54.627310345698703</v>
      </c>
      <c r="O2191">
        <v>53.870996625897597</v>
      </c>
      <c r="P2191">
        <v>-8.9351995912060403E-2</v>
      </c>
      <c r="Q2191">
        <v>3.9340010284835199E-2</v>
      </c>
      <c r="R2191">
        <v>0.99918935404992204</v>
      </c>
      <c r="S2191" t="s">
        <v>8052</v>
      </c>
      <c r="T2191" t="s">
        <v>11720</v>
      </c>
      <c r="U2191" t="s">
        <v>11720</v>
      </c>
      <c r="V2191" t="s">
        <v>11720</v>
      </c>
      <c r="W2191" t="s">
        <v>13868</v>
      </c>
      <c r="X2191">
        <v>21</v>
      </c>
      <c r="Y2191" t="s">
        <v>19627</v>
      </c>
      <c r="Z2191" t="s">
        <v>25398</v>
      </c>
      <c r="AA2191">
        <v>0.51350548777736293</v>
      </c>
      <c r="AB2191" t="str">
        <f>HYPERLINK("Melting_Curves/meltCurve_P28482_MAPK1.pdf", "Melting_Curves/meltCurve_P28482_MAPK1.pdf")</f>
        <v>Melting_Curves/meltCurve_P28482_MAPK1.pdf</v>
      </c>
    </row>
    <row r="2192" spans="1:28" x14ac:dyDescent="0.25">
      <c r="A2192" t="s">
        <v>2196</v>
      </c>
      <c r="B2192">
        <v>0.99334974765950101</v>
      </c>
      <c r="C2192">
        <v>0.95343905950118202</v>
      </c>
      <c r="D2192">
        <v>0.70455646541320205</v>
      </c>
      <c r="E2192">
        <v>0.71055806388145604</v>
      </c>
      <c r="F2192">
        <v>0.44658561685739601</v>
      </c>
      <c r="G2192">
        <v>0.278333559812666</v>
      </c>
      <c r="H2192">
        <v>0.31374746636432899</v>
      </c>
      <c r="I2192">
        <v>0.3248830076709</v>
      </c>
      <c r="J2192">
        <v>0.32410363197046499</v>
      </c>
      <c r="K2192">
        <v>0.27691613416503102</v>
      </c>
      <c r="L2192">
        <v>703.20178526023403</v>
      </c>
      <c r="M2192">
        <v>14.280419941828599</v>
      </c>
      <c r="N2192">
        <v>52.125155145298898</v>
      </c>
      <c r="O2192">
        <v>48.306939990480998</v>
      </c>
      <c r="P2192">
        <v>-5.3733194740474499E-2</v>
      </c>
      <c r="Q2192">
        <v>0.273027435806174</v>
      </c>
      <c r="R2192">
        <v>0.95283292707338296</v>
      </c>
      <c r="S2192" t="s">
        <v>8053</v>
      </c>
      <c r="T2192" t="s">
        <v>11720</v>
      </c>
      <c r="U2192" t="s">
        <v>11720</v>
      </c>
      <c r="V2192" t="s">
        <v>11720</v>
      </c>
      <c r="W2192" t="s">
        <v>13869</v>
      </c>
      <c r="X2192">
        <v>2</v>
      </c>
      <c r="Y2192" t="s">
        <v>19628</v>
      </c>
      <c r="Z2192" t="s">
        <v>25399</v>
      </c>
      <c r="AA2192">
        <v>0.51645614097636294</v>
      </c>
      <c r="AB2192" t="str">
        <f>HYPERLINK("Melting_Curves/meltCurve_P28715_ERCC5.pdf", "Melting_Curves/meltCurve_P28715_ERCC5.pdf")</f>
        <v>Melting_Curves/meltCurve_P28715_ERCC5.pdf</v>
      </c>
    </row>
    <row r="2193" spans="1:28" x14ac:dyDescent="0.25">
      <c r="A2193" t="s">
        <v>2197</v>
      </c>
      <c r="B2193">
        <v>0.99334974765950101</v>
      </c>
      <c r="C2193">
        <v>1.02205052896801</v>
      </c>
      <c r="D2193">
        <v>0.89002520891527903</v>
      </c>
      <c r="E2193">
        <v>0.93227376657213901</v>
      </c>
      <c r="F2193">
        <v>0.88612253944402597</v>
      </c>
      <c r="G2193">
        <v>0.73307108662186804</v>
      </c>
      <c r="H2193">
        <v>0.77366560710797805</v>
      </c>
      <c r="I2193">
        <v>1.08084485013488</v>
      </c>
      <c r="J2193">
        <v>1.1915814424040301</v>
      </c>
      <c r="K2193">
        <v>1.12816091715226</v>
      </c>
      <c r="L2193">
        <v>11077.5782846725</v>
      </c>
      <c r="M2193">
        <v>250</v>
      </c>
      <c r="O2193">
        <v>44.307477583924999</v>
      </c>
      <c r="P2193">
        <v>-6.77513893488563E-2</v>
      </c>
      <c r="Q2193">
        <v>0.95196970943095804</v>
      </c>
      <c r="R2193">
        <v>2.4406101941111601E-2</v>
      </c>
      <c r="S2193" t="s">
        <v>8054</v>
      </c>
      <c r="T2193" t="s">
        <v>11720</v>
      </c>
      <c r="U2193" t="s">
        <v>11720</v>
      </c>
      <c r="V2193" t="s">
        <v>11720</v>
      </c>
      <c r="W2193" t="s">
        <v>13870</v>
      </c>
      <c r="X2193">
        <v>14</v>
      </c>
      <c r="Y2193" t="s">
        <v>19629</v>
      </c>
      <c r="Z2193" t="s">
        <v>25400</v>
      </c>
      <c r="AA2193">
        <v>0.95887429753731002</v>
      </c>
      <c r="AB2193" t="str">
        <f>HYPERLINK("Melting_Curves/meltCurve_P28799_GRN.pdf", "Melting_Curves/meltCurve_P28799_GRN.pdf")</f>
        <v>Melting_Curves/meltCurve_P28799_GRN.pdf</v>
      </c>
    </row>
    <row r="2194" spans="1:28" x14ac:dyDescent="0.25">
      <c r="A2194" t="s">
        <v>2198</v>
      </c>
      <c r="B2194">
        <v>0.99334974765950101</v>
      </c>
      <c r="C2194">
        <v>0.96841815080304305</v>
      </c>
      <c r="D2194">
        <v>0.63972706422077796</v>
      </c>
      <c r="E2194">
        <v>0.36220223271811203</v>
      </c>
      <c r="F2194">
        <v>0.27354510491027501</v>
      </c>
      <c r="G2194">
        <v>0.224597431375123</v>
      </c>
      <c r="H2194">
        <v>0.168316835492513</v>
      </c>
      <c r="I2194">
        <v>0.15255771211293701</v>
      </c>
      <c r="J2194">
        <v>0.11785654442551199</v>
      </c>
      <c r="K2194">
        <v>7.1426652342846203E-2</v>
      </c>
      <c r="L2194">
        <v>887.388943479727</v>
      </c>
      <c r="M2194">
        <v>18.711554914578901</v>
      </c>
      <c r="N2194">
        <v>48.2448237533944</v>
      </c>
      <c r="O2194">
        <v>46.892926879159397</v>
      </c>
      <c r="P2194">
        <v>-8.6169791081313396E-2</v>
      </c>
      <c r="Q2194">
        <v>0.136237761408073</v>
      </c>
      <c r="R2194">
        <v>0.98369943661030101</v>
      </c>
      <c r="S2194" t="s">
        <v>8055</v>
      </c>
      <c r="T2194" t="s">
        <v>11720</v>
      </c>
      <c r="U2194" t="s">
        <v>11720</v>
      </c>
      <c r="V2194" t="s">
        <v>11720</v>
      </c>
      <c r="W2194" t="s">
        <v>13871</v>
      </c>
      <c r="X2194">
        <v>34</v>
      </c>
      <c r="Y2194" t="s">
        <v>19630</v>
      </c>
      <c r="Z2194" t="s">
        <v>25401</v>
      </c>
      <c r="AA2194">
        <v>0.36439674361689228</v>
      </c>
      <c r="AB2194" t="str">
        <f>HYPERLINK("Melting_Curves/meltCurve_P28838_2_LAP3.pdf", "Melting_Curves/meltCurve_P28838_2_LAP3.pdf")</f>
        <v>Melting_Curves/meltCurve_P28838_2_LAP3.pdf</v>
      </c>
    </row>
    <row r="2195" spans="1:28" x14ac:dyDescent="0.25">
      <c r="A2195" t="s">
        <v>2199</v>
      </c>
      <c r="B2195">
        <v>0.99334974765950101</v>
      </c>
      <c r="C2195">
        <v>1.0442977550341499</v>
      </c>
      <c r="D2195">
        <v>1.01932976554023</v>
      </c>
      <c r="E2195">
        <v>0.91383321430402398</v>
      </c>
      <c r="F2195">
        <v>0.48893723605156603</v>
      </c>
      <c r="G2195">
        <v>0.27218339339515402</v>
      </c>
      <c r="H2195">
        <v>0.21110584705948299</v>
      </c>
      <c r="I2195">
        <v>0.244891246291771</v>
      </c>
      <c r="J2195">
        <v>0.22905633055375099</v>
      </c>
      <c r="K2195">
        <v>0.12056599081569</v>
      </c>
      <c r="L2195">
        <v>2215.9769987241102</v>
      </c>
      <c r="M2195">
        <v>42.355689242442097</v>
      </c>
      <c r="N2195">
        <v>52.995906887008402</v>
      </c>
      <c r="O2195">
        <v>52.2020697005294</v>
      </c>
      <c r="P2195">
        <v>-0.16043357372863201</v>
      </c>
      <c r="Q2195">
        <v>0.20908381926871999</v>
      </c>
      <c r="R2195">
        <v>0.98995080503954902</v>
      </c>
      <c r="S2195" t="s">
        <v>8056</v>
      </c>
      <c r="T2195" t="s">
        <v>11720</v>
      </c>
      <c r="U2195" t="s">
        <v>11720</v>
      </c>
      <c r="V2195" t="s">
        <v>11720</v>
      </c>
      <c r="W2195" t="s">
        <v>13872</v>
      </c>
      <c r="X2195">
        <v>2</v>
      </c>
      <c r="Y2195" t="s">
        <v>19631</v>
      </c>
      <c r="Z2195" t="s">
        <v>25402</v>
      </c>
      <c r="AA2195">
        <v>0.53638936742812693</v>
      </c>
      <c r="AB2195" t="str">
        <f>HYPERLINK("Melting_Curves/meltCurve_P28845_HSD11B1.pdf", "Melting_Curves/meltCurve_P28845_HSD11B1.pdf")</f>
        <v>Melting_Curves/meltCurve_P28845_HSD11B1.pdf</v>
      </c>
    </row>
    <row r="2196" spans="1:28" x14ac:dyDescent="0.25">
      <c r="A2196" t="s">
        <v>2200</v>
      </c>
      <c r="B2196">
        <v>0.99334974765950101</v>
      </c>
      <c r="C2196">
        <v>1.08866984901914</v>
      </c>
      <c r="D2196">
        <v>0.97540950951991201</v>
      </c>
      <c r="E2196">
        <v>0.60382829256628701</v>
      </c>
      <c r="F2196">
        <v>0.32708105621071398</v>
      </c>
      <c r="G2196">
        <v>0.245265433041575</v>
      </c>
      <c r="H2196">
        <v>0.23259726489076099</v>
      </c>
      <c r="I2196">
        <v>0.26277433449257898</v>
      </c>
      <c r="J2196">
        <v>0.268909361060165</v>
      </c>
      <c r="K2196">
        <v>0.23505271674911099</v>
      </c>
      <c r="L2196">
        <v>1945.02611405928</v>
      </c>
      <c r="M2196">
        <v>38.9909081782206</v>
      </c>
      <c r="N2196">
        <v>50.781455376039297</v>
      </c>
      <c r="O2196">
        <v>49.753418622873099</v>
      </c>
      <c r="P2196">
        <v>-0.147144045623675</v>
      </c>
      <c r="Q2196">
        <v>0.24896313685943899</v>
      </c>
      <c r="R2196">
        <v>0.99194956527172495</v>
      </c>
      <c r="S2196" t="s">
        <v>8057</v>
      </c>
      <c r="T2196" t="s">
        <v>11720</v>
      </c>
      <c r="U2196" t="s">
        <v>11720</v>
      </c>
      <c r="V2196" t="s">
        <v>11720</v>
      </c>
      <c r="W2196" t="s">
        <v>13873</v>
      </c>
      <c r="X2196">
        <v>4</v>
      </c>
      <c r="Y2196" t="s">
        <v>19632</v>
      </c>
      <c r="Z2196" t="s">
        <v>25403</v>
      </c>
      <c r="AA2196">
        <v>0.4991349718193126</v>
      </c>
      <c r="AB2196" t="str">
        <f>HYPERLINK("Melting_Curves/meltCurve_P29083_GTF2E1.pdf", "Melting_Curves/meltCurve_P29083_GTF2E1.pdf")</f>
        <v>Melting_Curves/meltCurve_P29083_GTF2E1.pdf</v>
      </c>
    </row>
    <row r="2197" spans="1:28" x14ac:dyDescent="0.25">
      <c r="A2197" t="s">
        <v>2201</v>
      </c>
      <c r="B2197">
        <v>0.99334974765950101</v>
      </c>
      <c r="C2197">
        <v>0.94674447706163301</v>
      </c>
      <c r="D2197">
        <v>0.91749394830374997</v>
      </c>
      <c r="E2197">
        <v>0.81079084737326301</v>
      </c>
      <c r="F2197">
        <v>0.91145044731437297</v>
      </c>
      <c r="G2197">
        <v>0.74012412309684905</v>
      </c>
      <c r="H2197">
        <v>0.75732733970055599</v>
      </c>
      <c r="I2197">
        <v>0.80573507160444502</v>
      </c>
      <c r="J2197">
        <v>0.94662864101407895</v>
      </c>
      <c r="K2197">
        <v>0.92747561353778196</v>
      </c>
      <c r="L2197">
        <v>1093.7514846430799</v>
      </c>
      <c r="M2197">
        <v>24.406770954059301</v>
      </c>
      <c r="O2197">
        <v>44.5158537533691</v>
      </c>
      <c r="P2197">
        <v>-2.16289884012895E-2</v>
      </c>
      <c r="Q2197">
        <v>0.84220467192798998</v>
      </c>
      <c r="R2197">
        <v>0.37985991610852399</v>
      </c>
      <c r="S2197" t="s">
        <v>8058</v>
      </c>
      <c r="T2197" t="s">
        <v>11720</v>
      </c>
      <c r="U2197" t="s">
        <v>11720</v>
      </c>
      <c r="V2197" t="s">
        <v>11720</v>
      </c>
      <c r="W2197" t="s">
        <v>13874</v>
      </c>
      <c r="X2197">
        <v>17</v>
      </c>
      <c r="Y2197" t="s">
        <v>17895</v>
      </c>
      <c r="Z2197" t="s">
        <v>25404</v>
      </c>
      <c r="AA2197">
        <v>0.86922311051037038</v>
      </c>
      <c r="AB2197" t="str">
        <f>HYPERLINK("Melting_Curves/meltCurve_P29218_IMPA1.pdf", "Melting_Curves/meltCurve_P29218_IMPA1.pdf")</f>
        <v>Melting_Curves/meltCurve_P29218_IMPA1.pdf</v>
      </c>
    </row>
    <row r="2198" spans="1:28" x14ac:dyDescent="0.25">
      <c r="A2198" t="s">
        <v>2202</v>
      </c>
      <c r="B2198">
        <v>0.99334974765950101</v>
      </c>
      <c r="C2198">
        <v>0.95254235477788296</v>
      </c>
      <c r="D2198">
        <v>0.91798534209131599</v>
      </c>
      <c r="E2198">
        <v>0.82105873857964595</v>
      </c>
      <c r="F2198">
        <v>0.91346752602451098</v>
      </c>
      <c r="G2198">
        <v>0.663252112892741</v>
      </c>
      <c r="H2198">
        <v>0.62186487434552795</v>
      </c>
      <c r="I2198">
        <v>0.72836212474405304</v>
      </c>
      <c r="J2198">
        <v>0.58583551194970795</v>
      </c>
      <c r="K2198">
        <v>0.46705990026481697</v>
      </c>
      <c r="L2198">
        <v>318.86274425441201</v>
      </c>
      <c r="M2198">
        <v>4.4962261117640496</v>
      </c>
      <c r="O2198">
        <v>60.258506690561198</v>
      </c>
      <c r="P2198">
        <v>-1.8817506377391699E-2</v>
      </c>
      <c r="Q2198">
        <v>0</v>
      </c>
      <c r="R2198">
        <v>0.874319534938647</v>
      </c>
      <c r="S2198" t="s">
        <v>8059</v>
      </c>
      <c r="T2198" t="s">
        <v>11720</v>
      </c>
      <c r="U2198" t="s">
        <v>11720</v>
      </c>
      <c r="V2198" t="s">
        <v>11720</v>
      </c>
      <c r="W2198" t="s">
        <v>13875</v>
      </c>
      <c r="X2198">
        <v>26</v>
      </c>
      <c r="Y2198" t="s">
        <v>19633</v>
      </c>
      <c r="Z2198" t="s">
        <v>25405</v>
      </c>
      <c r="AA2198">
        <v>0.77091151299130323</v>
      </c>
      <c r="AB2198" t="str">
        <f>HYPERLINK("Melting_Curves/meltCurve_P29279_CTGF.pdf", "Melting_Curves/meltCurve_P29279_CTGF.pdf")</f>
        <v>Melting_Curves/meltCurve_P29279_CTGF.pdf</v>
      </c>
    </row>
    <row r="2199" spans="1:28" x14ac:dyDescent="0.25">
      <c r="A2199" t="s">
        <v>2203</v>
      </c>
      <c r="B2199">
        <v>0.99334974765950101</v>
      </c>
      <c r="C2199">
        <v>1.0303405082625401</v>
      </c>
      <c r="D2199">
        <v>0.97427489135129297</v>
      </c>
      <c r="E2199">
        <v>0.92474162125973902</v>
      </c>
      <c r="F2199">
        <v>0.39297354680403301</v>
      </c>
      <c r="G2199">
        <v>0.20478460964269199</v>
      </c>
      <c r="H2199">
        <v>0.157582198909723</v>
      </c>
      <c r="I2199">
        <v>0.14822936093487499</v>
      </c>
      <c r="J2199">
        <v>0.15207661229750499</v>
      </c>
      <c r="K2199">
        <v>0.11039776334768001</v>
      </c>
      <c r="L2199">
        <v>2765.4883320570898</v>
      </c>
      <c r="M2199">
        <v>53.074880192628001</v>
      </c>
      <c r="N2199">
        <v>52.4639342118695</v>
      </c>
      <c r="O2199">
        <v>52.0316016771054</v>
      </c>
      <c r="P2199">
        <v>-0.21622480987602599</v>
      </c>
      <c r="Q2199">
        <v>0.15210252871305099</v>
      </c>
      <c r="R2199">
        <v>0.99651971170490905</v>
      </c>
      <c r="S2199" t="s">
        <v>8060</v>
      </c>
      <c r="T2199" t="s">
        <v>11720</v>
      </c>
      <c r="U2199" t="s">
        <v>11720</v>
      </c>
      <c r="V2199" t="s">
        <v>11720</v>
      </c>
      <c r="W2199" t="s">
        <v>13876</v>
      </c>
      <c r="X2199">
        <v>7</v>
      </c>
      <c r="Y2199" t="s">
        <v>19634</v>
      </c>
      <c r="Z2199" t="s">
        <v>25406</v>
      </c>
      <c r="AA2199">
        <v>0.49596908808018247</v>
      </c>
      <c r="AB2199" t="str">
        <f>HYPERLINK("Melting_Curves/meltCurve_P29317_EPHA2.pdf", "Melting_Curves/meltCurve_P29317_EPHA2.pdf")</f>
        <v>Melting_Curves/meltCurve_P29317_EPHA2.pdf</v>
      </c>
    </row>
    <row r="2200" spans="1:28" x14ac:dyDescent="0.25">
      <c r="A2200" t="s">
        <v>2204</v>
      </c>
      <c r="B2200">
        <v>0.99334974765950101</v>
      </c>
      <c r="C2200">
        <v>0.943397314304108</v>
      </c>
      <c r="D2200">
        <v>0.96514286998612697</v>
      </c>
      <c r="E2200">
        <v>0.90027500502855595</v>
      </c>
      <c r="F2200">
        <v>0.51754015017205601</v>
      </c>
      <c r="G2200">
        <v>0.232679556752307</v>
      </c>
      <c r="H2200">
        <v>0.158077214448515</v>
      </c>
      <c r="I2200">
        <v>0.139358931313112</v>
      </c>
      <c r="J2200">
        <v>0.115033428103321</v>
      </c>
      <c r="K2200">
        <v>0.111507952727587</v>
      </c>
      <c r="L2200">
        <v>1655.92970612418</v>
      </c>
      <c r="M2200">
        <v>31.361738953286501</v>
      </c>
      <c r="N2200">
        <v>53.313042798597301</v>
      </c>
      <c r="O2200">
        <v>52.587674880834498</v>
      </c>
      <c r="P2200">
        <v>-0.12970387965350599</v>
      </c>
      <c r="Q2200">
        <v>0.130049940686944</v>
      </c>
      <c r="R2200">
        <v>0.99537592643790895</v>
      </c>
      <c r="S2200" t="s">
        <v>8061</v>
      </c>
      <c r="T2200" t="s">
        <v>11720</v>
      </c>
      <c r="U2200" t="s">
        <v>11720</v>
      </c>
      <c r="V2200" t="s">
        <v>11720</v>
      </c>
      <c r="W2200" t="s">
        <v>13877</v>
      </c>
      <c r="X2200">
        <v>20</v>
      </c>
      <c r="Y2200" t="s">
        <v>19635</v>
      </c>
      <c r="Z2200" t="s">
        <v>25407</v>
      </c>
      <c r="AA2200">
        <v>0.50641086820854053</v>
      </c>
      <c r="AB2200" t="str">
        <f>HYPERLINK("Melting_Curves/meltCurve_P29323_2_EPHB2.pdf", "Melting_Curves/meltCurve_P29323_2_EPHB2.pdf")</f>
        <v>Melting_Curves/meltCurve_P29323_2_EPHB2.pdf</v>
      </c>
    </row>
    <row r="2201" spans="1:28" x14ac:dyDescent="0.25">
      <c r="A2201" t="s">
        <v>2205</v>
      </c>
      <c r="B2201">
        <v>0.99334974765950101</v>
      </c>
      <c r="C2201">
        <v>0.98906774487583005</v>
      </c>
      <c r="D2201">
        <v>0.97222967408277094</v>
      </c>
      <c r="E2201">
        <v>0.76539325497954003</v>
      </c>
      <c r="F2201">
        <v>1.0998129576134601</v>
      </c>
      <c r="G2201">
        <v>0.52212288611602198</v>
      </c>
      <c r="H2201">
        <v>0.368005943092655</v>
      </c>
      <c r="I2201">
        <v>0.28926687149199298</v>
      </c>
      <c r="J2201">
        <v>0.283860652050341</v>
      </c>
      <c r="K2201">
        <v>0.204936141282821</v>
      </c>
      <c r="L2201">
        <v>10131.993144722799</v>
      </c>
      <c r="M2201">
        <v>178.461436565561</v>
      </c>
      <c r="N2201">
        <v>57.046180053546301</v>
      </c>
      <c r="O2201">
        <v>56.767002921899604</v>
      </c>
      <c r="P2201">
        <v>-0.56075426608729995</v>
      </c>
      <c r="Q2201">
        <v>0.286516134954659</v>
      </c>
      <c r="R2201">
        <v>0.92863484801770302</v>
      </c>
      <c r="S2201" t="s">
        <v>8062</v>
      </c>
      <c r="T2201" t="s">
        <v>11720</v>
      </c>
      <c r="U2201" t="s">
        <v>11720</v>
      </c>
      <c r="V2201" t="s">
        <v>11720</v>
      </c>
      <c r="W2201" t="s">
        <v>13878</v>
      </c>
      <c r="X2201">
        <v>28</v>
      </c>
      <c r="Y2201" t="s">
        <v>19636</v>
      </c>
      <c r="Z2201" t="s">
        <v>25408</v>
      </c>
      <c r="AA2201">
        <v>0.6855914221999182</v>
      </c>
      <c r="AB2201" t="str">
        <f>HYPERLINK("Melting_Curves/meltCurve_P29353_SHC1.pdf", "Melting_Curves/meltCurve_P29353_SHC1.pdf")</f>
        <v>Melting_Curves/meltCurve_P29353_SHC1.pdf</v>
      </c>
    </row>
    <row r="2202" spans="1:28" x14ac:dyDescent="0.25">
      <c r="A2202" t="s">
        <v>2206</v>
      </c>
      <c r="B2202">
        <v>0.99334974765950101</v>
      </c>
      <c r="C2202">
        <v>0.90266962311894405</v>
      </c>
      <c r="D2202">
        <v>0.77795235686625097</v>
      </c>
      <c r="E2202">
        <v>0.78619835611019995</v>
      </c>
      <c r="F2202">
        <v>0.57371757725788897</v>
      </c>
      <c r="G2202">
        <v>0.434264526431141</v>
      </c>
      <c r="H2202">
        <v>0.179901503727419</v>
      </c>
      <c r="I2202">
        <v>0.148979351346025</v>
      </c>
      <c r="J2202">
        <v>0.24553164319051801</v>
      </c>
      <c r="K2202">
        <v>9.9376529475018793E-2</v>
      </c>
      <c r="L2202">
        <v>530.73687165573995</v>
      </c>
      <c r="M2202">
        <v>9.7445607654201396</v>
      </c>
      <c r="N2202">
        <v>54.580295390971202</v>
      </c>
      <c r="O2202">
        <v>52.319707498597097</v>
      </c>
      <c r="P2202">
        <v>-4.6112720681511503E-2</v>
      </c>
      <c r="Q2202">
        <v>1.01926639568456E-2</v>
      </c>
      <c r="R2202">
        <v>0.96564146032945497</v>
      </c>
      <c r="S2202" t="s">
        <v>8063</v>
      </c>
      <c r="T2202" t="s">
        <v>11720</v>
      </c>
      <c r="U2202" t="s">
        <v>11720</v>
      </c>
      <c r="V2202" t="s">
        <v>11720</v>
      </c>
      <c r="W2202" t="s">
        <v>13879</v>
      </c>
      <c r="X2202">
        <v>27</v>
      </c>
      <c r="Y2202" t="s">
        <v>19636</v>
      </c>
      <c r="Z2202" t="s">
        <v>25409</v>
      </c>
      <c r="AA2202">
        <v>0.5157867258442862</v>
      </c>
      <c r="AB2202" t="str">
        <f>HYPERLINK("Melting_Curves/meltCurve_P29353_6_SHC1.pdf", "Melting_Curves/meltCurve_P29353_6_SHC1.pdf")</f>
        <v>Melting_Curves/meltCurve_P29353_6_SHC1.pdf</v>
      </c>
    </row>
    <row r="2203" spans="1:28" x14ac:dyDescent="0.25">
      <c r="A2203" t="s">
        <v>2207</v>
      </c>
      <c r="B2203">
        <v>0.99334974765950101</v>
      </c>
      <c r="C2203">
        <v>0.98087943141101797</v>
      </c>
      <c r="D2203">
        <v>0.838942078398629</v>
      </c>
      <c r="E2203">
        <v>0.71931264877761203</v>
      </c>
      <c r="F2203">
        <v>0.23143785128205099</v>
      </c>
      <c r="G2203">
        <v>0.115156855062755</v>
      </c>
      <c r="H2203">
        <v>6.2440605241213698E-2</v>
      </c>
      <c r="I2203">
        <v>5.2382155454456299E-2</v>
      </c>
      <c r="J2203">
        <v>4.9184493737558399E-2</v>
      </c>
      <c r="K2203">
        <v>3.70739043176911E-2</v>
      </c>
      <c r="L2203">
        <v>1500.5720023465101</v>
      </c>
      <c r="M2203">
        <v>29.419969738419098</v>
      </c>
      <c r="N2203">
        <v>51.179889319042999</v>
      </c>
      <c r="O2203">
        <v>50.771303349161798</v>
      </c>
      <c r="P2203">
        <v>-0.13794683525840601</v>
      </c>
      <c r="Q2203">
        <v>4.7763651972713997E-2</v>
      </c>
      <c r="R2203">
        <v>0.98566252030505197</v>
      </c>
      <c r="S2203" t="s">
        <v>8064</v>
      </c>
      <c r="T2203" t="s">
        <v>11720</v>
      </c>
      <c r="U2203" t="s">
        <v>11720</v>
      </c>
      <c r="V2203" t="s">
        <v>11720</v>
      </c>
      <c r="W2203" t="s">
        <v>13880</v>
      </c>
      <c r="X2203">
        <v>18</v>
      </c>
      <c r="Y2203" t="s">
        <v>19637</v>
      </c>
      <c r="Z2203" t="s">
        <v>25410</v>
      </c>
      <c r="AA2203">
        <v>0.40330891405883268</v>
      </c>
      <c r="AB2203" t="str">
        <f>HYPERLINK("Melting_Curves/meltCurve_P29373_CRABP2.pdf", "Melting_Curves/meltCurve_P29373_CRABP2.pdf")</f>
        <v>Melting_Curves/meltCurve_P29373_CRABP2.pdf</v>
      </c>
    </row>
    <row r="2204" spans="1:28" x14ac:dyDescent="0.25">
      <c r="A2204" t="s">
        <v>2208</v>
      </c>
      <c r="B2204">
        <v>0.99334974765950101</v>
      </c>
      <c r="C2204">
        <v>1.03254877558334</v>
      </c>
      <c r="D2204">
        <v>1.19353455936613</v>
      </c>
      <c r="E2204">
        <v>1.24720090314196</v>
      </c>
      <c r="F2204">
        <v>1.2080029105196299</v>
      </c>
      <c r="G2204">
        <v>1.3208793681651501</v>
      </c>
      <c r="H2204">
        <v>1.1968467504068301</v>
      </c>
      <c r="I2204">
        <v>1.4622967625611201</v>
      </c>
      <c r="J2204">
        <v>0.80959302670056099</v>
      </c>
      <c r="K2204">
        <v>0.20417541048542001</v>
      </c>
      <c r="L2204">
        <v>15000</v>
      </c>
      <c r="M2204">
        <v>222.72340292352601</v>
      </c>
      <c r="N2204">
        <v>67.507033568667595</v>
      </c>
      <c r="O2204">
        <v>67.342678976438194</v>
      </c>
      <c r="P2204">
        <v>-0.65815402198517103</v>
      </c>
      <c r="Q2204">
        <v>0.204001836461807</v>
      </c>
      <c r="R2204">
        <v>0.556324516446983</v>
      </c>
      <c r="S2204" t="s">
        <v>8065</v>
      </c>
      <c r="T2204" t="s">
        <v>11720</v>
      </c>
      <c r="U2204" t="s">
        <v>11720</v>
      </c>
      <c r="V2204" t="s">
        <v>11720</v>
      </c>
      <c r="W2204" t="s">
        <v>13881</v>
      </c>
      <c r="X2204">
        <v>42</v>
      </c>
      <c r="Y2204" t="s">
        <v>19638</v>
      </c>
      <c r="Z2204" t="s">
        <v>25411</v>
      </c>
      <c r="AA2204">
        <v>0.92975330314706972</v>
      </c>
      <c r="AB2204" t="str">
        <f>HYPERLINK("Melting_Curves/meltCurve_P29401_TKT.pdf", "Melting_Curves/meltCurve_P29401_TKT.pdf")</f>
        <v>Melting_Curves/meltCurve_P29401_TKT.pdf</v>
      </c>
    </row>
    <row r="2205" spans="1:28" x14ac:dyDescent="0.25">
      <c r="A2205" t="s">
        <v>2209</v>
      </c>
      <c r="B2205">
        <v>0.99334974765950101</v>
      </c>
      <c r="C2205">
        <v>0.96833460222387202</v>
      </c>
      <c r="D2205">
        <v>0.689342958178502</v>
      </c>
      <c r="E2205">
        <v>0.34330105810405798</v>
      </c>
      <c r="F2205">
        <v>0.304920018785035</v>
      </c>
      <c r="G2205">
        <v>0.15737390271246199</v>
      </c>
      <c r="H2205">
        <v>0.15258367808582701</v>
      </c>
      <c r="I2205">
        <v>0.14327613122043301</v>
      </c>
      <c r="J2205">
        <v>0.193670281924056</v>
      </c>
      <c r="K2205">
        <v>0.15977973007396101</v>
      </c>
      <c r="L2205">
        <v>1046.46412434852</v>
      </c>
      <c r="M2205">
        <v>22.104103772111699</v>
      </c>
      <c r="N2205">
        <v>48.2126956613942</v>
      </c>
      <c r="O2205">
        <v>46.960149658768103</v>
      </c>
      <c r="P2205">
        <v>-9.8321013034893004E-2</v>
      </c>
      <c r="Q2205">
        <v>0.16448667192754399</v>
      </c>
      <c r="R2205">
        <v>0.99049983550682297</v>
      </c>
      <c r="S2205" t="s">
        <v>8066</v>
      </c>
      <c r="T2205" t="s">
        <v>11720</v>
      </c>
      <c r="U2205" t="s">
        <v>11720</v>
      </c>
      <c r="V2205" t="s">
        <v>11720</v>
      </c>
      <c r="W2205" t="s">
        <v>13882</v>
      </c>
      <c r="X2205">
        <v>14</v>
      </c>
      <c r="Y2205" t="s">
        <v>19639</v>
      </c>
      <c r="Z2205" t="s">
        <v>25412</v>
      </c>
      <c r="AA2205">
        <v>0.37868701798022808</v>
      </c>
      <c r="AB2205" t="str">
        <f>HYPERLINK("Melting_Curves/meltCurve_P29536_2_LMOD1.pdf", "Melting_Curves/meltCurve_P29536_2_LMOD1.pdf")</f>
        <v>Melting_Curves/meltCurve_P29536_2_LMOD1.pdf</v>
      </c>
    </row>
    <row r="2206" spans="1:28" x14ac:dyDescent="0.25">
      <c r="A2206" t="s">
        <v>2210</v>
      </c>
      <c r="B2206">
        <v>0.99334974765950101</v>
      </c>
      <c r="C2206">
        <v>0.94682684660294802</v>
      </c>
      <c r="D2206">
        <v>0.89083937072180197</v>
      </c>
      <c r="E2206">
        <v>0.80831668605699902</v>
      </c>
      <c r="F2206">
        <v>0.41490324781494597</v>
      </c>
      <c r="G2206">
        <v>0.22642559346813901</v>
      </c>
      <c r="H2206">
        <v>0.138160945598367</v>
      </c>
      <c r="I2206">
        <v>9.8650275526062703E-2</v>
      </c>
      <c r="J2206">
        <v>8.5214204597177504E-2</v>
      </c>
      <c r="K2206">
        <v>9.9417158551873094E-2</v>
      </c>
      <c r="L2206">
        <v>1181.7962940410901</v>
      </c>
      <c r="M2206">
        <v>22.677766894537601</v>
      </c>
      <c r="N2206">
        <v>52.587641675893302</v>
      </c>
      <c r="O2206">
        <v>51.712380921238001</v>
      </c>
      <c r="P2206">
        <v>-9.9481272598121701E-2</v>
      </c>
      <c r="Q2206">
        <v>9.2624234285262397E-2</v>
      </c>
      <c r="R2206">
        <v>0.99050816151350396</v>
      </c>
      <c r="S2206" t="s">
        <v>8067</v>
      </c>
      <c r="T2206" t="s">
        <v>11720</v>
      </c>
      <c r="U2206" t="s">
        <v>11720</v>
      </c>
      <c r="V2206" t="s">
        <v>11720</v>
      </c>
      <c r="W2206" t="s">
        <v>13883</v>
      </c>
      <c r="X2206">
        <v>26</v>
      </c>
      <c r="Y2206" t="s">
        <v>19640</v>
      </c>
      <c r="Z2206" t="s">
        <v>25413</v>
      </c>
      <c r="AA2206">
        <v>0.46895422378431811</v>
      </c>
      <c r="AB2206" t="str">
        <f>HYPERLINK("Melting_Curves/meltCurve_P29590_PML.pdf", "Melting_Curves/meltCurve_P29590_PML.pdf")</f>
        <v>Melting_Curves/meltCurve_P29590_PML.pdf</v>
      </c>
    </row>
    <row r="2207" spans="1:28" x14ac:dyDescent="0.25">
      <c r="A2207" t="s">
        <v>2211</v>
      </c>
      <c r="B2207">
        <v>0.99334974765950101</v>
      </c>
      <c r="C2207">
        <v>1.05411008352651</v>
      </c>
      <c r="D2207">
        <v>0.89472707057860101</v>
      </c>
      <c r="E2207">
        <v>0.86750945090128095</v>
      </c>
      <c r="F2207">
        <v>0.92774106713693805</v>
      </c>
      <c r="G2207">
        <v>0.78458251968870796</v>
      </c>
      <c r="H2207">
        <v>0.91328394030053905</v>
      </c>
      <c r="I2207">
        <v>1.63450139077623</v>
      </c>
      <c r="J2207">
        <v>1.29495521440862</v>
      </c>
      <c r="K2207">
        <v>1.1215745521279501</v>
      </c>
      <c r="L2207">
        <v>15000</v>
      </c>
      <c r="M2207">
        <v>240.72572649208001</v>
      </c>
      <c r="O2207">
        <v>62.307274696887298</v>
      </c>
      <c r="P2207">
        <v>0.33826663418393299</v>
      </c>
      <c r="Q2207">
        <v>1.3502155491962999</v>
      </c>
      <c r="R2207">
        <v>0.60173895568278502</v>
      </c>
      <c r="S2207" t="s">
        <v>8068</v>
      </c>
      <c r="T2207" t="s">
        <v>11720</v>
      </c>
      <c r="U2207" t="s">
        <v>11720</v>
      </c>
      <c r="V2207" t="s">
        <v>11720</v>
      </c>
      <c r="W2207" t="s">
        <v>13884</v>
      </c>
      <c r="X2207">
        <v>13</v>
      </c>
      <c r="Y2207" t="s">
        <v>19641</v>
      </c>
      <c r="Z2207" t="s">
        <v>25414</v>
      </c>
      <c r="AA2207">
        <v>1.089712185442673</v>
      </c>
      <c r="AB2207" t="str">
        <f>HYPERLINK("Melting_Curves/meltCurve_P29966_MARCKS.pdf", "Melting_Curves/meltCurve_P29966_MARCKS.pdf")</f>
        <v>Melting_Curves/meltCurve_P29966_MARCKS.pdf</v>
      </c>
    </row>
    <row r="2208" spans="1:28" x14ac:dyDescent="0.25">
      <c r="A2208" t="s">
        <v>2212</v>
      </c>
      <c r="B2208">
        <v>0.99334974765950101</v>
      </c>
      <c r="C2208">
        <v>0.95051994504067705</v>
      </c>
      <c r="D2208">
        <v>0.88249972420891698</v>
      </c>
      <c r="E2208">
        <v>0.80063695774267396</v>
      </c>
      <c r="F2208">
        <v>0.27671577853629398</v>
      </c>
      <c r="G2208">
        <v>0.140367048277111</v>
      </c>
      <c r="H2208">
        <v>9.4057337887881703E-2</v>
      </c>
      <c r="I2208">
        <v>7.7778919887470405E-2</v>
      </c>
      <c r="J2208">
        <v>8.5474024927147604E-2</v>
      </c>
      <c r="K2208">
        <v>6.03453444155167E-2</v>
      </c>
      <c r="L2208">
        <v>2126.5446736229901</v>
      </c>
      <c r="M2208">
        <v>41.356077060001397</v>
      </c>
      <c r="N2208">
        <v>51.656592619866601</v>
      </c>
      <c r="O2208">
        <v>51.300576163035799</v>
      </c>
      <c r="P2208">
        <v>-0.18417489495602399</v>
      </c>
      <c r="Q2208">
        <v>8.6155012095477101E-2</v>
      </c>
      <c r="R2208">
        <v>0.98857642136165902</v>
      </c>
      <c r="S2208" t="s">
        <v>8069</v>
      </c>
      <c r="T2208" t="s">
        <v>11720</v>
      </c>
      <c r="U2208" t="s">
        <v>11720</v>
      </c>
      <c r="V2208" t="s">
        <v>11720</v>
      </c>
      <c r="W2208" t="s">
        <v>13885</v>
      </c>
      <c r="X2208">
        <v>20</v>
      </c>
      <c r="Y2208" t="s">
        <v>19642</v>
      </c>
      <c r="Z2208" t="s">
        <v>25415</v>
      </c>
      <c r="AA2208">
        <v>0.43707311519432551</v>
      </c>
      <c r="AB2208" t="str">
        <f>HYPERLINK("Melting_Curves/meltCurve_P29992_GNA11.pdf", "Melting_Curves/meltCurve_P29992_GNA11.pdf")</f>
        <v>Melting_Curves/meltCurve_P29992_GNA11.pdf</v>
      </c>
    </row>
    <row r="2209" spans="1:28" x14ac:dyDescent="0.25">
      <c r="A2209" t="s">
        <v>2213</v>
      </c>
      <c r="B2209">
        <v>0.99334974765950101</v>
      </c>
      <c r="C2209">
        <v>0.93579967384582396</v>
      </c>
      <c r="D2209">
        <v>0.95784454708774702</v>
      </c>
      <c r="E2209">
        <v>0.55177262594888399</v>
      </c>
      <c r="F2209">
        <v>0.20830489020073001</v>
      </c>
      <c r="G2209">
        <v>0.133666630475652</v>
      </c>
      <c r="H2209">
        <v>9.1921780009987894E-2</v>
      </c>
      <c r="I2209">
        <v>8.2982964375441795E-2</v>
      </c>
      <c r="J2209">
        <v>8.5086608784198506E-2</v>
      </c>
      <c r="K2209">
        <v>6.5304372740606006E-2</v>
      </c>
      <c r="L2209">
        <v>1590.66353060713</v>
      </c>
      <c r="M2209">
        <v>31.781610670268702</v>
      </c>
      <c r="N2209">
        <v>50.347057478216897</v>
      </c>
      <c r="O2209">
        <v>49.852904641116297</v>
      </c>
      <c r="P2209">
        <v>-0.14574485077010199</v>
      </c>
      <c r="Q2209">
        <v>8.55383051296493E-2</v>
      </c>
      <c r="R2209">
        <v>0.99655112947751501</v>
      </c>
      <c r="S2209" t="s">
        <v>8070</v>
      </c>
      <c r="T2209" t="s">
        <v>11720</v>
      </c>
      <c r="U2209" t="s">
        <v>11720</v>
      </c>
      <c r="V2209" t="s">
        <v>11720</v>
      </c>
      <c r="W2209" t="s">
        <v>13886</v>
      </c>
      <c r="X2209">
        <v>13</v>
      </c>
      <c r="Y2209" t="s">
        <v>19643</v>
      </c>
      <c r="Z2209" t="s">
        <v>25416</v>
      </c>
      <c r="AA2209">
        <v>0.39691428975750881</v>
      </c>
      <c r="AB2209" t="str">
        <f>HYPERLINK("Melting_Curves/meltCurve_P30038_ALDH4A1.pdf", "Melting_Curves/meltCurve_P30038_ALDH4A1.pdf")</f>
        <v>Melting_Curves/meltCurve_P30038_ALDH4A1.pdf</v>
      </c>
    </row>
    <row r="2210" spans="1:28" x14ac:dyDescent="0.25">
      <c r="A2210" t="s">
        <v>2214</v>
      </c>
      <c r="B2210">
        <v>0.99334974765950101</v>
      </c>
      <c r="C2210">
        <v>0.98747422176897004</v>
      </c>
      <c r="D2210">
        <v>0.91029209773310105</v>
      </c>
      <c r="E2210">
        <v>0.85650100505764304</v>
      </c>
      <c r="F2210">
        <v>0.78521174334717503</v>
      </c>
      <c r="G2210">
        <v>0.46379677747928899</v>
      </c>
      <c r="H2210">
        <v>0.189575582494033</v>
      </c>
      <c r="I2210">
        <v>0.136847456457966</v>
      </c>
      <c r="J2210">
        <v>0.106470555938637</v>
      </c>
      <c r="K2210">
        <v>0.107596492918947</v>
      </c>
      <c r="L2210">
        <v>1008.97986572567</v>
      </c>
      <c r="M2210">
        <v>18.045231194980602</v>
      </c>
      <c r="N2210">
        <v>56.300428010068501</v>
      </c>
      <c r="O2210">
        <v>55.240832931854399</v>
      </c>
      <c r="P2210">
        <v>-7.6912383375657395E-2</v>
      </c>
      <c r="Q2210">
        <v>5.8256109225151897E-2</v>
      </c>
      <c r="R2210">
        <v>0.99183482600679695</v>
      </c>
      <c r="S2210" t="s">
        <v>8071</v>
      </c>
      <c r="T2210" t="s">
        <v>11720</v>
      </c>
      <c r="U2210" t="s">
        <v>11720</v>
      </c>
      <c r="V2210" t="s">
        <v>11720</v>
      </c>
      <c r="W2210" t="s">
        <v>13887</v>
      </c>
      <c r="X2210">
        <v>15</v>
      </c>
      <c r="Y2210" t="s">
        <v>19644</v>
      </c>
      <c r="Z2210" t="s">
        <v>25417</v>
      </c>
      <c r="AA2210">
        <v>0.57171784672129844</v>
      </c>
      <c r="AB2210" t="str">
        <f>HYPERLINK("Melting_Curves/meltCurve_P30039_PBLD.pdf", "Melting_Curves/meltCurve_P30039_PBLD.pdf")</f>
        <v>Melting_Curves/meltCurve_P30039_PBLD.pdf</v>
      </c>
    </row>
    <row r="2211" spans="1:28" x14ac:dyDescent="0.25">
      <c r="A2211" t="s">
        <v>2215</v>
      </c>
      <c r="B2211">
        <v>0.99334974765950101</v>
      </c>
      <c r="C2211">
        <v>0.96228208177970398</v>
      </c>
      <c r="D2211">
        <v>0.93883502733678703</v>
      </c>
      <c r="E2211">
        <v>0.73637415134074702</v>
      </c>
      <c r="F2211">
        <v>0.45987125110999799</v>
      </c>
      <c r="G2211">
        <v>0.31930740021007498</v>
      </c>
      <c r="H2211">
        <v>0.24855535117033201</v>
      </c>
      <c r="I2211">
        <v>0.25933252710529597</v>
      </c>
      <c r="J2211">
        <v>0.270555997859453</v>
      </c>
      <c r="K2211">
        <v>0.264447081856442</v>
      </c>
      <c r="L2211">
        <v>1250.66395284959</v>
      </c>
      <c r="M2211">
        <v>24.495530763604201</v>
      </c>
      <c r="N2211">
        <v>52.601084500861496</v>
      </c>
      <c r="O2211">
        <v>50.720195713518301</v>
      </c>
      <c r="P2211">
        <v>-8.9780528880574695E-2</v>
      </c>
      <c r="Q2211">
        <v>0.256416274772513</v>
      </c>
      <c r="R2211">
        <v>0.99763057341724104</v>
      </c>
      <c r="S2211" t="s">
        <v>8072</v>
      </c>
      <c r="T2211" t="s">
        <v>11720</v>
      </c>
      <c r="U2211" t="s">
        <v>11720</v>
      </c>
      <c r="V2211" t="s">
        <v>11720</v>
      </c>
      <c r="W2211" t="s">
        <v>13888</v>
      </c>
      <c r="X2211">
        <v>15</v>
      </c>
      <c r="Y2211" t="s">
        <v>19645</v>
      </c>
      <c r="Z2211" t="s">
        <v>25418</v>
      </c>
      <c r="AA2211">
        <v>0.53746799102667753</v>
      </c>
      <c r="AB2211" t="str">
        <f>HYPERLINK("Melting_Curves/meltCurve_P30040_ERP29.pdf", "Melting_Curves/meltCurve_P30040_ERP29.pdf")</f>
        <v>Melting_Curves/meltCurve_P30040_ERP29.pdf</v>
      </c>
    </row>
    <row r="2212" spans="1:28" x14ac:dyDescent="0.25">
      <c r="A2212" t="s">
        <v>2216</v>
      </c>
      <c r="B2212">
        <v>0.99334974765950101</v>
      </c>
      <c r="C2212">
        <v>0.99490884049818495</v>
      </c>
      <c r="D2212">
        <v>0.91787881343868805</v>
      </c>
      <c r="E2212">
        <v>0.78050382964626397</v>
      </c>
      <c r="F2212">
        <v>0.532811595495853</v>
      </c>
      <c r="G2212">
        <v>0.15750069605441699</v>
      </c>
      <c r="H2212">
        <v>8.60741397420106E-2</v>
      </c>
      <c r="I2212">
        <v>6.5462081604668806E-2</v>
      </c>
      <c r="J2212">
        <v>5.2227943226914202E-2</v>
      </c>
      <c r="K2212">
        <v>3.9634636400241299E-2</v>
      </c>
      <c r="L2212">
        <v>1167.31947861404</v>
      </c>
      <c r="M2212">
        <v>22.089472060321</v>
      </c>
      <c r="N2212">
        <v>53.022251882205801</v>
      </c>
      <c r="O2212">
        <v>52.4176756331264</v>
      </c>
      <c r="P2212">
        <v>-0.10160688661131601</v>
      </c>
      <c r="Q2212">
        <v>3.5580305519662403E-2</v>
      </c>
      <c r="R2212">
        <v>0.99696542006641597</v>
      </c>
      <c r="S2212" t="s">
        <v>8073</v>
      </c>
      <c r="T2212" t="s">
        <v>11720</v>
      </c>
      <c r="U2212" t="s">
        <v>11720</v>
      </c>
      <c r="V2212" t="s">
        <v>11720</v>
      </c>
      <c r="W2212" t="s">
        <v>13889</v>
      </c>
      <c r="X2212">
        <v>26</v>
      </c>
      <c r="Y2212" t="s">
        <v>19646</v>
      </c>
      <c r="Z2212" t="s">
        <v>25419</v>
      </c>
      <c r="AA2212">
        <v>0.45966138197753381</v>
      </c>
      <c r="AB2212" t="str">
        <f>HYPERLINK("Melting_Curves/meltCurve_P30041_PRDX6.pdf", "Melting_Curves/meltCurve_P30041_PRDX6.pdf")</f>
        <v>Melting_Curves/meltCurve_P30041_PRDX6.pdf</v>
      </c>
    </row>
    <row r="2213" spans="1:28" x14ac:dyDescent="0.25">
      <c r="A2213" t="s">
        <v>2217</v>
      </c>
      <c r="B2213">
        <v>0.99334974765950101</v>
      </c>
      <c r="C2213">
        <v>0.99453958537620502</v>
      </c>
      <c r="D2213">
        <v>0.90651017110751397</v>
      </c>
      <c r="E2213">
        <v>0.88457948732258795</v>
      </c>
      <c r="F2213">
        <v>0.94447224971236798</v>
      </c>
      <c r="G2213">
        <v>0.78410544029889495</v>
      </c>
      <c r="H2213">
        <v>0.80898477589547202</v>
      </c>
      <c r="I2213">
        <v>0.95211924187598396</v>
      </c>
      <c r="J2213">
        <v>0.98287963602537498</v>
      </c>
      <c r="K2213">
        <v>0.76203522083572395</v>
      </c>
      <c r="L2213">
        <v>2395.16732620421</v>
      </c>
      <c r="M2213">
        <v>53.083429046609901</v>
      </c>
      <c r="O2213">
        <v>45.056911528653899</v>
      </c>
      <c r="P2213">
        <v>-3.7122592699900502E-2</v>
      </c>
      <c r="Q2213">
        <v>0.87396230587506196</v>
      </c>
      <c r="R2213">
        <v>0.31782146958628399</v>
      </c>
      <c r="S2213" t="s">
        <v>8074</v>
      </c>
      <c r="T2213" t="s">
        <v>11720</v>
      </c>
      <c r="U2213" t="s">
        <v>11720</v>
      </c>
      <c r="V2213" t="s">
        <v>11720</v>
      </c>
      <c r="W2213" t="s">
        <v>13890</v>
      </c>
      <c r="X2213">
        <v>18</v>
      </c>
      <c r="Y2213" t="s">
        <v>19647</v>
      </c>
      <c r="Z2213" t="s">
        <v>25420</v>
      </c>
      <c r="AA2213">
        <v>0.89570159567627627</v>
      </c>
      <c r="AB2213" t="str">
        <f>HYPERLINK("Melting_Curves/meltCurve_P30042_C21orf33.pdf", "Melting_Curves/meltCurve_P30042_C21orf33.pdf")</f>
        <v>Melting_Curves/meltCurve_P30042_C21orf33.pdf</v>
      </c>
    </row>
    <row r="2214" spans="1:28" x14ac:dyDescent="0.25">
      <c r="A2214" t="s">
        <v>2218</v>
      </c>
      <c r="B2214">
        <v>0.99334974765950101</v>
      </c>
      <c r="C2214">
        <v>1.04486642484848</v>
      </c>
      <c r="D2214">
        <v>0.83710058474891103</v>
      </c>
      <c r="E2214">
        <v>0.47293504932556801</v>
      </c>
      <c r="F2214">
        <v>0.12830083227991099</v>
      </c>
      <c r="G2214">
        <v>0.10167775192135201</v>
      </c>
      <c r="H2214">
        <v>7.1770586976263706E-2</v>
      </c>
      <c r="I2214">
        <v>7.3707144354470594E-2</v>
      </c>
      <c r="J2214">
        <v>5.7309576238896903E-2</v>
      </c>
      <c r="K2214">
        <v>4.7983934900887003E-2</v>
      </c>
      <c r="L2214">
        <v>1342.17002623707</v>
      </c>
      <c r="M2214">
        <v>27.247071177009602</v>
      </c>
      <c r="N2214">
        <v>49.487341028456903</v>
      </c>
      <c r="O2214">
        <v>48.996204543808801</v>
      </c>
      <c r="P2214">
        <v>-0.130823641088953</v>
      </c>
      <c r="Q2214">
        <v>5.9010880952617403E-2</v>
      </c>
      <c r="R2214">
        <v>0.99342778357925299</v>
      </c>
      <c r="S2214" t="s">
        <v>8075</v>
      </c>
      <c r="T2214" t="s">
        <v>11720</v>
      </c>
      <c r="U2214" t="s">
        <v>11720</v>
      </c>
      <c r="V2214" t="s">
        <v>11720</v>
      </c>
      <c r="W2214" t="s">
        <v>13891</v>
      </c>
      <c r="X2214">
        <v>10</v>
      </c>
      <c r="Y2214" t="s">
        <v>19648</v>
      </c>
      <c r="Z2214" t="s">
        <v>25421</v>
      </c>
      <c r="AA2214">
        <v>0.35644332294201569</v>
      </c>
      <c r="AB2214" t="str">
        <f>HYPERLINK("Melting_Curves/meltCurve_P30043_BLVRB.pdf", "Melting_Curves/meltCurve_P30043_BLVRB.pdf")</f>
        <v>Melting_Curves/meltCurve_P30043_BLVRB.pdf</v>
      </c>
    </row>
    <row r="2215" spans="1:28" x14ac:dyDescent="0.25">
      <c r="A2215" t="s">
        <v>2219</v>
      </c>
      <c r="B2215">
        <v>0.99334974765950101</v>
      </c>
      <c r="C2215">
        <v>0.99827887633121604</v>
      </c>
      <c r="D2215">
        <v>0.93595032456997096</v>
      </c>
      <c r="E2215">
        <v>0.79109035684703299</v>
      </c>
      <c r="F2215">
        <v>0.64049328379667003</v>
      </c>
      <c r="G2215">
        <v>0.487024382255421</v>
      </c>
      <c r="H2215">
        <v>0.22184807155502401</v>
      </c>
      <c r="I2215">
        <v>0.13976267011643501</v>
      </c>
      <c r="J2215">
        <v>0.111611107917226</v>
      </c>
      <c r="K2215">
        <v>9.6445054043991896E-2</v>
      </c>
      <c r="L2215">
        <v>702.52751744818499</v>
      </c>
      <c r="M2215">
        <v>12.6130180297935</v>
      </c>
      <c r="N2215">
        <v>55.733366376175503</v>
      </c>
      <c r="O2215">
        <v>54.354151476167999</v>
      </c>
      <c r="P2215">
        <v>-5.77973928970614E-2</v>
      </c>
      <c r="Q2215">
        <v>3.9166889952345699E-3</v>
      </c>
      <c r="R2215">
        <v>0.99506007614119996</v>
      </c>
      <c r="S2215" t="s">
        <v>8076</v>
      </c>
      <c r="T2215" t="s">
        <v>11720</v>
      </c>
      <c r="U2215" t="s">
        <v>11720</v>
      </c>
      <c r="V2215" t="s">
        <v>11720</v>
      </c>
      <c r="W2215" t="s">
        <v>13892</v>
      </c>
      <c r="X2215">
        <v>13</v>
      </c>
      <c r="Y2215" t="s">
        <v>19649</v>
      </c>
      <c r="Z2215" t="s">
        <v>25422</v>
      </c>
      <c r="AA2215">
        <v>0.5458633878050253</v>
      </c>
      <c r="AB2215" t="str">
        <f>HYPERLINK("Melting_Curves/meltCurve_P30044_2_PRDX5.pdf", "Melting_Curves/meltCurve_P30044_2_PRDX5.pdf")</f>
        <v>Melting_Curves/meltCurve_P30044_2_PRDX5.pdf</v>
      </c>
    </row>
    <row r="2216" spans="1:28" x14ac:dyDescent="0.25">
      <c r="A2216" t="s">
        <v>2220</v>
      </c>
      <c r="B2216">
        <v>0.99334974765950101</v>
      </c>
      <c r="C2216">
        <v>1.29143595454419</v>
      </c>
      <c r="D2216">
        <v>1.14859220510682</v>
      </c>
      <c r="E2216">
        <v>1.20218991772939</v>
      </c>
      <c r="F2216">
        <v>0.80886996641361697</v>
      </c>
      <c r="G2216">
        <v>0.87838843786940701</v>
      </c>
      <c r="H2216">
        <v>0.73943882051975895</v>
      </c>
      <c r="I2216">
        <v>0.71047336300186503</v>
      </c>
      <c r="J2216">
        <v>0.52829837622165898</v>
      </c>
      <c r="K2216">
        <v>0.47521405457180299</v>
      </c>
      <c r="L2216">
        <v>868.63372070000196</v>
      </c>
      <c r="M2216">
        <v>13.628234380953799</v>
      </c>
      <c r="N2216">
        <v>68.990529079419204</v>
      </c>
      <c r="O2216">
        <v>62.412417984633898</v>
      </c>
      <c r="P2216">
        <v>-3.6970665170733899E-2</v>
      </c>
      <c r="Q2216">
        <v>0.32285007570534402</v>
      </c>
      <c r="R2216">
        <v>0.73756855434408397</v>
      </c>
      <c r="S2216" t="s">
        <v>8077</v>
      </c>
      <c r="T2216" t="s">
        <v>11720</v>
      </c>
      <c r="U2216" t="s">
        <v>11720</v>
      </c>
      <c r="V2216" t="s">
        <v>11720</v>
      </c>
      <c r="W2216" t="s">
        <v>13893</v>
      </c>
      <c r="X2216">
        <v>7</v>
      </c>
      <c r="Y2216" t="s">
        <v>19650</v>
      </c>
      <c r="Z2216" t="s">
        <v>25423</v>
      </c>
      <c r="AA2216">
        <v>0.84559965231422041</v>
      </c>
      <c r="AB2216" t="str">
        <f>HYPERLINK("Melting_Curves/meltCurve_P30046_DDT.pdf", "Melting_Curves/meltCurve_P30046_DDT.pdf")</f>
        <v>Melting_Curves/meltCurve_P30046_DDT.pdf</v>
      </c>
    </row>
    <row r="2217" spans="1:28" x14ac:dyDescent="0.25">
      <c r="A2217" t="s">
        <v>2221</v>
      </c>
      <c r="B2217">
        <v>0.99334974765950101</v>
      </c>
      <c r="C2217">
        <v>0.94047579859517105</v>
      </c>
      <c r="D2217">
        <v>0.85814570803421597</v>
      </c>
      <c r="E2217">
        <v>0.85772427768074899</v>
      </c>
      <c r="F2217">
        <v>0.87290429524311297</v>
      </c>
      <c r="G2217">
        <v>0.87746446322302196</v>
      </c>
      <c r="H2217">
        <v>1.0199845025198</v>
      </c>
      <c r="I2217">
        <v>1.6677834736758701</v>
      </c>
      <c r="J2217">
        <v>1.5221498388415</v>
      </c>
      <c r="K2217">
        <v>0.93011463370841696</v>
      </c>
      <c r="L2217">
        <v>15000</v>
      </c>
      <c r="M2217">
        <v>243.07703119577499</v>
      </c>
      <c r="O2217">
        <v>61.704659164919299</v>
      </c>
      <c r="P2217">
        <v>0.36767688967893503</v>
      </c>
      <c r="Q2217">
        <v>1.3733364019577301</v>
      </c>
      <c r="R2217">
        <v>0.50578880581566499</v>
      </c>
      <c r="S2217" t="s">
        <v>8078</v>
      </c>
      <c r="T2217" t="s">
        <v>11720</v>
      </c>
      <c r="U2217" t="s">
        <v>11720</v>
      </c>
      <c r="V2217" t="s">
        <v>11720</v>
      </c>
      <c r="W2217" t="s">
        <v>13894</v>
      </c>
      <c r="X2217">
        <v>3</v>
      </c>
      <c r="Y2217" t="s">
        <v>19651</v>
      </c>
      <c r="Z2217" t="s">
        <v>25424</v>
      </c>
      <c r="AA2217">
        <v>1.103137043340112</v>
      </c>
      <c r="AB2217" t="str">
        <f>HYPERLINK("Melting_Curves/meltCurve_P30049_ATP5D.pdf", "Melting_Curves/meltCurve_P30049_ATP5D.pdf")</f>
        <v>Melting_Curves/meltCurve_P30049_ATP5D.pdf</v>
      </c>
    </row>
    <row r="2218" spans="1:28" x14ac:dyDescent="0.25">
      <c r="A2218" t="s">
        <v>2222</v>
      </c>
      <c r="B2218">
        <v>0.99334974765950101</v>
      </c>
      <c r="C2218">
        <v>1.0117232588588101</v>
      </c>
      <c r="D2218">
        <v>0.98768149329662702</v>
      </c>
      <c r="E2218">
        <v>0.88527286081066803</v>
      </c>
      <c r="F2218">
        <v>0.69999665732377903</v>
      </c>
      <c r="G2218">
        <v>0.61295884508545595</v>
      </c>
      <c r="H2218">
        <v>0.60405095197610104</v>
      </c>
      <c r="I2218">
        <v>0.338326751026923</v>
      </c>
      <c r="J2218">
        <v>0.25576768341557499</v>
      </c>
      <c r="K2218">
        <v>0.22908264417884899</v>
      </c>
      <c r="L2218">
        <v>548.72209149512003</v>
      </c>
      <c r="M2218">
        <v>9.0724523308283995</v>
      </c>
      <c r="N2218">
        <v>60.482217954268997</v>
      </c>
      <c r="O2218">
        <v>57.760822491110901</v>
      </c>
      <c r="P2218">
        <v>-3.9294990671434903E-2</v>
      </c>
      <c r="Q2218">
        <v>0</v>
      </c>
      <c r="R2218">
        <v>0.96632216662010495</v>
      </c>
      <c r="S2218" t="s">
        <v>8079</v>
      </c>
      <c r="T2218" t="s">
        <v>11720</v>
      </c>
      <c r="U2218" t="s">
        <v>11720</v>
      </c>
      <c r="V2218" t="s">
        <v>11720</v>
      </c>
      <c r="W2218" t="s">
        <v>13895</v>
      </c>
      <c r="X2218">
        <v>7</v>
      </c>
      <c r="Y2218" t="s">
        <v>19652</v>
      </c>
      <c r="Z2218" t="s">
        <v>25425</v>
      </c>
      <c r="AA2218">
        <v>0.67002686969103431</v>
      </c>
      <c r="AB2218" t="str">
        <f>HYPERLINK("Melting_Curves/meltCurve_P30050_RPL12.pdf", "Melting_Curves/meltCurve_P30050_RPL12.pdf")</f>
        <v>Melting_Curves/meltCurve_P30050_RPL12.pdf</v>
      </c>
    </row>
    <row r="2219" spans="1:28" x14ac:dyDescent="0.25">
      <c r="A2219" t="s">
        <v>2223</v>
      </c>
      <c r="B2219">
        <v>0.99334974765950101</v>
      </c>
      <c r="C2219">
        <v>0.94277187684399899</v>
      </c>
      <c r="D2219">
        <v>1.1548424704173701</v>
      </c>
      <c r="E2219">
        <v>1.3117184834003299</v>
      </c>
      <c r="F2219">
        <v>0.530928038403643</v>
      </c>
      <c r="G2219">
        <v>0.14116480284980101</v>
      </c>
      <c r="H2219">
        <v>9.1341295140619297E-2</v>
      </c>
      <c r="I2219">
        <v>7.0027444043419304E-2</v>
      </c>
      <c r="J2219">
        <v>6.1206999820966501E-2</v>
      </c>
      <c r="K2219">
        <v>4.6382153002560503E-2</v>
      </c>
      <c r="L2219">
        <v>13247.6708447976</v>
      </c>
      <c r="M2219">
        <v>250</v>
      </c>
      <c r="N2219">
        <v>53.028691331937701</v>
      </c>
      <c r="O2219">
        <v>52.987293896531398</v>
      </c>
      <c r="P2219">
        <v>-1.0827778787422799</v>
      </c>
      <c r="Q2219">
        <v>8.2024513286700296E-2</v>
      </c>
      <c r="R2219">
        <v>0.94576899555317995</v>
      </c>
      <c r="S2219" t="s">
        <v>8080</v>
      </c>
      <c r="T2219" t="s">
        <v>11720</v>
      </c>
      <c r="U2219" t="s">
        <v>11720</v>
      </c>
      <c r="V2219" t="s">
        <v>11720</v>
      </c>
      <c r="W2219" t="s">
        <v>13896</v>
      </c>
      <c r="X2219">
        <v>15</v>
      </c>
      <c r="Y2219" t="s">
        <v>19653</v>
      </c>
      <c r="Z2219" t="s">
        <v>25426</v>
      </c>
      <c r="AA2219">
        <v>0.47961417960170238</v>
      </c>
      <c r="AB2219" t="str">
        <f>HYPERLINK("Melting_Curves/meltCurve_P30084_ECHS1.pdf", "Melting_Curves/meltCurve_P30084_ECHS1.pdf")</f>
        <v>Melting_Curves/meltCurve_P30084_ECHS1.pdf</v>
      </c>
    </row>
    <row r="2220" spans="1:28" x14ac:dyDescent="0.25">
      <c r="A2220" t="s">
        <v>2224</v>
      </c>
      <c r="B2220">
        <v>0.99334974765950101</v>
      </c>
      <c r="C2220">
        <v>0.96277685014568004</v>
      </c>
      <c r="D2220">
        <v>0.83839977045918102</v>
      </c>
      <c r="E2220">
        <v>0.60304952373885401</v>
      </c>
      <c r="F2220">
        <v>0.195716430390667</v>
      </c>
      <c r="G2220">
        <v>9.5893699943232102E-2</v>
      </c>
      <c r="H2220">
        <v>6.4647666048800706E-2</v>
      </c>
      <c r="I2220">
        <v>5.8438048388467001E-2</v>
      </c>
      <c r="J2220">
        <v>6.7520772078770996E-2</v>
      </c>
      <c r="K2220">
        <v>6.0625907054811898E-2</v>
      </c>
      <c r="L2220">
        <v>1199.2850132513499</v>
      </c>
      <c r="M2220">
        <v>23.930568989369299</v>
      </c>
      <c r="N2220">
        <v>50.3411008169589</v>
      </c>
      <c r="O2220">
        <v>49.769165840914198</v>
      </c>
      <c r="P2220">
        <v>-0.11408952351337701</v>
      </c>
      <c r="Q2220">
        <v>5.0912714600700001E-2</v>
      </c>
      <c r="R2220">
        <v>0.99188405505803801</v>
      </c>
      <c r="S2220" t="s">
        <v>8081</v>
      </c>
      <c r="T2220" t="s">
        <v>11720</v>
      </c>
      <c r="U2220" t="s">
        <v>11720</v>
      </c>
      <c r="V2220" t="s">
        <v>11720</v>
      </c>
      <c r="W2220" t="s">
        <v>13897</v>
      </c>
      <c r="X2220">
        <v>16</v>
      </c>
      <c r="Y2220" t="s">
        <v>19654</v>
      </c>
      <c r="Z2220" t="s">
        <v>25427</v>
      </c>
      <c r="AA2220">
        <v>0.3801888014841206</v>
      </c>
      <c r="AB2220" t="str">
        <f>HYPERLINK("Melting_Curves/meltCurve_P30085_CMPK1.pdf", "Melting_Curves/meltCurve_P30085_CMPK1.pdf")</f>
        <v>Melting_Curves/meltCurve_P30085_CMPK1.pdf</v>
      </c>
    </row>
    <row r="2221" spans="1:28" x14ac:dyDescent="0.25">
      <c r="A2221" t="s">
        <v>2225</v>
      </c>
      <c r="B2221">
        <v>0.99334974765950101</v>
      </c>
      <c r="C2221">
        <v>0.92890673442292404</v>
      </c>
      <c r="D2221">
        <v>0.78821736127758601</v>
      </c>
      <c r="E2221">
        <v>0.71957659356894299</v>
      </c>
      <c r="F2221">
        <v>0.62518128492440095</v>
      </c>
      <c r="G2221">
        <v>0.46850349985767198</v>
      </c>
      <c r="H2221">
        <v>0.378002939504609</v>
      </c>
      <c r="I2221">
        <v>0.24419345869982001</v>
      </c>
      <c r="J2221">
        <v>0.14698206480291601</v>
      </c>
      <c r="K2221">
        <v>0.12641373785057999</v>
      </c>
      <c r="L2221">
        <v>467.50933282404998</v>
      </c>
      <c r="M2221">
        <v>8.3920917950591907</v>
      </c>
      <c r="N2221">
        <v>55.708319713672402</v>
      </c>
      <c r="O2221">
        <v>52.8145561301192</v>
      </c>
      <c r="P2221">
        <v>-3.9761898320616197E-2</v>
      </c>
      <c r="Q2221">
        <v>0</v>
      </c>
      <c r="R2221">
        <v>0.98694955867207201</v>
      </c>
      <c r="S2221" t="s">
        <v>8082</v>
      </c>
      <c r="T2221" t="s">
        <v>11720</v>
      </c>
      <c r="U2221" t="s">
        <v>11720</v>
      </c>
      <c r="V2221" t="s">
        <v>11720</v>
      </c>
      <c r="W2221" t="s">
        <v>13898</v>
      </c>
      <c r="X2221">
        <v>20</v>
      </c>
      <c r="Y2221" t="s">
        <v>19655</v>
      </c>
      <c r="Z2221" t="s">
        <v>25428</v>
      </c>
      <c r="AA2221">
        <v>0.54592098809839207</v>
      </c>
      <c r="AB2221" t="str">
        <f>HYPERLINK("Melting_Curves/meltCurve_P30086_PEBP1.pdf", "Melting_Curves/meltCurve_P30086_PEBP1.pdf")</f>
        <v>Melting_Curves/meltCurve_P30086_PEBP1.pdf</v>
      </c>
    </row>
    <row r="2222" spans="1:28" x14ac:dyDescent="0.25">
      <c r="A2222" t="s">
        <v>2226</v>
      </c>
      <c r="B2222">
        <v>0.99334974765950101</v>
      </c>
      <c r="C2222">
        <v>0.98907352631829404</v>
      </c>
      <c r="D2222">
        <v>1.0636891501063701</v>
      </c>
      <c r="E2222">
        <v>1.0434887460666</v>
      </c>
      <c r="F2222">
        <v>0.57523959815359205</v>
      </c>
      <c r="G2222">
        <v>0.192969109276972</v>
      </c>
      <c r="H2222">
        <v>0.13242014344050301</v>
      </c>
      <c r="I2222">
        <v>0.102446254393155</v>
      </c>
      <c r="J2222">
        <v>0.102398781305447</v>
      </c>
      <c r="K2222">
        <v>8.77714387549164E-2</v>
      </c>
      <c r="L2222">
        <v>13253.251921851101</v>
      </c>
      <c r="M2222">
        <v>250</v>
      </c>
      <c r="N2222">
        <v>53.0732848111737</v>
      </c>
      <c r="O2222">
        <v>53.009615322649502</v>
      </c>
      <c r="P2222">
        <v>-1.03330176527374</v>
      </c>
      <c r="Q2222">
        <v>0.123601137516812</v>
      </c>
      <c r="R2222">
        <v>0.99271253764048695</v>
      </c>
      <c r="S2222" t="s">
        <v>8083</v>
      </c>
      <c r="T2222" t="s">
        <v>11720</v>
      </c>
      <c r="U2222" t="s">
        <v>11720</v>
      </c>
      <c r="V2222" t="s">
        <v>11720</v>
      </c>
      <c r="W2222" t="s">
        <v>13899</v>
      </c>
      <c r="X2222">
        <v>30</v>
      </c>
      <c r="Y2222" t="s">
        <v>19656</v>
      </c>
      <c r="Z2222" t="s">
        <v>25429</v>
      </c>
      <c r="AA2222">
        <v>0.50383551286499051</v>
      </c>
      <c r="AB2222" t="str">
        <f>HYPERLINK("Melting_Curves/meltCurve_P30153_PPP2R1A.pdf", "Melting_Curves/meltCurve_P30153_PPP2R1A.pdf")</f>
        <v>Melting_Curves/meltCurve_P30153_PPP2R1A.pdf</v>
      </c>
    </row>
    <row r="2223" spans="1:28" x14ac:dyDescent="0.25">
      <c r="A2223" t="s">
        <v>2227</v>
      </c>
      <c r="B2223">
        <v>0.99334974765950101</v>
      </c>
      <c r="C2223">
        <v>0.65146303562382202</v>
      </c>
      <c r="D2223">
        <v>0.51795333339125804</v>
      </c>
      <c r="E2223">
        <v>0.16707821587836799</v>
      </c>
      <c r="F2223">
        <v>0.108276021378075</v>
      </c>
      <c r="G2223">
        <v>8.2828409412589898E-2</v>
      </c>
      <c r="H2223">
        <v>5.09028070557851E-2</v>
      </c>
      <c r="I2223">
        <v>5.5141653342281501E-2</v>
      </c>
      <c r="J2223">
        <v>2.95821264063253E-2</v>
      </c>
      <c r="K2223">
        <v>2.6110078737295098E-2</v>
      </c>
      <c r="L2223">
        <v>782.80945783009997</v>
      </c>
      <c r="M2223">
        <v>17.261676439527001</v>
      </c>
      <c r="N2223">
        <v>45.549371105051698</v>
      </c>
      <c r="O2223">
        <v>44.7540514168412</v>
      </c>
      <c r="P2223">
        <v>-9.2914695588192805E-2</v>
      </c>
      <c r="Q2223">
        <v>3.6462742843180303E-2</v>
      </c>
      <c r="R2223">
        <v>0.98115331747391898</v>
      </c>
      <c r="S2223" t="s">
        <v>8084</v>
      </c>
      <c r="T2223" t="s">
        <v>11720</v>
      </c>
      <c r="U2223" t="s">
        <v>11720</v>
      </c>
      <c r="V2223" t="s">
        <v>11720</v>
      </c>
      <c r="W2223" t="s">
        <v>13900</v>
      </c>
      <c r="X2223">
        <v>9</v>
      </c>
      <c r="Y2223" t="s">
        <v>19657</v>
      </c>
      <c r="Z2223" t="s">
        <v>25430</v>
      </c>
      <c r="AA2223">
        <v>0.23028180000130979</v>
      </c>
      <c r="AB2223" t="str">
        <f>HYPERLINK("Melting_Curves/meltCurve_P30154_4_PPP2R1B.pdf", "Melting_Curves/meltCurve_P30154_4_PPP2R1B.pdf")</f>
        <v>Melting_Curves/meltCurve_P30154_4_PPP2R1B.pdf</v>
      </c>
    </row>
    <row r="2224" spans="1:28" x14ac:dyDescent="0.25">
      <c r="A2224" t="s">
        <v>2228</v>
      </c>
      <c r="B2224">
        <v>0.99334974765950101</v>
      </c>
      <c r="C2224">
        <v>0.94384261315990803</v>
      </c>
      <c r="D2224">
        <v>0.87551835418289403</v>
      </c>
      <c r="E2224">
        <v>0.73681866989181799</v>
      </c>
      <c r="F2224">
        <v>0.34175054733002702</v>
      </c>
      <c r="G2224">
        <v>0.18152430131380801</v>
      </c>
      <c r="H2224">
        <v>0.12270806422152999</v>
      </c>
      <c r="I2224">
        <v>9.7147106544411194E-2</v>
      </c>
      <c r="J2224">
        <v>9.0510954179309794E-2</v>
      </c>
      <c r="K2224">
        <v>7.6172564527793293E-2</v>
      </c>
      <c r="L2224">
        <v>1150.37937727706</v>
      </c>
      <c r="M2224">
        <v>22.401762031112501</v>
      </c>
      <c r="N2224">
        <v>51.775738220790501</v>
      </c>
      <c r="O2224">
        <v>50.948242138953397</v>
      </c>
      <c r="P2224">
        <v>-0.100722710021333</v>
      </c>
      <c r="Q2224">
        <v>8.3726220152369302E-2</v>
      </c>
      <c r="R2224">
        <v>0.99133543675608704</v>
      </c>
      <c r="S2224" t="s">
        <v>8085</v>
      </c>
      <c r="T2224" t="s">
        <v>11720</v>
      </c>
      <c r="U2224" t="s">
        <v>11720</v>
      </c>
      <c r="V2224" t="s">
        <v>11720</v>
      </c>
      <c r="W2224" t="s">
        <v>13901</v>
      </c>
      <c r="X2224">
        <v>13</v>
      </c>
      <c r="Y2224" t="s">
        <v>19658</v>
      </c>
      <c r="Z2224" t="s">
        <v>25431</v>
      </c>
      <c r="AA2224">
        <v>0.44072067464089548</v>
      </c>
      <c r="AB2224" t="str">
        <f>HYPERLINK("Melting_Curves/meltCurve_P30405_PPIF.pdf", "Melting_Curves/meltCurve_P30405_PPIF.pdf")</f>
        <v>Melting_Curves/meltCurve_P30405_PPIF.pdf</v>
      </c>
    </row>
    <row r="2225" spans="1:28" x14ac:dyDescent="0.25">
      <c r="A2225" t="s">
        <v>2229</v>
      </c>
      <c r="B2225">
        <v>0.99334974765950101</v>
      </c>
      <c r="C2225">
        <v>1.04423723495975</v>
      </c>
      <c r="D2225">
        <v>1.0625716760075701</v>
      </c>
      <c r="E2225">
        <v>1.10236316014544</v>
      </c>
      <c r="F2225">
        <v>1.2781194850612501</v>
      </c>
      <c r="G2225">
        <v>1.1217253839511301</v>
      </c>
      <c r="H2225">
        <v>1.0807757569434899</v>
      </c>
      <c r="I2225">
        <v>1.3942798079632499</v>
      </c>
      <c r="J2225">
        <v>1.4279861461565699</v>
      </c>
      <c r="K2225">
        <v>1.20852043103664</v>
      </c>
      <c r="L2225">
        <v>370.99188158171103</v>
      </c>
      <c r="M2225">
        <v>6.4918852701770904</v>
      </c>
      <c r="O2225">
        <v>52.450104164941699</v>
      </c>
      <c r="P2225">
        <v>1.2644257361423701E-2</v>
      </c>
      <c r="Q2225">
        <v>1.40763412003192</v>
      </c>
      <c r="R2225">
        <v>0.53844001522111196</v>
      </c>
      <c r="S2225" t="s">
        <v>8086</v>
      </c>
      <c r="T2225" t="s">
        <v>11720</v>
      </c>
      <c r="U2225" t="s">
        <v>11720</v>
      </c>
      <c r="V2225" t="s">
        <v>11720</v>
      </c>
      <c r="W2225" t="s">
        <v>13902</v>
      </c>
      <c r="X2225">
        <v>6</v>
      </c>
      <c r="Y2225" t="s">
        <v>19659</v>
      </c>
      <c r="Z2225" t="s">
        <v>25432</v>
      </c>
      <c r="AA2225">
        <v>1.1728079180053059</v>
      </c>
      <c r="AB2225" t="str">
        <f>HYPERLINK("Melting_Curves/meltCurve_P30411_2_BDKRB2.pdf", "Melting_Curves/meltCurve_P30411_2_BDKRB2.pdf")</f>
        <v>Melting_Curves/meltCurve_P30411_2_BDKRB2.pdf</v>
      </c>
    </row>
    <row r="2226" spans="1:28" x14ac:dyDescent="0.25">
      <c r="A2226" t="s">
        <v>2230</v>
      </c>
      <c r="B2226">
        <v>0.99334974765950101</v>
      </c>
      <c r="C2226">
        <v>1.08032990616725</v>
      </c>
      <c r="D2226">
        <v>1.0140294590444701</v>
      </c>
      <c r="E2226">
        <v>0.88099768050470795</v>
      </c>
      <c r="F2226">
        <v>0.43165241709287799</v>
      </c>
      <c r="G2226">
        <v>0.18511874351728899</v>
      </c>
      <c r="H2226">
        <v>0.145414145956927</v>
      </c>
      <c r="I2226">
        <v>0.12290251022583799</v>
      </c>
      <c r="J2226">
        <v>0.111153454325203</v>
      </c>
      <c r="K2226">
        <v>0.102595544111617</v>
      </c>
      <c r="L2226">
        <v>2071.8618938677801</v>
      </c>
      <c r="M2226">
        <v>39.664298514774202</v>
      </c>
      <c r="N2226">
        <v>52.618104536327799</v>
      </c>
      <c r="O2226">
        <v>52.102702554980802</v>
      </c>
      <c r="P2226">
        <v>-0.16644610924186101</v>
      </c>
      <c r="Q2226">
        <v>0.12543312183633701</v>
      </c>
      <c r="R2226">
        <v>0.99468744274283105</v>
      </c>
      <c r="S2226" t="s">
        <v>8087</v>
      </c>
      <c r="T2226" t="s">
        <v>11720</v>
      </c>
      <c r="U2226" t="s">
        <v>11720</v>
      </c>
      <c r="V2226" t="s">
        <v>11720</v>
      </c>
      <c r="W2226" t="s">
        <v>13903</v>
      </c>
      <c r="X2226">
        <v>16</v>
      </c>
      <c r="Y2226" t="s">
        <v>19660</v>
      </c>
      <c r="Z2226" t="s">
        <v>25433</v>
      </c>
      <c r="AA2226">
        <v>0.48531842630597771</v>
      </c>
      <c r="AB2226" t="str">
        <f>HYPERLINK("Melting_Curves/meltCurve_P30419_NMT1.pdf", "Melting_Curves/meltCurve_P30419_NMT1.pdf")</f>
        <v>Melting_Curves/meltCurve_P30419_NMT1.pdf</v>
      </c>
    </row>
    <row r="2227" spans="1:28" x14ac:dyDescent="0.25">
      <c r="A2227" t="s">
        <v>2231</v>
      </c>
      <c r="B2227">
        <v>0.99334974765950101</v>
      </c>
      <c r="C2227">
        <v>0.82129141530594396</v>
      </c>
      <c r="D2227">
        <v>0.850493064919984</v>
      </c>
      <c r="E2227">
        <v>0.67643954535311002</v>
      </c>
      <c r="F2227">
        <v>0.78107058064461998</v>
      </c>
      <c r="G2227">
        <v>0.43030970477962199</v>
      </c>
      <c r="H2227">
        <v>0.359611832522236</v>
      </c>
      <c r="I2227">
        <v>0.32376064699090901</v>
      </c>
      <c r="J2227">
        <v>0.28696103545519802</v>
      </c>
      <c r="K2227">
        <v>0.24506009087663599</v>
      </c>
      <c r="L2227">
        <v>396.205948393222</v>
      </c>
      <c r="M2227">
        <v>6.9937439939944799</v>
      </c>
      <c r="N2227">
        <v>57.1082462956605</v>
      </c>
      <c r="O2227">
        <v>52.565086547738503</v>
      </c>
      <c r="P2227">
        <v>-3.24177312887498E-2</v>
      </c>
      <c r="Q2227">
        <v>2.72009958903759E-2</v>
      </c>
      <c r="R2227">
        <v>0.939026794602981</v>
      </c>
      <c r="S2227" t="s">
        <v>8088</v>
      </c>
      <c r="T2227" t="s">
        <v>11720</v>
      </c>
      <c r="U2227" t="s">
        <v>11720</v>
      </c>
      <c r="V2227" t="s">
        <v>11720</v>
      </c>
      <c r="W2227" t="s">
        <v>13904</v>
      </c>
      <c r="X2227">
        <v>11</v>
      </c>
      <c r="Y2227" t="s">
        <v>19661</v>
      </c>
      <c r="Z2227" t="s">
        <v>25434</v>
      </c>
      <c r="AA2227">
        <v>0.57861299059361493</v>
      </c>
      <c r="AB2227" t="str">
        <f>HYPERLINK("Melting_Curves/meltCurve_P30504_HLA_C.pdf", "Melting_Curves/meltCurve_P30504_HLA_C.pdf")</f>
        <v>Melting_Curves/meltCurve_P30504_HLA_C.pdf</v>
      </c>
    </row>
    <row r="2228" spans="1:28" x14ac:dyDescent="0.25">
      <c r="A2228" t="s">
        <v>2232</v>
      </c>
      <c r="B2228">
        <v>0.99334974765950101</v>
      </c>
      <c r="C2228">
        <v>1.0708614710147999</v>
      </c>
      <c r="D2228">
        <v>0.74762640571294303</v>
      </c>
      <c r="E2228">
        <v>0.59740098882889203</v>
      </c>
      <c r="F2228">
        <v>0.14456575972299701</v>
      </c>
      <c r="G2228">
        <v>7.8168171561865701E-2</v>
      </c>
      <c r="H2228">
        <v>7.9024884759255301E-2</v>
      </c>
      <c r="I2228">
        <v>5.8288827014744603E-2</v>
      </c>
      <c r="J2228">
        <v>5.4970825683152098E-2</v>
      </c>
      <c r="K2228">
        <v>6.0638869059674097E-2</v>
      </c>
      <c r="L2228">
        <v>1125.1543174185599</v>
      </c>
      <c r="M2228">
        <v>22.635271776323499</v>
      </c>
      <c r="N2228">
        <v>49.919177105366003</v>
      </c>
      <c r="O2228">
        <v>49.324910817668901</v>
      </c>
      <c r="P2228">
        <v>-0.10948975952621599</v>
      </c>
      <c r="Q2228">
        <v>4.5654945685310103E-2</v>
      </c>
      <c r="R2228">
        <v>0.97235269807020497</v>
      </c>
      <c r="S2228" t="s">
        <v>8089</v>
      </c>
      <c r="T2228" t="s">
        <v>11720</v>
      </c>
      <c r="U2228" t="s">
        <v>11720</v>
      </c>
      <c r="V2228" t="s">
        <v>11720</v>
      </c>
      <c r="W2228" t="s">
        <v>13905</v>
      </c>
      <c r="X2228">
        <v>27</v>
      </c>
      <c r="Y2228" t="s">
        <v>19662</v>
      </c>
      <c r="Z2228" t="s">
        <v>25435</v>
      </c>
      <c r="AA2228">
        <v>0.36487504771332641</v>
      </c>
      <c r="AB2228" t="str">
        <f>HYPERLINK("Melting_Curves/meltCurve_P30519_HMOX2.pdf", "Melting_Curves/meltCurve_P30519_HMOX2.pdf")</f>
        <v>Melting_Curves/meltCurve_P30519_HMOX2.pdf</v>
      </c>
    </row>
    <row r="2229" spans="1:28" x14ac:dyDescent="0.25">
      <c r="A2229" t="s">
        <v>2233</v>
      </c>
      <c r="B2229">
        <v>0.99334974765950101</v>
      </c>
      <c r="C2229">
        <v>1.04099896401685</v>
      </c>
      <c r="D2229">
        <v>1.07776524076414</v>
      </c>
      <c r="E2229">
        <v>1.04347857405572</v>
      </c>
      <c r="F2229">
        <v>0.821514714493776</v>
      </c>
      <c r="G2229">
        <v>0.485925927346117</v>
      </c>
      <c r="H2229">
        <v>0.1813044164616</v>
      </c>
      <c r="I2229">
        <v>0.132337964791408</v>
      </c>
      <c r="J2229">
        <v>0.103914381784922</v>
      </c>
      <c r="K2229">
        <v>7.78770117176876E-2</v>
      </c>
      <c r="L2229">
        <v>1516.34592033115</v>
      </c>
      <c r="M2229">
        <v>26.906455684723099</v>
      </c>
      <c r="N2229">
        <v>56.752351805404899</v>
      </c>
      <c r="O2229">
        <v>56.047670662749702</v>
      </c>
      <c r="P2229">
        <v>-0.109741955581781</v>
      </c>
      <c r="Q2229">
        <v>8.56143542194409E-2</v>
      </c>
      <c r="R2229">
        <v>0.99123134755117703</v>
      </c>
      <c r="S2229" t="s">
        <v>8090</v>
      </c>
      <c r="T2229" t="s">
        <v>11720</v>
      </c>
      <c r="U2229" t="s">
        <v>11720</v>
      </c>
      <c r="V2229" t="s">
        <v>11720</v>
      </c>
      <c r="W2229" t="s">
        <v>13906</v>
      </c>
      <c r="X2229">
        <v>27</v>
      </c>
      <c r="Y2229" t="s">
        <v>19663</v>
      </c>
      <c r="Z2229" t="s">
        <v>25436</v>
      </c>
      <c r="AA2229">
        <v>0.59153153711058037</v>
      </c>
      <c r="AB2229" t="str">
        <f>HYPERLINK("Melting_Curves/meltCurve_P30520_ADSS.pdf", "Melting_Curves/meltCurve_P30520_ADSS.pdf")</f>
        <v>Melting_Curves/meltCurve_P30520_ADSS.pdf</v>
      </c>
    </row>
    <row r="2230" spans="1:28" x14ac:dyDescent="0.25">
      <c r="A2230" t="s">
        <v>2234</v>
      </c>
      <c r="B2230">
        <v>0.99334974765950101</v>
      </c>
      <c r="C2230">
        <v>0.78045360904579797</v>
      </c>
      <c r="D2230">
        <v>0.61403100548007195</v>
      </c>
      <c r="E2230">
        <v>0.33322088990203902</v>
      </c>
      <c r="F2230">
        <v>0.25310934943369601</v>
      </c>
      <c r="G2230">
        <v>0.199035918441094</v>
      </c>
      <c r="H2230">
        <v>0.21616367713161699</v>
      </c>
      <c r="I2230">
        <v>0.159334197491243</v>
      </c>
      <c r="J2230">
        <v>0.15397816316799801</v>
      </c>
      <c r="K2230">
        <v>0.108022890265315</v>
      </c>
      <c r="L2230">
        <v>753.77138647699405</v>
      </c>
      <c r="M2230">
        <v>16.276455883773</v>
      </c>
      <c r="N2230">
        <v>47.362499382752297</v>
      </c>
      <c r="O2230">
        <v>45.628406450555097</v>
      </c>
      <c r="P2230">
        <v>-7.5657330964497796E-2</v>
      </c>
      <c r="Q2230">
        <v>0.15168993854333901</v>
      </c>
      <c r="R2230">
        <v>0.98892148262392399</v>
      </c>
      <c r="S2230" t="s">
        <v>8091</v>
      </c>
      <c r="T2230" t="s">
        <v>11720</v>
      </c>
      <c r="U2230" t="s">
        <v>11720</v>
      </c>
      <c r="V2230" t="s">
        <v>11720</v>
      </c>
      <c r="W2230" t="s">
        <v>13907</v>
      </c>
      <c r="X2230">
        <v>3</v>
      </c>
      <c r="Y2230" t="s">
        <v>19664</v>
      </c>
      <c r="Z2230" t="s">
        <v>25437</v>
      </c>
      <c r="AA2230">
        <v>0.35044722948376938</v>
      </c>
      <c r="AB2230" t="str">
        <f>HYPERLINK("Melting_Curves/meltCurve_P30530_2_AXL.pdf", "Melting_Curves/meltCurve_P30530_2_AXL.pdf")</f>
        <v>Melting_Curves/meltCurve_P30530_2_AXL.pdf</v>
      </c>
    </row>
    <row r="2231" spans="1:28" x14ac:dyDescent="0.25">
      <c r="A2231" t="s">
        <v>2235</v>
      </c>
      <c r="B2231">
        <v>0.99334974765950101</v>
      </c>
      <c r="C2231">
        <v>1.05865215135947</v>
      </c>
      <c r="D2231">
        <v>0.98575432056844403</v>
      </c>
      <c r="E2231">
        <v>0.89581650850650196</v>
      </c>
      <c r="F2231">
        <v>0.86565886433345096</v>
      </c>
      <c r="G2231">
        <v>0.65839006417466295</v>
      </c>
      <c r="H2231">
        <v>0.60419608007348202</v>
      </c>
      <c r="I2231">
        <v>0.77417121157566005</v>
      </c>
      <c r="J2231">
        <v>0.75630528583702605</v>
      </c>
      <c r="K2231">
        <v>0.71880314469888995</v>
      </c>
      <c r="L2231">
        <v>1567.7130204669199</v>
      </c>
      <c r="M2231">
        <v>30.0833527759712</v>
      </c>
      <c r="O2231">
        <v>51.883664428960799</v>
      </c>
      <c r="P2231">
        <v>-4.30731594022584E-2</v>
      </c>
      <c r="Q2231">
        <v>0.70285506920524798</v>
      </c>
      <c r="R2231">
        <v>0.85497848733859905</v>
      </c>
      <c r="S2231" t="s">
        <v>8092</v>
      </c>
      <c r="T2231" t="s">
        <v>11720</v>
      </c>
      <c r="U2231" t="s">
        <v>11720</v>
      </c>
      <c r="V2231" t="s">
        <v>11720</v>
      </c>
      <c r="W2231" t="s">
        <v>13908</v>
      </c>
      <c r="X2231">
        <v>42</v>
      </c>
      <c r="Y2231" t="s">
        <v>19665</v>
      </c>
      <c r="Z2231" t="s">
        <v>25438</v>
      </c>
      <c r="AA2231">
        <v>0.82471690641942841</v>
      </c>
      <c r="AB2231" t="str">
        <f>HYPERLINK("Melting_Curves/meltCurve_P30533_LRPAP1.pdf", "Melting_Curves/meltCurve_P30533_LRPAP1.pdf")</f>
        <v>Melting_Curves/meltCurve_P30533_LRPAP1.pdf</v>
      </c>
    </row>
    <row r="2232" spans="1:28" x14ac:dyDescent="0.25">
      <c r="A2232" t="s">
        <v>2236</v>
      </c>
      <c r="B2232">
        <v>0.99334974765950101</v>
      </c>
      <c r="C2232">
        <v>1.03334903124748</v>
      </c>
      <c r="D2232">
        <v>1.21299419055628</v>
      </c>
      <c r="E2232">
        <v>1.56161978962242</v>
      </c>
      <c r="F2232">
        <v>1.7718420655732201</v>
      </c>
      <c r="G2232">
        <v>2.1988491853353498</v>
      </c>
      <c r="H2232">
        <v>1.9073036350711201</v>
      </c>
      <c r="I2232">
        <v>0.32159082911054099</v>
      </c>
      <c r="J2232">
        <v>0.316339922348091</v>
      </c>
      <c r="K2232">
        <v>0.25894836015024397</v>
      </c>
      <c r="L2232">
        <v>15000</v>
      </c>
      <c r="M2232">
        <v>237.24166809960801</v>
      </c>
      <c r="N2232">
        <v>63.4539745708636</v>
      </c>
      <c r="O2232">
        <v>63.2221745072817</v>
      </c>
      <c r="P2232">
        <v>-0.66957746984786604</v>
      </c>
      <c r="Q2232">
        <v>0.28626124091558902</v>
      </c>
      <c r="R2232">
        <v>0.27582922070068799</v>
      </c>
      <c r="S2232" t="s">
        <v>8093</v>
      </c>
      <c r="T2232" t="s">
        <v>11720</v>
      </c>
      <c r="U2232" t="s">
        <v>11720</v>
      </c>
      <c r="V2232" t="s">
        <v>11720</v>
      </c>
      <c r="W2232" t="s">
        <v>13909</v>
      </c>
      <c r="X2232">
        <v>19</v>
      </c>
      <c r="Y2232" t="s">
        <v>19666</v>
      </c>
      <c r="Z2232" t="s">
        <v>25439</v>
      </c>
      <c r="AA2232">
        <v>0.83894160936069828</v>
      </c>
      <c r="AB2232" t="str">
        <f>HYPERLINK("Melting_Curves/meltCurve_P30566_ADSL.pdf", "Melting_Curves/meltCurve_P30566_ADSL.pdf")</f>
        <v>Melting_Curves/meltCurve_P30566_ADSL.pdf</v>
      </c>
    </row>
    <row r="2233" spans="1:28" x14ac:dyDescent="0.25">
      <c r="A2233" t="s">
        <v>2237</v>
      </c>
      <c r="B2233">
        <v>0.99334974765950101</v>
      </c>
      <c r="C2233">
        <v>1.1522969007632</v>
      </c>
      <c r="D2233">
        <v>1.0040208101125101</v>
      </c>
      <c r="E2233">
        <v>1.3299933322061399</v>
      </c>
      <c r="F2233">
        <v>1.26640330124561</v>
      </c>
      <c r="G2233">
        <v>4.6293717200094404</v>
      </c>
      <c r="H2233">
        <v>1.20999004937271</v>
      </c>
      <c r="I2233">
        <v>0.43297785579845099</v>
      </c>
      <c r="J2233">
        <v>0.36754564926989303</v>
      </c>
      <c r="K2233">
        <v>0.17282649808463399</v>
      </c>
      <c r="L2233">
        <v>15000</v>
      </c>
      <c r="M2233">
        <v>235.622454234641</v>
      </c>
      <c r="N2233">
        <v>63.871848772426297</v>
      </c>
      <c r="O2233">
        <v>63.656590667957197</v>
      </c>
      <c r="P2233">
        <v>-0.67536102749120397</v>
      </c>
      <c r="Q2233">
        <v>0.27016849460943398</v>
      </c>
      <c r="R2233">
        <v>5.1658403790923103E-2</v>
      </c>
      <c r="S2233" t="s">
        <v>8094</v>
      </c>
      <c r="T2233" t="s">
        <v>11720</v>
      </c>
      <c r="U2233" t="s">
        <v>11720</v>
      </c>
      <c r="V2233" t="s">
        <v>11720</v>
      </c>
      <c r="W2233" t="s">
        <v>13910</v>
      </c>
      <c r="X2233">
        <v>3</v>
      </c>
      <c r="Y2233" t="s">
        <v>19667</v>
      </c>
      <c r="Z2233" t="s">
        <v>25440</v>
      </c>
      <c r="AA2233">
        <v>0.8458824206647424</v>
      </c>
      <c r="AB2233" t="str">
        <f>HYPERLINK("Melting_Curves/meltCurve_P30613_2_PKLR.pdf", "Melting_Curves/meltCurve_P30613_2_PKLR.pdf")</f>
        <v>Melting_Curves/meltCurve_P30613_2_PKLR.pdf</v>
      </c>
    </row>
    <row r="2234" spans="1:28" x14ac:dyDescent="0.25">
      <c r="A2234" t="s">
        <v>2238</v>
      </c>
      <c r="B2234">
        <v>0.99334974765950101</v>
      </c>
      <c r="C2234">
        <v>0.98731228302354901</v>
      </c>
      <c r="D2234">
        <v>0.97477294441377804</v>
      </c>
      <c r="E2234">
        <v>0.82954118989360004</v>
      </c>
      <c r="F2234">
        <v>0.77821787552035904</v>
      </c>
      <c r="G2234">
        <v>0.72693654411883402</v>
      </c>
      <c r="H2234">
        <v>0.65567893453505199</v>
      </c>
      <c r="I2234">
        <v>0.69384131512157898</v>
      </c>
      <c r="J2234">
        <v>0.58688531646660003</v>
      </c>
      <c r="K2234">
        <v>0.32081729546960203</v>
      </c>
      <c r="L2234">
        <v>386.06393504518701</v>
      </c>
      <c r="M2234">
        <v>5.7008483158585701</v>
      </c>
      <c r="N2234">
        <v>67.720436267332602</v>
      </c>
      <c r="O2234">
        <v>60.7721747479507</v>
      </c>
      <c r="P2234">
        <v>-2.3542780583481301E-2</v>
      </c>
      <c r="Q2234">
        <v>0</v>
      </c>
      <c r="R2234">
        <v>0.89088607409327303</v>
      </c>
      <c r="S2234" t="s">
        <v>8095</v>
      </c>
      <c r="T2234" t="s">
        <v>11720</v>
      </c>
      <c r="U2234" t="s">
        <v>11720</v>
      </c>
      <c r="V2234" t="s">
        <v>11720</v>
      </c>
      <c r="W2234" t="s">
        <v>13911</v>
      </c>
      <c r="X2234">
        <v>14</v>
      </c>
      <c r="Y2234" t="s">
        <v>19668</v>
      </c>
      <c r="Z2234" t="s">
        <v>25441</v>
      </c>
      <c r="AA2234">
        <v>0.76288185488425964</v>
      </c>
      <c r="AB2234" t="str">
        <f>HYPERLINK("Melting_Curves/meltCurve_P30711_GSTT1.pdf", "Melting_Curves/meltCurve_P30711_GSTT1.pdf")</f>
        <v>Melting_Curves/meltCurve_P30711_GSTT1.pdf</v>
      </c>
    </row>
    <row r="2235" spans="1:28" x14ac:dyDescent="0.25">
      <c r="A2235" t="s">
        <v>2239</v>
      </c>
      <c r="B2235">
        <v>0.99334974765950101</v>
      </c>
      <c r="C2235">
        <v>0.99572926796740202</v>
      </c>
      <c r="D2235">
        <v>0.93170912218553603</v>
      </c>
      <c r="E2235">
        <v>0.82635256548421798</v>
      </c>
      <c r="F2235">
        <v>0.417515221859939</v>
      </c>
      <c r="G2235">
        <v>0.12643267888683599</v>
      </c>
      <c r="H2235">
        <v>8.9133412151413294E-2</v>
      </c>
      <c r="I2235">
        <v>8.05891639742497E-2</v>
      </c>
      <c r="J2235">
        <v>7.4133210114133999E-2</v>
      </c>
      <c r="K2235">
        <v>5.7357958472608099E-2</v>
      </c>
      <c r="L2235">
        <v>1664.4754821366801</v>
      </c>
      <c r="M2235">
        <v>31.903066660661199</v>
      </c>
      <c r="N2235">
        <v>52.424826365358697</v>
      </c>
      <c r="O2235">
        <v>51.969197495933003</v>
      </c>
      <c r="P2235">
        <v>-0.142565028126032</v>
      </c>
      <c r="Q2235">
        <v>7.1067175008850195E-2</v>
      </c>
      <c r="R2235">
        <v>0.99776182922884304</v>
      </c>
      <c r="S2235" t="s">
        <v>8096</v>
      </c>
      <c r="T2235" t="s">
        <v>11720</v>
      </c>
      <c r="U2235" t="s">
        <v>11720</v>
      </c>
      <c r="V2235" t="s">
        <v>11720</v>
      </c>
      <c r="W2235" t="s">
        <v>13912</v>
      </c>
      <c r="X2235">
        <v>22</v>
      </c>
      <c r="Y2235" t="s">
        <v>19669</v>
      </c>
      <c r="Z2235" t="s">
        <v>25442</v>
      </c>
      <c r="AA2235">
        <v>0.45326116786400389</v>
      </c>
      <c r="AB2235" t="str">
        <f>HYPERLINK("Melting_Curves/meltCurve_P30740_SERPINB1.pdf", "Melting_Curves/meltCurve_P30740_SERPINB1.pdf")</f>
        <v>Melting_Curves/meltCurve_P30740_SERPINB1.pdf</v>
      </c>
    </row>
    <row r="2236" spans="1:28" x14ac:dyDescent="0.25">
      <c r="A2236" t="s">
        <v>2240</v>
      </c>
      <c r="B2236">
        <v>0.99334974765950101</v>
      </c>
      <c r="C2236">
        <v>0.99138571402332099</v>
      </c>
      <c r="D2236">
        <v>1.0060334574615799</v>
      </c>
      <c r="E2236">
        <v>0.98073036897913601</v>
      </c>
      <c r="F2236">
        <v>0.88104729670334803</v>
      </c>
      <c r="G2236">
        <v>0.82306653895043203</v>
      </c>
      <c r="H2236">
        <v>0.72361921621575898</v>
      </c>
      <c r="I2236">
        <v>1.02198166971322</v>
      </c>
      <c r="J2236">
        <v>0.932311770098883</v>
      </c>
      <c r="K2236">
        <v>0.62058929459082102</v>
      </c>
      <c r="L2236">
        <v>2629.4915014046801</v>
      </c>
      <c r="M2236">
        <v>50.3778646535836</v>
      </c>
      <c r="O2236">
        <v>52.1133271679006</v>
      </c>
      <c r="P2236">
        <v>-4.2550496999925198E-2</v>
      </c>
      <c r="Q2236">
        <v>0.82393489087849803</v>
      </c>
      <c r="R2236">
        <v>0.38262115814210002</v>
      </c>
      <c r="S2236" t="s">
        <v>8097</v>
      </c>
      <c r="T2236" t="s">
        <v>11720</v>
      </c>
      <c r="U2236" t="s">
        <v>11720</v>
      </c>
      <c r="V2236" t="s">
        <v>11720</v>
      </c>
      <c r="W2236" t="s">
        <v>13913</v>
      </c>
      <c r="X2236">
        <v>5</v>
      </c>
      <c r="Y2236" t="s">
        <v>19670</v>
      </c>
      <c r="Z2236" t="s">
        <v>25443</v>
      </c>
      <c r="AA2236">
        <v>0.89590679728569345</v>
      </c>
      <c r="AB2236" t="str">
        <f>HYPERLINK("Melting_Curves/meltCurve_P30825_SLC7A1.pdf", "Melting_Curves/meltCurve_P30825_SLC7A1.pdf")</f>
        <v>Melting_Curves/meltCurve_P30825_SLC7A1.pdf</v>
      </c>
    </row>
    <row r="2237" spans="1:28" x14ac:dyDescent="0.25">
      <c r="A2237" t="s">
        <v>2241</v>
      </c>
      <c r="B2237">
        <v>0.99334974765950101</v>
      </c>
      <c r="C2237">
        <v>1.03643528276238</v>
      </c>
      <c r="D2237">
        <v>1.14992070320429</v>
      </c>
      <c r="E2237">
        <v>1.2931804654748</v>
      </c>
      <c r="F2237">
        <v>0.74565113343648903</v>
      </c>
      <c r="G2237">
        <v>0.27159096551454298</v>
      </c>
      <c r="H2237">
        <v>0.19541848565265599</v>
      </c>
      <c r="I2237">
        <v>0.18173015328403799</v>
      </c>
      <c r="J2237">
        <v>0.15565757077791301</v>
      </c>
      <c r="K2237">
        <v>0.127190108034689</v>
      </c>
      <c r="L2237">
        <v>13291.766153029899</v>
      </c>
      <c r="M2237">
        <v>250</v>
      </c>
      <c r="N2237">
        <v>53.2664014208219</v>
      </c>
      <c r="O2237">
        <v>53.163657101841103</v>
      </c>
      <c r="P2237">
        <v>-0.95657743719880906</v>
      </c>
      <c r="Q2237">
        <v>0.186317443891238</v>
      </c>
      <c r="R2237">
        <v>0.93963201148624798</v>
      </c>
      <c r="S2237" t="s">
        <v>8098</v>
      </c>
      <c r="T2237" t="s">
        <v>11720</v>
      </c>
      <c r="U2237" t="s">
        <v>11720</v>
      </c>
      <c r="V2237" t="s">
        <v>11720</v>
      </c>
      <c r="W2237" t="s">
        <v>13914</v>
      </c>
      <c r="X2237">
        <v>18</v>
      </c>
      <c r="Y2237" t="s">
        <v>19671</v>
      </c>
      <c r="Z2237" t="s">
        <v>25444</v>
      </c>
      <c r="AA2237">
        <v>0.54352039280594511</v>
      </c>
      <c r="AB2237" t="str">
        <f>HYPERLINK("Melting_Curves/meltCurve_P30837_ALDH1B1.pdf", "Melting_Curves/meltCurve_P30837_ALDH1B1.pdf")</f>
        <v>Melting_Curves/meltCurve_P30837_ALDH1B1.pdf</v>
      </c>
    </row>
    <row r="2238" spans="1:28" x14ac:dyDescent="0.25">
      <c r="A2238" t="s">
        <v>2242</v>
      </c>
      <c r="B2238">
        <v>0.99334974765950101</v>
      </c>
      <c r="C2238">
        <v>1.05137319809119</v>
      </c>
      <c r="D2238">
        <v>0.91812199705531905</v>
      </c>
      <c r="E2238">
        <v>0.50981201766071305</v>
      </c>
      <c r="F2238">
        <v>0.48585355567890298</v>
      </c>
      <c r="G2238">
        <v>0.31056086424135998</v>
      </c>
      <c r="H2238">
        <v>0.24732458331947699</v>
      </c>
      <c r="I2238">
        <v>0.20504137902536501</v>
      </c>
      <c r="J2238">
        <v>0.19806260544597701</v>
      </c>
      <c r="K2238">
        <v>0.100575884132419</v>
      </c>
      <c r="L2238">
        <v>851.71783756830905</v>
      </c>
      <c r="M2238">
        <v>16.862266794339401</v>
      </c>
      <c r="N2238">
        <v>51.811715658981903</v>
      </c>
      <c r="O2238">
        <v>49.815936596020997</v>
      </c>
      <c r="P2238">
        <v>-7.0017601844074406E-2</v>
      </c>
      <c r="Q2238">
        <v>0.172645144153664</v>
      </c>
      <c r="R2238">
        <v>0.96974517324052401</v>
      </c>
      <c r="S2238" t="s">
        <v>8099</v>
      </c>
      <c r="T2238" t="s">
        <v>11720</v>
      </c>
      <c r="U2238" t="s">
        <v>11720</v>
      </c>
      <c r="V2238" t="s">
        <v>11720</v>
      </c>
      <c r="W2238" t="s">
        <v>13915</v>
      </c>
      <c r="X2238">
        <v>3</v>
      </c>
      <c r="Y2238" t="s">
        <v>19672</v>
      </c>
      <c r="Z2238" t="s">
        <v>25445</v>
      </c>
      <c r="AA2238">
        <v>0.47830125043501343</v>
      </c>
      <c r="AB2238" t="str">
        <f>HYPERLINK("Melting_Curves/meltCurve_P31146_CORO1A.pdf", "Melting_Curves/meltCurve_P31146_CORO1A.pdf")</f>
        <v>Melting_Curves/meltCurve_P31146_CORO1A.pdf</v>
      </c>
    </row>
    <row r="2239" spans="1:28" x14ac:dyDescent="0.25">
      <c r="A2239" t="s">
        <v>2243</v>
      </c>
      <c r="B2239">
        <v>0.99334974765950101</v>
      </c>
      <c r="C2239">
        <v>0.985077402996407</v>
      </c>
      <c r="D2239">
        <v>1.0018105331374001</v>
      </c>
      <c r="E2239">
        <v>0.88317372143258499</v>
      </c>
      <c r="F2239">
        <v>0.58927027809600696</v>
      </c>
      <c r="G2239">
        <v>0.179343635800291</v>
      </c>
      <c r="H2239">
        <v>0.103073448796315</v>
      </c>
      <c r="I2239">
        <v>7.4009762985522004E-2</v>
      </c>
      <c r="J2239">
        <v>6.45603784967963E-2</v>
      </c>
      <c r="K2239">
        <v>4.7789313667666297E-2</v>
      </c>
      <c r="L2239">
        <v>1569.20883343168</v>
      </c>
      <c r="M2239">
        <v>29.379374717895701</v>
      </c>
      <c r="N2239">
        <v>53.653378753913799</v>
      </c>
      <c r="O2239">
        <v>53.166294088614499</v>
      </c>
      <c r="P2239">
        <v>-0.12959460746731499</v>
      </c>
      <c r="Q2239">
        <v>6.1924728460285398E-2</v>
      </c>
      <c r="R2239">
        <v>0.99938506505373303</v>
      </c>
      <c r="S2239" t="s">
        <v>8100</v>
      </c>
      <c r="T2239" t="s">
        <v>11720</v>
      </c>
      <c r="U2239" t="s">
        <v>11720</v>
      </c>
      <c r="V2239" t="s">
        <v>11720</v>
      </c>
      <c r="W2239" t="s">
        <v>13916</v>
      </c>
      <c r="X2239">
        <v>38</v>
      </c>
      <c r="Y2239" t="s">
        <v>19673</v>
      </c>
      <c r="Z2239" t="s">
        <v>25446</v>
      </c>
      <c r="AA2239">
        <v>0.48767558083811452</v>
      </c>
      <c r="AB2239" t="str">
        <f>HYPERLINK("Melting_Curves/meltCurve_P31150_GDI1.pdf", "Melting_Curves/meltCurve_P31150_GDI1.pdf")</f>
        <v>Melting_Curves/meltCurve_P31150_GDI1.pdf</v>
      </c>
    </row>
    <row r="2240" spans="1:28" x14ac:dyDescent="0.25">
      <c r="A2240" t="s">
        <v>2244</v>
      </c>
      <c r="B2240">
        <v>0.99334974765950101</v>
      </c>
      <c r="C2240">
        <v>0.99610664781005298</v>
      </c>
      <c r="D2240">
        <v>1.0783414800794999</v>
      </c>
      <c r="E2240">
        <v>0.93360700518259498</v>
      </c>
      <c r="F2240">
        <v>0.91034311843619997</v>
      </c>
      <c r="G2240">
        <v>0.67591378522666901</v>
      </c>
      <c r="H2240">
        <v>0.38678538838693199</v>
      </c>
      <c r="I2240">
        <v>0.28386350188449899</v>
      </c>
      <c r="J2240">
        <v>0.320646389159019</v>
      </c>
      <c r="K2240">
        <v>0.25096511807931698</v>
      </c>
      <c r="L2240">
        <v>1414.2686962887999</v>
      </c>
      <c r="M2240">
        <v>24.638400070289599</v>
      </c>
      <c r="N2240">
        <v>59.126689462763999</v>
      </c>
      <c r="O2240">
        <v>57.026848515185101</v>
      </c>
      <c r="P2240">
        <v>-8.0318392655047102E-2</v>
      </c>
      <c r="Q2240">
        <v>0.25640606820289502</v>
      </c>
      <c r="R2240">
        <v>0.98848389153668004</v>
      </c>
      <c r="S2240" t="s">
        <v>8101</v>
      </c>
      <c r="T2240" t="s">
        <v>11720</v>
      </c>
      <c r="U2240" t="s">
        <v>11720</v>
      </c>
      <c r="V2240" t="s">
        <v>11720</v>
      </c>
      <c r="W2240" t="s">
        <v>13917</v>
      </c>
      <c r="X2240">
        <v>22</v>
      </c>
      <c r="Y2240" t="s">
        <v>19674</v>
      </c>
      <c r="Z2240" t="s">
        <v>25447</v>
      </c>
      <c r="AA2240">
        <v>0.69447988379778358</v>
      </c>
      <c r="AB2240" t="str">
        <f>HYPERLINK("Melting_Curves/meltCurve_P31153_MAT2A.pdf", "Melting_Curves/meltCurve_P31153_MAT2A.pdf")</f>
        <v>Melting_Curves/meltCurve_P31153_MAT2A.pdf</v>
      </c>
    </row>
    <row r="2241" spans="1:28" x14ac:dyDescent="0.25">
      <c r="A2241" t="s">
        <v>2245</v>
      </c>
      <c r="B2241">
        <v>0.99334974765950101</v>
      </c>
      <c r="C2241">
        <v>1.02618579406405</v>
      </c>
      <c r="D2241">
        <v>1.0435131171079399</v>
      </c>
      <c r="E2241">
        <v>0.89886657938305004</v>
      </c>
      <c r="F2241">
        <v>0.32795182989059302</v>
      </c>
      <c r="G2241">
        <v>0.176381546438234</v>
      </c>
      <c r="H2241">
        <v>0.109017393637447</v>
      </c>
      <c r="I2241">
        <v>0.120535495734881</v>
      </c>
      <c r="J2241">
        <v>9.5300700540733294E-2</v>
      </c>
      <c r="K2241">
        <v>7.9543915620704495E-2</v>
      </c>
      <c r="L2241">
        <v>2755.8861529188298</v>
      </c>
      <c r="M2241">
        <v>53.111503398860002</v>
      </c>
      <c r="N2241">
        <v>52.142348001733602</v>
      </c>
      <c r="O2241">
        <v>51.8152809572385</v>
      </c>
      <c r="P2241">
        <v>-0.227080285238833</v>
      </c>
      <c r="Q2241">
        <v>0.11384765163360699</v>
      </c>
      <c r="R2241">
        <v>0.99577589741578498</v>
      </c>
      <c r="S2241" t="s">
        <v>8102</v>
      </c>
      <c r="T2241" t="s">
        <v>11720</v>
      </c>
      <c r="U2241" t="s">
        <v>11720</v>
      </c>
      <c r="V2241" t="s">
        <v>11720</v>
      </c>
      <c r="W2241" t="s">
        <v>13918</v>
      </c>
      <c r="X2241">
        <v>10</v>
      </c>
      <c r="Y2241" t="s">
        <v>19675</v>
      </c>
      <c r="Z2241" t="s">
        <v>25448</v>
      </c>
      <c r="AA2241">
        <v>0.46681692866889152</v>
      </c>
      <c r="AB2241" t="str">
        <f>HYPERLINK("Melting_Curves/meltCurve_P31321_PRKAR1B.pdf", "Melting_Curves/meltCurve_P31321_PRKAR1B.pdf")</f>
        <v>Melting_Curves/meltCurve_P31321_PRKAR1B.pdf</v>
      </c>
    </row>
    <row r="2242" spans="1:28" x14ac:dyDescent="0.25">
      <c r="A2242" t="s">
        <v>2246</v>
      </c>
      <c r="B2242">
        <v>0.99334974765950101</v>
      </c>
      <c r="C2242">
        <v>0.92758664912287703</v>
      </c>
      <c r="D2242">
        <v>0.82685647208791202</v>
      </c>
      <c r="E2242">
        <v>0.54346551124200904</v>
      </c>
      <c r="F2242">
        <v>0.16450810472021701</v>
      </c>
      <c r="G2242">
        <v>7.9422309249393502E-2</v>
      </c>
      <c r="H2242">
        <v>5.51691569980996E-2</v>
      </c>
      <c r="I2242">
        <v>4.8838458135485402E-2</v>
      </c>
      <c r="J2242">
        <v>3.6794691018455103E-2</v>
      </c>
      <c r="K2242">
        <v>3.1451109600724003E-2</v>
      </c>
      <c r="L2242">
        <v>1089.2350954200399</v>
      </c>
      <c r="M2242">
        <v>21.9166023166465</v>
      </c>
      <c r="N2242">
        <v>49.834877959316003</v>
      </c>
      <c r="O2242">
        <v>49.290871397870397</v>
      </c>
      <c r="P2242">
        <v>-0.10793996476941201</v>
      </c>
      <c r="Q2242">
        <v>2.89855565253389E-2</v>
      </c>
      <c r="R2242">
        <v>0.99284331197876496</v>
      </c>
      <c r="S2242" t="s">
        <v>8103</v>
      </c>
      <c r="T2242" t="s">
        <v>11720</v>
      </c>
      <c r="U2242" t="s">
        <v>11720</v>
      </c>
      <c r="V2242" t="s">
        <v>11720</v>
      </c>
      <c r="W2242" t="s">
        <v>13919</v>
      </c>
      <c r="X2242">
        <v>5</v>
      </c>
      <c r="Y2242" t="s">
        <v>19676</v>
      </c>
      <c r="Z2242" t="s">
        <v>25449</v>
      </c>
      <c r="AA2242">
        <v>0.35419950872958827</v>
      </c>
      <c r="AB2242" t="str">
        <f>HYPERLINK("Melting_Curves/meltCurve_P31323_PRKAR2B.pdf", "Melting_Curves/meltCurve_P31323_PRKAR2B.pdf")</f>
        <v>Melting_Curves/meltCurve_P31323_PRKAR2B.pdf</v>
      </c>
    </row>
    <row r="2243" spans="1:28" x14ac:dyDescent="0.25">
      <c r="A2243" t="s">
        <v>2247</v>
      </c>
      <c r="B2243">
        <v>0.99334974765950101</v>
      </c>
      <c r="C2243">
        <v>1.0108642343982399</v>
      </c>
      <c r="D2243">
        <v>0.98063004608610205</v>
      </c>
      <c r="E2243">
        <v>0.96575628347971099</v>
      </c>
      <c r="F2243">
        <v>0.44373625079836698</v>
      </c>
      <c r="G2243">
        <v>0.25250782920368497</v>
      </c>
      <c r="H2243">
        <v>0.183896650113195</v>
      </c>
      <c r="I2243">
        <v>0.14412776615318701</v>
      </c>
      <c r="J2243">
        <v>0.14798369830927099</v>
      </c>
      <c r="K2243">
        <v>0.14910643046994801</v>
      </c>
      <c r="L2243">
        <v>3076.9662915601498</v>
      </c>
      <c r="M2243">
        <v>58.7445901254817</v>
      </c>
      <c r="N2243">
        <v>52.760976249548698</v>
      </c>
      <c r="O2243">
        <v>52.318105130769801</v>
      </c>
      <c r="P2243">
        <v>-0.23205794880393801</v>
      </c>
      <c r="Q2243">
        <v>0.17331413108722801</v>
      </c>
      <c r="R2243">
        <v>0.99450883884351704</v>
      </c>
      <c r="S2243" t="s">
        <v>8104</v>
      </c>
      <c r="T2243" t="s">
        <v>11720</v>
      </c>
      <c r="U2243" t="s">
        <v>11720</v>
      </c>
      <c r="V2243" t="s">
        <v>11720</v>
      </c>
      <c r="W2243" t="s">
        <v>13920</v>
      </c>
      <c r="X2243">
        <v>14</v>
      </c>
      <c r="Y2243" t="s">
        <v>19677</v>
      </c>
      <c r="Z2243" t="s">
        <v>25450</v>
      </c>
      <c r="AA2243">
        <v>0.5158060304191604</v>
      </c>
      <c r="AB2243" t="str">
        <f>HYPERLINK("Melting_Curves/meltCurve_P31327_CPS1.pdf", "Melting_Curves/meltCurve_P31327_CPS1.pdf")</f>
        <v>Melting_Curves/meltCurve_P31327_CPS1.pdf</v>
      </c>
    </row>
    <row r="2244" spans="1:28" x14ac:dyDescent="0.25">
      <c r="A2244" t="s">
        <v>2248</v>
      </c>
      <c r="B2244">
        <v>0.99334974765950101</v>
      </c>
      <c r="C2244">
        <v>0.86909620657307396</v>
      </c>
      <c r="D2244">
        <v>0.93489898485481104</v>
      </c>
      <c r="E2244">
        <v>0.63908251447075104</v>
      </c>
      <c r="F2244">
        <v>0.75181120032179505</v>
      </c>
      <c r="G2244">
        <v>0.49185708510667903</v>
      </c>
      <c r="H2244">
        <v>0.50919141030206905</v>
      </c>
      <c r="I2244">
        <v>0.50032358130501997</v>
      </c>
      <c r="J2244">
        <v>0.45636040585399501</v>
      </c>
      <c r="K2244">
        <v>0.364030230787593</v>
      </c>
      <c r="L2244">
        <v>472.39871663693498</v>
      </c>
      <c r="M2244">
        <v>9.0250640168910508</v>
      </c>
      <c r="N2244">
        <v>60.530296908919702</v>
      </c>
      <c r="O2244">
        <v>49.964838868281703</v>
      </c>
      <c r="P2244">
        <v>-2.92605578049864E-2</v>
      </c>
      <c r="Q2244">
        <v>0.35249248624028001</v>
      </c>
      <c r="R2244">
        <v>0.91028124497002905</v>
      </c>
      <c r="S2244" t="s">
        <v>8105</v>
      </c>
      <c r="T2244" t="s">
        <v>11720</v>
      </c>
      <c r="U2244" t="s">
        <v>11720</v>
      </c>
      <c r="V2244" t="s">
        <v>11720</v>
      </c>
      <c r="W2244" t="s">
        <v>13921</v>
      </c>
      <c r="X2244">
        <v>6</v>
      </c>
      <c r="Y2244" t="s">
        <v>19678</v>
      </c>
      <c r="Z2244" t="s">
        <v>25451</v>
      </c>
      <c r="AA2244">
        <v>0.64514466603635545</v>
      </c>
      <c r="AB2244" t="str">
        <f>HYPERLINK("Melting_Curves/meltCurve_P31350_RRM2.pdf", "Melting_Curves/meltCurve_P31350_RRM2.pdf")</f>
        <v>Melting_Curves/meltCurve_P31350_RRM2.pdf</v>
      </c>
    </row>
    <row r="2245" spans="1:28" x14ac:dyDescent="0.25">
      <c r="A2245" t="s">
        <v>2249</v>
      </c>
      <c r="B2245">
        <v>0.99334974765950101</v>
      </c>
      <c r="C2245">
        <v>1.20552285971309</v>
      </c>
      <c r="D2245">
        <v>1.25604987248938</v>
      </c>
      <c r="E2245">
        <v>1.77397322417069</v>
      </c>
      <c r="F2245">
        <v>1.4330760323662799</v>
      </c>
      <c r="G2245">
        <v>1.1052084011263501</v>
      </c>
      <c r="H2245">
        <v>0.29870987222004802</v>
      </c>
      <c r="I2245">
        <v>0.23780642463652299</v>
      </c>
      <c r="J2245">
        <v>0.23288594976563601</v>
      </c>
      <c r="K2245">
        <v>0.17315139252571199</v>
      </c>
      <c r="L2245">
        <v>15000</v>
      </c>
      <c r="M2245">
        <v>248.02259713373101</v>
      </c>
      <c r="N2245">
        <v>60.6154100275971</v>
      </c>
      <c r="O2245">
        <v>60.474431178430201</v>
      </c>
      <c r="P2245">
        <v>-0.80527197123489103</v>
      </c>
      <c r="Q2245">
        <v>0.214614112019967</v>
      </c>
      <c r="R2245">
        <v>0.70553835103738904</v>
      </c>
      <c r="S2245" t="s">
        <v>8106</v>
      </c>
      <c r="T2245" t="s">
        <v>11720</v>
      </c>
      <c r="U2245" t="s">
        <v>11720</v>
      </c>
      <c r="V2245" t="s">
        <v>11720</v>
      </c>
      <c r="W2245" t="s">
        <v>13922</v>
      </c>
      <c r="X2245">
        <v>5</v>
      </c>
      <c r="Y2245" t="s">
        <v>19679</v>
      </c>
      <c r="Z2245" t="s">
        <v>25452</v>
      </c>
      <c r="AA2245">
        <v>0.75081264702678996</v>
      </c>
      <c r="AB2245" t="str">
        <f>HYPERLINK("Melting_Curves/meltCurve_P31689_DNAJA1.pdf", "Melting_Curves/meltCurve_P31689_DNAJA1.pdf")</f>
        <v>Melting_Curves/meltCurve_P31689_DNAJA1.pdf</v>
      </c>
    </row>
    <row r="2246" spans="1:28" x14ac:dyDescent="0.25">
      <c r="A2246" t="s">
        <v>2250</v>
      </c>
      <c r="B2246">
        <v>0.99334974765950101</v>
      </c>
      <c r="C2246">
        <v>0.99396309180827702</v>
      </c>
      <c r="D2246">
        <v>0.80401395296649403</v>
      </c>
      <c r="E2246">
        <v>0.42096246014597299</v>
      </c>
      <c r="F2246">
        <v>0.120601228354436</v>
      </c>
      <c r="G2246">
        <v>7.9034553757618406E-2</v>
      </c>
      <c r="H2246">
        <v>5.9187339908361197E-2</v>
      </c>
      <c r="I2246">
        <v>5.5202672909520502E-2</v>
      </c>
      <c r="J2246">
        <v>5.4974808517940101E-2</v>
      </c>
      <c r="K2246">
        <v>4.7828767171391298E-2</v>
      </c>
      <c r="L2246">
        <v>1222.4131479218299</v>
      </c>
      <c r="M2246">
        <v>25.039286703072499</v>
      </c>
      <c r="N2246">
        <v>49.017053498108503</v>
      </c>
      <c r="O2246">
        <v>48.511619605207102</v>
      </c>
      <c r="P2246">
        <v>-0.12285518310183501</v>
      </c>
      <c r="Q2246">
        <v>4.7924424562911801E-2</v>
      </c>
      <c r="R2246">
        <v>0.99708519996054801</v>
      </c>
      <c r="S2246" t="s">
        <v>8107</v>
      </c>
      <c r="T2246" t="s">
        <v>11720</v>
      </c>
      <c r="U2246" t="s">
        <v>11720</v>
      </c>
      <c r="V2246" t="s">
        <v>11720</v>
      </c>
      <c r="W2246" t="s">
        <v>13923</v>
      </c>
      <c r="X2246">
        <v>17</v>
      </c>
      <c r="Y2246" t="s">
        <v>19680</v>
      </c>
      <c r="Z2246" t="s">
        <v>25453</v>
      </c>
      <c r="AA2246">
        <v>0.33622900639702358</v>
      </c>
      <c r="AB2246" t="str">
        <f>HYPERLINK("Melting_Curves/meltCurve_P31749_AKT1.pdf", "Melting_Curves/meltCurve_P31749_AKT1.pdf")</f>
        <v>Melting_Curves/meltCurve_P31749_AKT1.pdf</v>
      </c>
    </row>
    <row r="2247" spans="1:28" x14ac:dyDescent="0.25">
      <c r="A2247" t="s">
        <v>2251</v>
      </c>
      <c r="B2247">
        <v>0.99334974765950101</v>
      </c>
      <c r="C2247">
        <v>0.98118423350077499</v>
      </c>
      <c r="D2247">
        <v>0.871948164598498</v>
      </c>
      <c r="E2247">
        <v>0.63513191823053206</v>
      </c>
      <c r="F2247">
        <v>0.21335957301796099</v>
      </c>
      <c r="G2247">
        <v>8.9289722760302198E-2</v>
      </c>
      <c r="H2247">
        <v>6.6015782812333806E-2</v>
      </c>
      <c r="I2247">
        <v>6.4780048311382704E-2</v>
      </c>
      <c r="J2247">
        <v>6.1415145752861201E-2</v>
      </c>
      <c r="K2247">
        <v>5.3447392715796099E-2</v>
      </c>
      <c r="L2247">
        <v>1412.8623672952001</v>
      </c>
      <c r="M2247">
        <v>27.981811028826801</v>
      </c>
      <c r="N2247">
        <v>50.698844497319797</v>
      </c>
      <c r="O2247">
        <v>50.236397908975</v>
      </c>
      <c r="P2247">
        <v>-0.13174606707279601</v>
      </c>
      <c r="Q2247">
        <v>5.3900998973270102E-2</v>
      </c>
      <c r="R2247">
        <v>0.99441806931743704</v>
      </c>
      <c r="S2247" t="s">
        <v>8108</v>
      </c>
      <c r="T2247" t="s">
        <v>11720</v>
      </c>
      <c r="U2247" t="s">
        <v>11720</v>
      </c>
      <c r="V2247" t="s">
        <v>11720</v>
      </c>
      <c r="W2247" t="s">
        <v>13924</v>
      </c>
      <c r="X2247">
        <v>19</v>
      </c>
      <c r="Y2247" t="s">
        <v>19681</v>
      </c>
      <c r="Z2247" t="s">
        <v>25454</v>
      </c>
      <c r="AA2247">
        <v>0.39157429656504228</v>
      </c>
      <c r="AB2247" t="str">
        <f>HYPERLINK("Melting_Curves/meltCurve_P31751_AKT2.pdf", "Melting_Curves/meltCurve_P31751_AKT2.pdf")</f>
        <v>Melting_Curves/meltCurve_P31751_AKT2.pdf</v>
      </c>
    </row>
    <row r="2248" spans="1:28" x14ac:dyDescent="0.25">
      <c r="A2248" t="s">
        <v>2252</v>
      </c>
      <c r="B2248">
        <v>0.99334974765950101</v>
      </c>
      <c r="C2248">
        <v>0.89905490964859602</v>
      </c>
      <c r="D2248">
        <v>0.85084965216490804</v>
      </c>
      <c r="E2248">
        <v>0.80611589735659905</v>
      </c>
      <c r="F2248">
        <v>0.89362474137965597</v>
      </c>
      <c r="G2248">
        <v>0.71924701628366505</v>
      </c>
      <c r="H2248">
        <v>0.43089530981001201</v>
      </c>
      <c r="I2248">
        <v>0.17900503039847501</v>
      </c>
      <c r="J2248">
        <v>0.151991391252456</v>
      </c>
      <c r="K2248">
        <v>0.118487739331487</v>
      </c>
      <c r="L2248">
        <v>870.90372143212005</v>
      </c>
      <c r="M2248">
        <v>14.6473365921333</v>
      </c>
      <c r="N2248">
        <v>59.458162899355301</v>
      </c>
      <c r="O2248">
        <v>58.3828744185559</v>
      </c>
      <c r="P2248">
        <v>-6.2727987607369307E-2</v>
      </c>
      <c r="Q2248">
        <v>0</v>
      </c>
      <c r="R2248">
        <v>0.945187946989414</v>
      </c>
      <c r="S2248" t="s">
        <v>8109</v>
      </c>
      <c r="T2248" t="s">
        <v>11720</v>
      </c>
      <c r="U2248" t="s">
        <v>11720</v>
      </c>
      <c r="V2248" t="s">
        <v>11720</v>
      </c>
      <c r="W2248" t="s">
        <v>13925</v>
      </c>
      <c r="X2248">
        <v>14</v>
      </c>
      <c r="Y2248" t="s">
        <v>19682</v>
      </c>
      <c r="Z2248" t="s">
        <v>25455</v>
      </c>
      <c r="AA2248">
        <v>0.65730623676715583</v>
      </c>
      <c r="AB2248" t="str">
        <f>HYPERLINK("Melting_Curves/meltCurve_P31930_UQCRC1.pdf", "Melting_Curves/meltCurve_P31930_UQCRC1.pdf")</f>
        <v>Melting_Curves/meltCurve_P31930_UQCRC1.pdf</v>
      </c>
    </row>
    <row r="2249" spans="1:28" x14ac:dyDescent="0.25">
      <c r="A2249" t="s">
        <v>2253</v>
      </c>
      <c r="B2249">
        <v>0.99334974765950101</v>
      </c>
      <c r="C2249">
        <v>0.98942206164913704</v>
      </c>
      <c r="D2249">
        <v>1.1257858203459901</v>
      </c>
      <c r="E2249">
        <v>1.0683219011865399</v>
      </c>
      <c r="F2249">
        <v>1.14118433932622</v>
      </c>
      <c r="G2249">
        <v>1.0105971629559001</v>
      </c>
      <c r="H2249">
        <v>0.79390039155801395</v>
      </c>
      <c r="I2249">
        <v>0.180139447740086</v>
      </c>
      <c r="J2249">
        <v>0.100434451409672</v>
      </c>
      <c r="K2249">
        <v>8.8598607783731201E-2</v>
      </c>
      <c r="L2249">
        <v>4502.5919056078101</v>
      </c>
      <c r="M2249">
        <v>72.586638151532895</v>
      </c>
      <c r="N2249">
        <v>62.205485859089599</v>
      </c>
      <c r="O2249">
        <v>61.983556034649503</v>
      </c>
      <c r="P2249">
        <v>-0.26574270213899298</v>
      </c>
      <c r="Q2249">
        <v>9.2302668807952695E-2</v>
      </c>
      <c r="R2249">
        <v>0.97692172411104194</v>
      </c>
      <c r="S2249" t="s">
        <v>8110</v>
      </c>
      <c r="T2249" t="s">
        <v>11720</v>
      </c>
      <c r="U2249" t="s">
        <v>11720</v>
      </c>
      <c r="V2249" t="s">
        <v>11720</v>
      </c>
      <c r="W2249" t="s">
        <v>13926</v>
      </c>
      <c r="X2249">
        <v>13</v>
      </c>
      <c r="Y2249" t="s">
        <v>19683</v>
      </c>
      <c r="Z2249" t="s">
        <v>25456</v>
      </c>
      <c r="AA2249">
        <v>0.76003912449913913</v>
      </c>
      <c r="AB2249" t="str">
        <f>HYPERLINK("Melting_Curves/meltCurve_P31937_HIBADH.pdf", "Melting_Curves/meltCurve_P31937_HIBADH.pdf")</f>
        <v>Melting_Curves/meltCurve_P31937_HIBADH.pdf</v>
      </c>
    </row>
    <row r="2250" spans="1:28" x14ac:dyDescent="0.25">
      <c r="A2250" t="s">
        <v>2254</v>
      </c>
      <c r="B2250">
        <v>0.99334974765950101</v>
      </c>
      <c r="C2250">
        <v>0.95693153686517096</v>
      </c>
      <c r="D2250">
        <v>0.868927722422008</v>
      </c>
      <c r="E2250">
        <v>0.49700428642627498</v>
      </c>
      <c r="F2250">
        <v>0.203624465678449</v>
      </c>
      <c r="G2250">
        <v>0.101476596091961</v>
      </c>
      <c r="H2250">
        <v>6.9576283885134302E-2</v>
      </c>
      <c r="I2250">
        <v>5.7470095684935003E-2</v>
      </c>
      <c r="J2250">
        <v>4.7650908559163499E-2</v>
      </c>
      <c r="K2250">
        <v>3.7795256151709401E-2</v>
      </c>
      <c r="L2250">
        <v>1160.95311486433</v>
      </c>
      <c r="M2250">
        <v>23.386661420867899</v>
      </c>
      <c r="N2250">
        <v>49.855311121176697</v>
      </c>
      <c r="O2250">
        <v>49.2829892737875</v>
      </c>
      <c r="P2250">
        <v>-0.112980306176217</v>
      </c>
      <c r="Q2250">
        <v>4.7677727319099597E-2</v>
      </c>
      <c r="R2250">
        <v>0.99912423739415901</v>
      </c>
      <c r="S2250" t="s">
        <v>8111</v>
      </c>
      <c r="T2250" t="s">
        <v>11720</v>
      </c>
      <c r="U2250" t="s">
        <v>11720</v>
      </c>
      <c r="V2250" t="s">
        <v>11720</v>
      </c>
      <c r="W2250" t="s">
        <v>13927</v>
      </c>
      <c r="X2250">
        <v>40</v>
      </c>
      <c r="Y2250" t="s">
        <v>19684</v>
      </c>
      <c r="Z2250" t="s">
        <v>25457</v>
      </c>
      <c r="AA2250">
        <v>0.36345205844099648</v>
      </c>
      <c r="AB2250" t="str">
        <f>HYPERLINK("Melting_Curves/meltCurve_P31939_ATIC.pdf", "Melting_Curves/meltCurve_P31939_ATIC.pdf")</f>
        <v>Melting_Curves/meltCurve_P31939_ATIC.pdf</v>
      </c>
    </row>
    <row r="2251" spans="1:28" x14ac:dyDescent="0.25">
      <c r="A2251" t="s">
        <v>2255</v>
      </c>
      <c r="B2251">
        <v>0.99334974765950101</v>
      </c>
      <c r="C2251">
        <v>0.88454224133074899</v>
      </c>
      <c r="D2251">
        <v>0.59259024792651704</v>
      </c>
      <c r="E2251">
        <v>0.33162069775387698</v>
      </c>
      <c r="F2251">
        <v>0.23035216595218699</v>
      </c>
      <c r="G2251">
        <v>0.14167723350813399</v>
      </c>
      <c r="H2251">
        <v>0.116738321090656</v>
      </c>
      <c r="I2251">
        <v>0.118224248901226</v>
      </c>
      <c r="J2251">
        <v>0.12933935438303701</v>
      </c>
      <c r="K2251">
        <v>0.14309030203394901</v>
      </c>
      <c r="L2251">
        <v>895.72476745224901</v>
      </c>
      <c r="M2251">
        <v>19.1895794681671</v>
      </c>
      <c r="N2251">
        <v>47.393617465496703</v>
      </c>
      <c r="O2251">
        <v>46.179622139223603</v>
      </c>
      <c r="P2251">
        <v>-9.0817518985635004E-2</v>
      </c>
      <c r="Q2251">
        <v>0.125825978747445</v>
      </c>
      <c r="R2251">
        <v>0.99619746271166798</v>
      </c>
      <c r="S2251" t="s">
        <v>8112</v>
      </c>
      <c r="T2251" t="s">
        <v>11720</v>
      </c>
      <c r="U2251" t="s">
        <v>11720</v>
      </c>
      <c r="V2251" t="s">
        <v>11720</v>
      </c>
      <c r="W2251" t="s">
        <v>13928</v>
      </c>
      <c r="X2251">
        <v>7</v>
      </c>
      <c r="Y2251" t="s">
        <v>19685</v>
      </c>
      <c r="Z2251" t="s">
        <v>25458</v>
      </c>
      <c r="AA2251">
        <v>0.33464547187069038</v>
      </c>
      <c r="AB2251" t="str">
        <f>HYPERLINK("Melting_Curves/meltCurve_P31942_2_HNRNPH3.pdf", "Melting_Curves/meltCurve_P31942_2_HNRNPH3.pdf")</f>
        <v>Melting_Curves/meltCurve_P31942_2_HNRNPH3.pdf</v>
      </c>
    </row>
    <row r="2252" spans="1:28" x14ac:dyDescent="0.25">
      <c r="A2252" t="s">
        <v>2256</v>
      </c>
      <c r="B2252">
        <v>0.99334974765950101</v>
      </c>
      <c r="C2252">
        <v>0.96757226055511802</v>
      </c>
      <c r="D2252">
        <v>0.91063572856508102</v>
      </c>
      <c r="E2252">
        <v>0.977703755659174</v>
      </c>
      <c r="F2252">
        <v>0.78112434474164005</v>
      </c>
      <c r="G2252">
        <v>0.25897998433656699</v>
      </c>
      <c r="H2252">
        <v>0.14690241242770599</v>
      </c>
      <c r="I2252">
        <v>8.5919728226968098E-2</v>
      </c>
      <c r="J2252">
        <v>5.70313636182384E-2</v>
      </c>
      <c r="K2252">
        <v>2.7901530022720399E-2</v>
      </c>
      <c r="L2252">
        <v>1798.1161203679301</v>
      </c>
      <c r="M2252">
        <v>32.772634037813297</v>
      </c>
      <c r="N2252">
        <v>55.099219292441397</v>
      </c>
      <c r="O2252">
        <v>54.663319400033402</v>
      </c>
      <c r="P2252">
        <v>-0.14019380025994699</v>
      </c>
      <c r="Q2252">
        <v>6.4655885332187593E-2</v>
      </c>
      <c r="R2252">
        <v>0.99215431900345397</v>
      </c>
      <c r="S2252" t="s">
        <v>8113</v>
      </c>
      <c r="T2252" t="s">
        <v>11720</v>
      </c>
      <c r="U2252" t="s">
        <v>11720</v>
      </c>
      <c r="V2252" t="s">
        <v>11720</v>
      </c>
      <c r="W2252" t="s">
        <v>13929</v>
      </c>
      <c r="X2252">
        <v>21</v>
      </c>
      <c r="Y2252" t="s">
        <v>19686</v>
      </c>
      <c r="Z2252" t="s">
        <v>25459</v>
      </c>
      <c r="AA2252">
        <v>0.53339419511132968</v>
      </c>
      <c r="AB2252" t="str">
        <f>HYPERLINK("Melting_Curves/meltCurve_P31946_YWHAB.pdf", "Melting_Curves/meltCurve_P31946_YWHAB.pdf")</f>
        <v>Melting_Curves/meltCurve_P31946_YWHAB.pdf</v>
      </c>
    </row>
    <row r="2253" spans="1:28" x14ac:dyDescent="0.25">
      <c r="A2253" t="s">
        <v>2257</v>
      </c>
      <c r="B2253">
        <v>0.99334974765950101</v>
      </c>
      <c r="C2253">
        <v>1.09455960558415</v>
      </c>
      <c r="D2253">
        <v>0.926817277229258</v>
      </c>
      <c r="E2253">
        <v>1.0916844710051601</v>
      </c>
      <c r="F2253">
        <v>0.65007728176823998</v>
      </c>
      <c r="G2253">
        <v>0.29451227494594301</v>
      </c>
      <c r="H2253">
        <v>0.15565721243241501</v>
      </c>
      <c r="I2253">
        <v>0.11929943670121999</v>
      </c>
      <c r="J2253">
        <v>6.6565675721987697E-2</v>
      </c>
      <c r="K2253">
        <v>4.27415794384301E-2</v>
      </c>
      <c r="L2253">
        <v>1681.0911295415001</v>
      </c>
      <c r="M2253">
        <v>30.916831303306399</v>
      </c>
      <c r="N2253">
        <v>54.717249811491399</v>
      </c>
      <c r="O2253">
        <v>54.148657682423398</v>
      </c>
      <c r="P2253">
        <v>-0.13017960056629099</v>
      </c>
      <c r="Q2253">
        <v>8.8003612293671998E-2</v>
      </c>
      <c r="R2253">
        <v>0.97488066372548299</v>
      </c>
      <c r="S2253" t="s">
        <v>8114</v>
      </c>
      <c r="T2253" t="s">
        <v>11720</v>
      </c>
      <c r="U2253" t="s">
        <v>11720</v>
      </c>
      <c r="V2253" t="s">
        <v>11720</v>
      </c>
      <c r="W2253" t="s">
        <v>13930</v>
      </c>
      <c r="X2253">
        <v>5</v>
      </c>
      <c r="Y2253" t="s">
        <v>19687</v>
      </c>
      <c r="Z2253" t="s">
        <v>25460</v>
      </c>
      <c r="AA2253">
        <v>0.53066759817982978</v>
      </c>
      <c r="AB2253" t="str">
        <f>HYPERLINK("Melting_Curves/meltCurve_P31947_2_SFN.pdf", "Melting_Curves/meltCurve_P31947_2_SFN.pdf")</f>
        <v>Melting_Curves/meltCurve_P31947_2_SFN.pdf</v>
      </c>
    </row>
    <row r="2254" spans="1:28" x14ac:dyDescent="0.25">
      <c r="A2254" t="s">
        <v>2258</v>
      </c>
      <c r="B2254">
        <v>0.99334974765950101</v>
      </c>
      <c r="C2254">
        <v>1.10378996163826</v>
      </c>
      <c r="D2254">
        <v>1.30019353098125</v>
      </c>
      <c r="E2254">
        <v>1.5533751101745199</v>
      </c>
      <c r="F2254">
        <v>1.9327772942241399</v>
      </c>
      <c r="G2254">
        <v>1.4100395655701801</v>
      </c>
      <c r="H2254">
        <v>0.66908482317266404</v>
      </c>
      <c r="I2254">
        <v>0.62872970165002096</v>
      </c>
      <c r="J2254">
        <v>0.60819593387927295</v>
      </c>
      <c r="K2254">
        <v>0.56499117475805005</v>
      </c>
      <c r="L2254">
        <v>15000</v>
      </c>
      <c r="M2254">
        <v>247.47743558973301</v>
      </c>
      <c r="O2254">
        <v>60.607635031507897</v>
      </c>
      <c r="P2254">
        <v>-0.40767548446707902</v>
      </c>
      <c r="Q2254">
        <v>0.600638431505088</v>
      </c>
      <c r="R2254">
        <v>0.26784113461032</v>
      </c>
      <c r="S2254" t="s">
        <v>8115</v>
      </c>
      <c r="T2254" t="s">
        <v>11720</v>
      </c>
      <c r="U2254" t="s">
        <v>11720</v>
      </c>
      <c r="V2254" t="s">
        <v>11720</v>
      </c>
      <c r="W2254" t="s">
        <v>13931</v>
      </c>
      <c r="X2254">
        <v>56</v>
      </c>
      <c r="Y2254" t="s">
        <v>19688</v>
      </c>
      <c r="Z2254" t="s">
        <v>25461</v>
      </c>
      <c r="AA2254">
        <v>0.87506430063538676</v>
      </c>
      <c r="AB2254" t="str">
        <f>HYPERLINK("Melting_Curves/meltCurve_P31948_STIP1.pdf", "Melting_Curves/meltCurve_P31948_STIP1.pdf")</f>
        <v>Melting_Curves/meltCurve_P31948_STIP1.pdf</v>
      </c>
    </row>
    <row r="2255" spans="1:28" x14ac:dyDescent="0.25">
      <c r="A2255" t="s">
        <v>2259</v>
      </c>
      <c r="B2255">
        <v>0.99334974765950101</v>
      </c>
      <c r="C2255">
        <v>0.92783770425252499</v>
      </c>
      <c r="D2255">
        <v>0.86000462962340296</v>
      </c>
      <c r="E2255">
        <v>0.73077179920950797</v>
      </c>
      <c r="F2255">
        <v>0.70770779304780396</v>
      </c>
      <c r="G2255">
        <v>0.54353597465598302</v>
      </c>
      <c r="H2255">
        <v>0.49828146793140599</v>
      </c>
      <c r="I2255">
        <v>0.46735636210258802</v>
      </c>
      <c r="J2255">
        <v>0.33346091602733302</v>
      </c>
      <c r="K2255">
        <v>0.20592378691824501</v>
      </c>
      <c r="L2255">
        <v>380.11159236906599</v>
      </c>
      <c r="M2255">
        <v>6.3697999975108104</v>
      </c>
      <c r="N2255">
        <v>59.674026512700898</v>
      </c>
      <c r="O2255">
        <v>54.605358113639497</v>
      </c>
      <c r="P2255">
        <v>-2.9239092786255801E-2</v>
      </c>
      <c r="Q2255">
        <v>0</v>
      </c>
      <c r="R2255">
        <v>0.97280485115803805</v>
      </c>
      <c r="S2255" t="s">
        <v>8116</v>
      </c>
      <c r="T2255" t="s">
        <v>11720</v>
      </c>
      <c r="U2255" t="s">
        <v>11720</v>
      </c>
      <c r="V2255" t="s">
        <v>11720</v>
      </c>
      <c r="W2255" t="s">
        <v>13932</v>
      </c>
      <c r="X2255">
        <v>11</v>
      </c>
      <c r="Y2255" t="s">
        <v>19689</v>
      </c>
      <c r="Z2255" t="s">
        <v>25462</v>
      </c>
      <c r="AA2255">
        <v>0.63016024367270651</v>
      </c>
      <c r="AB2255" t="str">
        <f>HYPERLINK("Melting_Curves/meltCurve_P31949_S100A11.pdf", "Melting_Curves/meltCurve_P31949_S100A11.pdf")</f>
        <v>Melting_Curves/meltCurve_P31949_S100A11.pdf</v>
      </c>
    </row>
    <row r="2256" spans="1:28" x14ac:dyDescent="0.25">
      <c r="A2256" t="s">
        <v>2260</v>
      </c>
      <c r="B2256">
        <v>0.99334974765950101</v>
      </c>
      <c r="C2256">
        <v>1.0338219725573701</v>
      </c>
      <c r="D2256">
        <v>1.31542303628548</v>
      </c>
      <c r="E2256">
        <v>1.5140217552334201</v>
      </c>
      <c r="F2256">
        <v>1.1760536782572</v>
      </c>
      <c r="G2256">
        <v>0.64901883374148495</v>
      </c>
      <c r="H2256">
        <v>0.393965925699996</v>
      </c>
      <c r="I2256">
        <v>0.354836211661818</v>
      </c>
      <c r="J2256">
        <v>0.295164072946693</v>
      </c>
      <c r="K2256">
        <v>0.19342789782513101</v>
      </c>
      <c r="L2256">
        <v>5382.5050480023601</v>
      </c>
      <c r="M2256">
        <v>94.453880544038498</v>
      </c>
      <c r="N2256">
        <v>57.571568366769398</v>
      </c>
      <c r="O2256">
        <v>56.960005833225203</v>
      </c>
      <c r="P2256">
        <v>-0.28653149465615901</v>
      </c>
      <c r="Q2256">
        <v>0.30883371153307498</v>
      </c>
      <c r="R2256">
        <v>0.79239149830987199</v>
      </c>
      <c r="S2256" t="s">
        <v>8117</v>
      </c>
      <c r="T2256" t="s">
        <v>11720</v>
      </c>
      <c r="U2256" t="s">
        <v>11720</v>
      </c>
      <c r="V2256" t="s">
        <v>11720</v>
      </c>
      <c r="W2256" t="s">
        <v>13933</v>
      </c>
      <c r="X2256">
        <v>16</v>
      </c>
      <c r="Y2256" t="s">
        <v>19690</v>
      </c>
      <c r="Z2256" t="s">
        <v>25463</v>
      </c>
      <c r="AA2256">
        <v>0.7006462683603113</v>
      </c>
      <c r="AB2256" t="str">
        <f>HYPERLINK("Melting_Curves/meltCurve_P32119_PRDX2.pdf", "Melting_Curves/meltCurve_P32119_PRDX2.pdf")</f>
        <v>Melting_Curves/meltCurve_P32119_PRDX2.pdf</v>
      </c>
    </row>
    <row r="2257" spans="1:28" x14ac:dyDescent="0.25">
      <c r="A2257" t="s">
        <v>2261</v>
      </c>
      <c r="B2257">
        <v>0.99334974765950101</v>
      </c>
      <c r="C2257">
        <v>0.93397132928311699</v>
      </c>
      <c r="D2257">
        <v>0.99707177074962505</v>
      </c>
      <c r="E2257">
        <v>1.0343380212923801</v>
      </c>
      <c r="F2257">
        <v>1.3246365302046501</v>
      </c>
      <c r="G2257">
        <v>1.5966285768264199</v>
      </c>
      <c r="H2257">
        <v>1.88252822574443</v>
      </c>
      <c r="I2257">
        <v>1.9515159781526099</v>
      </c>
      <c r="J2257">
        <v>0.67182721582192395</v>
      </c>
      <c r="K2257">
        <v>0.19374649772664701</v>
      </c>
      <c r="L2257">
        <v>15000</v>
      </c>
      <c r="M2257">
        <v>223.50377950934001</v>
      </c>
      <c r="N2257">
        <v>67.260398953203307</v>
      </c>
      <c r="O2257">
        <v>67.107583691545997</v>
      </c>
      <c r="P2257">
        <v>-0.67138966245248799</v>
      </c>
      <c r="Q2257">
        <v>0.19365409636175801</v>
      </c>
      <c r="R2257">
        <v>0.191093178502905</v>
      </c>
      <c r="S2257" t="s">
        <v>8118</v>
      </c>
      <c r="T2257" t="s">
        <v>11720</v>
      </c>
      <c r="U2257" t="s">
        <v>11720</v>
      </c>
      <c r="V2257" t="s">
        <v>11720</v>
      </c>
      <c r="W2257" t="s">
        <v>13934</v>
      </c>
      <c r="X2257">
        <v>15</v>
      </c>
      <c r="Y2257" t="s">
        <v>19691</v>
      </c>
      <c r="Z2257" t="s">
        <v>25464</v>
      </c>
      <c r="AA2257">
        <v>0.92251949809311351</v>
      </c>
      <c r="AB2257" t="str">
        <f>HYPERLINK("Melting_Curves/meltCurve_P32189_1_GK.pdf", "Melting_Curves/meltCurve_P32189_1_GK.pdf")</f>
        <v>Melting_Curves/meltCurve_P32189_1_GK.pdf</v>
      </c>
    </row>
    <row r="2258" spans="1:28" x14ac:dyDescent="0.25">
      <c r="A2258" t="s">
        <v>2262</v>
      </c>
      <c r="B2258">
        <v>0.99334974765950101</v>
      </c>
      <c r="C2258">
        <v>0.97845920540572795</v>
      </c>
      <c r="D2258">
        <v>0.91551036216612003</v>
      </c>
      <c r="E2258">
        <v>0.86658444974769699</v>
      </c>
      <c r="F2258">
        <v>0.81715610199986199</v>
      </c>
      <c r="G2258">
        <v>0.637889683018389</v>
      </c>
      <c r="H2258">
        <v>0.494885102653636</v>
      </c>
      <c r="I2258">
        <v>0.47355884406814103</v>
      </c>
      <c r="J2258">
        <v>0.56068924997268799</v>
      </c>
      <c r="K2258">
        <v>0.56928821253353101</v>
      </c>
      <c r="L2258">
        <v>938.53266680705406</v>
      </c>
      <c r="M2258">
        <v>17.5759002353299</v>
      </c>
      <c r="O2258">
        <v>52.721949630923902</v>
      </c>
      <c r="P2258">
        <v>-4.1042348584821697E-2</v>
      </c>
      <c r="Q2258">
        <v>0.50757216373035097</v>
      </c>
      <c r="R2258">
        <v>0.95194274838708504</v>
      </c>
      <c r="S2258" t="s">
        <v>8119</v>
      </c>
      <c r="T2258" t="s">
        <v>11720</v>
      </c>
      <c r="U2258" t="s">
        <v>11720</v>
      </c>
      <c r="V2258" t="s">
        <v>11720</v>
      </c>
      <c r="W2258" t="s">
        <v>13935</v>
      </c>
      <c r="X2258">
        <v>5</v>
      </c>
      <c r="Y2258" t="s">
        <v>19692</v>
      </c>
      <c r="Z2258" t="s">
        <v>25465</v>
      </c>
      <c r="AA2258">
        <v>0.73580096088104352</v>
      </c>
      <c r="AB2258" t="str">
        <f>HYPERLINK("Melting_Curves/meltCurve_P32320_CDA.pdf", "Melting_Curves/meltCurve_P32320_CDA.pdf")</f>
        <v>Melting_Curves/meltCurve_P32320_CDA.pdf</v>
      </c>
    </row>
    <row r="2259" spans="1:28" x14ac:dyDescent="0.25">
      <c r="A2259" t="s">
        <v>2263</v>
      </c>
      <c r="B2259">
        <v>0.99334974765950101</v>
      </c>
      <c r="C2259">
        <v>1.0306465480100699</v>
      </c>
      <c r="D2259">
        <v>1.0052259044741401</v>
      </c>
      <c r="E2259">
        <v>0.97307387647919497</v>
      </c>
      <c r="F2259">
        <v>0.94483366717420403</v>
      </c>
      <c r="G2259">
        <v>0.75453468351188802</v>
      </c>
      <c r="H2259">
        <v>0.56721638829668697</v>
      </c>
      <c r="I2259">
        <v>0.419640196995961</v>
      </c>
      <c r="J2259">
        <v>0.180414309914183</v>
      </c>
      <c r="K2259">
        <v>9.8306354491075998E-2</v>
      </c>
      <c r="L2259">
        <v>1007.56306777829</v>
      </c>
      <c r="M2259">
        <v>16.305871521037201</v>
      </c>
      <c r="N2259">
        <v>61.791427100673502</v>
      </c>
      <c r="O2259">
        <v>60.884473904120497</v>
      </c>
      <c r="P2259">
        <v>-6.69590196741532E-2</v>
      </c>
      <c r="Q2259">
        <v>0</v>
      </c>
      <c r="R2259">
        <v>0.99225336514494999</v>
      </c>
      <c r="S2259" t="s">
        <v>8120</v>
      </c>
      <c r="T2259" t="s">
        <v>11720</v>
      </c>
      <c r="U2259" t="s">
        <v>11720</v>
      </c>
      <c r="V2259" t="s">
        <v>11720</v>
      </c>
      <c r="W2259" t="s">
        <v>13936</v>
      </c>
      <c r="X2259">
        <v>12</v>
      </c>
      <c r="Y2259" t="s">
        <v>19693</v>
      </c>
      <c r="Z2259" t="s">
        <v>25466</v>
      </c>
      <c r="AA2259">
        <v>0.72685092923935291</v>
      </c>
      <c r="AB2259" t="str">
        <f>HYPERLINK("Melting_Curves/meltCurve_P32321_2_DCTD.pdf", "Melting_Curves/meltCurve_P32321_2_DCTD.pdf")</f>
        <v>Melting_Curves/meltCurve_P32321_2_DCTD.pdf</v>
      </c>
    </row>
    <row r="2260" spans="1:28" x14ac:dyDescent="0.25">
      <c r="A2260" t="s">
        <v>2264</v>
      </c>
      <c r="B2260">
        <v>0.99334974765950101</v>
      </c>
      <c r="C2260">
        <v>0.92928886367073305</v>
      </c>
      <c r="D2260">
        <v>0.85493794915316301</v>
      </c>
      <c r="E2260">
        <v>0.74297605917270404</v>
      </c>
      <c r="F2260">
        <v>0.508626063316026</v>
      </c>
      <c r="G2260">
        <v>0.38082391132933502</v>
      </c>
      <c r="H2260">
        <v>0.29213301310762102</v>
      </c>
      <c r="I2260">
        <v>0.25958844558564598</v>
      </c>
      <c r="J2260">
        <v>0.12120179475993299</v>
      </c>
      <c r="K2260">
        <v>4.6010987015895101E-2</v>
      </c>
      <c r="L2260">
        <v>528.80301420503895</v>
      </c>
      <c r="M2260">
        <v>9.7089400207585008</v>
      </c>
      <c r="N2260">
        <v>54.465576293508398</v>
      </c>
      <c r="O2260">
        <v>52.305574841365903</v>
      </c>
      <c r="P2260">
        <v>-4.6430165737763797E-2</v>
      </c>
      <c r="Q2260">
        <v>0</v>
      </c>
      <c r="R2260">
        <v>0.98607370586085397</v>
      </c>
      <c r="S2260" t="s">
        <v>8121</v>
      </c>
      <c r="T2260" t="s">
        <v>11720</v>
      </c>
      <c r="U2260" t="s">
        <v>11720</v>
      </c>
      <c r="V2260" t="s">
        <v>11720</v>
      </c>
      <c r="W2260" t="s">
        <v>13937</v>
      </c>
      <c r="X2260">
        <v>10</v>
      </c>
      <c r="Y2260" t="s">
        <v>19694</v>
      </c>
      <c r="Z2260" t="s">
        <v>25467</v>
      </c>
      <c r="AA2260">
        <v>0.51087300180988393</v>
      </c>
      <c r="AB2260" t="str">
        <f>HYPERLINK("Melting_Curves/meltCurve_P32322_PYCR1.pdf", "Melting_Curves/meltCurve_P32322_PYCR1.pdf")</f>
        <v>Melting_Curves/meltCurve_P32322_PYCR1.pdf</v>
      </c>
    </row>
    <row r="2261" spans="1:28" x14ac:dyDescent="0.25">
      <c r="A2261" t="s">
        <v>2265</v>
      </c>
      <c r="B2261">
        <v>0.99334974765950101</v>
      </c>
      <c r="C2261">
        <v>0.85132067259086597</v>
      </c>
      <c r="D2261">
        <v>0.764407458531425</v>
      </c>
      <c r="E2261">
        <v>0.65460706716877304</v>
      </c>
      <c r="F2261">
        <v>0.52823837251684203</v>
      </c>
      <c r="G2261">
        <v>0.26466145155496901</v>
      </c>
      <c r="H2261">
        <v>0.20938196993791999</v>
      </c>
      <c r="I2261">
        <v>0.23524945873470099</v>
      </c>
      <c r="J2261">
        <v>0.123251678928342</v>
      </c>
      <c r="K2261">
        <v>2.3501271034941498E-2</v>
      </c>
      <c r="L2261">
        <v>493.96309910965101</v>
      </c>
      <c r="M2261">
        <v>9.3759000942968793</v>
      </c>
      <c r="N2261">
        <v>52.6843369309344</v>
      </c>
      <c r="O2261">
        <v>50.454349511731998</v>
      </c>
      <c r="P2261">
        <v>-4.6486232750791598E-2</v>
      </c>
      <c r="Q2261">
        <v>0</v>
      </c>
      <c r="R2261">
        <v>0.97885931136388604</v>
      </c>
      <c r="S2261" t="s">
        <v>8122</v>
      </c>
      <c r="T2261" t="s">
        <v>11720</v>
      </c>
      <c r="U2261" t="s">
        <v>11720</v>
      </c>
      <c r="V2261" t="s">
        <v>11720</v>
      </c>
      <c r="W2261" t="s">
        <v>13938</v>
      </c>
      <c r="X2261">
        <v>4</v>
      </c>
      <c r="Y2261" t="s">
        <v>19695</v>
      </c>
      <c r="Z2261" t="s">
        <v>25468</v>
      </c>
      <c r="AA2261">
        <v>0.46040672111397662</v>
      </c>
      <c r="AB2261" t="str">
        <f>HYPERLINK("Melting_Curves/meltCurve_P32418_2_SLC8A1.pdf", "Melting_Curves/meltCurve_P32418_2_SLC8A1.pdf")</f>
        <v>Melting_Curves/meltCurve_P32418_2_SLC8A1.pdf</v>
      </c>
    </row>
    <row r="2262" spans="1:28" x14ac:dyDescent="0.25">
      <c r="A2262" t="s">
        <v>2266</v>
      </c>
      <c r="B2262">
        <v>0.99334974765950101</v>
      </c>
      <c r="C2262">
        <v>0.74253723910094904</v>
      </c>
      <c r="D2262">
        <v>0.92314408023981698</v>
      </c>
      <c r="E2262">
        <v>0.68267772504617097</v>
      </c>
      <c r="F2262">
        <v>0.117017771854453</v>
      </c>
      <c r="G2262">
        <v>9.3168024126759397E-2</v>
      </c>
      <c r="H2262">
        <v>6.3784930043082097E-2</v>
      </c>
      <c r="I2262">
        <v>5.8949466424688499E-2</v>
      </c>
      <c r="J2262">
        <v>5.5784807854874899E-2</v>
      </c>
      <c r="K2262">
        <v>4.6976188316855301E-2</v>
      </c>
      <c r="L2262">
        <v>2905.1953187572099</v>
      </c>
      <c r="M2262">
        <v>57.448062626738</v>
      </c>
      <c r="N2262">
        <v>50.687831012937203</v>
      </c>
      <c r="O2262">
        <v>50.509649336254697</v>
      </c>
      <c r="P2262">
        <v>-0.26668379151159399</v>
      </c>
      <c r="Q2262">
        <v>6.2102600738982203E-2</v>
      </c>
      <c r="R2262">
        <v>0.95017010099881805</v>
      </c>
      <c r="S2262" t="s">
        <v>8123</v>
      </c>
      <c r="T2262" t="s">
        <v>11720</v>
      </c>
      <c r="U2262" t="s">
        <v>11720</v>
      </c>
      <c r="V2262" t="s">
        <v>11720</v>
      </c>
      <c r="W2262" t="s">
        <v>13939</v>
      </c>
      <c r="X2262">
        <v>34</v>
      </c>
      <c r="Y2262" t="s">
        <v>19696</v>
      </c>
      <c r="Z2262" t="s">
        <v>25469</v>
      </c>
      <c r="AA2262">
        <v>0.39416326147647901</v>
      </c>
      <c r="AB2262" t="str">
        <f>HYPERLINK("Melting_Curves/meltCurve_P32455_GBP1.pdf", "Melting_Curves/meltCurve_P32455_GBP1.pdf")</f>
        <v>Melting_Curves/meltCurve_P32455_GBP1.pdf</v>
      </c>
    </row>
    <row r="2263" spans="1:28" x14ac:dyDescent="0.25">
      <c r="A2263" t="s">
        <v>2267</v>
      </c>
      <c r="B2263">
        <v>0.99334974765950101</v>
      </c>
      <c r="C2263">
        <v>0.97459174050322295</v>
      </c>
      <c r="D2263">
        <v>0.87094460673765395</v>
      </c>
      <c r="E2263">
        <v>0.36759630699915502</v>
      </c>
      <c r="F2263">
        <v>0.1532293623723</v>
      </c>
      <c r="G2263">
        <v>0.102165207821519</v>
      </c>
      <c r="H2263">
        <v>8.5252587421956294E-2</v>
      </c>
      <c r="I2263">
        <v>7.8603461368235095E-2</v>
      </c>
      <c r="J2263">
        <v>7.4038148903771805E-2</v>
      </c>
      <c r="K2263">
        <v>5.94488986252069E-2</v>
      </c>
      <c r="L2263">
        <v>1456.4166692712199</v>
      </c>
      <c r="M2263">
        <v>29.8887610473368</v>
      </c>
      <c r="N2263">
        <v>49.000456505352503</v>
      </c>
      <c r="O2263">
        <v>48.511340173290399</v>
      </c>
      <c r="P2263">
        <v>-0.142234740958048</v>
      </c>
      <c r="Q2263">
        <v>7.6582469372029199E-2</v>
      </c>
      <c r="R2263">
        <v>0.99952921272976403</v>
      </c>
      <c r="S2263" t="s">
        <v>8124</v>
      </c>
      <c r="T2263" t="s">
        <v>11720</v>
      </c>
      <c r="U2263" t="s">
        <v>11720</v>
      </c>
      <c r="V2263" t="s">
        <v>11720</v>
      </c>
      <c r="W2263" t="s">
        <v>13940</v>
      </c>
      <c r="X2263">
        <v>18</v>
      </c>
      <c r="Y2263" t="s">
        <v>19697</v>
      </c>
      <c r="Z2263" t="s">
        <v>25470</v>
      </c>
      <c r="AA2263">
        <v>0.35087869770890101</v>
      </c>
      <c r="AB2263" t="str">
        <f>HYPERLINK("Melting_Curves/meltCurve_P32456_GBP2.pdf", "Melting_Curves/meltCurve_P32456_GBP2.pdf")</f>
        <v>Melting_Curves/meltCurve_P32456_GBP2.pdf</v>
      </c>
    </row>
    <row r="2264" spans="1:28" x14ac:dyDescent="0.25">
      <c r="A2264" t="s">
        <v>2268</v>
      </c>
      <c r="B2264">
        <v>0.99334974765950101</v>
      </c>
      <c r="C2264">
        <v>0.97945467936589103</v>
      </c>
      <c r="D2264">
        <v>0.93335959934537305</v>
      </c>
      <c r="E2264">
        <v>0.84687972798251798</v>
      </c>
      <c r="F2264">
        <v>0.93758782011764197</v>
      </c>
      <c r="G2264">
        <v>0.476904164797682</v>
      </c>
      <c r="H2264">
        <v>0.40309535412552999</v>
      </c>
      <c r="I2264">
        <v>0.43669976766170698</v>
      </c>
      <c r="J2264">
        <v>0.37134950369928899</v>
      </c>
      <c r="K2264">
        <v>0.31426630358521002</v>
      </c>
      <c r="L2264">
        <v>2532.5037135699399</v>
      </c>
      <c r="M2264">
        <v>45.949727122336697</v>
      </c>
      <c r="N2264">
        <v>56.851192187597903</v>
      </c>
      <c r="O2264">
        <v>55.010580004354999</v>
      </c>
      <c r="P2264">
        <v>-0.13006796962664399</v>
      </c>
      <c r="Q2264">
        <v>0.377136193246356</v>
      </c>
      <c r="R2264">
        <v>0.95325853591179999</v>
      </c>
      <c r="S2264" t="s">
        <v>8125</v>
      </c>
      <c r="T2264" t="s">
        <v>11720</v>
      </c>
      <c r="U2264" t="s">
        <v>11720</v>
      </c>
      <c r="V2264" t="s">
        <v>11720</v>
      </c>
      <c r="W2264" t="s">
        <v>13941</v>
      </c>
      <c r="X2264">
        <v>6</v>
      </c>
      <c r="Y2264" t="s">
        <v>19698</v>
      </c>
      <c r="Z2264" t="s">
        <v>25471</v>
      </c>
      <c r="AA2264">
        <v>0.69274115495446664</v>
      </c>
      <c r="AB2264" t="str">
        <f>HYPERLINK("Melting_Curves/meltCurve_P32856_3_STX2.pdf", "Melting_Curves/meltCurve_P32856_3_STX2.pdf")</f>
        <v>Melting_Curves/meltCurve_P32856_3_STX2.pdf</v>
      </c>
    </row>
    <row r="2265" spans="1:28" x14ac:dyDescent="0.25">
      <c r="A2265" t="s">
        <v>2269</v>
      </c>
      <c r="B2265">
        <v>0.99334974765950101</v>
      </c>
      <c r="C2265">
        <v>1.0094847822284001</v>
      </c>
      <c r="D2265">
        <v>1.0497430010593001</v>
      </c>
      <c r="E2265">
        <v>1.0767545916643499</v>
      </c>
      <c r="F2265">
        <v>1.0187018559487999</v>
      </c>
      <c r="G2265">
        <v>1.0934760247859501</v>
      </c>
      <c r="H2265">
        <v>0.98741268690584505</v>
      </c>
      <c r="I2265">
        <v>1.20784730153999</v>
      </c>
      <c r="J2265">
        <v>0.93225939226760701</v>
      </c>
      <c r="K2265">
        <v>0.85938952854355899</v>
      </c>
      <c r="L2265">
        <v>15000</v>
      </c>
      <c r="M2265">
        <v>223.80678819627099</v>
      </c>
      <c r="O2265">
        <v>67.016738928674897</v>
      </c>
      <c r="P2265">
        <v>-0.117407210189604</v>
      </c>
      <c r="Q2265">
        <v>0.85937425697091396</v>
      </c>
      <c r="R2265">
        <v>0.23899790718757999</v>
      </c>
      <c r="S2265" t="s">
        <v>8126</v>
      </c>
      <c r="T2265" t="s">
        <v>11720</v>
      </c>
      <c r="U2265" t="s">
        <v>11720</v>
      </c>
      <c r="V2265" t="s">
        <v>11720</v>
      </c>
      <c r="W2265" t="s">
        <v>13942</v>
      </c>
      <c r="X2265">
        <v>11</v>
      </c>
      <c r="Y2265" t="s">
        <v>19699</v>
      </c>
      <c r="Z2265" t="s">
        <v>25472</v>
      </c>
      <c r="AA2265">
        <v>0.98606152721563212</v>
      </c>
      <c r="AB2265" t="str">
        <f>HYPERLINK("Melting_Curves/meltCurve_P32929_CTH.pdf", "Melting_Curves/meltCurve_P32929_CTH.pdf")</f>
        <v>Melting_Curves/meltCurve_P32929_CTH.pdf</v>
      </c>
    </row>
    <row r="2266" spans="1:28" x14ac:dyDescent="0.25">
      <c r="A2266" t="s">
        <v>2270</v>
      </c>
      <c r="B2266">
        <v>0.99334974765950101</v>
      </c>
      <c r="C2266">
        <v>1.00531599455534</v>
      </c>
      <c r="D2266">
        <v>0.91759790500443505</v>
      </c>
      <c r="E2266">
        <v>0.83892492003590902</v>
      </c>
      <c r="F2266">
        <v>0.56127254917851099</v>
      </c>
      <c r="G2266">
        <v>0.52427227572868196</v>
      </c>
      <c r="H2266">
        <v>0.39816869258946103</v>
      </c>
      <c r="I2266">
        <v>0.30359115505697098</v>
      </c>
      <c r="J2266">
        <v>0.233537855783607</v>
      </c>
      <c r="K2266">
        <v>0.272904884091001</v>
      </c>
      <c r="L2266">
        <v>686.73183127555399</v>
      </c>
      <c r="M2266">
        <v>12.7301485008743</v>
      </c>
      <c r="N2266">
        <v>56.469504826978898</v>
      </c>
      <c r="O2266">
        <v>52.666099570588401</v>
      </c>
      <c r="P2266">
        <v>-4.7326782676250699E-2</v>
      </c>
      <c r="Q2266">
        <v>0.216964558200827</v>
      </c>
      <c r="R2266">
        <v>0.97968959131230005</v>
      </c>
      <c r="S2266" t="s">
        <v>8127</v>
      </c>
      <c r="T2266" t="s">
        <v>11720</v>
      </c>
      <c r="U2266" t="s">
        <v>11720</v>
      </c>
      <c r="V2266" t="s">
        <v>11720</v>
      </c>
      <c r="W2266" t="s">
        <v>13943</v>
      </c>
      <c r="X2266">
        <v>5</v>
      </c>
      <c r="Y2266" t="s">
        <v>19700</v>
      </c>
      <c r="Z2266" t="s">
        <v>25473</v>
      </c>
      <c r="AA2266">
        <v>0.60035938803236943</v>
      </c>
      <c r="AB2266" t="str">
        <f>HYPERLINK("Melting_Curves/meltCurve_P32969_RPL9.pdf", "Melting_Curves/meltCurve_P32969_RPL9.pdf")</f>
        <v>Melting_Curves/meltCurve_P32969_RPL9.pdf</v>
      </c>
    </row>
    <row r="2267" spans="1:28" x14ac:dyDescent="0.25">
      <c r="A2267" t="s">
        <v>2271</v>
      </c>
      <c r="B2267">
        <v>0.99334974765950101</v>
      </c>
      <c r="C2267">
        <v>0.89343515381132599</v>
      </c>
      <c r="D2267">
        <v>0.85153660484835403</v>
      </c>
      <c r="E2267">
        <v>0.59754330693418101</v>
      </c>
      <c r="F2267">
        <v>0.17033890208451299</v>
      </c>
      <c r="G2267">
        <v>0.113111637371168</v>
      </c>
      <c r="H2267">
        <v>7.5414213803609395E-2</v>
      </c>
      <c r="I2267">
        <v>6.2924216192376606E-2</v>
      </c>
      <c r="J2267">
        <v>4.7963174051156403E-2</v>
      </c>
      <c r="K2267">
        <v>3.7450605687893802E-2</v>
      </c>
      <c r="L2267">
        <v>1146.4184334086499</v>
      </c>
      <c r="M2267">
        <v>22.916879449255099</v>
      </c>
      <c r="N2267">
        <v>50.228868473658899</v>
      </c>
      <c r="O2267">
        <v>49.648823727647397</v>
      </c>
      <c r="P2267">
        <v>-0.110273894307107</v>
      </c>
      <c r="Q2267">
        <v>4.43960412008821E-2</v>
      </c>
      <c r="R2267">
        <v>0.98541017408485598</v>
      </c>
      <c r="S2267" t="s">
        <v>8128</v>
      </c>
      <c r="T2267" t="s">
        <v>11720</v>
      </c>
      <c r="U2267" t="s">
        <v>11720</v>
      </c>
      <c r="V2267" t="s">
        <v>11720</v>
      </c>
      <c r="W2267" t="s">
        <v>13944</v>
      </c>
      <c r="X2267">
        <v>25</v>
      </c>
      <c r="Y2267" t="s">
        <v>19701</v>
      </c>
      <c r="Z2267" t="s">
        <v>25474</v>
      </c>
      <c r="AA2267">
        <v>0.37389784460570502</v>
      </c>
      <c r="AB2267" t="str">
        <f>HYPERLINK("Melting_Curves/meltCurve_P33121_ACSL1.pdf", "Melting_Curves/meltCurve_P33121_ACSL1.pdf")</f>
        <v>Melting_Curves/meltCurve_P33121_ACSL1.pdf</v>
      </c>
    </row>
    <row r="2268" spans="1:28" x14ac:dyDescent="0.25">
      <c r="A2268" t="s">
        <v>2272</v>
      </c>
      <c r="B2268">
        <v>0.99334974765950101</v>
      </c>
      <c r="C2268">
        <v>1.10485370058124</v>
      </c>
      <c r="D2268">
        <v>1.2962076629085599</v>
      </c>
      <c r="E2268">
        <v>1.8980942750131899</v>
      </c>
      <c r="F2268">
        <v>0.44207271359650602</v>
      </c>
      <c r="G2268">
        <v>0.27553229291863202</v>
      </c>
      <c r="H2268">
        <v>0.20128904926747701</v>
      </c>
      <c r="I2268">
        <v>0.17834309812885599</v>
      </c>
      <c r="J2268">
        <v>0.17241239772283101</v>
      </c>
      <c r="K2268">
        <v>0.13793662940813101</v>
      </c>
      <c r="L2268">
        <v>13207.235560445401</v>
      </c>
      <c r="M2268">
        <v>250</v>
      </c>
      <c r="N2268">
        <v>52.932287750308298</v>
      </c>
      <c r="O2268">
        <v>52.825573395496299</v>
      </c>
      <c r="P2268">
        <v>-0.95467231929334295</v>
      </c>
      <c r="Q2268">
        <v>0.19310237865968799</v>
      </c>
      <c r="R2268">
        <v>0.73011368276637001</v>
      </c>
      <c r="S2268" t="s">
        <v>8129</v>
      </c>
      <c r="T2268" t="s">
        <v>11720</v>
      </c>
      <c r="U2268" t="s">
        <v>11720</v>
      </c>
      <c r="V2268" t="s">
        <v>11720</v>
      </c>
      <c r="W2268" t="s">
        <v>13945</v>
      </c>
      <c r="X2268">
        <v>50</v>
      </c>
      <c r="Y2268" t="s">
        <v>19702</v>
      </c>
      <c r="Z2268" t="s">
        <v>25475</v>
      </c>
      <c r="AA2268">
        <v>0.53823195531623091</v>
      </c>
      <c r="AB2268" t="str">
        <f>HYPERLINK("Melting_Curves/meltCurve_P33176_KIF5B.pdf", "Melting_Curves/meltCurve_P33176_KIF5B.pdf")</f>
        <v>Melting_Curves/meltCurve_P33176_KIF5B.pdf</v>
      </c>
    </row>
    <row r="2269" spans="1:28" x14ac:dyDescent="0.25">
      <c r="A2269" t="s">
        <v>2273</v>
      </c>
      <c r="B2269">
        <v>0.99334974765950101</v>
      </c>
      <c r="C2269">
        <v>0.93428176511024597</v>
      </c>
      <c r="D2269">
        <v>0.88345762524914495</v>
      </c>
      <c r="E2269">
        <v>1.0184072249404901</v>
      </c>
      <c r="F2269">
        <v>1.31944384560524</v>
      </c>
      <c r="G2269">
        <v>0.87700649142861997</v>
      </c>
      <c r="H2269">
        <v>0.72578467672244795</v>
      </c>
      <c r="I2269">
        <v>0.58867086234853006</v>
      </c>
      <c r="J2269">
        <v>0.60536725063507202</v>
      </c>
      <c r="K2269">
        <v>0.53453249223163402</v>
      </c>
      <c r="L2269">
        <v>2128.0297173817999</v>
      </c>
      <c r="M2269">
        <v>35.602450398754499</v>
      </c>
      <c r="O2269">
        <v>59.584366039779198</v>
      </c>
      <c r="P2269">
        <v>-6.5352937407942402E-2</v>
      </c>
      <c r="Q2269">
        <v>0.56250198733176804</v>
      </c>
      <c r="R2269">
        <v>0.75225986939059797</v>
      </c>
      <c r="S2269" t="s">
        <v>8130</v>
      </c>
      <c r="T2269" t="s">
        <v>11720</v>
      </c>
      <c r="U2269" t="s">
        <v>11720</v>
      </c>
      <c r="V2269" t="s">
        <v>11720</v>
      </c>
      <c r="W2269" t="s">
        <v>13946</v>
      </c>
      <c r="X2269">
        <v>12</v>
      </c>
      <c r="Y2269" t="s">
        <v>19703</v>
      </c>
      <c r="Z2269" t="s">
        <v>25476</v>
      </c>
      <c r="AA2269">
        <v>0.85293217873731864</v>
      </c>
      <c r="AB2269" t="str">
        <f>HYPERLINK("Melting_Curves/meltCurve_P33240_2_CSTF2.pdf", "Melting_Curves/meltCurve_P33240_2_CSTF2.pdf")</f>
        <v>Melting_Curves/meltCurve_P33240_2_CSTF2.pdf</v>
      </c>
    </row>
    <row r="2270" spans="1:28" x14ac:dyDescent="0.25">
      <c r="A2270" t="s">
        <v>2274</v>
      </c>
      <c r="B2270">
        <v>0.99334974765950101</v>
      </c>
      <c r="C2270">
        <v>0.84038328331692802</v>
      </c>
      <c r="D2270">
        <v>0.74629103671998598</v>
      </c>
      <c r="E2270">
        <v>0.50861985544321897</v>
      </c>
      <c r="F2270">
        <v>0.20344600318075901</v>
      </c>
      <c r="G2270">
        <v>9.0026550621863405E-2</v>
      </c>
      <c r="H2270">
        <v>3.0347856825491199E-2</v>
      </c>
      <c r="I2270">
        <v>3.5373253565626199E-2</v>
      </c>
      <c r="J2270">
        <v>2.8045125759711301E-2</v>
      </c>
      <c r="K2270">
        <v>0</v>
      </c>
      <c r="L2270">
        <v>759.89921351806697</v>
      </c>
      <c r="M2270">
        <v>15.433252074328999</v>
      </c>
      <c r="N2270">
        <v>49.2377883938453</v>
      </c>
      <c r="O2270">
        <v>48.433328032803402</v>
      </c>
      <c r="P2270">
        <v>-7.9669551527335306E-2</v>
      </c>
      <c r="Q2270">
        <v>0</v>
      </c>
      <c r="R2270">
        <v>0.99067016639292105</v>
      </c>
      <c r="S2270" t="s">
        <v>8131</v>
      </c>
      <c r="T2270" t="s">
        <v>11720</v>
      </c>
      <c r="U2270" t="s">
        <v>11720</v>
      </c>
      <c r="V2270" t="s">
        <v>11720</v>
      </c>
      <c r="W2270" t="s">
        <v>13947</v>
      </c>
      <c r="X2270">
        <v>1</v>
      </c>
      <c r="Y2270" t="s">
        <v>19704</v>
      </c>
      <c r="Z2270" t="s">
        <v>25477</v>
      </c>
      <c r="AA2270">
        <v>0.33112737252588942</v>
      </c>
      <c r="AB2270" t="str">
        <f>HYPERLINK("Melting_Curves/meltCurve_P33241_2_LSP1.pdf", "Melting_Curves/meltCurve_P33241_2_LSP1.pdf")</f>
        <v>Melting_Curves/meltCurve_P33241_2_LSP1.pdf</v>
      </c>
    </row>
    <row r="2271" spans="1:28" x14ac:dyDescent="0.25">
      <c r="A2271" t="s">
        <v>2275</v>
      </c>
      <c r="B2271">
        <v>0.99334974765950101</v>
      </c>
      <c r="C2271">
        <v>0.96875881886331705</v>
      </c>
      <c r="D2271">
        <v>0.86119784511303599</v>
      </c>
      <c r="E2271">
        <v>0.67711932219610005</v>
      </c>
      <c r="F2271">
        <v>0.47390953493528498</v>
      </c>
      <c r="G2271">
        <v>0.193229921359623</v>
      </c>
      <c r="H2271">
        <v>0.15904590175059899</v>
      </c>
      <c r="I2271">
        <v>0.128588250848994</v>
      </c>
      <c r="J2271">
        <v>0.16754423111164199</v>
      </c>
      <c r="K2271">
        <v>0.14367853702736599</v>
      </c>
      <c r="L2271">
        <v>922.41008909024902</v>
      </c>
      <c r="M2271">
        <v>17.969530655154401</v>
      </c>
      <c r="N2271">
        <v>52.133840942908598</v>
      </c>
      <c r="O2271">
        <v>50.708842307150199</v>
      </c>
      <c r="P2271">
        <v>-7.7898006273132495E-2</v>
      </c>
      <c r="Q2271">
        <v>0.12075132165642399</v>
      </c>
      <c r="R2271">
        <v>0.99355055318478103</v>
      </c>
      <c r="S2271" t="s">
        <v>8132</v>
      </c>
      <c r="T2271" t="s">
        <v>11720</v>
      </c>
      <c r="U2271" t="s">
        <v>11720</v>
      </c>
      <c r="V2271" t="s">
        <v>11720</v>
      </c>
      <c r="W2271" t="s">
        <v>13948</v>
      </c>
      <c r="X2271">
        <v>8</v>
      </c>
      <c r="Y2271" t="s">
        <v>19705</v>
      </c>
      <c r="Z2271" t="s">
        <v>25478</v>
      </c>
      <c r="AA2271">
        <v>0.46767103432832552</v>
      </c>
      <c r="AB2271" t="str">
        <f>HYPERLINK("Melting_Curves/meltCurve_P33316_DUT.pdf", "Melting_Curves/meltCurve_P33316_DUT.pdf")</f>
        <v>Melting_Curves/meltCurve_P33316_DUT.pdf</v>
      </c>
    </row>
    <row r="2272" spans="1:28" x14ac:dyDescent="0.25">
      <c r="A2272" t="s">
        <v>2276</v>
      </c>
      <c r="B2272">
        <v>0.99334974765950101</v>
      </c>
      <c r="C2272">
        <v>0.98975441989782098</v>
      </c>
      <c r="D2272">
        <v>1.11840814479539</v>
      </c>
      <c r="E2272">
        <v>1.5105174890235999</v>
      </c>
      <c r="F2272">
        <v>1.13899928757846</v>
      </c>
      <c r="G2272">
        <v>0.50782175887255199</v>
      </c>
      <c r="H2272">
        <v>0.30651320052224701</v>
      </c>
      <c r="I2272">
        <v>0.25044311292695498</v>
      </c>
      <c r="J2272">
        <v>0.194745433750554</v>
      </c>
      <c r="K2272">
        <v>0.137728381455828</v>
      </c>
      <c r="L2272">
        <v>9972.4366850286297</v>
      </c>
      <c r="M2272">
        <v>175.49972466603799</v>
      </c>
      <c r="N2272">
        <v>57.014223824340803</v>
      </c>
      <c r="O2272">
        <v>56.815690581837401</v>
      </c>
      <c r="P2272">
        <v>-0.60052209580693805</v>
      </c>
      <c r="Q2272">
        <v>0.22235569351066301</v>
      </c>
      <c r="R2272">
        <v>0.85637732008888101</v>
      </c>
      <c r="S2272" t="s">
        <v>8133</v>
      </c>
      <c r="T2272" t="s">
        <v>11720</v>
      </c>
      <c r="U2272" t="s">
        <v>11720</v>
      </c>
      <c r="V2272" t="s">
        <v>11720</v>
      </c>
      <c r="W2272" t="s">
        <v>13949</v>
      </c>
      <c r="X2272">
        <v>19</v>
      </c>
      <c r="Y2272" t="s">
        <v>19706</v>
      </c>
      <c r="Z2272" t="s">
        <v>25479</v>
      </c>
      <c r="AA2272">
        <v>0.65859243743443119</v>
      </c>
      <c r="AB2272" t="str">
        <f>HYPERLINK("Melting_Curves/meltCurve_P33527_ABCC1.pdf", "Melting_Curves/meltCurve_P33527_ABCC1.pdf")</f>
        <v>Melting_Curves/meltCurve_P33527_ABCC1.pdf</v>
      </c>
    </row>
    <row r="2273" spans="1:28" x14ac:dyDescent="0.25">
      <c r="A2273" t="s">
        <v>2277</v>
      </c>
      <c r="B2273">
        <v>0.99334974765950101</v>
      </c>
      <c r="C2273">
        <v>1.05872494264173</v>
      </c>
      <c r="D2273">
        <v>0.90525810031723497</v>
      </c>
      <c r="E2273">
        <v>0.829965609052705</v>
      </c>
      <c r="F2273">
        <v>0.83184801794087504</v>
      </c>
      <c r="G2273">
        <v>0.538257680383737</v>
      </c>
      <c r="H2273">
        <v>0.40557477443117401</v>
      </c>
      <c r="I2273">
        <v>0.32657683804750698</v>
      </c>
      <c r="J2273">
        <v>0.224459990493655</v>
      </c>
      <c r="K2273">
        <v>0.17265776921929099</v>
      </c>
      <c r="L2273">
        <v>651.48533752763001</v>
      </c>
      <c r="M2273">
        <v>11.201638980740601</v>
      </c>
      <c r="N2273">
        <v>58.757601562385098</v>
      </c>
      <c r="O2273">
        <v>56.398626064396304</v>
      </c>
      <c r="P2273">
        <v>-4.6994580894613301E-2</v>
      </c>
      <c r="Q2273">
        <v>5.3854061214741802E-2</v>
      </c>
      <c r="R2273">
        <v>0.98310530272579599</v>
      </c>
      <c r="S2273" t="s">
        <v>8134</v>
      </c>
      <c r="T2273" t="s">
        <v>11720</v>
      </c>
      <c r="U2273" t="s">
        <v>11720</v>
      </c>
      <c r="V2273" t="s">
        <v>11720</v>
      </c>
      <c r="W2273" t="s">
        <v>13950</v>
      </c>
      <c r="X2273">
        <v>7</v>
      </c>
      <c r="Y2273" t="s">
        <v>19707</v>
      </c>
      <c r="Z2273" t="s">
        <v>25480</v>
      </c>
      <c r="AA2273">
        <v>0.63706410477551756</v>
      </c>
      <c r="AB2273" t="str">
        <f>HYPERLINK("Melting_Curves/meltCurve_P33764_S100A3.pdf", "Melting_Curves/meltCurve_P33764_S100A3.pdf")</f>
        <v>Melting_Curves/meltCurve_P33764_S100A3.pdf</v>
      </c>
    </row>
    <row r="2274" spans="1:28" x14ac:dyDescent="0.25">
      <c r="A2274" t="s">
        <v>2278</v>
      </c>
      <c r="B2274">
        <v>0.99334974765950101</v>
      </c>
      <c r="C2274">
        <v>0.94096307704234305</v>
      </c>
      <c r="D2274">
        <v>0.96440740875970599</v>
      </c>
      <c r="E2274">
        <v>0.85603465123250999</v>
      </c>
      <c r="F2274">
        <v>0.67529126274376206</v>
      </c>
      <c r="G2274">
        <v>0.28523770454394898</v>
      </c>
      <c r="H2274">
        <v>0.16276444436089499</v>
      </c>
      <c r="I2274">
        <v>0.119220638299191</v>
      </c>
      <c r="J2274">
        <v>7.4854669051451203E-2</v>
      </c>
      <c r="K2274">
        <v>3.0544039242788999E-2</v>
      </c>
      <c r="L2274">
        <v>1097.67418279962</v>
      </c>
      <c r="M2274">
        <v>20.173094457067702</v>
      </c>
      <c r="N2274">
        <v>54.690777365339997</v>
      </c>
      <c r="O2274">
        <v>53.886551196199797</v>
      </c>
      <c r="P2274">
        <v>-8.9032801524888502E-2</v>
      </c>
      <c r="Q2274">
        <v>4.8729054926835699E-2</v>
      </c>
      <c r="R2274">
        <v>0.99537338663372399</v>
      </c>
      <c r="S2274" t="s">
        <v>8135</v>
      </c>
      <c r="T2274" t="s">
        <v>11720</v>
      </c>
      <c r="U2274" t="s">
        <v>11720</v>
      </c>
      <c r="V2274" t="s">
        <v>11720</v>
      </c>
      <c r="W2274" t="s">
        <v>13951</v>
      </c>
      <c r="X2274">
        <v>7</v>
      </c>
      <c r="Y2274" t="s">
        <v>19708</v>
      </c>
      <c r="Z2274" t="s">
        <v>25481</v>
      </c>
      <c r="AA2274">
        <v>0.51840750932211643</v>
      </c>
      <c r="AB2274" t="str">
        <f>HYPERLINK("Melting_Curves/meltCurve_P33908_MAN1A1.pdf", "Melting_Curves/meltCurve_P33908_MAN1A1.pdf")</f>
        <v>Melting_Curves/meltCurve_P33908_MAN1A1.pdf</v>
      </c>
    </row>
    <row r="2275" spans="1:28" x14ac:dyDescent="0.25">
      <c r="A2275" t="s">
        <v>2279</v>
      </c>
      <c r="B2275">
        <v>0.99334974765950101</v>
      </c>
      <c r="C2275">
        <v>0.96298790684147295</v>
      </c>
      <c r="D2275">
        <v>1.0673778276188299</v>
      </c>
      <c r="E2275">
        <v>1.0339403413046899</v>
      </c>
      <c r="F2275">
        <v>0.99459357330491704</v>
      </c>
      <c r="G2275">
        <v>1.0307771322716399</v>
      </c>
      <c r="H2275">
        <v>0.95946776140352097</v>
      </c>
      <c r="I2275">
        <v>1.3478144485247601</v>
      </c>
      <c r="J2275">
        <v>1.1972360186867901</v>
      </c>
      <c r="K2275">
        <v>1.1133415640582101</v>
      </c>
      <c r="L2275">
        <v>15000</v>
      </c>
      <c r="M2275">
        <v>240.70527480861901</v>
      </c>
      <c r="O2275">
        <v>62.312566447137399</v>
      </c>
      <c r="P2275">
        <v>0.211918088812831</v>
      </c>
      <c r="Q2275">
        <v>1.2194411562367</v>
      </c>
      <c r="R2275">
        <v>0.71381940646403597</v>
      </c>
      <c r="S2275" t="s">
        <v>8136</v>
      </c>
      <c r="T2275" t="s">
        <v>11720</v>
      </c>
      <c r="U2275" t="s">
        <v>11720</v>
      </c>
      <c r="V2275" t="s">
        <v>11720</v>
      </c>
      <c r="W2275" t="s">
        <v>13952</v>
      </c>
      <c r="X2275">
        <v>13</v>
      </c>
      <c r="Y2275" t="s">
        <v>19709</v>
      </c>
      <c r="Z2275" t="s">
        <v>25482</v>
      </c>
      <c r="AA2275">
        <v>1.0561739214295209</v>
      </c>
      <c r="AB2275" t="str">
        <f>HYPERLINK("Melting_Curves/meltCurve_P34059_GALNS.pdf", "Melting_Curves/meltCurve_P34059_GALNS.pdf")</f>
        <v>Melting_Curves/meltCurve_P34059_GALNS.pdf</v>
      </c>
    </row>
    <row r="2276" spans="1:28" x14ac:dyDescent="0.25">
      <c r="A2276" t="s">
        <v>2280</v>
      </c>
      <c r="B2276">
        <v>0.99334974765950101</v>
      </c>
      <c r="C2276">
        <v>1.0082856728276799</v>
      </c>
      <c r="D2276">
        <v>1.10236766028852</v>
      </c>
      <c r="E2276">
        <v>1.19294467608999</v>
      </c>
      <c r="F2276">
        <v>1.43991465041588</v>
      </c>
      <c r="G2276">
        <v>1.59823129893448</v>
      </c>
      <c r="H2276">
        <v>1.38232783686401</v>
      </c>
      <c r="I2276">
        <v>1.22286496574212</v>
      </c>
      <c r="J2276">
        <v>0.46423423566296101</v>
      </c>
      <c r="K2276">
        <v>0.25444592320972298</v>
      </c>
      <c r="L2276">
        <v>15000</v>
      </c>
      <c r="M2276">
        <v>224.817392437385</v>
      </c>
      <c r="N2276">
        <v>66.932454315830697</v>
      </c>
      <c r="O2276">
        <v>66.715537228113803</v>
      </c>
      <c r="P2276">
        <v>-0.62814090274460299</v>
      </c>
      <c r="Q2276">
        <v>0.25438584540473502</v>
      </c>
      <c r="R2276">
        <v>0.50136607484437101</v>
      </c>
      <c r="S2276" t="s">
        <v>8137</v>
      </c>
      <c r="T2276" t="s">
        <v>11720</v>
      </c>
      <c r="U2276" t="s">
        <v>11720</v>
      </c>
      <c r="V2276" t="s">
        <v>11720</v>
      </c>
      <c r="W2276" t="s">
        <v>13953</v>
      </c>
      <c r="X2276">
        <v>7</v>
      </c>
      <c r="Y2276" t="s">
        <v>19710</v>
      </c>
      <c r="Z2276" t="s">
        <v>25483</v>
      </c>
      <c r="AA2276">
        <v>0.91860756221070039</v>
      </c>
      <c r="AB2276" t="str">
        <f>HYPERLINK("Melting_Curves/meltCurve_P34896_2_SHMT1.pdf", "Melting_Curves/meltCurve_P34896_2_SHMT1.pdf")</f>
        <v>Melting_Curves/meltCurve_P34896_2_SHMT1.pdf</v>
      </c>
    </row>
    <row r="2277" spans="1:28" x14ac:dyDescent="0.25">
      <c r="A2277" t="s">
        <v>2281</v>
      </c>
      <c r="B2277">
        <v>0.99334974765950101</v>
      </c>
      <c r="C2277">
        <v>1.05153270952199</v>
      </c>
      <c r="D2277">
        <v>1.2111110545651</v>
      </c>
      <c r="E2277">
        <v>1.3834175928049399</v>
      </c>
      <c r="F2277">
        <v>1.49589886176057</v>
      </c>
      <c r="G2277">
        <v>1.66915134523608</v>
      </c>
      <c r="H2277">
        <v>1.3525889937197</v>
      </c>
      <c r="I2277">
        <v>1.17149637198582</v>
      </c>
      <c r="J2277">
        <v>0.33830023561060202</v>
      </c>
      <c r="K2277">
        <v>0.22018522265263199</v>
      </c>
      <c r="L2277">
        <v>15000</v>
      </c>
      <c r="M2277">
        <v>225.600365838784</v>
      </c>
      <c r="N2277">
        <v>66.660630787358897</v>
      </c>
      <c r="O2277">
        <v>66.484029018427194</v>
      </c>
      <c r="P2277">
        <v>-0.66167040330030202</v>
      </c>
      <c r="Q2277">
        <v>0.22002760874875299</v>
      </c>
      <c r="R2277">
        <v>0.48145962410981702</v>
      </c>
      <c r="S2277" t="s">
        <v>8138</v>
      </c>
      <c r="T2277" t="s">
        <v>11720</v>
      </c>
      <c r="U2277" t="s">
        <v>11720</v>
      </c>
      <c r="V2277" t="s">
        <v>11720</v>
      </c>
      <c r="W2277" t="s">
        <v>13954</v>
      </c>
      <c r="X2277">
        <v>27</v>
      </c>
      <c r="Y2277" t="s">
        <v>19711</v>
      </c>
      <c r="Z2277" t="s">
        <v>25484</v>
      </c>
      <c r="AA2277">
        <v>0.90883549755959525</v>
      </c>
      <c r="AB2277" t="str">
        <f>HYPERLINK("Melting_Curves/meltCurve_P34897_3_SHMT2.pdf", "Melting_Curves/meltCurve_P34897_3_SHMT2.pdf")</f>
        <v>Melting_Curves/meltCurve_P34897_3_SHMT2.pdf</v>
      </c>
    </row>
    <row r="2278" spans="1:28" x14ac:dyDescent="0.25">
      <c r="A2278" t="s">
        <v>2282</v>
      </c>
      <c r="B2278">
        <v>0.99334974765950101</v>
      </c>
      <c r="C2278">
        <v>1.04991257280481</v>
      </c>
      <c r="D2278">
        <v>0.99111808973285698</v>
      </c>
      <c r="E2278">
        <v>0.79852754841408302</v>
      </c>
      <c r="F2278">
        <v>0.57359314921535598</v>
      </c>
      <c r="G2278">
        <v>0.27189862469038001</v>
      </c>
      <c r="H2278">
        <v>0.174078582494262</v>
      </c>
      <c r="I2278">
        <v>0.123424631965452</v>
      </c>
      <c r="J2278">
        <v>3.6560088347108499E-2</v>
      </c>
      <c r="K2278">
        <v>0</v>
      </c>
      <c r="L2278">
        <v>952.79095012247501</v>
      </c>
      <c r="M2278">
        <v>17.6835459133531</v>
      </c>
      <c r="N2278">
        <v>54.034071756782701</v>
      </c>
      <c r="O2278">
        <v>53.205216042136399</v>
      </c>
      <c r="P2278">
        <v>-8.1053731500035003E-2</v>
      </c>
      <c r="Q2278">
        <v>2.45726915771819E-2</v>
      </c>
      <c r="R2278">
        <v>0.993371519495999</v>
      </c>
      <c r="S2278" t="s">
        <v>8139</v>
      </c>
      <c r="T2278" t="s">
        <v>11720</v>
      </c>
      <c r="U2278" t="s">
        <v>11720</v>
      </c>
      <c r="V2278" t="s">
        <v>11720</v>
      </c>
      <c r="W2278" t="s">
        <v>13955</v>
      </c>
      <c r="X2278">
        <v>16</v>
      </c>
      <c r="Y2278" t="s">
        <v>19712</v>
      </c>
      <c r="Z2278" t="s">
        <v>25485</v>
      </c>
      <c r="AA2278">
        <v>0.49194945957936009</v>
      </c>
      <c r="AB2278" t="str">
        <f>HYPERLINK("Melting_Curves/meltCurve_P34931_HSPA1L.pdf", "Melting_Curves/meltCurve_P34931_HSPA1L.pdf")</f>
        <v>Melting_Curves/meltCurve_P34931_HSPA1L.pdf</v>
      </c>
    </row>
    <row r="2279" spans="1:28" x14ac:dyDescent="0.25">
      <c r="A2279" t="s">
        <v>2283</v>
      </c>
      <c r="B2279">
        <v>0.99334974765950101</v>
      </c>
      <c r="C2279">
        <v>1.0367225136716101</v>
      </c>
      <c r="D2279">
        <v>1.06823196359632</v>
      </c>
      <c r="E2279">
        <v>1.0239537890597901</v>
      </c>
      <c r="F2279">
        <v>0.22831788029244099</v>
      </c>
      <c r="G2279">
        <v>0.15969650202215999</v>
      </c>
      <c r="H2279">
        <v>0.102337752919237</v>
      </c>
      <c r="I2279">
        <v>8.9376150671502202E-2</v>
      </c>
      <c r="J2279">
        <v>8.6091596616471602E-2</v>
      </c>
      <c r="K2279">
        <v>7.2329726063217206E-2</v>
      </c>
      <c r="L2279">
        <v>13154.0964919323</v>
      </c>
      <c r="M2279">
        <v>250</v>
      </c>
      <c r="N2279">
        <v>52.664433179536303</v>
      </c>
      <c r="O2279">
        <v>52.613018806068702</v>
      </c>
      <c r="P2279">
        <v>-1.06679123934457</v>
      </c>
      <c r="Q2279">
        <v>0.101966279390536</v>
      </c>
      <c r="R2279">
        <v>0.99437101486167601</v>
      </c>
      <c r="S2279" t="s">
        <v>8140</v>
      </c>
      <c r="T2279" t="s">
        <v>11720</v>
      </c>
      <c r="U2279" t="s">
        <v>11720</v>
      </c>
      <c r="V2279" t="s">
        <v>11720</v>
      </c>
      <c r="W2279" t="s">
        <v>13956</v>
      </c>
      <c r="X2279">
        <v>71</v>
      </c>
      <c r="Y2279" t="s">
        <v>19713</v>
      </c>
      <c r="Z2279" t="s">
        <v>25486</v>
      </c>
      <c r="AA2279">
        <v>0.47971387237524782</v>
      </c>
      <c r="AB2279" t="str">
        <f>HYPERLINK("Melting_Curves/meltCurve_P34932_HSPA4.pdf", "Melting_Curves/meltCurve_P34932_HSPA4.pdf")</f>
        <v>Melting_Curves/meltCurve_P34932_HSPA4.pdf</v>
      </c>
    </row>
    <row r="2280" spans="1:28" x14ac:dyDescent="0.25">
      <c r="A2280" t="s">
        <v>2284</v>
      </c>
      <c r="B2280">
        <v>0.99334974765950101</v>
      </c>
      <c r="C2280">
        <v>0.87307269532977405</v>
      </c>
      <c r="D2280">
        <v>0.63549022419346202</v>
      </c>
      <c r="E2280">
        <v>0.38381992006226201</v>
      </c>
      <c r="F2280">
        <v>0.19502827605492001</v>
      </c>
      <c r="G2280">
        <v>0.105650961449923</v>
      </c>
      <c r="H2280">
        <v>8.4922078199795803E-2</v>
      </c>
      <c r="I2280">
        <v>7.63531355784733E-2</v>
      </c>
      <c r="J2280">
        <v>9.1208700196657805E-2</v>
      </c>
      <c r="K2280">
        <v>7.2573955622493205E-2</v>
      </c>
      <c r="L2280">
        <v>801.78371837756197</v>
      </c>
      <c r="M2280">
        <v>16.865798587479699</v>
      </c>
      <c r="N2280">
        <v>47.951879406998998</v>
      </c>
      <c r="O2280">
        <v>46.885813846822003</v>
      </c>
      <c r="P2280">
        <v>-8.3858164033954199E-2</v>
      </c>
      <c r="Q2280">
        <v>6.7579051839461599E-2</v>
      </c>
      <c r="R2280">
        <v>0.99699196664330403</v>
      </c>
      <c r="S2280" t="s">
        <v>8141</v>
      </c>
      <c r="T2280" t="s">
        <v>11720</v>
      </c>
      <c r="U2280" t="s">
        <v>11720</v>
      </c>
      <c r="V2280" t="s">
        <v>11720</v>
      </c>
      <c r="W2280" t="s">
        <v>13957</v>
      </c>
      <c r="X2280">
        <v>13</v>
      </c>
      <c r="Y2280" t="s">
        <v>19714</v>
      </c>
      <c r="Z2280" t="s">
        <v>25487</v>
      </c>
      <c r="AA2280">
        <v>0.32118292948840349</v>
      </c>
      <c r="AB2280" t="str">
        <f>HYPERLINK("Melting_Curves/meltCurve_P34949_MPI.pdf", "Melting_Curves/meltCurve_P34949_MPI.pdf")</f>
        <v>Melting_Curves/meltCurve_P34949_MPI.pdf</v>
      </c>
    </row>
    <row r="2281" spans="1:28" x14ac:dyDescent="0.25">
      <c r="A2281" t="s">
        <v>2285</v>
      </c>
      <c r="B2281">
        <v>0.99334974765950101</v>
      </c>
      <c r="C2281">
        <v>0.95618453624511202</v>
      </c>
      <c r="D2281">
        <v>0.87981092841187802</v>
      </c>
      <c r="E2281">
        <v>0.80686846663561596</v>
      </c>
      <c r="F2281">
        <v>0.72962658411663694</v>
      </c>
      <c r="G2281">
        <v>0.59842656196069799</v>
      </c>
      <c r="H2281">
        <v>0.45321253616354001</v>
      </c>
      <c r="I2281">
        <v>0.45501533403394201</v>
      </c>
      <c r="J2281">
        <v>0.34066174491294299</v>
      </c>
      <c r="K2281">
        <v>0.243364025250559</v>
      </c>
      <c r="L2281">
        <v>422.81003984986103</v>
      </c>
      <c r="M2281">
        <v>7.00560139514453</v>
      </c>
      <c r="N2281">
        <v>60.353139986688298</v>
      </c>
      <c r="O2281">
        <v>56.012748943719501</v>
      </c>
      <c r="P2281">
        <v>-3.1325687405037099E-2</v>
      </c>
      <c r="Q2281">
        <v>0</v>
      </c>
      <c r="R2281">
        <v>0.99098637438634896</v>
      </c>
      <c r="S2281" t="s">
        <v>8142</v>
      </c>
      <c r="T2281" t="s">
        <v>11720</v>
      </c>
      <c r="U2281" t="s">
        <v>11720</v>
      </c>
      <c r="V2281" t="s">
        <v>11720</v>
      </c>
      <c r="W2281" t="s">
        <v>13958</v>
      </c>
      <c r="X2281">
        <v>15</v>
      </c>
      <c r="Y2281" t="s">
        <v>19715</v>
      </c>
      <c r="Z2281" t="s">
        <v>25488</v>
      </c>
      <c r="AA2281">
        <v>0.65105916565740662</v>
      </c>
      <c r="AB2281" t="str">
        <f>HYPERLINK("Melting_Curves/meltCurve_P35052_GPC1.pdf", "Melting_Curves/meltCurve_P35052_GPC1.pdf")</f>
        <v>Melting_Curves/meltCurve_P35052_GPC1.pdf</v>
      </c>
    </row>
    <row r="2282" spans="1:28" x14ac:dyDescent="0.25">
      <c r="A2282" t="s">
        <v>2286</v>
      </c>
      <c r="B2282">
        <v>0.99334974765950101</v>
      </c>
      <c r="C2282">
        <v>1.0112932364476399</v>
      </c>
      <c r="D2282">
        <v>1.1743340996848699</v>
      </c>
      <c r="E2282">
        <v>1.37810389523448</v>
      </c>
      <c r="F2282">
        <v>1.36267726276373</v>
      </c>
      <c r="G2282">
        <v>0.56966606261880803</v>
      </c>
      <c r="H2282">
        <v>0.20564286398972101</v>
      </c>
      <c r="I2282">
        <v>0.154265903550448</v>
      </c>
      <c r="J2282">
        <v>0.129644439256276</v>
      </c>
      <c r="K2282">
        <v>0.12571085748907601</v>
      </c>
      <c r="L2282">
        <v>12407.733869068799</v>
      </c>
      <c r="M2282">
        <v>217.71377683220999</v>
      </c>
      <c r="N2282">
        <v>57.087427677553798</v>
      </c>
      <c r="O2282">
        <v>56.986225244666997</v>
      </c>
      <c r="P2282">
        <v>-0.80820380982500195</v>
      </c>
      <c r="Q2282">
        <v>0.153815855417786</v>
      </c>
      <c r="R2282">
        <v>0.87733918782816001</v>
      </c>
      <c r="S2282" t="s">
        <v>8143</v>
      </c>
      <c r="T2282" t="s">
        <v>11720</v>
      </c>
      <c r="U2282" t="s">
        <v>11720</v>
      </c>
      <c r="V2282" t="s">
        <v>11720</v>
      </c>
      <c r="W2282" t="s">
        <v>13959</v>
      </c>
      <c r="X2282">
        <v>47</v>
      </c>
      <c r="Y2282" t="s">
        <v>19716</v>
      </c>
      <c r="Z2282" t="s">
        <v>25489</v>
      </c>
      <c r="AA2282">
        <v>0.63317899195081939</v>
      </c>
      <c r="AB2282" t="str">
        <f>HYPERLINK("Melting_Curves/meltCurve_P35221_CTNNA1.pdf", "Melting_Curves/meltCurve_P35221_CTNNA1.pdf")</f>
        <v>Melting_Curves/meltCurve_P35221_CTNNA1.pdf</v>
      </c>
    </row>
    <row r="2283" spans="1:28" x14ac:dyDescent="0.25">
      <c r="A2283" t="s">
        <v>2287</v>
      </c>
      <c r="B2283">
        <v>0.99334974765950101</v>
      </c>
      <c r="C2283">
        <v>0.93165725632548402</v>
      </c>
      <c r="D2283">
        <v>0.91409863528577096</v>
      </c>
      <c r="E2283">
        <v>0.95237317937180399</v>
      </c>
      <c r="F2283">
        <v>1.3457330224538899</v>
      </c>
      <c r="G2283">
        <v>1.0146852490612199</v>
      </c>
      <c r="H2283">
        <v>0.98802160060045696</v>
      </c>
      <c r="I2283">
        <v>1.77615578869823</v>
      </c>
      <c r="J2283">
        <v>1.5685412788009001</v>
      </c>
      <c r="K2283">
        <v>1.0198746187612699</v>
      </c>
      <c r="L2283">
        <v>15000</v>
      </c>
      <c r="M2283">
        <v>241.59223378674801</v>
      </c>
      <c r="O2283">
        <v>62.083811064595103</v>
      </c>
      <c r="P2283">
        <v>0.442460589374087</v>
      </c>
      <c r="Q2283">
        <v>1.45481014615836</v>
      </c>
      <c r="R2283">
        <v>0.47237620534033797</v>
      </c>
      <c r="S2283" t="s">
        <v>8144</v>
      </c>
      <c r="T2283" t="s">
        <v>11720</v>
      </c>
      <c r="U2283" t="s">
        <v>11720</v>
      </c>
      <c r="V2283" t="s">
        <v>11720</v>
      </c>
      <c r="W2283" t="s">
        <v>13960</v>
      </c>
      <c r="X2283">
        <v>12</v>
      </c>
      <c r="Y2283" t="s">
        <v>19717</v>
      </c>
      <c r="Z2283" t="s">
        <v>25490</v>
      </c>
      <c r="AA2283">
        <v>1.1198941857211271</v>
      </c>
      <c r="AB2283" t="str">
        <f>HYPERLINK("Melting_Curves/meltCurve_P35232_PHB.pdf", "Melting_Curves/meltCurve_P35232_PHB.pdf")</f>
        <v>Melting_Curves/meltCurve_P35232_PHB.pdf</v>
      </c>
    </row>
    <row r="2284" spans="1:28" x14ac:dyDescent="0.25">
      <c r="A2284" t="s">
        <v>2288</v>
      </c>
      <c r="B2284">
        <v>0.99334974765950101</v>
      </c>
      <c r="C2284">
        <v>0.89891413578764101</v>
      </c>
      <c r="D2284">
        <v>0.91259123094277195</v>
      </c>
      <c r="E2284">
        <v>0.76732931886265698</v>
      </c>
      <c r="F2284">
        <v>0.87217790005108797</v>
      </c>
      <c r="G2284">
        <v>0.53356101916271104</v>
      </c>
      <c r="H2284">
        <v>0.18183621840213701</v>
      </c>
      <c r="I2284">
        <v>8.1714710605390095E-2</v>
      </c>
      <c r="J2284">
        <v>7.4321524810124107E-2</v>
      </c>
      <c r="K2284">
        <v>5.7750092620003697E-2</v>
      </c>
      <c r="L2284">
        <v>1010.30796063919</v>
      </c>
      <c r="M2284">
        <v>17.755861432017301</v>
      </c>
      <c r="N2284">
        <v>56.899969021209202</v>
      </c>
      <c r="O2284">
        <v>56.192932521543398</v>
      </c>
      <c r="P2284">
        <v>-7.8999167500507297E-2</v>
      </c>
      <c r="Q2284">
        <v>0</v>
      </c>
      <c r="R2284">
        <v>0.96326557743399899</v>
      </c>
      <c r="S2284" t="s">
        <v>8145</v>
      </c>
      <c r="T2284" t="s">
        <v>11720</v>
      </c>
      <c r="U2284" t="s">
        <v>11720</v>
      </c>
      <c r="V2284" t="s">
        <v>11720</v>
      </c>
      <c r="W2284" t="s">
        <v>13961</v>
      </c>
      <c r="X2284">
        <v>35</v>
      </c>
      <c r="Y2284" t="s">
        <v>19718</v>
      </c>
      <c r="Z2284" t="s">
        <v>25491</v>
      </c>
      <c r="AA2284">
        <v>0.57735751841643479</v>
      </c>
      <c r="AB2284" t="str">
        <f>HYPERLINK("Melting_Curves/meltCurve_P35237_SERPINB6.pdf", "Melting_Curves/meltCurve_P35237_SERPINB6.pdf")</f>
        <v>Melting_Curves/meltCurve_P35237_SERPINB6.pdf</v>
      </c>
    </row>
    <row r="2285" spans="1:28" x14ac:dyDescent="0.25">
      <c r="A2285" t="s">
        <v>2289</v>
      </c>
      <c r="B2285">
        <v>0.99334974765950101</v>
      </c>
      <c r="C2285">
        <v>1.05941058621512</v>
      </c>
      <c r="D2285">
        <v>1.00486942360189</v>
      </c>
      <c r="E2285">
        <v>0.78955617731523697</v>
      </c>
      <c r="F2285">
        <v>0.30915238487396002</v>
      </c>
      <c r="G2285">
        <v>0.18390369143281601</v>
      </c>
      <c r="H2285">
        <v>0.15054214524642401</v>
      </c>
      <c r="I2285">
        <v>0.151264186113307</v>
      </c>
      <c r="J2285">
        <v>0.15205376902533199</v>
      </c>
      <c r="K2285">
        <v>0.142330639133988</v>
      </c>
      <c r="L2285">
        <v>2275.5929729365898</v>
      </c>
      <c r="M2285">
        <v>44.407857659303303</v>
      </c>
      <c r="N2285">
        <v>51.669911004786698</v>
      </c>
      <c r="O2285">
        <v>51.139436798189102</v>
      </c>
      <c r="P2285">
        <v>-0.183755373402755</v>
      </c>
      <c r="Q2285">
        <v>0.15356119092859599</v>
      </c>
      <c r="R2285">
        <v>0.99718673407613301</v>
      </c>
      <c r="S2285" t="s">
        <v>8146</v>
      </c>
      <c r="T2285" t="s">
        <v>11720</v>
      </c>
      <c r="U2285" t="s">
        <v>11720</v>
      </c>
      <c r="V2285" t="s">
        <v>11720</v>
      </c>
      <c r="W2285" t="s">
        <v>13962</v>
      </c>
      <c r="X2285">
        <v>15</v>
      </c>
      <c r="Y2285" t="s">
        <v>19719</v>
      </c>
      <c r="Z2285" t="s">
        <v>25492</v>
      </c>
      <c r="AA2285">
        <v>0.47320771033215309</v>
      </c>
      <c r="AB2285" t="str">
        <f>HYPERLINK("Melting_Curves/meltCurve_P35240_5_NF2.pdf", "Melting_Curves/meltCurve_P35240_5_NF2.pdf")</f>
        <v>Melting_Curves/meltCurve_P35240_5_NF2.pdf</v>
      </c>
    </row>
    <row r="2286" spans="1:28" x14ac:dyDescent="0.25">
      <c r="A2286" t="s">
        <v>2290</v>
      </c>
      <c r="B2286">
        <v>0.99334974765950101</v>
      </c>
      <c r="C2286">
        <v>1.02498809842019</v>
      </c>
      <c r="D2286">
        <v>1.03286932303129</v>
      </c>
      <c r="E2286">
        <v>0.93298689626756903</v>
      </c>
      <c r="F2286">
        <v>0.98096624885802797</v>
      </c>
      <c r="G2286">
        <v>0.80686022501728405</v>
      </c>
      <c r="H2286">
        <v>0.21102909265733799</v>
      </c>
      <c r="I2286">
        <v>0.115276747832424</v>
      </c>
      <c r="J2286">
        <v>0.100545395152251</v>
      </c>
      <c r="K2286">
        <v>9.9606978558117495E-2</v>
      </c>
      <c r="L2286">
        <v>2802.7578621340699</v>
      </c>
      <c r="M2286">
        <v>47.882368302393097</v>
      </c>
      <c r="N2286">
        <v>58.805131241292301</v>
      </c>
      <c r="O2286">
        <v>58.432412530926101</v>
      </c>
      <c r="P2286">
        <v>-0.184586782975981</v>
      </c>
      <c r="Q2286">
        <v>9.8971905814707203E-2</v>
      </c>
      <c r="R2286">
        <v>0.99624282629810001</v>
      </c>
      <c r="S2286" t="s">
        <v>8147</v>
      </c>
      <c r="T2286" t="s">
        <v>11720</v>
      </c>
      <c r="U2286" t="s">
        <v>11720</v>
      </c>
      <c r="V2286" t="s">
        <v>11720</v>
      </c>
      <c r="W2286" t="s">
        <v>13963</v>
      </c>
      <c r="X2286">
        <v>53</v>
      </c>
      <c r="Y2286" t="s">
        <v>18067</v>
      </c>
      <c r="Z2286" t="s">
        <v>25493</v>
      </c>
      <c r="AA2286">
        <v>0.65815048907114371</v>
      </c>
      <c r="AB2286" t="str">
        <f>HYPERLINK("Melting_Curves/meltCurve_P35241_RDX.pdf", "Melting_Curves/meltCurve_P35241_RDX.pdf")</f>
        <v>Melting_Curves/meltCurve_P35241_RDX.pdf</v>
      </c>
    </row>
    <row r="2287" spans="1:28" x14ac:dyDescent="0.25">
      <c r="A2287" t="s">
        <v>2291</v>
      </c>
      <c r="B2287">
        <v>0.99334974765950101</v>
      </c>
      <c r="C2287">
        <v>1.02123460011654</v>
      </c>
      <c r="D2287">
        <v>1.04135249768516</v>
      </c>
      <c r="E2287">
        <v>0.88003173977913496</v>
      </c>
      <c r="F2287">
        <v>0.74755075302158103</v>
      </c>
      <c r="G2287">
        <v>0.45087131290754201</v>
      </c>
      <c r="H2287">
        <v>0.20696605686476999</v>
      </c>
      <c r="I2287">
        <v>0.154328253151924</v>
      </c>
      <c r="J2287">
        <v>0.126059723650257</v>
      </c>
      <c r="K2287">
        <v>9.9938818108520705E-2</v>
      </c>
      <c r="L2287">
        <v>1082.4869154517501</v>
      </c>
      <c r="M2287">
        <v>19.4626572729392</v>
      </c>
      <c r="N2287">
        <v>56.160116206035603</v>
      </c>
      <c r="O2287">
        <v>55.041469869641901</v>
      </c>
      <c r="P2287">
        <v>-8.0840669732984705E-2</v>
      </c>
      <c r="Q2287">
        <v>8.55456371018532E-2</v>
      </c>
      <c r="R2287">
        <v>0.99646737350821502</v>
      </c>
      <c r="S2287" t="s">
        <v>8148</v>
      </c>
      <c r="T2287" t="s">
        <v>11720</v>
      </c>
      <c r="U2287" t="s">
        <v>11720</v>
      </c>
      <c r="V2287" t="s">
        <v>11720</v>
      </c>
      <c r="W2287" t="s">
        <v>13964</v>
      </c>
      <c r="X2287">
        <v>6</v>
      </c>
      <c r="Y2287" t="s">
        <v>19720</v>
      </c>
      <c r="Z2287" t="s">
        <v>25494</v>
      </c>
      <c r="AA2287">
        <v>0.5740435985495066</v>
      </c>
      <c r="AB2287" t="str">
        <f>HYPERLINK("Melting_Curves/meltCurve_P35244_RPA3.pdf", "Melting_Curves/meltCurve_P35244_RPA3.pdf")</f>
        <v>Melting_Curves/meltCurve_P35244_RPA3.pdf</v>
      </c>
    </row>
    <row r="2288" spans="1:28" x14ac:dyDescent="0.25">
      <c r="A2288" t="s">
        <v>2292</v>
      </c>
      <c r="B2288">
        <v>0.99334974765950101</v>
      </c>
      <c r="C2288">
        <v>0.93226175697360103</v>
      </c>
      <c r="D2288">
        <v>0.92478437880698705</v>
      </c>
      <c r="E2288">
        <v>0.72497533222660104</v>
      </c>
      <c r="F2288">
        <v>0.21889712459087801</v>
      </c>
      <c r="G2288">
        <v>0.187117492539637</v>
      </c>
      <c r="H2288">
        <v>0.143922249325563</v>
      </c>
      <c r="I2288">
        <v>0.117965849548748</v>
      </c>
      <c r="J2288">
        <v>7.1938926622906393E-2</v>
      </c>
      <c r="K2288">
        <v>5.4627743560865E-2</v>
      </c>
      <c r="L2288">
        <v>2237.8083573018698</v>
      </c>
      <c r="M2288">
        <v>44.009987469877899</v>
      </c>
      <c r="N2288">
        <v>51.138229809795497</v>
      </c>
      <c r="O2288">
        <v>50.743075511361099</v>
      </c>
      <c r="P2288">
        <v>-0.19284606881671701</v>
      </c>
      <c r="Q2288">
        <v>0.11060265812821</v>
      </c>
      <c r="R2288">
        <v>0.98620701212784201</v>
      </c>
      <c r="S2288" t="s">
        <v>8149</v>
      </c>
      <c r="T2288" t="s">
        <v>11720</v>
      </c>
      <c r="U2288" t="s">
        <v>11720</v>
      </c>
      <c r="V2288" t="s">
        <v>11720</v>
      </c>
      <c r="W2288" t="s">
        <v>13965</v>
      </c>
      <c r="X2288">
        <v>3</v>
      </c>
      <c r="Y2288" t="s">
        <v>19721</v>
      </c>
      <c r="Z2288" t="s">
        <v>25495</v>
      </c>
      <c r="AA2288">
        <v>0.4347797794250774</v>
      </c>
      <c r="AB2288" t="str">
        <f>HYPERLINK("Melting_Curves/meltCurve_P35250_RFC2.pdf", "Melting_Curves/meltCurve_P35250_RFC2.pdf")</f>
        <v>Melting_Curves/meltCurve_P35250_RFC2.pdf</v>
      </c>
    </row>
    <row r="2289" spans="1:28" x14ac:dyDescent="0.25">
      <c r="A2289" t="s">
        <v>2293</v>
      </c>
      <c r="B2289">
        <v>0.99334974765950101</v>
      </c>
      <c r="C2289">
        <v>1.0447024582250499</v>
      </c>
      <c r="D2289">
        <v>0.97270056848441899</v>
      </c>
      <c r="E2289">
        <v>0.96297843036435904</v>
      </c>
      <c r="F2289">
        <v>0.82358498712350603</v>
      </c>
      <c r="G2289">
        <v>0.56781025086761105</v>
      </c>
      <c r="H2289">
        <v>0.34580706100571401</v>
      </c>
      <c r="I2289">
        <v>0.211233011291588</v>
      </c>
      <c r="J2289">
        <v>0.15197694372856099</v>
      </c>
      <c r="K2289">
        <v>0.13767562658515201</v>
      </c>
      <c r="L2289">
        <v>1030.9498119336699</v>
      </c>
      <c r="M2289">
        <v>17.967995226883598</v>
      </c>
      <c r="N2289">
        <v>58.077072368844597</v>
      </c>
      <c r="O2289">
        <v>56.680463284446503</v>
      </c>
      <c r="P2289">
        <v>-7.1538222456629899E-2</v>
      </c>
      <c r="Q2289">
        <v>9.7368832147982906E-2</v>
      </c>
      <c r="R2289">
        <v>0.99719086176096905</v>
      </c>
      <c r="S2289" t="s">
        <v>8150</v>
      </c>
      <c r="T2289" t="s">
        <v>11720</v>
      </c>
      <c r="U2289" t="s">
        <v>11720</v>
      </c>
      <c r="V2289" t="s">
        <v>11720</v>
      </c>
      <c r="W2289" t="s">
        <v>13966</v>
      </c>
      <c r="X2289">
        <v>7</v>
      </c>
      <c r="Y2289" t="s">
        <v>19722</v>
      </c>
      <c r="Z2289" t="s">
        <v>25496</v>
      </c>
      <c r="AA2289">
        <v>0.63218807440384228</v>
      </c>
      <c r="AB2289" t="str">
        <f>HYPERLINK("Melting_Curves/meltCurve_P35268_RPL22.pdf", "Melting_Curves/meltCurve_P35268_RPL22.pdf")</f>
        <v>Melting_Curves/meltCurve_P35268_RPL22.pdf</v>
      </c>
    </row>
    <row r="2290" spans="1:28" x14ac:dyDescent="0.25">
      <c r="A2290" t="s">
        <v>2294</v>
      </c>
      <c r="B2290">
        <v>0.99334974765950101</v>
      </c>
      <c r="C2290">
        <v>1.0304691388326399</v>
      </c>
      <c r="D2290">
        <v>0.88662476535401402</v>
      </c>
      <c r="E2290">
        <v>0.832112643044573</v>
      </c>
      <c r="F2290">
        <v>0.80731842076657601</v>
      </c>
      <c r="G2290">
        <v>0.63090171280514495</v>
      </c>
      <c r="H2290">
        <v>0.55689518190185205</v>
      </c>
      <c r="I2290">
        <v>0.55142344802427501</v>
      </c>
      <c r="J2290">
        <v>0.73663741281393702</v>
      </c>
      <c r="K2290">
        <v>0.96203392710343105</v>
      </c>
      <c r="L2290">
        <v>1037.14498618941</v>
      </c>
      <c r="M2290">
        <v>21.168467429715601</v>
      </c>
      <c r="O2290">
        <v>48.563862181359099</v>
      </c>
      <c r="P2290">
        <v>-3.3263098654636697E-2</v>
      </c>
      <c r="Q2290">
        <v>0.69476444705816998</v>
      </c>
      <c r="R2290">
        <v>0.53646953119920704</v>
      </c>
      <c r="S2290" t="s">
        <v>8151</v>
      </c>
      <c r="T2290" t="s">
        <v>11720</v>
      </c>
      <c r="U2290" t="s">
        <v>11720</v>
      </c>
      <c r="V2290" t="s">
        <v>11720</v>
      </c>
      <c r="W2290" t="s">
        <v>13967</v>
      </c>
      <c r="X2290">
        <v>10</v>
      </c>
      <c r="Y2290" t="s">
        <v>19723</v>
      </c>
      <c r="Z2290" t="s">
        <v>25497</v>
      </c>
      <c r="AA2290">
        <v>0.79009037817730388</v>
      </c>
      <c r="AB2290" t="str">
        <f>HYPERLINK("Melting_Curves/meltCurve_P35269_GTF2F1.pdf", "Melting_Curves/meltCurve_P35269_GTF2F1.pdf")</f>
        <v>Melting_Curves/meltCurve_P35269_GTF2F1.pdf</v>
      </c>
    </row>
    <row r="2291" spans="1:28" x14ac:dyDescent="0.25">
      <c r="A2291" t="s">
        <v>2295</v>
      </c>
      <c r="B2291">
        <v>0.99334974765950101</v>
      </c>
      <c r="C2291">
        <v>0.94931808179891897</v>
      </c>
      <c r="D2291">
        <v>0.92543634102794603</v>
      </c>
      <c r="E2291">
        <v>0.65917033875650699</v>
      </c>
      <c r="F2291">
        <v>0.25540331363673302</v>
      </c>
      <c r="G2291">
        <v>0.14962832123366901</v>
      </c>
      <c r="H2291">
        <v>0.105247141027103</v>
      </c>
      <c r="I2291">
        <v>7.0372231342069796E-2</v>
      </c>
      <c r="J2291">
        <v>5.0539817984220102E-2</v>
      </c>
      <c r="K2291">
        <v>3.61379744524764E-2</v>
      </c>
      <c r="L2291">
        <v>1366.15074235157</v>
      </c>
      <c r="M2291">
        <v>26.896286314574699</v>
      </c>
      <c r="N2291">
        <v>51.058618285158197</v>
      </c>
      <c r="O2291">
        <v>50.514976361481203</v>
      </c>
      <c r="P2291">
        <v>-0.124430128915047</v>
      </c>
      <c r="Q2291">
        <v>6.5220584078714103E-2</v>
      </c>
      <c r="R2291">
        <v>0.99462573804588605</v>
      </c>
      <c r="S2291" t="s">
        <v>8152</v>
      </c>
      <c r="T2291" t="s">
        <v>11720</v>
      </c>
      <c r="U2291" t="s">
        <v>11720</v>
      </c>
      <c r="V2291" t="s">
        <v>11720</v>
      </c>
      <c r="W2291" t="s">
        <v>13968</v>
      </c>
      <c r="X2291">
        <v>14</v>
      </c>
      <c r="Y2291" t="s">
        <v>19724</v>
      </c>
      <c r="Z2291" t="s">
        <v>25498</v>
      </c>
      <c r="AA2291">
        <v>0.40881959149190888</v>
      </c>
      <c r="AB2291" t="str">
        <f>HYPERLINK("Melting_Curves/meltCurve_P35270_SPR.pdf", "Melting_Curves/meltCurve_P35270_SPR.pdf")</f>
        <v>Melting_Curves/meltCurve_P35270_SPR.pdf</v>
      </c>
    </row>
    <row r="2292" spans="1:28" x14ac:dyDescent="0.25">
      <c r="A2292" t="s">
        <v>2296</v>
      </c>
      <c r="B2292">
        <v>0.99334974765950101</v>
      </c>
      <c r="C2292">
        <v>1.1161712821243299</v>
      </c>
      <c r="D2292">
        <v>0.77827135018220495</v>
      </c>
      <c r="E2292">
        <v>0.66637282536812004</v>
      </c>
      <c r="F2292">
        <v>0.73024881584283996</v>
      </c>
      <c r="G2292">
        <v>0.61050936780697496</v>
      </c>
      <c r="H2292">
        <v>0.57303058316339395</v>
      </c>
      <c r="I2292">
        <v>0.93527314268332595</v>
      </c>
      <c r="J2292">
        <v>0.82948142085504595</v>
      </c>
      <c r="K2292">
        <v>0.64378602450211697</v>
      </c>
      <c r="L2292">
        <v>11443.977345035701</v>
      </c>
      <c r="M2292">
        <v>250</v>
      </c>
      <c r="O2292">
        <v>45.772979949930601</v>
      </c>
      <c r="P2292">
        <v>-0.39232788538611402</v>
      </c>
      <c r="Q2292">
        <v>0.71267173695674702</v>
      </c>
      <c r="R2292">
        <v>0.60735570119219895</v>
      </c>
      <c r="S2292" t="s">
        <v>8153</v>
      </c>
      <c r="T2292" t="s">
        <v>11720</v>
      </c>
      <c r="U2292" t="s">
        <v>11720</v>
      </c>
      <c r="V2292" t="s">
        <v>11720</v>
      </c>
      <c r="W2292" t="s">
        <v>13969</v>
      </c>
      <c r="X2292">
        <v>1</v>
      </c>
      <c r="Y2292" t="s">
        <v>19725</v>
      </c>
      <c r="Z2292" t="s">
        <v>25499</v>
      </c>
      <c r="AA2292">
        <v>0.76801422008559617</v>
      </c>
      <c r="AB2292" t="str">
        <f>HYPERLINK("Melting_Curves/meltCurve_P35398_2_RORA.pdf", "Melting_Curves/meltCurve_P35398_2_RORA.pdf")</f>
        <v>Melting_Curves/meltCurve_P35398_2_RORA.pdf</v>
      </c>
    </row>
    <row r="2293" spans="1:28" x14ac:dyDescent="0.25">
      <c r="A2293" t="s">
        <v>2297</v>
      </c>
      <c r="B2293">
        <v>0.99334974765950101</v>
      </c>
      <c r="C2293">
        <v>0.85635824479683398</v>
      </c>
      <c r="D2293">
        <v>0.723775658904104</v>
      </c>
      <c r="E2293">
        <v>0.57872002068127504</v>
      </c>
      <c r="F2293">
        <v>0.54066716362214295</v>
      </c>
      <c r="G2293">
        <v>0.30878657107632201</v>
      </c>
      <c r="H2293">
        <v>0.36386218599429698</v>
      </c>
      <c r="I2293">
        <v>0.34366532442130499</v>
      </c>
      <c r="J2293">
        <v>0.44726596602040403</v>
      </c>
      <c r="K2293">
        <v>0.432785451346751</v>
      </c>
      <c r="L2293">
        <v>704.60537801462306</v>
      </c>
      <c r="M2293">
        <v>14.982483357481501</v>
      </c>
      <c r="N2293">
        <v>51.865831112800301</v>
      </c>
      <c r="O2293">
        <v>46.214660302089897</v>
      </c>
      <c r="P2293">
        <v>-5.0549169715479701E-2</v>
      </c>
      <c r="Q2293">
        <v>0.37637161319703999</v>
      </c>
      <c r="R2293">
        <v>0.939988927614547</v>
      </c>
      <c r="S2293" t="s">
        <v>8154</v>
      </c>
      <c r="T2293" t="s">
        <v>11720</v>
      </c>
      <c r="U2293" t="s">
        <v>11720</v>
      </c>
      <c r="V2293" t="s">
        <v>11720</v>
      </c>
      <c r="W2293" t="s">
        <v>13970</v>
      </c>
      <c r="X2293">
        <v>4</v>
      </c>
      <c r="Y2293" t="s">
        <v>19726</v>
      </c>
      <c r="Z2293" t="s">
        <v>25500</v>
      </c>
      <c r="AA2293">
        <v>0.539433933661287</v>
      </c>
      <c r="AB2293" t="str">
        <f>HYPERLINK("Melting_Curves/meltCurve_P35442_THBS2.pdf", "Melting_Curves/meltCurve_P35442_THBS2.pdf")</f>
        <v>Melting_Curves/meltCurve_P35442_THBS2.pdf</v>
      </c>
    </row>
    <row r="2294" spans="1:28" x14ac:dyDescent="0.25">
      <c r="A2294" t="s">
        <v>2298</v>
      </c>
      <c r="B2294">
        <v>0.99334974765950101</v>
      </c>
      <c r="C2294">
        <v>1.0154082833786</v>
      </c>
      <c r="D2294">
        <v>0.97246207614735702</v>
      </c>
      <c r="E2294">
        <v>0.80215400275675297</v>
      </c>
      <c r="F2294">
        <v>0.34848160123800498</v>
      </c>
      <c r="G2294">
        <v>0.16004962143670801</v>
      </c>
      <c r="H2294">
        <v>0.115410131404451</v>
      </c>
      <c r="I2294">
        <v>8.2385276800251706E-2</v>
      </c>
      <c r="J2294">
        <v>9.20499446481996E-2</v>
      </c>
      <c r="K2294">
        <v>7.0179017029806001E-2</v>
      </c>
      <c r="L2294">
        <v>1831.8396876466099</v>
      </c>
      <c r="M2294">
        <v>35.430618544476701</v>
      </c>
      <c r="N2294">
        <v>52.010361317688997</v>
      </c>
      <c r="O2294">
        <v>51.538290049984198</v>
      </c>
      <c r="P2294">
        <v>-0.15559247600714199</v>
      </c>
      <c r="Q2294">
        <v>9.46877533505536E-2</v>
      </c>
      <c r="R2294">
        <v>0.99813057594671295</v>
      </c>
      <c r="S2294" t="s">
        <v>8155</v>
      </c>
      <c r="T2294" t="s">
        <v>11720</v>
      </c>
      <c r="U2294" t="s">
        <v>11720</v>
      </c>
      <c r="V2294" t="s">
        <v>11720</v>
      </c>
      <c r="W2294" t="s">
        <v>13971</v>
      </c>
      <c r="X2294">
        <v>14</v>
      </c>
      <c r="Y2294" t="s">
        <v>19727</v>
      </c>
      <c r="Z2294" t="s">
        <v>25501</v>
      </c>
      <c r="AA2294">
        <v>0.45195240946279491</v>
      </c>
      <c r="AB2294" t="str">
        <f>HYPERLINK("Melting_Curves/meltCurve_P35520_CBS.pdf", "Melting_Curves/meltCurve_P35520_CBS.pdf")</f>
        <v>Melting_Curves/meltCurve_P35520_CBS.pdf</v>
      </c>
    </row>
    <row r="2295" spans="1:28" x14ac:dyDescent="0.25">
      <c r="A2295" t="s">
        <v>2299</v>
      </c>
      <c r="B2295">
        <v>0.99334974765950101</v>
      </c>
      <c r="C2295">
        <v>1.0107968973813399</v>
      </c>
      <c r="D2295">
        <v>0.99459017823526996</v>
      </c>
      <c r="E2295">
        <v>0.96341425746005804</v>
      </c>
      <c r="F2295">
        <v>0.78725420777897903</v>
      </c>
      <c r="G2295">
        <v>0.62775969861176495</v>
      </c>
      <c r="H2295">
        <v>0.57877899407182498</v>
      </c>
      <c r="I2295">
        <v>0.81752686008697695</v>
      </c>
      <c r="J2295">
        <v>0.68516698238960505</v>
      </c>
      <c r="K2295">
        <v>0.67924568431384102</v>
      </c>
      <c r="L2295">
        <v>2805.3760945725999</v>
      </c>
      <c r="M2295">
        <v>53.687222112248499</v>
      </c>
      <c r="O2295">
        <v>52.181727447240903</v>
      </c>
      <c r="P2295">
        <v>-8.2879854811101994E-2</v>
      </c>
      <c r="Q2295">
        <v>0.67777725549392698</v>
      </c>
      <c r="R2295">
        <v>0.87018296009224705</v>
      </c>
      <c r="S2295" t="s">
        <v>8156</v>
      </c>
      <c r="T2295" t="s">
        <v>11720</v>
      </c>
      <c r="U2295" t="s">
        <v>11720</v>
      </c>
      <c r="V2295" t="s">
        <v>11720</v>
      </c>
      <c r="W2295" t="s">
        <v>13972</v>
      </c>
      <c r="X2295">
        <v>55</v>
      </c>
      <c r="Y2295" t="s">
        <v>19728</v>
      </c>
      <c r="Z2295" t="s">
        <v>25502</v>
      </c>
      <c r="AA2295">
        <v>0.81003899231224641</v>
      </c>
      <c r="AB2295" t="str">
        <f>HYPERLINK("Melting_Curves/meltCurve_P35555_FBN1.pdf", "Melting_Curves/meltCurve_P35555_FBN1.pdf")</f>
        <v>Melting_Curves/meltCurve_P35555_FBN1.pdf</v>
      </c>
    </row>
    <row r="2296" spans="1:28" x14ac:dyDescent="0.25">
      <c r="A2296" t="s">
        <v>2300</v>
      </c>
      <c r="B2296">
        <v>0.99334974765950101</v>
      </c>
      <c r="C2296">
        <v>1.00669224094173</v>
      </c>
      <c r="D2296">
        <v>0.952184667160906</v>
      </c>
      <c r="E2296">
        <v>0.83569964490347604</v>
      </c>
      <c r="F2296">
        <v>0.78359060703485295</v>
      </c>
      <c r="G2296">
        <v>0.61646545331673697</v>
      </c>
      <c r="H2296">
        <v>0.52940603915708695</v>
      </c>
      <c r="I2296">
        <v>0.65348183448888897</v>
      </c>
      <c r="J2296">
        <v>0.65477211904784205</v>
      </c>
      <c r="K2296">
        <v>0.60719272243939504</v>
      </c>
      <c r="L2296">
        <v>1083.88840708524</v>
      </c>
      <c r="M2296">
        <v>21.132817777291699</v>
      </c>
      <c r="O2296">
        <v>50.836703209961399</v>
      </c>
      <c r="P2296">
        <v>-4.10841714481937E-2</v>
      </c>
      <c r="Q2296">
        <v>0.60468511814137604</v>
      </c>
      <c r="R2296">
        <v>0.94313352895480596</v>
      </c>
      <c r="S2296" t="s">
        <v>8157</v>
      </c>
      <c r="T2296" t="s">
        <v>11720</v>
      </c>
      <c r="U2296" t="s">
        <v>11720</v>
      </c>
      <c r="V2296" t="s">
        <v>11720</v>
      </c>
      <c r="W2296" t="s">
        <v>13973</v>
      </c>
      <c r="X2296">
        <v>11</v>
      </c>
      <c r="Y2296" t="s">
        <v>19729</v>
      </c>
      <c r="Z2296" t="s">
        <v>25503</v>
      </c>
      <c r="AA2296">
        <v>0.75839458095590961</v>
      </c>
      <c r="AB2296" t="str">
        <f>HYPERLINK("Melting_Curves/meltCurve_P35556_FBN2.pdf", "Melting_Curves/meltCurve_P35556_FBN2.pdf")</f>
        <v>Melting_Curves/meltCurve_P35556_FBN2.pdf</v>
      </c>
    </row>
    <row r="2297" spans="1:28" x14ac:dyDescent="0.25">
      <c r="A2297" t="s">
        <v>2301</v>
      </c>
      <c r="B2297">
        <v>0.99334974765950101</v>
      </c>
      <c r="C2297">
        <v>0.91255368700686901</v>
      </c>
      <c r="D2297">
        <v>0.69723601163495896</v>
      </c>
      <c r="E2297">
        <v>0.63687407624272796</v>
      </c>
      <c r="F2297">
        <v>0.69329791489135495</v>
      </c>
      <c r="G2297">
        <v>0.52296571471064601</v>
      </c>
      <c r="H2297">
        <v>0.45715790045609001</v>
      </c>
      <c r="I2297">
        <v>0.50222824586794901</v>
      </c>
      <c r="J2297">
        <v>0.486586166934457</v>
      </c>
      <c r="K2297">
        <v>0.44128672025642302</v>
      </c>
      <c r="L2297">
        <v>509.60202267575698</v>
      </c>
      <c r="M2297">
        <v>10.63039993193</v>
      </c>
      <c r="N2297">
        <v>60.714546177785301</v>
      </c>
      <c r="O2297">
        <v>46.335095186979899</v>
      </c>
      <c r="P2297">
        <v>-3.1752482813322699E-2</v>
      </c>
      <c r="Q2297">
        <v>0.44661032466543998</v>
      </c>
      <c r="R2297">
        <v>0.92438196912113402</v>
      </c>
      <c r="S2297" t="s">
        <v>8158</v>
      </c>
      <c r="T2297" t="s">
        <v>11720</v>
      </c>
      <c r="U2297" t="s">
        <v>11720</v>
      </c>
      <c r="V2297" t="s">
        <v>11720</v>
      </c>
      <c r="W2297" t="s">
        <v>13974</v>
      </c>
      <c r="X2297">
        <v>8</v>
      </c>
      <c r="Y2297" t="s">
        <v>19730</v>
      </c>
      <c r="Z2297" t="s">
        <v>25504</v>
      </c>
      <c r="AA2297">
        <v>0.61976387436728231</v>
      </c>
      <c r="AB2297" t="str">
        <f>HYPERLINK("Melting_Curves/meltCurve_P35568_IRS1.pdf", "Melting_Curves/meltCurve_P35568_IRS1.pdf")</f>
        <v>Melting_Curves/meltCurve_P35568_IRS1.pdf</v>
      </c>
    </row>
    <row r="2298" spans="1:28" x14ac:dyDescent="0.25">
      <c r="A2298" t="s">
        <v>2302</v>
      </c>
      <c r="B2298">
        <v>0.99334974765950101</v>
      </c>
      <c r="C2298">
        <v>1.17811947447958</v>
      </c>
      <c r="D2298">
        <v>1.53034226679827</v>
      </c>
      <c r="E2298">
        <v>2.36671705327818</v>
      </c>
      <c r="F2298">
        <v>1.8653598998385601</v>
      </c>
      <c r="G2298">
        <v>0.80481052345975601</v>
      </c>
      <c r="H2298">
        <v>0.71366412654265698</v>
      </c>
      <c r="I2298">
        <v>0.79920926405973902</v>
      </c>
      <c r="J2298">
        <v>0.85121968933316305</v>
      </c>
      <c r="K2298">
        <v>0.70723941139419999</v>
      </c>
      <c r="L2298">
        <v>14155.1717099054</v>
      </c>
      <c r="M2298">
        <v>250</v>
      </c>
      <c r="O2298">
        <v>56.617039267122202</v>
      </c>
      <c r="P2298">
        <v>-0.25629080418158701</v>
      </c>
      <c r="Q2298">
        <v>0.76783307588632799</v>
      </c>
      <c r="R2298">
        <v>-2.5751121187861999E-2</v>
      </c>
      <c r="S2298" t="s">
        <v>8159</v>
      </c>
      <c r="T2298" t="s">
        <v>11720</v>
      </c>
      <c r="U2298" t="s">
        <v>11720</v>
      </c>
      <c r="V2298" t="s">
        <v>11720</v>
      </c>
      <c r="W2298" t="s">
        <v>13975</v>
      </c>
      <c r="X2298">
        <v>194</v>
      </c>
      <c r="Y2298" t="s">
        <v>19731</v>
      </c>
      <c r="Z2298" t="s">
        <v>25505</v>
      </c>
      <c r="AA2298">
        <v>0.89648193728811065</v>
      </c>
      <c r="AB2298" t="str">
        <f>HYPERLINK("Melting_Curves/meltCurve_P35579_MYH9.pdf", "Melting_Curves/meltCurve_P35579_MYH9.pdf")</f>
        <v>Melting_Curves/meltCurve_P35579_MYH9.pdf</v>
      </c>
    </row>
    <row r="2299" spans="1:28" x14ac:dyDescent="0.25">
      <c r="A2299" t="s">
        <v>2303</v>
      </c>
      <c r="B2299">
        <v>0.99334974765950101</v>
      </c>
      <c r="C2299">
        <v>1.1145320499838101</v>
      </c>
      <c r="D2299">
        <v>1.38310875565826</v>
      </c>
      <c r="E2299">
        <v>1.60141108186026</v>
      </c>
      <c r="F2299">
        <v>1.47476561836579</v>
      </c>
      <c r="G2299">
        <v>0.92965797588944099</v>
      </c>
      <c r="H2299">
        <v>0.86356265677900601</v>
      </c>
      <c r="I2299">
        <v>0.89506316784686002</v>
      </c>
      <c r="J2299">
        <v>0.88618254695160603</v>
      </c>
      <c r="K2299">
        <v>0.79122689568045002</v>
      </c>
      <c r="L2299">
        <v>14250.2483635108</v>
      </c>
      <c r="M2299">
        <v>250</v>
      </c>
      <c r="O2299">
        <v>56.997345783936403</v>
      </c>
      <c r="P2299">
        <v>-0.15460279877997099</v>
      </c>
      <c r="Q2299">
        <v>0.85900881330372103</v>
      </c>
      <c r="R2299">
        <v>-3.4093099493643902E-3</v>
      </c>
      <c r="S2299" t="s">
        <v>8160</v>
      </c>
      <c r="T2299" t="s">
        <v>11720</v>
      </c>
      <c r="U2299" t="s">
        <v>11720</v>
      </c>
      <c r="V2299" t="s">
        <v>11720</v>
      </c>
      <c r="W2299" t="s">
        <v>13976</v>
      </c>
      <c r="X2299">
        <v>67</v>
      </c>
      <c r="Y2299" t="s">
        <v>19732</v>
      </c>
      <c r="Z2299" t="s">
        <v>25506</v>
      </c>
      <c r="AA2299">
        <v>0.93892259221453167</v>
      </c>
      <c r="AB2299" t="str">
        <f>HYPERLINK("Melting_Curves/meltCurve_P35580_MYH10.pdf", "Melting_Curves/meltCurve_P35580_MYH10.pdf")</f>
        <v>Melting_Curves/meltCurve_P35580_MYH10.pdf</v>
      </c>
    </row>
    <row r="2300" spans="1:28" x14ac:dyDescent="0.25">
      <c r="A2300" t="s">
        <v>2304</v>
      </c>
      <c r="B2300">
        <v>0.99334974765950101</v>
      </c>
      <c r="C2300">
        <v>1.0100014898029099</v>
      </c>
      <c r="D2300">
        <v>1.07224633534361</v>
      </c>
      <c r="E2300">
        <v>1.1053296287209899</v>
      </c>
      <c r="F2300">
        <v>0.73014493452311702</v>
      </c>
      <c r="G2300">
        <v>0.427682480437233</v>
      </c>
      <c r="H2300">
        <v>0.218894984079787</v>
      </c>
      <c r="I2300">
        <v>0.16588079870168199</v>
      </c>
      <c r="J2300">
        <v>0.15055402994394501</v>
      </c>
      <c r="K2300">
        <v>0.114491243534476</v>
      </c>
      <c r="L2300">
        <v>1526.18302570228</v>
      </c>
      <c r="M2300">
        <v>27.577799387033998</v>
      </c>
      <c r="N2300">
        <v>56.0117023224227</v>
      </c>
      <c r="O2300">
        <v>55.052463417020398</v>
      </c>
      <c r="P2300">
        <v>-0.107624859769852</v>
      </c>
      <c r="Q2300">
        <v>0.14061892665794301</v>
      </c>
      <c r="R2300">
        <v>0.97849350894604403</v>
      </c>
      <c r="S2300" t="s">
        <v>8161</v>
      </c>
      <c r="T2300" t="s">
        <v>11720</v>
      </c>
      <c r="U2300" t="s">
        <v>11720</v>
      </c>
      <c r="V2300" t="s">
        <v>11720</v>
      </c>
      <c r="W2300" t="s">
        <v>13977</v>
      </c>
      <c r="X2300">
        <v>35</v>
      </c>
      <c r="Y2300" t="s">
        <v>19733</v>
      </c>
      <c r="Z2300" t="s">
        <v>25507</v>
      </c>
      <c r="AA2300">
        <v>0.58675059414737163</v>
      </c>
      <c r="AB2300" t="str">
        <f>HYPERLINK("Melting_Curves/meltCurve_P35606_COPB2.pdf", "Melting_Curves/meltCurve_P35606_COPB2.pdf")</f>
        <v>Melting_Curves/meltCurve_P35606_COPB2.pdf</v>
      </c>
    </row>
    <row r="2301" spans="1:28" x14ac:dyDescent="0.25">
      <c r="A2301" t="s">
        <v>2305</v>
      </c>
      <c r="B2301">
        <v>0.99334974765950101</v>
      </c>
      <c r="C2301">
        <v>1.0423075966540301</v>
      </c>
      <c r="D2301">
        <v>0.98372610593678</v>
      </c>
      <c r="E2301">
        <v>0.85737410597320296</v>
      </c>
      <c r="F2301">
        <v>0.72779843115168397</v>
      </c>
      <c r="G2301">
        <v>0.461529509935731</v>
      </c>
      <c r="H2301">
        <v>0.36378768827774199</v>
      </c>
      <c r="I2301">
        <v>0.36425951567168402</v>
      </c>
      <c r="J2301">
        <v>0.38133368905390302</v>
      </c>
      <c r="K2301">
        <v>0.27583168051565099</v>
      </c>
      <c r="L2301">
        <v>1116.9350166199199</v>
      </c>
      <c r="M2301">
        <v>20.808098389851398</v>
      </c>
      <c r="N2301">
        <v>56.482690074458397</v>
      </c>
      <c r="O2301">
        <v>53.189506035031997</v>
      </c>
      <c r="P2301">
        <v>-6.6303515854611902E-2</v>
      </c>
      <c r="Q2301">
        <v>0.32208065508507699</v>
      </c>
      <c r="R2301">
        <v>0.98948378118549696</v>
      </c>
      <c r="S2301" t="s">
        <v>8162</v>
      </c>
      <c r="T2301" t="s">
        <v>11720</v>
      </c>
      <c r="U2301" t="s">
        <v>11720</v>
      </c>
      <c r="V2301" t="s">
        <v>11720</v>
      </c>
      <c r="W2301" t="s">
        <v>13978</v>
      </c>
      <c r="X2301">
        <v>25</v>
      </c>
      <c r="Y2301" t="s">
        <v>19734</v>
      </c>
      <c r="Z2301" t="s">
        <v>25508</v>
      </c>
      <c r="AA2301">
        <v>0.6398306811978921</v>
      </c>
      <c r="AB2301" t="str">
        <f>HYPERLINK("Melting_Curves/meltCurve_P35611_ADD1.pdf", "Melting_Curves/meltCurve_P35611_ADD1.pdf")</f>
        <v>Melting_Curves/meltCurve_P35611_ADD1.pdf</v>
      </c>
    </row>
    <row r="2302" spans="1:28" x14ac:dyDescent="0.25">
      <c r="A2302" t="s">
        <v>2306</v>
      </c>
      <c r="B2302">
        <v>0.99334974765950101</v>
      </c>
      <c r="C2302">
        <v>0.92984559013386003</v>
      </c>
      <c r="D2302">
        <v>0.850398231340035</v>
      </c>
      <c r="E2302">
        <v>0.80311627930650697</v>
      </c>
      <c r="F2302">
        <v>1.18510773482924</v>
      </c>
      <c r="G2302">
        <v>0.83472173019156204</v>
      </c>
      <c r="H2302">
        <v>0.69965389821471402</v>
      </c>
      <c r="I2302">
        <v>0.53597760098758995</v>
      </c>
      <c r="J2302">
        <v>0.56109145113259595</v>
      </c>
      <c r="K2302">
        <v>0.41347388295147097</v>
      </c>
      <c r="L2302">
        <v>1439.59565866616</v>
      </c>
      <c r="M2302">
        <v>23.850709106160199</v>
      </c>
      <c r="N2302">
        <v>66.437068129248303</v>
      </c>
      <c r="O2302">
        <v>59.9390975975939</v>
      </c>
      <c r="P2302">
        <v>-5.5350922172393097E-2</v>
      </c>
      <c r="Q2302">
        <v>0.44360051866018302</v>
      </c>
      <c r="R2302">
        <v>0.75971064025268698</v>
      </c>
      <c r="S2302" t="s">
        <v>8163</v>
      </c>
      <c r="T2302" t="s">
        <v>11720</v>
      </c>
      <c r="U2302" t="s">
        <v>11720</v>
      </c>
      <c r="V2302" t="s">
        <v>11720</v>
      </c>
      <c r="W2302" t="s">
        <v>13979</v>
      </c>
      <c r="X2302">
        <v>8</v>
      </c>
      <c r="Y2302" t="s">
        <v>19735</v>
      </c>
      <c r="Z2302" t="s">
        <v>25509</v>
      </c>
      <c r="AA2302">
        <v>0.82523551256350225</v>
      </c>
      <c r="AB2302" t="str">
        <f>HYPERLINK("Melting_Curves/meltCurve_P35613_2_BSG.pdf", "Melting_Curves/meltCurve_P35613_2_BSG.pdf")</f>
        <v>Melting_Curves/meltCurve_P35613_2_BSG.pdf</v>
      </c>
    </row>
    <row r="2303" spans="1:28" x14ac:dyDescent="0.25">
      <c r="A2303" t="s">
        <v>2307</v>
      </c>
      <c r="B2303">
        <v>0.99334974765950101</v>
      </c>
      <c r="C2303">
        <v>0.93309381466655095</v>
      </c>
      <c r="D2303">
        <v>1.0430980220695001</v>
      </c>
      <c r="E2303">
        <v>0.82780701620965702</v>
      </c>
      <c r="F2303">
        <v>0.66797877825595597</v>
      </c>
      <c r="G2303">
        <v>0.79370360594585698</v>
      </c>
      <c r="H2303">
        <v>0.78364005717797502</v>
      </c>
      <c r="I2303">
        <v>0.73066890286852504</v>
      </c>
      <c r="J2303">
        <v>0.39324428712182202</v>
      </c>
      <c r="K2303">
        <v>0.28883436883243702</v>
      </c>
      <c r="L2303">
        <v>466.26112645391902</v>
      </c>
      <c r="M2303">
        <v>7.03137324366734</v>
      </c>
      <c r="N2303">
        <v>66.311531156249401</v>
      </c>
      <c r="O2303">
        <v>61.5735363054876</v>
      </c>
      <c r="P2303">
        <v>-2.8600756396051499E-2</v>
      </c>
      <c r="Q2303">
        <v>0</v>
      </c>
      <c r="R2303">
        <v>0.77501352742629204</v>
      </c>
      <c r="S2303" t="s">
        <v>8164</v>
      </c>
      <c r="T2303" t="s">
        <v>11720</v>
      </c>
      <c r="U2303" t="s">
        <v>11720</v>
      </c>
      <c r="V2303" t="s">
        <v>11720</v>
      </c>
      <c r="W2303" t="s">
        <v>13980</v>
      </c>
      <c r="X2303">
        <v>2</v>
      </c>
      <c r="Y2303" t="s">
        <v>19736</v>
      </c>
      <c r="Z2303" t="s">
        <v>25510</v>
      </c>
      <c r="AA2303">
        <v>0.76722152722016479</v>
      </c>
      <c r="AB2303" t="str">
        <f>HYPERLINK("Melting_Curves/meltCurve_P35625_TIMP3.pdf", "Melting_Curves/meltCurve_P35625_TIMP3.pdf")</f>
        <v>Melting_Curves/meltCurve_P35625_TIMP3.pdf</v>
      </c>
    </row>
    <row r="2304" spans="1:28" x14ac:dyDescent="0.25">
      <c r="A2304" t="s">
        <v>2308</v>
      </c>
      <c r="B2304">
        <v>0.99334974765950101</v>
      </c>
      <c r="C2304">
        <v>0.914753956495297</v>
      </c>
      <c r="D2304">
        <v>0.82959431526388205</v>
      </c>
      <c r="E2304">
        <v>0.61257151937697696</v>
      </c>
      <c r="F2304">
        <v>0.34765025492263801</v>
      </c>
      <c r="G2304">
        <v>0.26617919820281299</v>
      </c>
      <c r="H2304">
        <v>0.22606063656724901</v>
      </c>
      <c r="I2304">
        <v>0.246310642012845</v>
      </c>
      <c r="J2304">
        <v>0.222219759991927</v>
      </c>
      <c r="K2304">
        <v>0.22626721534636399</v>
      </c>
      <c r="L2304">
        <v>906.77950984438598</v>
      </c>
      <c r="M2304">
        <v>18.3514531036727</v>
      </c>
      <c r="N2304">
        <v>50.961886657712498</v>
      </c>
      <c r="O2304">
        <v>48.836322162160698</v>
      </c>
      <c r="P2304">
        <v>-7.3854954370949299E-2</v>
      </c>
      <c r="Q2304">
        <v>0.21387349675210099</v>
      </c>
      <c r="R2304">
        <v>0.99280651639675699</v>
      </c>
      <c r="S2304" t="s">
        <v>8165</v>
      </c>
      <c r="T2304" t="s">
        <v>11720</v>
      </c>
      <c r="U2304" t="s">
        <v>11720</v>
      </c>
      <c r="V2304" t="s">
        <v>11720</v>
      </c>
      <c r="W2304" t="s">
        <v>13981</v>
      </c>
      <c r="X2304">
        <v>18</v>
      </c>
      <c r="Y2304" t="s">
        <v>19737</v>
      </c>
      <c r="Z2304" t="s">
        <v>25511</v>
      </c>
      <c r="AA2304">
        <v>0.47352109829148531</v>
      </c>
      <c r="AB2304" t="str">
        <f>HYPERLINK("Melting_Curves/meltCurve_P35658_2_NUP214.pdf", "Melting_Curves/meltCurve_P35658_2_NUP214.pdf")</f>
        <v>Melting_Curves/meltCurve_P35658_2_NUP214.pdf</v>
      </c>
    </row>
    <row r="2305" spans="1:28" x14ac:dyDescent="0.25">
      <c r="A2305" t="s">
        <v>2309</v>
      </c>
      <c r="B2305">
        <v>0.99334974765950101</v>
      </c>
      <c r="C2305">
        <v>1.0016768836722101</v>
      </c>
      <c r="D2305">
        <v>0.86032537551861299</v>
      </c>
      <c r="E2305">
        <v>0.80101498420281203</v>
      </c>
      <c r="F2305">
        <v>0.69696918098800098</v>
      </c>
      <c r="G2305">
        <v>0.592124635858013</v>
      </c>
      <c r="H2305">
        <v>0.58375539666766796</v>
      </c>
      <c r="I2305">
        <v>0.78664258740690596</v>
      </c>
      <c r="J2305">
        <v>0.86892099426629898</v>
      </c>
      <c r="K2305">
        <v>0.76573137882240805</v>
      </c>
      <c r="L2305">
        <v>1328.39037538764</v>
      </c>
      <c r="M2305">
        <v>28.566375781119401</v>
      </c>
      <c r="O2305">
        <v>46.275791819236403</v>
      </c>
      <c r="P2305">
        <v>-4.3197345678103197E-2</v>
      </c>
      <c r="Q2305">
        <v>0.72009392179637399</v>
      </c>
      <c r="R2305">
        <v>0.63651822403953595</v>
      </c>
      <c r="S2305" t="s">
        <v>8166</v>
      </c>
      <c r="T2305" t="s">
        <v>11720</v>
      </c>
      <c r="U2305" t="s">
        <v>11720</v>
      </c>
      <c r="V2305" t="s">
        <v>11720</v>
      </c>
      <c r="W2305" t="s">
        <v>13982</v>
      </c>
      <c r="X2305">
        <v>9</v>
      </c>
      <c r="Y2305" t="s">
        <v>19738</v>
      </c>
      <c r="Z2305" t="s">
        <v>25512</v>
      </c>
      <c r="AA2305">
        <v>0.78263686576229163</v>
      </c>
      <c r="AB2305" t="str">
        <f>HYPERLINK("Melting_Curves/meltCurve_P35754_GLRX.pdf", "Melting_Curves/meltCurve_P35754_GLRX.pdf")</f>
        <v>Melting_Curves/meltCurve_P35754_GLRX.pdf</v>
      </c>
    </row>
    <row r="2306" spans="1:28" x14ac:dyDescent="0.25">
      <c r="A2306" t="s">
        <v>2310</v>
      </c>
      <c r="B2306">
        <v>0.99334974765950101</v>
      </c>
      <c r="C2306">
        <v>0.94107782284894204</v>
      </c>
      <c r="D2306">
        <v>1.1100864451686101</v>
      </c>
      <c r="E2306">
        <v>0.82393900597768199</v>
      </c>
      <c r="F2306">
        <v>0.60830109174360503</v>
      </c>
      <c r="G2306">
        <v>0.40190581377185602</v>
      </c>
      <c r="H2306">
        <v>0.172598679265831</v>
      </c>
      <c r="I2306">
        <v>0.14674061813862199</v>
      </c>
      <c r="J2306">
        <v>4.2025540092922802E-2</v>
      </c>
      <c r="K2306">
        <v>2.5641073985445299E-2</v>
      </c>
      <c r="L2306">
        <v>894.87223955202398</v>
      </c>
      <c r="M2306">
        <v>16.257868459776301</v>
      </c>
      <c r="N2306">
        <v>55.129283537182097</v>
      </c>
      <c r="O2306">
        <v>54.229856701633203</v>
      </c>
      <c r="P2306">
        <v>-7.4006282657990502E-2</v>
      </c>
      <c r="Q2306">
        <v>1.26493298841087E-2</v>
      </c>
      <c r="R2306">
        <v>0.98081307953476804</v>
      </c>
      <c r="S2306" t="s">
        <v>8167</v>
      </c>
      <c r="T2306" t="s">
        <v>11720</v>
      </c>
      <c r="U2306" t="s">
        <v>11720</v>
      </c>
      <c r="V2306" t="s">
        <v>11720</v>
      </c>
      <c r="W2306" t="s">
        <v>13983</v>
      </c>
      <c r="X2306">
        <v>3</v>
      </c>
      <c r="Y2306" t="s">
        <v>19739</v>
      </c>
      <c r="Z2306" t="s">
        <v>25513</v>
      </c>
      <c r="AA2306">
        <v>0.52506364176084463</v>
      </c>
      <c r="AB2306" t="str">
        <f>HYPERLINK("Melting_Curves/meltCurve_P35790_2_CHKA.pdf", "Melting_Curves/meltCurve_P35790_2_CHKA.pdf")</f>
        <v>Melting_Curves/meltCurve_P35790_2_CHKA.pdf</v>
      </c>
    </row>
    <row r="2307" spans="1:28" x14ac:dyDescent="0.25">
      <c r="A2307" t="s">
        <v>2311</v>
      </c>
      <c r="B2307">
        <v>0.99334974765950101</v>
      </c>
      <c r="C2307">
        <v>0.47865413839689802</v>
      </c>
      <c r="D2307">
        <v>1.0266980353755399</v>
      </c>
      <c r="E2307">
        <v>0.60244730911683497</v>
      </c>
      <c r="F2307">
        <v>0.15950614453811099</v>
      </c>
      <c r="G2307">
        <v>0.103409476205537</v>
      </c>
      <c r="H2307">
        <v>8.22608228174804E-2</v>
      </c>
      <c r="I2307">
        <v>7.0661315758716606E-2</v>
      </c>
      <c r="J2307">
        <v>5.7218505576723602E-2</v>
      </c>
      <c r="K2307">
        <v>5.2092093171337402E-2</v>
      </c>
      <c r="L2307">
        <v>2246.2937867259998</v>
      </c>
      <c r="M2307">
        <v>44.629540185240799</v>
      </c>
      <c r="N2307">
        <v>50.507304657290497</v>
      </c>
      <c r="O2307">
        <v>50.231254591583799</v>
      </c>
      <c r="P2307">
        <v>-0.20618304277174199</v>
      </c>
      <c r="Q2307">
        <v>7.1752141109644493E-2</v>
      </c>
      <c r="R2307">
        <v>0.79991855696234104</v>
      </c>
      <c r="S2307" t="s">
        <v>8168</v>
      </c>
      <c r="T2307" t="s">
        <v>11720</v>
      </c>
      <c r="U2307" t="s">
        <v>11720</v>
      </c>
      <c r="V2307" t="s">
        <v>11720</v>
      </c>
      <c r="W2307" t="s">
        <v>13984</v>
      </c>
      <c r="X2307">
        <v>18</v>
      </c>
      <c r="Y2307" t="s">
        <v>19740</v>
      </c>
      <c r="Z2307" t="s">
        <v>25514</v>
      </c>
      <c r="AA2307">
        <v>0.39403092162679809</v>
      </c>
      <c r="AB2307" t="str">
        <f>HYPERLINK("Melting_Curves/meltCurve_P35813_PPM1A.pdf", "Melting_Curves/meltCurve_P35813_PPM1A.pdf")</f>
        <v>Melting_Curves/meltCurve_P35813_PPM1A.pdf</v>
      </c>
    </row>
    <row r="2308" spans="1:28" x14ac:dyDescent="0.25">
      <c r="A2308" t="s">
        <v>2312</v>
      </c>
      <c r="B2308">
        <v>0.99334974765950101</v>
      </c>
      <c r="C2308">
        <v>1.07845278227066</v>
      </c>
      <c r="D2308">
        <v>1.28753358517032</v>
      </c>
      <c r="E2308">
        <v>1.5732613278829899</v>
      </c>
      <c r="F2308">
        <v>1.2282209089626801</v>
      </c>
      <c r="G2308">
        <v>0.912297854800735</v>
      </c>
      <c r="H2308">
        <v>0.44966672922781198</v>
      </c>
      <c r="I2308">
        <v>0.37622427017101601</v>
      </c>
      <c r="J2308">
        <v>0.234876305789431</v>
      </c>
      <c r="K2308">
        <v>0.15256103567440199</v>
      </c>
      <c r="L2308">
        <v>2293.8137263362701</v>
      </c>
      <c r="M2308">
        <v>38.2227632764356</v>
      </c>
      <c r="N2308">
        <v>60.912758695678697</v>
      </c>
      <c r="O2308">
        <v>59.848179613573301</v>
      </c>
      <c r="P2308">
        <v>-0.12518899400151201</v>
      </c>
      <c r="Q2308">
        <v>0.21593190869388099</v>
      </c>
      <c r="R2308">
        <v>0.77639184842515696</v>
      </c>
      <c r="S2308" t="s">
        <v>8169</v>
      </c>
      <c r="T2308" t="s">
        <v>11720</v>
      </c>
      <c r="U2308" t="s">
        <v>11720</v>
      </c>
      <c r="V2308" t="s">
        <v>11720</v>
      </c>
      <c r="W2308" t="s">
        <v>13985</v>
      </c>
      <c r="X2308">
        <v>24</v>
      </c>
      <c r="Y2308" t="s">
        <v>19741</v>
      </c>
      <c r="Z2308" t="s">
        <v>25515</v>
      </c>
      <c r="AA2308">
        <v>0.74226176101126395</v>
      </c>
      <c r="AB2308" t="str">
        <f>HYPERLINK("Melting_Curves/meltCurve_P35998_PSMC2.pdf", "Melting_Curves/meltCurve_P35998_PSMC2.pdf")</f>
        <v>Melting_Curves/meltCurve_P35998_PSMC2.pdf</v>
      </c>
    </row>
    <row r="2309" spans="1:28" x14ac:dyDescent="0.25">
      <c r="A2309" t="s">
        <v>2313</v>
      </c>
      <c r="B2309">
        <v>0.99334974765950101</v>
      </c>
      <c r="C2309">
        <v>1.05463363643769</v>
      </c>
      <c r="D2309">
        <v>0.98513963630220103</v>
      </c>
      <c r="E2309">
        <v>1.02815636500624</v>
      </c>
      <c r="F2309">
        <v>1.60406432803918</v>
      </c>
      <c r="G2309">
        <v>1.1114820082311301</v>
      </c>
      <c r="H2309">
        <v>1.10967657166314</v>
      </c>
      <c r="I2309">
        <v>1.3393456272658</v>
      </c>
      <c r="J2309">
        <v>1.5566953430403201</v>
      </c>
      <c r="K2309">
        <v>1.0883576112937901</v>
      </c>
      <c r="L2309">
        <v>12613.626453716601</v>
      </c>
      <c r="M2309">
        <v>250</v>
      </c>
      <c r="O2309">
        <v>50.4512820783251</v>
      </c>
      <c r="P2309">
        <v>0.373631846524901</v>
      </c>
      <c r="Q2309">
        <v>1.30160326061927</v>
      </c>
      <c r="R2309">
        <v>0.41271938614842102</v>
      </c>
      <c r="S2309" t="s">
        <v>8170</v>
      </c>
      <c r="T2309" t="s">
        <v>11720</v>
      </c>
      <c r="U2309" t="s">
        <v>11720</v>
      </c>
      <c r="V2309" t="s">
        <v>11720</v>
      </c>
      <c r="W2309" t="s">
        <v>13986</v>
      </c>
      <c r="X2309">
        <v>2</v>
      </c>
      <c r="Y2309" t="s">
        <v>19742</v>
      </c>
      <c r="Z2309" t="s">
        <v>25516</v>
      </c>
      <c r="AA2309">
        <v>1.196472786529591</v>
      </c>
      <c r="AB2309" t="str">
        <f>HYPERLINK("Melting_Curves/meltCurve_P36021_SLC16A2.pdf", "Melting_Curves/meltCurve_P36021_SLC16A2.pdf")</f>
        <v>Melting_Curves/meltCurve_P36021_SLC16A2.pdf</v>
      </c>
    </row>
    <row r="2310" spans="1:28" x14ac:dyDescent="0.25">
      <c r="A2310" t="s">
        <v>2314</v>
      </c>
      <c r="B2310">
        <v>0.99334974765950101</v>
      </c>
      <c r="C2310">
        <v>0.96469803797154996</v>
      </c>
      <c r="D2310">
        <v>1.0064335077447599</v>
      </c>
      <c r="E2310">
        <v>0.87214816609542201</v>
      </c>
      <c r="F2310">
        <v>1.12790372358451</v>
      </c>
      <c r="G2310">
        <v>0.95418249722462001</v>
      </c>
      <c r="H2310">
        <v>0.551259090865445</v>
      </c>
      <c r="I2310">
        <v>0.46653212824517498</v>
      </c>
      <c r="J2310">
        <v>0.36007419567278898</v>
      </c>
      <c r="K2310">
        <v>0.40511437275127998</v>
      </c>
      <c r="L2310">
        <v>2948.9169547439401</v>
      </c>
      <c r="M2310">
        <v>49.340211766372001</v>
      </c>
      <c r="N2310">
        <v>61.774125164516001</v>
      </c>
      <c r="O2310">
        <v>59.669077664978403</v>
      </c>
      <c r="P2310">
        <v>-0.124165848257749</v>
      </c>
      <c r="Q2310">
        <v>0.39936578098290498</v>
      </c>
      <c r="R2310">
        <v>0.94946931405514201</v>
      </c>
      <c r="S2310" t="s">
        <v>8171</v>
      </c>
      <c r="T2310" t="s">
        <v>11720</v>
      </c>
      <c r="U2310" t="s">
        <v>11720</v>
      </c>
      <c r="V2310" t="s">
        <v>11720</v>
      </c>
      <c r="W2310" t="s">
        <v>13987</v>
      </c>
      <c r="X2310">
        <v>2</v>
      </c>
      <c r="Y2310" t="s">
        <v>19743</v>
      </c>
      <c r="Z2310" t="s">
        <v>25517</v>
      </c>
      <c r="AA2310">
        <v>0.79672447197725915</v>
      </c>
      <c r="AB2310" t="str">
        <f>HYPERLINK("Melting_Curves/meltCurve_P36269_2_GGT5.pdf", "Melting_Curves/meltCurve_P36269_2_GGT5.pdf")</f>
        <v>Melting_Curves/meltCurve_P36269_2_GGT5.pdf</v>
      </c>
    </row>
    <row r="2311" spans="1:28" x14ac:dyDescent="0.25">
      <c r="A2311" t="s">
        <v>2315</v>
      </c>
      <c r="B2311">
        <v>0.99334974765950101</v>
      </c>
      <c r="C2311">
        <v>0.99168349828980096</v>
      </c>
      <c r="D2311">
        <v>1.05271028776208</v>
      </c>
      <c r="E2311">
        <v>1.0286661650967399</v>
      </c>
      <c r="F2311">
        <v>0.63987691424969695</v>
      </c>
      <c r="G2311">
        <v>0.33623077022196302</v>
      </c>
      <c r="H2311">
        <v>0.26429563371757298</v>
      </c>
      <c r="I2311">
        <v>0.25893242018304202</v>
      </c>
      <c r="J2311">
        <v>0.247469384727214</v>
      </c>
      <c r="K2311">
        <v>0.21857822109977501</v>
      </c>
      <c r="L2311">
        <v>3060.8818644953899</v>
      </c>
      <c r="M2311">
        <v>57.649427681008397</v>
      </c>
      <c r="N2311">
        <v>53.784682876756698</v>
      </c>
      <c r="O2311">
        <v>53.030973981410902</v>
      </c>
      <c r="P2311">
        <v>-0.20075125922054199</v>
      </c>
      <c r="Q2311">
        <v>0.261326262462863</v>
      </c>
      <c r="R2311">
        <v>0.99120605731399902</v>
      </c>
      <c r="S2311" t="s">
        <v>8172</v>
      </c>
      <c r="T2311" t="s">
        <v>11720</v>
      </c>
      <c r="U2311" t="s">
        <v>11720</v>
      </c>
      <c r="V2311" t="s">
        <v>11720</v>
      </c>
      <c r="W2311" t="s">
        <v>13988</v>
      </c>
      <c r="X2311">
        <v>9</v>
      </c>
      <c r="Y2311" t="s">
        <v>19744</v>
      </c>
      <c r="Z2311" t="s">
        <v>25518</v>
      </c>
      <c r="AA2311">
        <v>0.58505066209237999</v>
      </c>
      <c r="AB2311" t="str">
        <f>HYPERLINK("Melting_Curves/meltCurve_P36404_ARL2.pdf", "Melting_Curves/meltCurve_P36404_ARL2.pdf")</f>
        <v>Melting_Curves/meltCurve_P36404_ARL2.pdf</v>
      </c>
    </row>
    <row r="2312" spans="1:28" x14ac:dyDescent="0.25">
      <c r="A2312" t="s">
        <v>2316</v>
      </c>
      <c r="B2312">
        <v>0.99334974765950101</v>
      </c>
      <c r="C2312">
        <v>0.99342103085008504</v>
      </c>
      <c r="D2312">
        <v>0.95492414711790496</v>
      </c>
      <c r="E2312">
        <v>0.75085913483478295</v>
      </c>
      <c r="F2312">
        <v>0.583309406384516</v>
      </c>
      <c r="G2312">
        <v>0.31644644021570401</v>
      </c>
      <c r="H2312">
        <v>0.15829311085533901</v>
      </c>
      <c r="I2312">
        <v>0.11059234797508299</v>
      </c>
      <c r="J2312">
        <v>8.5703425272814604E-2</v>
      </c>
      <c r="K2312">
        <v>7.2166038525591406E-2</v>
      </c>
      <c r="L2312">
        <v>862.41656844596605</v>
      </c>
      <c r="M2312">
        <v>16.077028767073301</v>
      </c>
      <c r="N2312">
        <v>53.972964614337201</v>
      </c>
      <c r="O2312">
        <v>52.833424776442897</v>
      </c>
      <c r="P2312">
        <v>-7.2516940020458096E-2</v>
      </c>
      <c r="Q2312">
        <v>4.6833012688381297E-2</v>
      </c>
      <c r="R2312">
        <v>0.99913587122560099</v>
      </c>
      <c r="S2312" t="s">
        <v>8173</v>
      </c>
      <c r="T2312" t="s">
        <v>11720</v>
      </c>
      <c r="U2312" t="s">
        <v>11720</v>
      </c>
      <c r="V2312" t="s">
        <v>11720</v>
      </c>
      <c r="W2312" t="s">
        <v>13989</v>
      </c>
      <c r="X2312">
        <v>13</v>
      </c>
      <c r="Y2312" t="s">
        <v>19745</v>
      </c>
      <c r="Z2312" t="s">
        <v>25519</v>
      </c>
      <c r="AA2312">
        <v>0.49844439498011978</v>
      </c>
      <c r="AB2312" t="str">
        <f>HYPERLINK("Melting_Curves/meltCurve_P36405_ARL3.pdf", "Melting_Curves/meltCurve_P36405_ARL3.pdf")</f>
        <v>Melting_Curves/meltCurve_P36405_ARL3.pdf</v>
      </c>
    </row>
    <row r="2313" spans="1:28" x14ac:dyDescent="0.25">
      <c r="A2313" t="s">
        <v>2317</v>
      </c>
      <c r="B2313">
        <v>0.99334974765950101</v>
      </c>
      <c r="C2313">
        <v>1.1481416611291999</v>
      </c>
      <c r="D2313">
        <v>0.94238360371914298</v>
      </c>
      <c r="E2313">
        <v>0.64677737192664497</v>
      </c>
      <c r="F2313">
        <v>0.331921314625643</v>
      </c>
      <c r="G2313">
        <v>0.15553446312119701</v>
      </c>
      <c r="H2313">
        <v>0.10052808804237499</v>
      </c>
      <c r="I2313">
        <v>7.16010498107814E-2</v>
      </c>
      <c r="J2313">
        <v>4.3913231365986703E-2</v>
      </c>
      <c r="K2313">
        <v>4.1038082744413902E-2</v>
      </c>
      <c r="L2313">
        <v>1267.39380641401</v>
      </c>
      <c r="M2313">
        <v>24.797207027345902</v>
      </c>
      <c r="N2313">
        <v>51.385628270283803</v>
      </c>
      <c r="O2313">
        <v>50.781427133721799</v>
      </c>
      <c r="P2313">
        <v>-0.114486213374656</v>
      </c>
      <c r="Q2313">
        <v>6.2202039799231001E-2</v>
      </c>
      <c r="R2313">
        <v>0.98486312190744996</v>
      </c>
      <c r="S2313" t="s">
        <v>8174</v>
      </c>
      <c r="T2313" t="s">
        <v>11720</v>
      </c>
      <c r="U2313" t="s">
        <v>11720</v>
      </c>
      <c r="V2313" t="s">
        <v>11720</v>
      </c>
      <c r="W2313" t="s">
        <v>13990</v>
      </c>
      <c r="X2313">
        <v>1</v>
      </c>
      <c r="Y2313" t="s">
        <v>19746</v>
      </c>
      <c r="Z2313" t="s">
        <v>25520</v>
      </c>
      <c r="AA2313">
        <v>0.4181294873856915</v>
      </c>
      <c r="AB2313" t="str">
        <f>HYPERLINK("Melting_Curves/meltCurve_P36406_3_TRIM23.pdf", "Melting_Curves/meltCurve_P36406_3_TRIM23.pdf")</f>
        <v>Melting_Curves/meltCurve_P36406_3_TRIM23.pdf</v>
      </c>
    </row>
    <row r="2314" spans="1:28" x14ac:dyDescent="0.25">
      <c r="A2314" t="s">
        <v>2318</v>
      </c>
      <c r="B2314">
        <v>0.99334974765950101</v>
      </c>
      <c r="C2314">
        <v>0.97739121081888702</v>
      </c>
      <c r="D2314">
        <v>0.83830694612890599</v>
      </c>
      <c r="E2314">
        <v>0.65878297628459703</v>
      </c>
      <c r="F2314">
        <v>0.18145585987049201</v>
      </c>
      <c r="G2314">
        <v>9.8443324977969093E-2</v>
      </c>
      <c r="H2314">
        <v>7.3213734053554302E-2</v>
      </c>
      <c r="I2314">
        <v>6.7593347550789398E-2</v>
      </c>
      <c r="J2314">
        <v>6.98683153903919E-2</v>
      </c>
      <c r="K2314">
        <v>5.8481214343248503E-2</v>
      </c>
      <c r="L2314">
        <v>1523.31546349324</v>
      </c>
      <c r="M2314">
        <v>30.171184103070299</v>
      </c>
      <c r="N2314">
        <v>50.705190787691301</v>
      </c>
      <c r="O2314">
        <v>50.2688413883252</v>
      </c>
      <c r="P2314">
        <v>-0.14099725081728701</v>
      </c>
      <c r="Q2314">
        <v>6.03321476307523E-2</v>
      </c>
      <c r="R2314">
        <v>0.98623355480970198</v>
      </c>
      <c r="S2314" t="s">
        <v>8175</v>
      </c>
      <c r="T2314" t="s">
        <v>11720</v>
      </c>
      <c r="U2314" t="s">
        <v>11720</v>
      </c>
      <c r="V2314" t="s">
        <v>11720</v>
      </c>
      <c r="W2314" t="s">
        <v>13991</v>
      </c>
      <c r="X2314">
        <v>22</v>
      </c>
      <c r="Y2314" t="s">
        <v>19747</v>
      </c>
      <c r="Z2314" t="s">
        <v>25521</v>
      </c>
      <c r="AA2314">
        <v>0.39466591443776289</v>
      </c>
      <c r="AB2314" t="str">
        <f>HYPERLINK("Melting_Curves/meltCurve_P36507_MAP2K2.pdf", "Melting_Curves/meltCurve_P36507_MAP2K2.pdf")</f>
        <v>Melting_Curves/meltCurve_P36507_MAP2K2.pdf</v>
      </c>
    </row>
    <row r="2315" spans="1:28" x14ac:dyDescent="0.25">
      <c r="A2315" t="s">
        <v>2319</v>
      </c>
      <c r="B2315">
        <v>0.99334974765950101</v>
      </c>
      <c r="C2315">
        <v>0.98652215668379795</v>
      </c>
      <c r="D2315">
        <v>0.96841161207261695</v>
      </c>
      <c r="E2315">
        <v>0.92412850251683099</v>
      </c>
      <c r="F2315">
        <v>0.55421911110479505</v>
      </c>
      <c r="G2315">
        <v>0.424372009011527</v>
      </c>
      <c r="H2315">
        <v>0.191705428862398</v>
      </c>
      <c r="I2315">
        <v>0.18736863282869701</v>
      </c>
      <c r="J2315">
        <v>0.17764579607443901</v>
      </c>
      <c r="K2315">
        <v>0.15061431629907701</v>
      </c>
      <c r="L2315">
        <v>1103.3707509789899</v>
      </c>
      <c r="M2315">
        <v>20.5250955474751</v>
      </c>
      <c r="N2315">
        <v>54.744683309031899</v>
      </c>
      <c r="O2315">
        <v>53.254669300335102</v>
      </c>
      <c r="P2315">
        <v>-8.1448271866930794E-2</v>
      </c>
      <c r="Q2315">
        <v>0.15471800407294101</v>
      </c>
      <c r="R2315">
        <v>0.98542601619812398</v>
      </c>
      <c r="S2315" t="s">
        <v>8176</v>
      </c>
      <c r="T2315" t="s">
        <v>11720</v>
      </c>
      <c r="U2315" t="s">
        <v>11720</v>
      </c>
      <c r="V2315" t="s">
        <v>11720</v>
      </c>
      <c r="W2315" t="s">
        <v>13992</v>
      </c>
      <c r="X2315">
        <v>13</v>
      </c>
      <c r="Y2315" t="s">
        <v>19748</v>
      </c>
      <c r="Z2315" t="s">
        <v>25522</v>
      </c>
      <c r="AA2315">
        <v>0.55338778694310387</v>
      </c>
      <c r="AB2315" t="str">
        <f>HYPERLINK("Melting_Curves/meltCurve_P36543_ATP6V1E1.pdf", "Melting_Curves/meltCurve_P36543_ATP6V1E1.pdf")</f>
        <v>Melting_Curves/meltCurve_P36543_ATP6V1E1.pdf</v>
      </c>
    </row>
    <row r="2316" spans="1:28" x14ac:dyDescent="0.25">
      <c r="A2316" t="s">
        <v>2320</v>
      </c>
      <c r="B2316">
        <v>0.99334974765950101</v>
      </c>
      <c r="C2316">
        <v>0.97820998719391605</v>
      </c>
      <c r="D2316">
        <v>0.98763237615781696</v>
      </c>
      <c r="E2316">
        <v>0.85465452269670805</v>
      </c>
      <c r="F2316">
        <v>0.74594682016265701</v>
      </c>
      <c r="G2316">
        <v>0.48396701618085203</v>
      </c>
      <c r="H2316">
        <v>0.273463687384432</v>
      </c>
      <c r="I2316">
        <v>0.14749322191486899</v>
      </c>
      <c r="J2316">
        <v>0.13677425125517401</v>
      </c>
      <c r="K2316">
        <v>0.111827479543214</v>
      </c>
      <c r="L2316">
        <v>880.08074273549096</v>
      </c>
      <c r="M2316">
        <v>15.669753927801001</v>
      </c>
      <c r="N2316">
        <v>56.6164403717993</v>
      </c>
      <c r="O2316">
        <v>55.2734418398313</v>
      </c>
      <c r="P2316">
        <v>-6.6711234989441495E-2</v>
      </c>
      <c r="Q2316">
        <v>5.8812102769689199E-2</v>
      </c>
      <c r="R2316">
        <v>0.99797714196475196</v>
      </c>
      <c r="S2316" t="s">
        <v>8177</v>
      </c>
      <c r="T2316" t="s">
        <v>11720</v>
      </c>
      <c r="U2316" t="s">
        <v>11720</v>
      </c>
      <c r="V2316" t="s">
        <v>11720</v>
      </c>
      <c r="W2316" t="s">
        <v>13993</v>
      </c>
      <c r="X2316">
        <v>24</v>
      </c>
      <c r="Y2316" t="s">
        <v>19749</v>
      </c>
      <c r="Z2316" t="s">
        <v>25523</v>
      </c>
      <c r="AA2316">
        <v>0.58176191959471779</v>
      </c>
      <c r="AB2316" t="str">
        <f>HYPERLINK("Melting_Curves/meltCurve_P36551_CPOX.pdf", "Melting_Curves/meltCurve_P36551_CPOX.pdf")</f>
        <v>Melting_Curves/meltCurve_P36551_CPOX.pdf</v>
      </c>
    </row>
    <row r="2317" spans="1:28" x14ac:dyDescent="0.25">
      <c r="A2317" t="s">
        <v>2321</v>
      </c>
      <c r="B2317">
        <v>0.99334974765950101</v>
      </c>
      <c r="C2317">
        <v>1.2028453056786399</v>
      </c>
      <c r="D2317">
        <v>1.0265389247721599</v>
      </c>
      <c r="E2317">
        <v>1.0958085584422801</v>
      </c>
      <c r="F2317">
        <v>0.74978826445440205</v>
      </c>
      <c r="G2317">
        <v>0.49941082565474199</v>
      </c>
      <c r="H2317">
        <v>0.34887411820646302</v>
      </c>
      <c r="I2317">
        <v>0.39612951879367703</v>
      </c>
      <c r="J2317">
        <v>0.29585452894935199</v>
      </c>
      <c r="K2317">
        <v>0.25976884300538</v>
      </c>
      <c r="L2317">
        <v>1651.3131183615101</v>
      </c>
      <c r="M2317">
        <v>30.186225758355601</v>
      </c>
      <c r="N2317">
        <v>56.591560458091301</v>
      </c>
      <c r="O2317">
        <v>54.465796515823598</v>
      </c>
      <c r="P2317">
        <v>-9.4593492596436096E-2</v>
      </c>
      <c r="Q2317">
        <v>0.31729429598514802</v>
      </c>
      <c r="R2317">
        <v>0.93957613810818497</v>
      </c>
      <c r="S2317" t="s">
        <v>8178</v>
      </c>
      <c r="T2317" t="s">
        <v>11720</v>
      </c>
      <c r="U2317" t="s">
        <v>11720</v>
      </c>
      <c r="V2317" t="s">
        <v>11720</v>
      </c>
      <c r="W2317" t="s">
        <v>13994</v>
      </c>
      <c r="X2317">
        <v>9</v>
      </c>
      <c r="Y2317" t="s">
        <v>19750</v>
      </c>
      <c r="Z2317" t="s">
        <v>25524</v>
      </c>
      <c r="AA2317">
        <v>0.65637991795993222</v>
      </c>
      <c r="AB2317" t="str">
        <f>HYPERLINK("Melting_Curves/meltCurve_P36578_RPL4.pdf", "Melting_Curves/meltCurve_P36578_RPL4.pdf")</f>
        <v>Melting_Curves/meltCurve_P36578_RPL4.pdf</v>
      </c>
    </row>
    <row r="2318" spans="1:28" x14ac:dyDescent="0.25">
      <c r="A2318" t="s">
        <v>2322</v>
      </c>
      <c r="B2318">
        <v>0.99334974765950101</v>
      </c>
      <c r="C2318">
        <v>0.97870019934985697</v>
      </c>
      <c r="D2318">
        <v>0.94255978751638803</v>
      </c>
      <c r="E2318">
        <v>0.77986036191497199</v>
      </c>
      <c r="F2318">
        <v>0.66537623873823104</v>
      </c>
      <c r="G2318">
        <v>0.35255921129101597</v>
      </c>
      <c r="H2318">
        <v>0.233644575825107</v>
      </c>
      <c r="I2318">
        <v>0.19553333677024801</v>
      </c>
      <c r="J2318">
        <v>0.14167520855142099</v>
      </c>
      <c r="K2318">
        <v>0.110674359048027</v>
      </c>
      <c r="L2318">
        <v>823.85319256851903</v>
      </c>
      <c r="M2318">
        <v>15.194734041767401</v>
      </c>
      <c r="N2318">
        <v>54.961050923624001</v>
      </c>
      <c r="O2318">
        <v>53.306548003558099</v>
      </c>
      <c r="P2318">
        <v>-6.4663774258649206E-2</v>
      </c>
      <c r="Q2318">
        <v>9.2666832926557099E-2</v>
      </c>
      <c r="R2318">
        <v>0.99682381081778504</v>
      </c>
      <c r="S2318" t="s">
        <v>8179</v>
      </c>
      <c r="T2318" t="s">
        <v>11720</v>
      </c>
      <c r="U2318" t="s">
        <v>11720</v>
      </c>
      <c r="V2318" t="s">
        <v>11720</v>
      </c>
      <c r="W2318" t="s">
        <v>13995</v>
      </c>
      <c r="X2318">
        <v>7</v>
      </c>
      <c r="Y2318" t="s">
        <v>19751</v>
      </c>
      <c r="Z2318" t="s">
        <v>25525</v>
      </c>
      <c r="AA2318">
        <v>0.54083735588827919</v>
      </c>
      <c r="AB2318" t="str">
        <f>HYPERLINK("Melting_Curves/meltCurve_P36639_4_NUDT1.pdf", "Melting_Curves/meltCurve_P36639_4_NUDT1.pdf")</f>
        <v>Melting_Curves/meltCurve_P36639_4_NUDT1.pdf</v>
      </c>
    </row>
    <row r="2319" spans="1:28" x14ac:dyDescent="0.25">
      <c r="A2319" t="s">
        <v>2323</v>
      </c>
      <c r="B2319">
        <v>0.99334974765950101</v>
      </c>
      <c r="C2319">
        <v>0.977774376233149</v>
      </c>
      <c r="D2319">
        <v>0.95097171625863097</v>
      </c>
      <c r="E2319">
        <v>0.80153199903002503</v>
      </c>
      <c r="F2319">
        <v>0.65351035707002603</v>
      </c>
      <c r="G2319">
        <v>0.49460853008779398</v>
      </c>
      <c r="H2319">
        <v>0.30567331550861598</v>
      </c>
      <c r="I2319">
        <v>0.12538414929393199</v>
      </c>
      <c r="J2319">
        <v>0.10055560931967999</v>
      </c>
      <c r="K2319">
        <v>8.25779321988062E-2</v>
      </c>
      <c r="L2319">
        <v>697.22399565498404</v>
      </c>
      <c r="M2319">
        <v>12.4167625704917</v>
      </c>
      <c r="N2319">
        <v>56.151852468797898</v>
      </c>
      <c r="O2319">
        <v>54.755024496829101</v>
      </c>
      <c r="P2319">
        <v>-5.6704315194184403E-2</v>
      </c>
      <c r="Q2319">
        <v>0</v>
      </c>
      <c r="R2319">
        <v>0.99444358186888604</v>
      </c>
      <c r="S2319" t="s">
        <v>8180</v>
      </c>
      <c r="T2319" t="s">
        <v>11720</v>
      </c>
      <c r="U2319" t="s">
        <v>11720</v>
      </c>
      <c r="V2319" t="s">
        <v>11720</v>
      </c>
      <c r="W2319" t="s">
        <v>13996</v>
      </c>
      <c r="X2319">
        <v>40</v>
      </c>
      <c r="Y2319" t="s">
        <v>19752</v>
      </c>
      <c r="Z2319" t="s">
        <v>25526</v>
      </c>
      <c r="AA2319">
        <v>0.55802149848781069</v>
      </c>
      <c r="AB2319" t="str">
        <f>HYPERLINK("Melting_Curves/meltCurve_P36871_PGM1.pdf", "Melting_Curves/meltCurve_P36871_PGM1.pdf")</f>
        <v>Melting_Curves/meltCurve_P36871_PGM1.pdf</v>
      </c>
    </row>
    <row r="2320" spans="1:28" x14ac:dyDescent="0.25">
      <c r="A2320" t="s">
        <v>2324</v>
      </c>
      <c r="B2320">
        <v>0.99334974765950101</v>
      </c>
      <c r="C2320">
        <v>0.94888974315661201</v>
      </c>
      <c r="D2320">
        <v>0.97260678160637104</v>
      </c>
      <c r="E2320">
        <v>0.90662539519108898</v>
      </c>
      <c r="F2320">
        <v>0.74990084774235999</v>
      </c>
      <c r="G2320">
        <v>0.34647116529571398</v>
      </c>
      <c r="H2320">
        <v>0.104420289832937</v>
      </c>
      <c r="I2320">
        <v>5.10128914871966E-2</v>
      </c>
      <c r="J2320">
        <v>2.4717546451164099E-2</v>
      </c>
      <c r="K2320">
        <v>1.16438146882775E-2</v>
      </c>
      <c r="L2320">
        <v>1256.0505011274599</v>
      </c>
      <c r="M2320">
        <v>22.668051533104698</v>
      </c>
      <c r="N2320">
        <v>55.420885324617501</v>
      </c>
      <c r="O2320">
        <v>54.984774547749502</v>
      </c>
      <c r="P2320">
        <v>-0.102851210879511</v>
      </c>
      <c r="Q2320">
        <v>2.0953137910157699E-3</v>
      </c>
      <c r="R2320">
        <v>0.99810701936650803</v>
      </c>
      <c r="S2320" t="s">
        <v>8181</v>
      </c>
      <c r="T2320" t="s">
        <v>11720</v>
      </c>
      <c r="U2320" t="s">
        <v>11720</v>
      </c>
      <c r="V2320" t="s">
        <v>11720</v>
      </c>
      <c r="W2320" t="s">
        <v>13997</v>
      </c>
      <c r="X2320">
        <v>18</v>
      </c>
      <c r="Y2320" t="s">
        <v>19753</v>
      </c>
      <c r="Z2320" t="s">
        <v>25527</v>
      </c>
      <c r="AA2320">
        <v>0.5255492984317921</v>
      </c>
      <c r="AB2320" t="str">
        <f>HYPERLINK("Melting_Curves/meltCurve_P36873_PPP1CC.pdf", "Melting_Curves/meltCurve_P36873_PPP1CC.pdf")</f>
        <v>Melting_Curves/meltCurve_P36873_PPP1CC.pdf</v>
      </c>
    </row>
    <row r="2321" spans="1:28" x14ac:dyDescent="0.25">
      <c r="A2321" t="s">
        <v>2325</v>
      </c>
      <c r="B2321">
        <v>0.99334974765950101</v>
      </c>
      <c r="C2321">
        <v>0.84378433204886705</v>
      </c>
      <c r="D2321">
        <v>0.95547980754530504</v>
      </c>
      <c r="E2321">
        <v>0.61031542036185005</v>
      </c>
      <c r="F2321">
        <v>0.138264214109109</v>
      </c>
      <c r="G2321">
        <v>9.3672329791993802E-2</v>
      </c>
      <c r="H2321">
        <v>7.7389163170480696E-2</v>
      </c>
      <c r="I2321">
        <v>6.9281651477881998E-2</v>
      </c>
      <c r="J2321">
        <v>7.0559166877594795E-2</v>
      </c>
      <c r="K2321">
        <v>5.3843539875016E-2</v>
      </c>
      <c r="L2321">
        <v>2357.28118018242</v>
      </c>
      <c r="M2321">
        <v>46.842663029581203</v>
      </c>
      <c r="N2321">
        <v>50.486695045412397</v>
      </c>
      <c r="O2321">
        <v>50.231926266567001</v>
      </c>
      <c r="P2321">
        <v>-0.21674294408566699</v>
      </c>
      <c r="Q2321">
        <v>7.0300294171386599E-2</v>
      </c>
      <c r="R2321">
        <v>0.98250212997212405</v>
      </c>
      <c r="S2321" t="s">
        <v>8182</v>
      </c>
      <c r="T2321" t="s">
        <v>11720</v>
      </c>
      <c r="U2321" t="s">
        <v>11720</v>
      </c>
      <c r="V2321" t="s">
        <v>11720</v>
      </c>
      <c r="W2321" t="s">
        <v>13998</v>
      </c>
      <c r="X2321">
        <v>14</v>
      </c>
      <c r="Y2321" t="s">
        <v>19754</v>
      </c>
      <c r="Z2321" t="s">
        <v>25528</v>
      </c>
      <c r="AA2321">
        <v>0.39257492012125678</v>
      </c>
      <c r="AB2321" t="str">
        <f>HYPERLINK("Melting_Curves/meltCurve_P36915_GNL1.pdf", "Melting_Curves/meltCurve_P36915_GNL1.pdf")</f>
        <v>Melting_Curves/meltCurve_P36915_GNL1.pdf</v>
      </c>
    </row>
    <row r="2322" spans="1:28" x14ac:dyDescent="0.25">
      <c r="A2322" t="s">
        <v>2326</v>
      </c>
      <c r="B2322">
        <v>0.99334974765950101</v>
      </c>
      <c r="C2322">
        <v>1.0029032662769299</v>
      </c>
      <c r="D2322">
        <v>0.85856650936133905</v>
      </c>
      <c r="E2322">
        <v>1.06520098762967</v>
      </c>
      <c r="F2322">
        <v>0.98030591507804299</v>
      </c>
      <c r="G2322">
        <v>1.18508480107651</v>
      </c>
      <c r="H2322">
        <v>0.863568341888308</v>
      </c>
      <c r="I2322">
        <v>1.18920761848556</v>
      </c>
      <c r="J2322">
        <v>0.87644200567682196</v>
      </c>
      <c r="K2322">
        <v>0.77684038885267703</v>
      </c>
      <c r="L2322">
        <v>15000</v>
      </c>
      <c r="M2322">
        <v>224.09544886130001</v>
      </c>
      <c r="O2322">
        <v>66.930432830188494</v>
      </c>
      <c r="P2322">
        <v>-0.18681189606613799</v>
      </c>
      <c r="Q2322">
        <v>0.77682008095223398</v>
      </c>
      <c r="R2322">
        <v>0.34877286653220102</v>
      </c>
      <c r="S2322" t="s">
        <v>8183</v>
      </c>
      <c r="T2322" t="s">
        <v>11720</v>
      </c>
      <c r="U2322" t="s">
        <v>11720</v>
      </c>
      <c r="V2322" t="s">
        <v>11720</v>
      </c>
      <c r="W2322" t="s">
        <v>13999</v>
      </c>
      <c r="X2322">
        <v>2</v>
      </c>
      <c r="Y2322" t="s">
        <v>19755</v>
      </c>
      <c r="Z2322" t="s">
        <v>25529</v>
      </c>
      <c r="AA2322">
        <v>0.97723662846083459</v>
      </c>
      <c r="AB2322" t="str">
        <f>HYPERLINK("Melting_Curves/meltCurve_P36954_POLR2I.pdf", "Melting_Curves/meltCurve_P36954_POLR2I.pdf")</f>
        <v>Melting_Curves/meltCurve_P36954_POLR2I.pdf</v>
      </c>
    </row>
    <row r="2323" spans="1:28" x14ac:dyDescent="0.25">
      <c r="A2323" t="s">
        <v>2327</v>
      </c>
      <c r="B2323">
        <v>0.99334974765950101</v>
      </c>
      <c r="C2323">
        <v>0.973621109837434</v>
      </c>
      <c r="D2323">
        <v>1.02461864311187</v>
      </c>
      <c r="E2323">
        <v>0.83288402638370995</v>
      </c>
      <c r="F2323">
        <v>0.857442238319298</v>
      </c>
      <c r="G2323">
        <v>0.57778922114940401</v>
      </c>
      <c r="H2323">
        <v>0.19720656650954599</v>
      </c>
      <c r="I2323">
        <v>0.141513774316046</v>
      </c>
      <c r="J2323">
        <v>0.11964429626739401</v>
      </c>
      <c r="K2323">
        <v>9.3119285416770795E-2</v>
      </c>
      <c r="L2323">
        <v>1158.2602269014001</v>
      </c>
      <c r="M2323">
        <v>20.309040435311001</v>
      </c>
      <c r="N2323">
        <v>57.3730645628969</v>
      </c>
      <c r="O2323">
        <v>56.487439282172303</v>
      </c>
      <c r="P2323">
        <v>-8.4771053122651402E-2</v>
      </c>
      <c r="Q2323">
        <v>5.6902163978570799E-2</v>
      </c>
      <c r="R2323">
        <v>0.98493245323939504</v>
      </c>
      <c r="S2323" t="s">
        <v>8184</v>
      </c>
      <c r="T2323" t="s">
        <v>11720</v>
      </c>
      <c r="U2323" t="s">
        <v>11720</v>
      </c>
      <c r="V2323" t="s">
        <v>11720</v>
      </c>
      <c r="W2323" t="s">
        <v>14000</v>
      </c>
      <c r="X2323">
        <v>10</v>
      </c>
      <c r="Y2323" t="s">
        <v>19756</v>
      </c>
      <c r="Z2323" t="s">
        <v>25530</v>
      </c>
      <c r="AA2323">
        <v>0.60363519940560328</v>
      </c>
      <c r="AB2323" t="str">
        <f>HYPERLINK("Melting_Curves/meltCurve_P36955_SERPINF1.pdf", "Melting_Curves/meltCurve_P36955_SERPINF1.pdf")</f>
        <v>Melting_Curves/meltCurve_P36955_SERPINF1.pdf</v>
      </c>
    </row>
    <row r="2324" spans="1:28" x14ac:dyDescent="0.25">
      <c r="A2324" t="s">
        <v>2328</v>
      </c>
      <c r="B2324">
        <v>0.99334974765950101</v>
      </c>
      <c r="C2324">
        <v>0.98322372332951702</v>
      </c>
      <c r="D2324">
        <v>0.93495587221875298</v>
      </c>
      <c r="E2324">
        <v>0.88976701693412696</v>
      </c>
      <c r="F2324">
        <v>1.2658922238168799</v>
      </c>
      <c r="G2324">
        <v>1.5266079957176499</v>
      </c>
      <c r="H2324">
        <v>1.4306647918009601</v>
      </c>
      <c r="I2324">
        <v>2.4243040961136799</v>
      </c>
      <c r="J2324">
        <v>1.84081818473082</v>
      </c>
      <c r="K2324">
        <v>1.7072112634627901</v>
      </c>
      <c r="L2324">
        <v>13243.25266756</v>
      </c>
      <c r="M2324">
        <v>250</v>
      </c>
      <c r="O2324">
        <v>52.969623248203597</v>
      </c>
      <c r="P2324">
        <v>0.58996080382902505</v>
      </c>
      <c r="Q2324">
        <v>1.5</v>
      </c>
      <c r="R2324">
        <v>0.52677908871775703</v>
      </c>
      <c r="S2324" t="s">
        <v>8185</v>
      </c>
      <c r="T2324" t="s">
        <v>11720</v>
      </c>
      <c r="U2324" t="s">
        <v>11720</v>
      </c>
      <c r="V2324" t="s">
        <v>11720</v>
      </c>
      <c r="W2324" t="s">
        <v>14001</v>
      </c>
      <c r="X2324">
        <v>19</v>
      </c>
      <c r="Y2324" t="s">
        <v>19757</v>
      </c>
      <c r="Z2324" t="s">
        <v>25531</v>
      </c>
      <c r="AA2324">
        <v>1.283736672091357</v>
      </c>
      <c r="AB2324" t="str">
        <f>HYPERLINK("Melting_Curves/meltCurve_P36957_DLST.pdf", "Melting_Curves/meltCurve_P36957_DLST.pdf")</f>
        <v>Melting_Curves/meltCurve_P36957_DLST.pdf</v>
      </c>
    </row>
    <row r="2325" spans="1:28" x14ac:dyDescent="0.25">
      <c r="A2325" t="s">
        <v>2329</v>
      </c>
      <c r="B2325">
        <v>0.99334974765950101</v>
      </c>
      <c r="C2325">
        <v>1.0099352721084101</v>
      </c>
      <c r="D2325">
        <v>1.0382325761023701</v>
      </c>
      <c r="E2325">
        <v>1.2270467354468699</v>
      </c>
      <c r="F2325">
        <v>1.7860257895242599</v>
      </c>
      <c r="G2325">
        <v>1.9955809769652699</v>
      </c>
      <c r="H2325">
        <v>1.8689936423592799</v>
      </c>
      <c r="I2325">
        <v>2.0947196362326301</v>
      </c>
      <c r="J2325">
        <v>1.6703573206489499</v>
      </c>
      <c r="K2325">
        <v>1.58023815324279</v>
      </c>
      <c r="L2325">
        <v>12509.206861901799</v>
      </c>
      <c r="M2325">
        <v>250</v>
      </c>
      <c r="O2325">
        <v>50.033625435070199</v>
      </c>
      <c r="P2325">
        <v>0.62457996542766603</v>
      </c>
      <c r="Q2325">
        <v>1.5</v>
      </c>
      <c r="R2325">
        <v>0.475976102561394</v>
      </c>
      <c r="S2325" t="s">
        <v>8186</v>
      </c>
      <c r="T2325" t="s">
        <v>11720</v>
      </c>
      <c r="U2325" t="s">
        <v>11720</v>
      </c>
      <c r="V2325" t="s">
        <v>11720</v>
      </c>
      <c r="W2325" t="s">
        <v>14002</v>
      </c>
      <c r="X2325">
        <v>8</v>
      </c>
      <c r="Y2325" t="s">
        <v>19758</v>
      </c>
      <c r="Z2325" t="s">
        <v>25532</v>
      </c>
      <c r="AA2325">
        <v>1.332675635613167</v>
      </c>
      <c r="AB2325" t="str">
        <f>HYPERLINK("Melting_Curves/meltCurve_P36959_GMPR.pdf", "Melting_Curves/meltCurve_P36959_GMPR.pdf")</f>
        <v>Melting_Curves/meltCurve_P36959_GMPR.pdf</v>
      </c>
    </row>
    <row r="2326" spans="1:28" x14ac:dyDescent="0.25">
      <c r="A2326" t="s">
        <v>2330</v>
      </c>
      <c r="B2326">
        <v>0.99334974765950101</v>
      </c>
      <c r="C2326">
        <v>1.0072848763464499</v>
      </c>
      <c r="D2326">
        <v>0.88808206507485998</v>
      </c>
      <c r="E2326">
        <v>0.74845849719586999</v>
      </c>
      <c r="F2326">
        <v>0.53042827368927203</v>
      </c>
      <c r="G2326">
        <v>0.22278725585068301</v>
      </c>
      <c r="H2326">
        <v>0.126168772712827</v>
      </c>
      <c r="I2326">
        <v>0.10851560545113199</v>
      </c>
      <c r="J2326">
        <v>0.117832070305582</v>
      </c>
      <c r="K2326">
        <v>0.103184412217555</v>
      </c>
      <c r="L2326">
        <v>997.51163358575604</v>
      </c>
      <c r="M2326">
        <v>18.998838827755399</v>
      </c>
      <c r="N2326">
        <v>53.0150108976665</v>
      </c>
      <c r="O2326">
        <v>51.932498769733499</v>
      </c>
      <c r="P2326">
        <v>-8.38077965006533E-2</v>
      </c>
      <c r="Q2326">
        <v>8.3696438207429294E-2</v>
      </c>
      <c r="R2326">
        <v>0.99580638861401105</v>
      </c>
      <c r="S2326" t="s">
        <v>8187</v>
      </c>
      <c r="T2326" t="s">
        <v>11720</v>
      </c>
      <c r="U2326" t="s">
        <v>11720</v>
      </c>
      <c r="V2326" t="s">
        <v>11720</v>
      </c>
      <c r="W2326" t="s">
        <v>14003</v>
      </c>
      <c r="X2326">
        <v>10</v>
      </c>
      <c r="Y2326" t="s">
        <v>19759</v>
      </c>
      <c r="Z2326" t="s">
        <v>25533</v>
      </c>
      <c r="AA2326">
        <v>0.47942807472622961</v>
      </c>
      <c r="AB2326" t="str">
        <f>HYPERLINK("Melting_Curves/meltCurve_P36969_2_GPX4.pdf", "Melting_Curves/meltCurve_P36969_2_GPX4.pdf")</f>
        <v>Melting_Curves/meltCurve_P36969_2_GPX4.pdf</v>
      </c>
    </row>
    <row r="2327" spans="1:28" x14ac:dyDescent="0.25">
      <c r="A2327" t="s">
        <v>2331</v>
      </c>
      <c r="B2327">
        <v>0.99334974765950101</v>
      </c>
      <c r="C2327">
        <v>0.93907701431997803</v>
      </c>
      <c r="D2327">
        <v>0.77441126252981696</v>
      </c>
      <c r="E2327">
        <v>0.58452295756827899</v>
      </c>
      <c r="F2327">
        <v>0.29650468226993698</v>
      </c>
      <c r="G2327">
        <v>0.26430550276571801</v>
      </c>
      <c r="H2327">
        <v>0.20378030687359999</v>
      </c>
      <c r="I2327">
        <v>0.215916901252212</v>
      </c>
      <c r="J2327">
        <v>0.124151596738312</v>
      </c>
      <c r="K2327">
        <v>9.9022354130982204E-2</v>
      </c>
      <c r="L2327">
        <v>763.66943907518498</v>
      </c>
      <c r="M2327">
        <v>15.4158750362701</v>
      </c>
      <c r="N2327">
        <v>50.57040330793</v>
      </c>
      <c r="O2327">
        <v>48.726721419160199</v>
      </c>
      <c r="P2327">
        <v>-6.8420695226817999E-2</v>
      </c>
      <c r="Q2327">
        <v>0.135018023535384</v>
      </c>
      <c r="R2327">
        <v>0.98568039982605204</v>
      </c>
      <c r="S2327" t="s">
        <v>8188</v>
      </c>
      <c r="T2327" t="s">
        <v>11720</v>
      </c>
      <c r="U2327" t="s">
        <v>11720</v>
      </c>
      <c r="V2327" t="s">
        <v>11720</v>
      </c>
      <c r="W2327" t="s">
        <v>14004</v>
      </c>
      <c r="X2327">
        <v>3</v>
      </c>
      <c r="Y2327" t="s">
        <v>19760</v>
      </c>
      <c r="Z2327" t="s">
        <v>25534</v>
      </c>
      <c r="AA2327">
        <v>0.42994029916265658</v>
      </c>
      <c r="AB2327" t="str">
        <f>HYPERLINK("Melting_Curves/meltCurve_P37059_HSD17B2.pdf", "Melting_Curves/meltCurve_P37059_HSD17B2.pdf")</f>
        <v>Melting_Curves/meltCurve_P37059_HSD17B2.pdf</v>
      </c>
    </row>
    <row r="2328" spans="1:28" x14ac:dyDescent="0.25">
      <c r="A2328" t="s">
        <v>2332</v>
      </c>
      <c r="B2328">
        <v>0.99334974765950101</v>
      </c>
      <c r="C2328">
        <v>1.02136059753108</v>
      </c>
      <c r="D2328">
        <v>1.0970482104391499</v>
      </c>
      <c r="E2328">
        <v>1.2716890553353299</v>
      </c>
      <c r="F2328">
        <v>1.45765538591319</v>
      </c>
      <c r="G2328">
        <v>1.7822884395982099</v>
      </c>
      <c r="H2328">
        <v>2.0113634614002498</v>
      </c>
      <c r="I2328">
        <v>2.07050191012832</v>
      </c>
      <c r="J2328">
        <v>0.94847112395563105</v>
      </c>
      <c r="K2328">
        <v>0.22180146737374801</v>
      </c>
      <c r="L2328">
        <v>15000</v>
      </c>
      <c r="M2328">
        <v>221.23253110592699</v>
      </c>
      <c r="N2328">
        <v>67.981290219006993</v>
      </c>
      <c r="O2328">
        <v>67.796412340946702</v>
      </c>
      <c r="P2328">
        <v>-0.63546290853586995</v>
      </c>
      <c r="Q2328">
        <v>0.22105285540943101</v>
      </c>
      <c r="R2328">
        <v>-7.6565240608586799E-2</v>
      </c>
      <c r="S2328" t="s">
        <v>8189</v>
      </c>
      <c r="T2328" t="s">
        <v>11720</v>
      </c>
      <c r="U2328" t="s">
        <v>11720</v>
      </c>
      <c r="V2328" t="s">
        <v>11720</v>
      </c>
      <c r="W2328" t="s">
        <v>14005</v>
      </c>
      <c r="X2328">
        <v>10</v>
      </c>
      <c r="Y2328" t="s">
        <v>19761</v>
      </c>
      <c r="Z2328" t="s">
        <v>25535</v>
      </c>
      <c r="AA2328">
        <v>0.94303832879880678</v>
      </c>
      <c r="AB2328" t="str">
        <f>HYPERLINK("Melting_Curves/meltCurve_P37108_SRP14.pdf", "Melting_Curves/meltCurve_P37108_SRP14.pdf")</f>
        <v>Melting_Curves/meltCurve_P37108_SRP14.pdf</v>
      </c>
    </row>
    <row r="2329" spans="1:28" x14ac:dyDescent="0.25">
      <c r="A2329" t="s">
        <v>2333</v>
      </c>
      <c r="B2329">
        <v>0.99334974765950101</v>
      </c>
      <c r="C2329">
        <v>0.89291529870490205</v>
      </c>
      <c r="D2329">
        <v>0.71025375540508295</v>
      </c>
      <c r="E2329">
        <v>0.44259774521027301</v>
      </c>
      <c r="F2329">
        <v>0.23243243549195799</v>
      </c>
      <c r="G2329">
        <v>0.15786486913172901</v>
      </c>
      <c r="H2329">
        <v>0.14284741002458101</v>
      </c>
      <c r="I2329">
        <v>0.14268716797263201</v>
      </c>
      <c r="J2329">
        <v>0.13881289547538</v>
      </c>
      <c r="K2329">
        <v>0.116628450262172</v>
      </c>
      <c r="L2329">
        <v>847.63212185526299</v>
      </c>
      <c r="M2329">
        <v>17.661137034478699</v>
      </c>
      <c r="N2329">
        <v>48.756045032022598</v>
      </c>
      <c r="O2329">
        <v>47.391561524106798</v>
      </c>
      <c r="P2329">
        <v>-8.1936227876966097E-2</v>
      </c>
      <c r="Q2329">
        <v>0.120582260904496</v>
      </c>
      <c r="R2329">
        <v>0.99727953633815003</v>
      </c>
      <c r="S2329" t="s">
        <v>8190</v>
      </c>
      <c r="T2329" t="s">
        <v>11720</v>
      </c>
      <c r="U2329" t="s">
        <v>11720</v>
      </c>
      <c r="V2329" t="s">
        <v>11720</v>
      </c>
      <c r="W2329" t="s">
        <v>14006</v>
      </c>
      <c r="X2329">
        <v>7</v>
      </c>
      <c r="Y2329" t="s">
        <v>19762</v>
      </c>
      <c r="Z2329" t="s">
        <v>25536</v>
      </c>
      <c r="AA2329">
        <v>0.37116025450645912</v>
      </c>
      <c r="AB2329" t="str">
        <f>HYPERLINK("Melting_Curves/meltCurve_P37173_TGFBR2.pdf", "Melting_Curves/meltCurve_P37173_TGFBR2.pdf")</f>
        <v>Melting_Curves/meltCurve_P37173_TGFBR2.pdf</v>
      </c>
    </row>
    <row r="2330" spans="1:28" x14ac:dyDescent="0.25">
      <c r="A2330" t="s">
        <v>2334</v>
      </c>
      <c r="B2330">
        <v>0.99334974765950101</v>
      </c>
      <c r="C2330">
        <v>1.0458263498594</v>
      </c>
      <c r="D2330">
        <v>1.03450902817196</v>
      </c>
      <c r="E2330">
        <v>1.04480520109081</v>
      </c>
      <c r="F2330">
        <v>0.67773505792648103</v>
      </c>
      <c r="G2330">
        <v>0.48102006341864201</v>
      </c>
      <c r="H2330">
        <v>0.46738279816897998</v>
      </c>
      <c r="I2330">
        <v>0.58366051421613496</v>
      </c>
      <c r="J2330">
        <v>0.70504250233144405</v>
      </c>
      <c r="K2330">
        <v>0.72995879441776101</v>
      </c>
      <c r="L2330">
        <v>13178.9416396617</v>
      </c>
      <c r="M2330">
        <v>250</v>
      </c>
      <c r="O2330">
        <v>52.712393171834599</v>
      </c>
      <c r="P2330">
        <v>-0.482081974019203</v>
      </c>
      <c r="Q2330">
        <v>0.59341288814761906</v>
      </c>
      <c r="R2330">
        <v>0.86861768369552095</v>
      </c>
      <c r="S2330" t="s">
        <v>8191</v>
      </c>
      <c r="T2330" t="s">
        <v>11720</v>
      </c>
      <c r="U2330" t="s">
        <v>11720</v>
      </c>
      <c r="V2330" t="s">
        <v>11720</v>
      </c>
      <c r="W2330" t="s">
        <v>14007</v>
      </c>
      <c r="X2330">
        <v>9</v>
      </c>
      <c r="Y2330" t="s">
        <v>19763</v>
      </c>
      <c r="Z2330" t="s">
        <v>25537</v>
      </c>
      <c r="AA2330">
        <v>0.76578606369884128</v>
      </c>
      <c r="AB2330" t="str">
        <f>HYPERLINK("Melting_Curves/meltCurve_P37198_NUP62.pdf", "Melting_Curves/meltCurve_P37198_NUP62.pdf")</f>
        <v>Melting_Curves/meltCurve_P37198_NUP62.pdf</v>
      </c>
    </row>
    <row r="2331" spans="1:28" x14ac:dyDescent="0.25">
      <c r="A2331" t="s">
        <v>2335</v>
      </c>
      <c r="B2331">
        <v>0.99334974765950101</v>
      </c>
      <c r="C2331">
        <v>0.93623699135667204</v>
      </c>
      <c r="D2331">
        <v>0.93306514059844603</v>
      </c>
      <c r="E2331">
        <v>0.81945417292642597</v>
      </c>
      <c r="F2331">
        <v>0.82691298597912299</v>
      </c>
      <c r="G2331">
        <v>0.54960139391773599</v>
      </c>
      <c r="H2331">
        <v>0.369375004582291</v>
      </c>
      <c r="I2331">
        <v>0.30442655618739101</v>
      </c>
      <c r="J2331">
        <v>0.24061939964849699</v>
      </c>
      <c r="K2331">
        <v>0.178762628134048</v>
      </c>
      <c r="L2331">
        <v>642.46573724869404</v>
      </c>
      <c r="M2331">
        <v>11.1094331186709</v>
      </c>
      <c r="N2331">
        <v>58.499626340169002</v>
      </c>
      <c r="O2331">
        <v>56.051685021029698</v>
      </c>
      <c r="P2331">
        <v>-4.6609314452374602E-2</v>
      </c>
      <c r="Q2331">
        <v>5.9651980414958103E-2</v>
      </c>
      <c r="R2331">
        <v>0.98794777235474995</v>
      </c>
      <c r="S2331" t="s">
        <v>8192</v>
      </c>
      <c r="T2331" t="s">
        <v>11720</v>
      </c>
      <c r="U2331" t="s">
        <v>11720</v>
      </c>
      <c r="V2331" t="s">
        <v>11720</v>
      </c>
      <c r="W2331" t="s">
        <v>14008</v>
      </c>
      <c r="X2331">
        <v>14</v>
      </c>
      <c r="Y2331" t="s">
        <v>19764</v>
      </c>
      <c r="Z2331" t="s">
        <v>25538</v>
      </c>
      <c r="AA2331">
        <v>0.63044646815075467</v>
      </c>
      <c r="AB2331" t="str">
        <f>HYPERLINK("Melting_Curves/meltCurve_P37235_HPCAL1.pdf", "Melting_Curves/meltCurve_P37235_HPCAL1.pdf")</f>
        <v>Melting_Curves/meltCurve_P37235_HPCAL1.pdf</v>
      </c>
    </row>
    <row r="2332" spans="1:28" x14ac:dyDescent="0.25">
      <c r="A2332" t="s">
        <v>2336</v>
      </c>
      <c r="B2332">
        <v>0.99334974765950101</v>
      </c>
      <c r="C2332">
        <v>0.96214801095244396</v>
      </c>
      <c r="D2332">
        <v>0.907348988672942</v>
      </c>
      <c r="E2332">
        <v>0.68271256052684004</v>
      </c>
      <c r="F2332">
        <v>0.28497129916984398</v>
      </c>
      <c r="G2332">
        <v>0.12776097826840599</v>
      </c>
      <c r="H2332">
        <v>8.9151182001719495E-2</v>
      </c>
      <c r="I2332">
        <v>7.4602854201678101E-2</v>
      </c>
      <c r="J2332">
        <v>6.8228668918146301E-2</v>
      </c>
      <c r="K2332">
        <v>4.9923336045620298E-2</v>
      </c>
      <c r="L2332">
        <v>1357.59027784862</v>
      </c>
      <c r="M2332">
        <v>26.631376610342599</v>
      </c>
      <c r="N2332">
        <v>51.246093844023299</v>
      </c>
      <c r="O2332">
        <v>50.6922652830036</v>
      </c>
      <c r="P2332">
        <v>-0.122772606801933</v>
      </c>
      <c r="Q2332">
        <v>6.5229496909692694E-2</v>
      </c>
      <c r="R2332">
        <v>0.99657563512896497</v>
      </c>
      <c r="S2332" t="s">
        <v>8193</v>
      </c>
      <c r="T2332" t="s">
        <v>11720</v>
      </c>
      <c r="U2332" t="s">
        <v>11720</v>
      </c>
      <c r="V2332" t="s">
        <v>11720</v>
      </c>
      <c r="W2332" t="s">
        <v>14009</v>
      </c>
      <c r="X2332">
        <v>23</v>
      </c>
      <c r="Y2332" t="s">
        <v>19765</v>
      </c>
      <c r="Z2332" t="s">
        <v>25539</v>
      </c>
      <c r="AA2332">
        <v>0.41471590619951698</v>
      </c>
      <c r="AB2332" t="str">
        <f>HYPERLINK("Melting_Curves/meltCurve_P37268_FDFT1.pdf", "Melting_Curves/meltCurve_P37268_FDFT1.pdf")</f>
        <v>Melting_Curves/meltCurve_P37268_FDFT1.pdf</v>
      </c>
    </row>
    <row r="2333" spans="1:28" x14ac:dyDescent="0.25">
      <c r="A2333" t="s">
        <v>2337</v>
      </c>
      <c r="B2333">
        <v>0.99334974765950101</v>
      </c>
      <c r="C2333">
        <v>0.90574936383667004</v>
      </c>
      <c r="D2333">
        <v>0.848875476508686</v>
      </c>
      <c r="E2333">
        <v>0.71299296538046697</v>
      </c>
      <c r="F2333">
        <v>0.35650002793559299</v>
      </c>
      <c r="G2333">
        <v>0.185953617906539</v>
      </c>
      <c r="H2333">
        <v>0.12811570183526699</v>
      </c>
      <c r="I2333">
        <v>0.116345931540562</v>
      </c>
      <c r="J2333">
        <v>0.12130607155763599</v>
      </c>
      <c r="K2333">
        <v>0.11223380551203301</v>
      </c>
      <c r="L2333">
        <v>972.86967472099604</v>
      </c>
      <c r="M2333">
        <v>19.051908248403201</v>
      </c>
      <c r="N2333">
        <v>51.641955038515697</v>
      </c>
      <c r="O2333">
        <v>50.511563979331697</v>
      </c>
      <c r="P2333">
        <v>-8.52470548107023E-2</v>
      </c>
      <c r="Q2333">
        <v>9.5987410031634093E-2</v>
      </c>
      <c r="R2333">
        <v>0.98738656506678701</v>
      </c>
      <c r="S2333" t="s">
        <v>8194</v>
      </c>
      <c r="T2333" t="s">
        <v>11720</v>
      </c>
      <c r="U2333" t="s">
        <v>11720</v>
      </c>
      <c r="V2333" t="s">
        <v>11720</v>
      </c>
      <c r="W2333" t="s">
        <v>14010</v>
      </c>
      <c r="X2333">
        <v>26</v>
      </c>
      <c r="Y2333" t="s">
        <v>19766</v>
      </c>
      <c r="Z2333" t="s">
        <v>25540</v>
      </c>
      <c r="AA2333">
        <v>0.44311996547855981</v>
      </c>
      <c r="AB2333" t="str">
        <f>HYPERLINK("Melting_Curves/meltCurve_P37802_TAGLN2.pdf", "Melting_Curves/meltCurve_P37802_TAGLN2.pdf")</f>
        <v>Melting_Curves/meltCurve_P37802_TAGLN2.pdf</v>
      </c>
    </row>
    <row r="2334" spans="1:28" x14ac:dyDescent="0.25">
      <c r="A2334" t="s">
        <v>2338</v>
      </c>
      <c r="B2334">
        <v>0.99334974765950101</v>
      </c>
      <c r="C2334">
        <v>0.98327553905480602</v>
      </c>
      <c r="D2334">
        <v>0.96042049174355004</v>
      </c>
      <c r="E2334">
        <v>0.74826254233155498</v>
      </c>
      <c r="F2334">
        <v>0.32260673097137998</v>
      </c>
      <c r="G2334">
        <v>0.19804403341674301</v>
      </c>
      <c r="H2334">
        <v>0.154988068004211</v>
      </c>
      <c r="I2334">
        <v>0.14129811078673299</v>
      </c>
      <c r="J2334">
        <v>0.108354747327938</v>
      </c>
      <c r="K2334">
        <v>8.4042123921719794E-2</v>
      </c>
      <c r="L2334">
        <v>1708.5067131189401</v>
      </c>
      <c r="M2334">
        <v>33.345626032843199</v>
      </c>
      <c r="N2334">
        <v>51.6933242067457</v>
      </c>
      <c r="O2334">
        <v>51.0530893806813</v>
      </c>
      <c r="P2334">
        <v>-0.142443374184136</v>
      </c>
      <c r="Q2334">
        <v>0.12766451858532901</v>
      </c>
      <c r="R2334">
        <v>0.99578559466436101</v>
      </c>
      <c r="S2334" t="s">
        <v>8195</v>
      </c>
      <c r="T2334" t="s">
        <v>11720</v>
      </c>
      <c r="U2334" t="s">
        <v>11720</v>
      </c>
      <c r="V2334" t="s">
        <v>11720</v>
      </c>
      <c r="W2334" t="s">
        <v>14011</v>
      </c>
      <c r="X2334">
        <v>29</v>
      </c>
      <c r="Y2334" t="s">
        <v>19767</v>
      </c>
      <c r="Z2334" t="s">
        <v>25541</v>
      </c>
      <c r="AA2334">
        <v>0.45884678690131681</v>
      </c>
      <c r="AB2334" t="str">
        <f>HYPERLINK("Melting_Curves/meltCurve_P37837_TALDO1.pdf", "Melting_Curves/meltCurve_P37837_TALDO1.pdf")</f>
        <v>Melting_Curves/meltCurve_P37837_TALDO1.pdf</v>
      </c>
    </row>
    <row r="2335" spans="1:28" x14ac:dyDescent="0.25">
      <c r="A2335" t="s">
        <v>2339</v>
      </c>
      <c r="B2335">
        <v>0.99334974765950101</v>
      </c>
      <c r="C2335">
        <v>1.0153593245010899</v>
      </c>
      <c r="D2335">
        <v>0.94730330702001897</v>
      </c>
      <c r="E2335">
        <v>0.83413108137631298</v>
      </c>
      <c r="F2335">
        <v>0.470434572320717</v>
      </c>
      <c r="G2335">
        <v>0.21601834583028001</v>
      </c>
      <c r="H2335">
        <v>0.14758254964595</v>
      </c>
      <c r="I2335">
        <v>0.10824281265897</v>
      </c>
      <c r="J2335">
        <v>9.8652012591613103E-2</v>
      </c>
      <c r="K2335">
        <v>7.3191180381667803E-2</v>
      </c>
      <c r="L2335">
        <v>1362.75924413401</v>
      </c>
      <c r="M2335">
        <v>25.956137270551299</v>
      </c>
      <c r="N2335">
        <v>52.950824571329001</v>
      </c>
      <c r="O2335">
        <v>52.193723986055701</v>
      </c>
      <c r="P2335">
        <v>-0.11206041065000601</v>
      </c>
      <c r="Q2335">
        <v>9.8666750846882506E-2</v>
      </c>
      <c r="R2335">
        <v>0.99724227194575399</v>
      </c>
      <c r="S2335" t="s">
        <v>8196</v>
      </c>
      <c r="T2335" t="s">
        <v>11720</v>
      </c>
      <c r="U2335" t="s">
        <v>11720</v>
      </c>
      <c r="V2335" t="s">
        <v>11720</v>
      </c>
      <c r="W2335" t="s">
        <v>14012</v>
      </c>
      <c r="X2335">
        <v>23</v>
      </c>
      <c r="Y2335" t="s">
        <v>19768</v>
      </c>
      <c r="Z2335" t="s">
        <v>25542</v>
      </c>
      <c r="AA2335">
        <v>0.48198832126407709</v>
      </c>
      <c r="AB2335" t="str">
        <f>HYPERLINK("Melting_Curves/meltCurve_P38117_ETFB.pdf", "Melting_Curves/meltCurve_P38117_ETFB.pdf")</f>
        <v>Melting_Curves/meltCurve_P38117_ETFB.pdf</v>
      </c>
    </row>
    <row r="2336" spans="1:28" x14ac:dyDescent="0.25">
      <c r="A2336" t="s">
        <v>2340</v>
      </c>
      <c r="B2336">
        <v>0.99334974765950101</v>
      </c>
      <c r="C2336">
        <v>0.997668985735642</v>
      </c>
      <c r="D2336">
        <v>0.87435248511628405</v>
      </c>
      <c r="E2336">
        <v>0.77887646597027704</v>
      </c>
      <c r="F2336">
        <v>0.65731882005004805</v>
      </c>
      <c r="G2336">
        <v>0.41392391631914999</v>
      </c>
      <c r="H2336">
        <v>0.34707281296602499</v>
      </c>
      <c r="I2336">
        <v>0.26567616057505</v>
      </c>
      <c r="J2336">
        <v>0.30068813126226202</v>
      </c>
      <c r="K2336">
        <v>0.34163102054640099</v>
      </c>
      <c r="L2336">
        <v>821.883311044989</v>
      </c>
      <c r="M2336">
        <v>15.630650940134</v>
      </c>
      <c r="N2336">
        <v>55.406937001355402</v>
      </c>
      <c r="O2336">
        <v>51.743418859483398</v>
      </c>
      <c r="P2336">
        <v>-5.4781160517602498E-2</v>
      </c>
      <c r="Q2336">
        <v>0.27467617693601998</v>
      </c>
      <c r="R2336">
        <v>0.98565665308161898</v>
      </c>
      <c r="S2336" t="s">
        <v>8197</v>
      </c>
      <c r="T2336" t="s">
        <v>11720</v>
      </c>
      <c r="U2336" t="s">
        <v>11720</v>
      </c>
      <c r="V2336" t="s">
        <v>11720</v>
      </c>
      <c r="W2336" t="s">
        <v>14013</v>
      </c>
      <c r="X2336">
        <v>4</v>
      </c>
      <c r="Y2336" t="s">
        <v>19769</v>
      </c>
      <c r="Z2336" t="s">
        <v>25543</v>
      </c>
      <c r="AA2336">
        <v>0.59380427419143522</v>
      </c>
      <c r="AB2336" t="str">
        <f>HYPERLINK("Melting_Curves/meltCurve_P38159_RBMX.pdf", "Melting_Curves/meltCurve_P38159_RBMX.pdf")</f>
        <v>Melting_Curves/meltCurve_P38159_RBMX.pdf</v>
      </c>
    </row>
    <row r="2337" spans="1:28" x14ac:dyDescent="0.25">
      <c r="A2337" t="s">
        <v>2341</v>
      </c>
      <c r="B2337">
        <v>0.99334974765950101</v>
      </c>
      <c r="C2337">
        <v>1.0944770394454399</v>
      </c>
      <c r="D2337">
        <v>0.86482012277063902</v>
      </c>
      <c r="E2337">
        <v>0.85826012466636403</v>
      </c>
      <c r="F2337">
        <v>0.68738235615977294</v>
      </c>
      <c r="G2337">
        <v>0.47777877320284801</v>
      </c>
      <c r="H2337">
        <v>0.26251109357739699</v>
      </c>
      <c r="I2337">
        <v>0.195407666521284</v>
      </c>
      <c r="J2337">
        <v>0.19823093885075199</v>
      </c>
      <c r="K2337">
        <v>0.18304400062384399</v>
      </c>
      <c r="L2337">
        <v>842.60091883769098</v>
      </c>
      <c r="M2337">
        <v>15.3253494271297</v>
      </c>
      <c r="N2337">
        <v>56.112157839229901</v>
      </c>
      <c r="O2337">
        <v>54.070230631925</v>
      </c>
      <c r="P2337">
        <v>-6.1447137930835297E-2</v>
      </c>
      <c r="Q2337">
        <v>0.13290017547285499</v>
      </c>
      <c r="R2337">
        <v>0.98041610607324503</v>
      </c>
      <c r="S2337" t="s">
        <v>8198</v>
      </c>
      <c r="T2337" t="s">
        <v>11720</v>
      </c>
      <c r="U2337" t="s">
        <v>11720</v>
      </c>
      <c r="V2337" t="s">
        <v>11720</v>
      </c>
      <c r="W2337" t="s">
        <v>14014</v>
      </c>
      <c r="X2337">
        <v>5</v>
      </c>
      <c r="Y2337" t="s">
        <v>19770</v>
      </c>
      <c r="Z2337" t="s">
        <v>25544</v>
      </c>
      <c r="AA2337">
        <v>0.5822546597719227</v>
      </c>
      <c r="AB2337" t="str">
        <f>HYPERLINK("Melting_Curves/meltCurve_P38405_3_GNAL.pdf", "Melting_Curves/meltCurve_P38405_3_GNAL.pdf")</f>
        <v>Melting_Curves/meltCurve_P38405_3_GNAL.pdf</v>
      </c>
    </row>
    <row r="2338" spans="1:28" x14ac:dyDescent="0.25">
      <c r="A2338" t="s">
        <v>2342</v>
      </c>
      <c r="B2338">
        <v>0.99334974765950101</v>
      </c>
      <c r="C2338">
        <v>1.0486335091700201</v>
      </c>
      <c r="D2338">
        <v>1.34801461879301</v>
      </c>
      <c r="E2338">
        <v>0.89343901167482298</v>
      </c>
      <c r="F2338">
        <v>0.15326552717400299</v>
      </c>
      <c r="G2338">
        <v>0.145486632117939</v>
      </c>
      <c r="H2338">
        <v>0.103549372445493</v>
      </c>
      <c r="I2338">
        <v>0.175990401532515</v>
      </c>
      <c r="J2338">
        <v>0.11905881154407599</v>
      </c>
      <c r="K2338">
        <v>0.108423483489602</v>
      </c>
      <c r="L2338">
        <v>4958.1564214062601</v>
      </c>
      <c r="M2338">
        <v>97.192639064814202</v>
      </c>
      <c r="N2338">
        <v>51.173095717305003</v>
      </c>
      <c r="O2338">
        <v>50.992116497780799</v>
      </c>
      <c r="P2338">
        <v>-0.41428198147483303</v>
      </c>
      <c r="Q2338">
        <v>0.13058790570228801</v>
      </c>
      <c r="R2338">
        <v>0.94281693025482605</v>
      </c>
      <c r="S2338" t="s">
        <v>8199</v>
      </c>
      <c r="T2338" t="s">
        <v>11720</v>
      </c>
      <c r="U2338" t="s">
        <v>11720</v>
      </c>
      <c r="V2338" t="s">
        <v>11720</v>
      </c>
      <c r="W2338" t="s">
        <v>14015</v>
      </c>
      <c r="X2338">
        <v>4</v>
      </c>
      <c r="Y2338" t="s">
        <v>19771</v>
      </c>
      <c r="Z2338" t="s">
        <v>25545</v>
      </c>
      <c r="AA2338">
        <v>0.45028509031187353</v>
      </c>
      <c r="AB2338" t="str">
        <f>HYPERLINK("Melting_Curves/meltCurve_P38435_GGCX.pdf", "Melting_Curves/meltCurve_P38435_GGCX.pdf")</f>
        <v>Melting_Curves/meltCurve_P38435_GGCX.pdf</v>
      </c>
    </row>
    <row r="2339" spans="1:28" x14ac:dyDescent="0.25">
      <c r="A2339" t="s">
        <v>2343</v>
      </c>
      <c r="B2339">
        <v>0.99334974765950101</v>
      </c>
      <c r="C2339">
        <v>0.97341148487832196</v>
      </c>
      <c r="D2339">
        <v>0.98219364550045696</v>
      </c>
      <c r="E2339">
        <v>0.82856466717405197</v>
      </c>
      <c r="F2339">
        <v>0.78351328638905204</v>
      </c>
      <c r="G2339">
        <v>0.78644299981070398</v>
      </c>
      <c r="H2339">
        <v>0.74021567265403099</v>
      </c>
      <c r="I2339">
        <v>0.62788847530387304</v>
      </c>
      <c r="J2339">
        <v>0.17927309609196801</v>
      </c>
      <c r="K2339">
        <v>0.118582076094765</v>
      </c>
      <c r="L2339">
        <v>975.21147196087099</v>
      </c>
      <c r="M2339">
        <v>15.350393880979199</v>
      </c>
      <c r="N2339">
        <v>63.530061855993999</v>
      </c>
      <c r="O2339">
        <v>62.481162593889998</v>
      </c>
      <c r="P2339">
        <v>-6.1425756071194999E-2</v>
      </c>
      <c r="Q2339">
        <v>0</v>
      </c>
      <c r="R2339">
        <v>0.87152988633227901</v>
      </c>
      <c r="S2339" t="s">
        <v>8200</v>
      </c>
      <c r="T2339" t="s">
        <v>11720</v>
      </c>
      <c r="U2339" t="s">
        <v>11720</v>
      </c>
      <c r="V2339" t="s">
        <v>11720</v>
      </c>
      <c r="W2339" t="s">
        <v>14016</v>
      </c>
      <c r="X2339">
        <v>2</v>
      </c>
      <c r="Y2339" t="s">
        <v>19772</v>
      </c>
      <c r="Z2339" t="s">
        <v>25546</v>
      </c>
      <c r="AA2339">
        <v>0.77233679877437889</v>
      </c>
      <c r="AB2339" t="str">
        <f>HYPERLINK("Melting_Curves/meltCurve_P38571_2_LIPA.pdf", "Melting_Curves/meltCurve_P38571_2_LIPA.pdf")</f>
        <v>Melting_Curves/meltCurve_P38571_2_LIPA.pdf</v>
      </c>
    </row>
    <row r="2340" spans="1:28" x14ac:dyDescent="0.25">
      <c r="A2340" t="s">
        <v>2344</v>
      </c>
      <c r="B2340">
        <v>0.99334974765950101</v>
      </c>
      <c r="C2340">
        <v>0.96072676861207995</v>
      </c>
      <c r="D2340">
        <v>0.80453754560743496</v>
      </c>
      <c r="E2340">
        <v>0.66295009668887905</v>
      </c>
      <c r="F2340">
        <v>0.53039029512787095</v>
      </c>
      <c r="G2340">
        <v>0.70553080629202902</v>
      </c>
      <c r="H2340">
        <v>0.587094895391713</v>
      </c>
      <c r="I2340">
        <v>0.25721584618701698</v>
      </c>
      <c r="J2340">
        <v>0.14088401373780399</v>
      </c>
      <c r="K2340">
        <v>9.8468550907193003E-2</v>
      </c>
      <c r="L2340">
        <v>428.301539278029</v>
      </c>
      <c r="M2340">
        <v>7.47670384617635</v>
      </c>
      <c r="N2340">
        <v>57.284792924001998</v>
      </c>
      <c r="O2340">
        <v>53.616038719995899</v>
      </c>
      <c r="P2340">
        <v>-3.4912959369359703E-2</v>
      </c>
      <c r="Q2340">
        <v>0</v>
      </c>
      <c r="R2340">
        <v>0.85713238165394601</v>
      </c>
      <c r="S2340" t="s">
        <v>8201</v>
      </c>
      <c r="T2340" t="s">
        <v>11720</v>
      </c>
      <c r="U2340" t="s">
        <v>11720</v>
      </c>
      <c r="V2340" t="s">
        <v>11720</v>
      </c>
      <c r="W2340" t="s">
        <v>14017</v>
      </c>
      <c r="X2340">
        <v>33</v>
      </c>
      <c r="Y2340" t="s">
        <v>19773</v>
      </c>
      <c r="Z2340" t="s">
        <v>25547</v>
      </c>
      <c r="AA2340">
        <v>0.58388574174285923</v>
      </c>
      <c r="AB2340" t="str">
        <f>HYPERLINK("Melting_Curves/meltCurve_P38606_ATP6V1A.pdf", "Melting_Curves/meltCurve_P38606_ATP6V1A.pdf")</f>
        <v>Melting_Curves/meltCurve_P38606_ATP6V1A.pdf</v>
      </c>
    </row>
    <row r="2341" spans="1:28" x14ac:dyDescent="0.25">
      <c r="A2341" t="s">
        <v>2345</v>
      </c>
      <c r="B2341">
        <v>0.99334974765950101</v>
      </c>
      <c r="C2341">
        <v>0.92594127733287601</v>
      </c>
      <c r="D2341">
        <v>0.89165883729711903</v>
      </c>
      <c r="E2341">
        <v>0.79804389877248305</v>
      </c>
      <c r="F2341">
        <v>0.26656687943941798</v>
      </c>
      <c r="G2341">
        <v>0.114462624221693</v>
      </c>
      <c r="H2341">
        <v>7.5197696465524905E-2</v>
      </c>
      <c r="I2341">
        <v>7.0464484557548404E-2</v>
      </c>
      <c r="J2341">
        <v>6.4099016722530794E-2</v>
      </c>
      <c r="K2341">
        <v>5.2910048821569897E-2</v>
      </c>
      <c r="L2341">
        <v>2153.14699655092</v>
      </c>
      <c r="M2341">
        <v>41.865857359292697</v>
      </c>
      <c r="N2341">
        <v>51.617056928503999</v>
      </c>
      <c r="O2341">
        <v>51.312740648182903</v>
      </c>
      <c r="P2341">
        <v>-0.18959369920849301</v>
      </c>
      <c r="Q2341">
        <v>7.0502219950213496E-2</v>
      </c>
      <c r="R2341">
        <v>0.98892612942345204</v>
      </c>
      <c r="S2341" t="s">
        <v>8202</v>
      </c>
      <c r="T2341" t="s">
        <v>11720</v>
      </c>
      <c r="U2341" t="s">
        <v>11720</v>
      </c>
      <c r="V2341" t="s">
        <v>11720</v>
      </c>
      <c r="W2341" t="s">
        <v>14018</v>
      </c>
      <c r="X2341">
        <v>52</v>
      </c>
      <c r="Y2341" t="s">
        <v>19774</v>
      </c>
      <c r="Z2341" t="s">
        <v>25548</v>
      </c>
      <c r="AA2341">
        <v>0.42764437920225518</v>
      </c>
      <c r="AB2341" t="str">
        <f>HYPERLINK("Melting_Curves/meltCurve_P38646_HSPA9.pdf", "Melting_Curves/meltCurve_P38646_HSPA9.pdf")</f>
        <v>Melting_Curves/meltCurve_P38646_HSPA9.pdf</v>
      </c>
    </row>
    <row r="2342" spans="1:28" x14ac:dyDescent="0.25">
      <c r="A2342" t="s">
        <v>2346</v>
      </c>
      <c r="B2342">
        <v>0.99334974765950101</v>
      </c>
      <c r="C2342">
        <v>1.0049390703548799</v>
      </c>
      <c r="D2342">
        <v>0.88965490174228301</v>
      </c>
      <c r="E2342">
        <v>0.69614730323063601</v>
      </c>
      <c r="F2342">
        <v>0.36557241658837702</v>
      </c>
      <c r="G2342">
        <v>0.242115728527942</v>
      </c>
      <c r="H2342">
        <v>0.14766910786173701</v>
      </c>
      <c r="I2342">
        <v>0.111398488361881</v>
      </c>
      <c r="J2342">
        <v>8.3610550834434E-2</v>
      </c>
      <c r="K2342">
        <v>5.8586089937264399E-2</v>
      </c>
      <c r="L2342">
        <v>957.01055694164597</v>
      </c>
      <c r="M2342">
        <v>18.6011343902783</v>
      </c>
      <c r="N2342">
        <v>51.932892718068501</v>
      </c>
      <c r="O2342">
        <v>50.865471010939999</v>
      </c>
      <c r="P2342">
        <v>-8.4153414685878197E-2</v>
      </c>
      <c r="Q2342">
        <v>7.9557731760587599E-2</v>
      </c>
      <c r="R2342">
        <v>0.994671264104526</v>
      </c>
      <c r="S2342" t="s">
        <v>8203</v>
      </c>
      <c r="T2342" t="s">
        <v>11720</v>
      </c>
      <c r="U2342" t="s">
        <v>11720</v>
      </c>
      <c r="V2342" t="s">
        <v>11720</v>
      </c>
      <c r="W2342" t="s">
        <v>14019</v>
      </c>
      <c r="X2342">
        <v>20</v>
      </c>
      <c r="Y2342" t="s">
        <v>19775</v>
      </c>
      <c r="Z2342" t="s">
        <v>25549</v>
      </c>
      <c r="AA2342">
        <v>0.44538402656001552</v>
      </c>
      <c r="AB2342" t="str">
        <f>HYPERLINK("Melting_Curves/meltCurve_P38919_EIF4A3.pdf", "Melting_Curves/meltCurve_P38919_EIF4A3.pdf")</f>
        <v>Melting_Curves/meltCurve_P38919_EIF4A3.pdf</v>
      </c>
    </row>
    <row r="2343" spans="1:28" x14ac:dyDescent="0.25">
      <c r="A2343" t="s">
        <v>2347</v>
      </c>
      <c r="B2343">
        <v>0.99334974765950101</v>
      </c>
      <c r="C2343">
        <v>1.2698537900183</v>
      </c>
      <c r="D2343">
        <v>1.3820262372055301</v>
      </c>
      <c r="E2343">
        <v>1.06575289268159</v>
      </c>
      <c r="F2343">
        <v>1.06489775881543</v>
      </c>
      <c r="G2343">
        <v>0.762729795159659</v>
      </c>
      <c r="H2343">
        <v>0.80884658129974696</v>
      </c>
      <c r="I2343">
        <v>0.55421382513941198</v>
      </c>
      <c r="J2343">
        <v>0.899272594566768</v>
      </c>
      <c r="K2343">
        <v>0.87495577623603105</v>
      </c>
      <c r="L2343">
        <v>7961.6672860156104</v>
      </c>
      <c r="M2343">
        <v>144.303114827819</v>
      </c>
      <c r="O2343">
        <v>55.162623630438901</v>
      </c>
      <c r="P2343">
        <v>-0.144110624505977</v>
      </c>
      <c r="Q2343">
        <v>0.77964384078835103</v>
      </c>
      <c r="R2343">
        <v>0.43305803818466099</v>
      </c>
      <c r="S2343" t="s">
        <v>8204</v>
      </c>
      <c r="T2343" t="s">
        <v>11720</v>
      </c>
      <c r="U2343" t="s">
        <v>11720</v>
      </c>
      <c r="V2343" t="s">
        <v>11720</v>
      </c>
      <c r="W2343" t="s">
        <v>14020</v>
      </c>
      <c r="X2343">
        <v>11</v>
      </c>
      <c r="Y2343" t="s">
        <v>19776</v>
      </c>
      <c r="Z2343" t="s">
        <v>25550</v>
      </c>
      <c r="AA2343">
        <v>0.89115831489678654</v>
      </c>
      <c r="AB2343" t="str">
        <f>HYPERLINK("Melting_Curves/meltCurve_P39019_RPS19.pdf", "Melting_Curves/meltCurve_P39019_RPS19.pdf")</f>
        <v>Melting_Curves/meltCurve_P39019_RPS19.pdf</v>
      </c>
    </row>
    <row r="2344" spans="1:28" x14ac:dyDescent="0.25">
      <c r="A2344" t="s">
        <v>2348</v>
      </c>
      <c r="B2344">
        <v>0.99334974765950101</v>
      </c>
      <c r="C2344">
        <v>1.06931802840266</v>
      </c>
      <c r="D2344">
        <v>0.85497969257224704</v>
      </c>
      <c r="E2344">
        <v>0.89037821805477602</v>
      </c>
      <c r="F2344">
        <v>1.1796309200078401</v>
      </c>
      <c r="G2344">
        <v>0.65088748723608703</v>
      </c>
      <c r="H2344">
        <v>0.49457922510126601</v>
      </c>
      <c r="I2344">
        <v>0.49388645983766299</v>
      </c>
      <c r="J2344">
        <v>0.366251226513156</v>
      </c>
      <c r="K2344">
        <v>0.269080067048454</v>
      </c>
      <c r="L2344">
        <v>8946.1364017920896</v>
      </c>
      <c r="M2344">
        <v>157.30401170475201</v>
      </c>
      <c r="N2344">
        <v>57.482170937691102</v>
      </c>
      <c r="O2344">
        <v>56.862439255013598</v>
      </c>
      <c r="P2344">
        <v>-0.41084898415083299</v>
      </c>
      <c r="Q2344">
        <v>0.40594325351524202</v>
      </c>
      <c r="R2344">
        <v>0.88083651259277695</v>
      </c>
      <c r="S2344" t="s">
        <v>8205</v>
      </c>
      <c r="T2344" t="s">
        <v>11720</v>
      </c>
      <c r="U2344" t="s">
        <v>11720</v>
      </c>
      <c r="V2344" t="s">
        <v>11720</v>
      </c>
      <c r="W2344" t="s">
        <v>14021</v>
      </c>
      <c r="X2344">
        <v>6</v>
      </c>
      <c r="Y2344" t="s">
        <v>19777</v>
      </c>
      <c r="Z2344" t="s">
        <v>25551</v>
      </c>
      <c r="AA2344">
        <v>0.74018335923071987</v>
      </c>
      <c r="AB2344" t="str">
        <f>HYPERLINK("Melting_Curves/meltCurve_P39023_RPL3.pdf", "Melting_Curves/meltCurve_P39023_RPL3.pdf")</f>
        <v>Melting_Curves/meltCurve_P39023_RPL3.pdf</v>
      </c>
    </row>
    <row r="2345" spans="1:28" x14ac:dyDescent="0.25">
      <c r="A2345" t="s">
        <v>2349</v>
      </c>
      <c r="B2345">
        <v>0.99334974765950101</v>
      </c>
      <c r="C2345">
        <v>1.02508547686023</v>
      </c>
      <c r="D2345">
        <v>1.09217977466328</v>
      </c>
      <c r="E2345">
        <v>1.0277480163824599</v>
      </c>
      <c r="F2345">
        <v>0.65277529278683399</v>
      </c>
      <c r="G2345">
        <v>0.43701901141424698</v>
      </c>
      <c r="H2345">
        <v>0.28886723384702101</v>
      </c>
      <c r="I2345">
        <v>0.26268256414908903</v>
      </c>
      <c r="J2345">
        <v>0.213722693663462</v>
      </c>
      <c r="K2345">
        <v>0.194404596265664</v>
      </c>
      <c r="L2345">
        <v>1449.76731472304</v>
      </c>
      <c r="M2345">
        <v>26.733663653818599</v>
      </c>
      <c r="N2345">
        <v>55.5052903752877</v>
      </c>
      <c r="O2345">
        <v>53.9293129950767</v>
      </c>
      <c r="P2345">
        <v>-9.5492311712287503E-2</v>
      </c>
      <c r="Q2345">
        <v>0.229468634584575</v>
      </c>
      <c r="R2345">
        <v>0.97632591724057105</v>
      </c>
      <c r="S2345" t="s">
        <v>8206</v>
      </c>
      <c r="T2345" t="s">
        <v>11720</v>
      </c>
      <c r="U2345" t="s">
        <v>11720</v>
      </c>
      <c r="V2345" t="s">
        <v>11720</v>
      </c>
      <c r="W2345" t="s">
        <v>14022</v>
      </c>
      <c r="X2345">
        <v>9</v>
      </c>
      <c r="Y2345" t="s">
        <v>19778</v>
      </c>
      <c r="Z2345" t="s">
        <v>25552</v>
      </c>
      <c r="AA2345">
        <v>0.6012674697944026</v>
      </c>
      <c r="AB2345" t="str">
        <f>HYPERLINK("Melting_Curves/meltCurve_P39059_COL15A1.pdf", "Melting_Curves/meltCurve_P39059_COL15A1.pdf")</f>
        <v>Melting_Curves/meltCurve_P39059_COL15A1.pdf</v>
      </c>
    </row>
    <row r="2346" spans="1:28" x14ac:dyDescent="0.25">
      <c r="A2346" t="s">
        <v>2350</v>
      </c>
      <c r="B2346">
        <v>0.99334974765950101</v>
      </c>
      <c r="C2346">
        <v>0.94626467779748802</v>
      </c>
      <c r="D2346">
        <v>1.0173211140081599</v>
      </c>
      <c r="E2346">
        <v>1.1333771039463201</v>
      </c>
      <c r="F2346">
        <v>0.41459522828723799</v>
      </c>
      <c r="G2346">
        <v>0.19530193370152199</v>
      </c>
      <c r="H2346">
        <v>0.13853964913886199</v>
      </c>
      <c r="I2346">
        <v>0.110478738840581</v>
      </c>
      <c r="J2346">
        <v>8.6894738512963102E-2</v>
      </c>
      <c r="K2346">
        <v>6.9276007527960898E-2</v>
      </c>
      <c r="L2346">
        <v>13213.587280173901</v>
      </c>
      <c r="M2346">
        <v>250</v>
      </c>
      <c r="N2346">
        <v>52.912490576208597</v>
      </c>
      <c r="O2346">
        <v>52.8509916256669</v>
      </c>
      <c r="P2346">
        <v>-1.0405460366072401</v>
      </c>
      <c r="Q2346">
        <v>0.12009817356234199</v>
      </c>
      <c r="R2346">
        <v>0.98334435087679695</v>
      </c>
      <c r="S2346" t="s">
        <v>8207</v>
      </c>
      <c r="T2346" t="s">
        <v>11720</v>
      </c>
      <c r="U2346" t="s">
        <v>11720</v>
      </c>
      <c r="V2346" t="s">
        <v>11720</v>
      </c>
      <c r="W2346" t="s">
        <v>14023</v>
      </c>
      <c r="X2346">
        <v>11</v>
      </c>
      <c r="Y2346" t="s">
        <v>19779</v>
      </c>
      <c r="Z2346" t="s">
        <v>25553</v>
      </c>
      <c r="AA2346">
        <v>0.49719863428771388</v>
      </c>
      <c r="AB2346" t="str">
        <f>HYPERLINK("Melting_Curves/meltCurve_P39656_DDOST.pdf", "Melting_Curves/meltCurve_P39656_DDOST.pdf")</f>
        <v>Melting_Curves/meltCurve_P39656_DDOST.pdf</v>
      </c>
    </row>
    <row r="2347" spans="1:28" x14ac:dyDescent="0.25">
      <c r="A2347" t="s">
        <v>2351</v>
      </c>
      <c r="B2347">
        <v>0.99334974765950101</v>
      </c>
      <c r="C2347">
        <v>1.0131026810648101</v>
      </c>
      <c r="D2347">
        <v>0.97544024144966401</v>
      </c>
      <c r="E2347">
        <v>0.86719338797077306</v>
      </c>
      <c r="F2347">
        <v>0.89998909792127801</v>
      </c>
      <c r="G2347">
        <v>0.68035108675174605</v>
      </c>
      <c r="H2347">
        <v>0.60842070948143601</v>
      </c>
      <c r="I2347">
        <v>0.71585132742044</v>
      </c>
      <c r="J2347">
        <v>0.74249468664615803</v>
      </c>
      <c r="K2347">
        <v>0.60002693276244601</v>
      </c>
      <c r="L2347">
        <v>1080.8562757284701</v>
      </c>
      <c r="M2347">
        <v>20.396378166713699</v>
      </c>
      <c r="O2347">
        <v>52.4910437749053</v>
      </c>
      <c r="P2347">
        <v>-3.3511094155231902E-2</v>
      </c>
      <c r="Q2347">
        <v>0.65504082209199199</v>
      </c>
      <c r="R2347">
        <v>0.87860136771666397</v>
      </c>
      <c r="S2347" t="s">
        <v>8208</v>
      </c>
      <c r="T2347" t="s">
        <v>11720</v>
      </c>
      <c r="U2347" t="s">
        <v>11720</v>
      </c>
      <c r="V2347" t="s">
        <v>11720</v>
      </c>
      <c r="W2347" t="s">
        <v>14024</v>
      </c>
      <c r="X2347">
        <v>15</v>
      </c>
      <c r="Y2347" t="s">
        <v>19780</v>
      </c>
      <c r="Z2347" t="s">
        <v>25554</v>
      </c>
      <c r="AA2347">
        <v>0.80902522021333778</v>
      </c>
      <c r="AB2347" t="str">
        <f>HYPERLINK("Melting_Curves/meltCurve_P39687_ANP32A.pdf", "Melting_Curves/meltCurve_P39687_ANP32A.pdf")</f>
        <v>Melting_Curves/meltCurve_P39687_ANP32A.pdf</v>
      </c>
    </row>
    <row r="2348" spans="1:28" x14ac:dyDescent="0.25">
      <c r="A2348" t="s">
        <v>2352</v>
      </c>
      <c r="B2348">
        <v>0.99334974765950101</v>
      </c>
      <c r="C2348">
        <v>0.96902263315477999</v>
      </c>
      <c r="D2348">
        <v>0.68953028586613496</v>
      </c>
      <c r="E2348">
        <v>0.372627229447064</v>
      </c>
      <c r="F2348">
        <v>0.153535642155297</v>
      </c>
      <c r="G2348">
        <v>0.118246183699748</v>
      </c>
      <c r="H2348">
        <v>8.2406274532837706E-2</v>
      </c>
      <c r="I2348">
        <v>6.2656078356698897E-2</v>
      </c>
      <c r="J2348">
        <v>5.7138627199680998E-2</v>
      </c>
      <c r="K2348">
        <v>5.3378505373980797E-2</v>
      </c>
      <c r="L2348">
        <v>986.48779794008203</v>
      </c>
      <c r="M2348">
        <v>20.564803463795499</v>
      </c>
      <c r="N2348">
        <v>48.278159740916401</v>
      </c>
      <c r="O2348">
        <v>47.523031965325401</v>
      </c>
      <c r="P2348">
        <v>-0.101526329081271</v>
      </c>
      <c r="Q2348">
        <v>6.1561991498539498E-2</v>
      </c>
      <c r="R2348">
        <v>0.99592645955139603</v>
      </c>
      <c r="S2348" t="s">
        <v>8209</v>
      </c>
      <c r="T2348" t="s">
        <v>11720</v>
      </c>
      <c r="U2348" t="s">
        <v>11720</v>
      </c>
      <c r="V2348" t="s">
        <v>11720</v>
      </c>
      <c r="W2348" t="s">
        <v>14025</v>
      </c>
      <c r="X2348">
        <v>5</v>
      </c>
      <c r="Y2348" t="s">
        <v>19781</v>
      </c>
      <c r="Z2348" t="s">
        <v>25555</v>
      </c>
      <c r="AA2348">
        <v>0.32344268982067492</v>
      </c>
      <c r="AB2348" t="str">
        <f>HYPERLINK("Melting_Curves/meltCurve_P39748_FEN1.pdf", "Melting_Curves/meltCurve_P39748_FEN1.pdf")</f>
        <v>Melting_Curves/meltCurve_P39748_FEN1.pdf</v>
      </c>
    </row>
    <row r="2349" spans="1:28" x14ac:dyDescent="0.25">
      <c r="A2349" t="s">
        <v>2353</v>
      </c>
      <c r="B2349">
        <v>0.99334974765950101</v>
      </c>
      <c r="C2349">
        <v>0.96744296224903203</v>
      </c>
      <c r="D2349">
        <v>0.87718050500021105</v>
      </c>
      <c r="E2349">
        <v>0.60587791268026003</v>
      </c>
      <c r="F2349">
        <v>0.15883267349701499</v>
      </c>
      <c r="G2349">
        <v>9.6002165705895898E-2</v>
      </c>
      <c r="H2349">
        <v>6.8573005881745794E-2</v>
      </c>
      <c r="I2349">
        <v>6.5727718652692196E-2</v>
      </c>
      <c r="J2349">
        <v>7.0803329511870697E-2</v>
      </c>
      <c r="K2349">
        <v>6.0025406643610398E-2</v>
      </c>
      <c r="L2349">
        <v>1622.1220000923599</v>
      </c>
      <c r="M2349">
        <v>32.292635368476503</v>
      </c>
      <c r="N2349">
        <v>50.438212793004197</v>
      </c>
      <c r="O2349">
        <v>50.040506958767203</v>
      </c>
      <c r="P2349">
        <v>-0.15135400112509001</v>
      </c>
      <c r="Q2349">
        <v>6.1855195248298703E-2</v>
      </c>
      <c r="R2349">
        <v>0.99274976330480103</v>
      </c>
      <c r="S2349" t="s">
        <v>8210</v>
      </c>
      <c r="T2349" t="s">
        <v>11720</v>
      </c>
      <c r="U2349" t="s">
        <v>11720</v>
      </c>
      <c r="V2349" t="s">
        <v>11720</v>
      </c>
      <c r="W2349" t="s">
        <v>14026</v>
      </c>
      <c r="X2349">
        <v>20</v>
      </c>
      <c r="Y2349" t="s">
        <v>19782</v>
      </c>
      <c r="Z2349" t="s">
        <v>25556</v>
      </c>
      <c r="AA2349">
        <v>0.38684312893876988</v>
      </c>
      <c r="AB2349" t="str">
        <f>HYPERLINK("Melting_Curves/meltCurve_P40121_CAPG.pdf", "Melting_Curves/meltCurve_P40121_CAPG.pdf")</f>
        <v>Melting_Curves/meltCurve_P40121_CAPG.pdf</v>
      </c>
    </row>
    <row r="2350" spans="1:28" x14ac:dyDescent="0.25">
      <c r="A2350" t="s">
        <v>2354</v>
      </c>
      <c r="B2350">
        <v>0.99334974765950101</v>
      </c>
      <c r="C2350">
        <v>0.97611278869221196</v>
      </c>
      <c r="D2350">
        <v>1.03496275158826</v>
      </c>
      <c r="E2350">
        <v>1.25349101087551</v>
      </c>
      <c r="F2350">
        <v>0.63109041148079104</v>
      </c>
      <c r="G2350">
        <v>0.45715990861676598</v>
      </c>
      <c r="H2350">
        <v>0.350427659848079</v>
      </c>
      <c r="I2350">
        <v>0.39063908921851598</v>
      </c>
      <c r="J2350">
        <v>0.26525207816243301</v>
      </c>
      <c r="K2350">
        <v>0.202410578034219</v>
      </c>
      <c r="L2350">
        <v>13238.6713072856</v>
      </c>
      <c r="M2350">
        <v>250</v>
      </c>
      <c r="N2350">
        <v>53.188220129085998</v>
      </c>
      <c r="O2350">
        <v>52.951297700630001</v>
      </c>
      <c r="P2350">
        <v>-0.78707016462724499</v>
      </c>
      <c r="Q2350">
        <v>0.33317783056567701</v>
      </c>
      <c r="R2350">
        <v>0.91652984380203295</v>
      </c>
      <c r="S2350" t="s">
        <v>8211</v>
      </c>
      <c r="T2350" t="s">
        <v>11720</v>
      </c>
      <c r="U2350" t="s">
        <v>11720</v>
      </c>
      <c r="V2350" t="s">
        <v>11720</v>
      </c>
      <c r="W2350" t="s">
        <v>14027</v>
      </c>
      <c r="X2350">
        <v>3</v>
      </c>
      <c r="Y2350" t="s">
        <v>19783</v>
      </c>
      <c r="Z2350" t="s">
        <v>25557</v>
      </c>
      <c r="AA2350">
        <v>0.62118884507740368</v>
      </c>
      <c r="AB2350" t="str">
        <f>HYPERLINK("Melting_Curves/meltCurve_P40123_CAP2.pdf", "Melting_Curves/meltCurve_P40123_CAP2.pdf")</f>
        <v>Melting_Curves/meltCurve_P40123_CAP2.pdf</v>
      </c>
    </row>
    <row r="2351" spans="1:28" x14ac:dyDescent="0.25">
      <c r="A2351" t="s">
        <v>2355</v>
      </c>
      <c r="B2351">
        <v>0.99334974765950101</v>
      </c>
      <c r="C2351">
        <v>0.96216109826360796</v>
      </c>
      <c r="D2351">
        <v>0.93886850173581604</v>
      </c>
      <c r="E2351">
        <v>0.78378443701080103</v>
      </c>
      <c r="F2351">
        <v>0.57229086854380395</v>
      </c>
      <c r="G2351">
        <v>0.439680453182062</v>
      </c>
      <c r="H2351">
        <v>0.344548643998632</v>
      </c>
      <c r="I2351">
        <v>0.37538188281901202</v>
      </c>
      <c r="J2351">
        <v>0.35331407714296698</v>
      </c>
      <c r="K2351">
        <v>0.34211861608562899</v>
      </c>
      <c r="L2351">
        <v>1020.79224280325</v>
      </c>
      <c r="M2351">
        <v>19.798693045954899</v>
      </c>
      <c r="N2351">
        <v>54.747093445448797</v>
      </c>
      <c r="O2351">
        <v>51.041218985409998</v>
      </c>
      <c r="P2351">
        <v>-6.3794495272610899E-2</v>
      </c>
      <c r="Q2351">
        <v>0.342171015356527</v>
      </c>
      <c r="R2351">
        <v>0.99665574209831398</v>
      </c>
      <c r="S2351" t="s">
        <v>8212</v>
      </c>
      <c r="T2351" t="s">
        <v>11720</v>
      </c>
      <c r="U2351" t="s">
        <v>11720</v>
      </c>
      <c r="V2351" t="s">
        <v>11720</v>
      </c>
      <c r="W2351" t="s">
        <v>14028</v>
      </c>
      <c r="X2351">
        <v>16</v>
      </c>
      <c r="Y2351" t="s">
        <v>19784</v>
      </c>
      <c r="Z2351" t="s">
        <v>25558</v>
      </c>
      <c r="AA2351">
        <v>0.60491081441919692</v>
      </c>
      <c r="AB2351" t="str">
        <f>HYPERLINK("Melting_Curves/meltCurve_P40189_IL6ST.pdf", "Melting_Curves/meltCurve_P40189_IL6ST.pdf")</f>
        <v>Melting_Curves/meltCurve_P40189_IL6ST.pdf</v>
      </c>
    </row>
    <row r="2352" spans="1:28" x14ac:dyDescent="0.25">
      <c r="A2352" t="s">
        <v>2356</v>
      </c>
      <c r="B2352">
        <v>0.99334974765950101</v>
      </c>
      <c r="C2352">
        <v>1.0808677172838499</v>
      </c>
      <c r="D2352">
        <v>0.95623805768598702</v>
      </c>
      <c r="E2352">
        <v>0.78812854730047199</v>
      </c>
      <c r="F2352">
        <v>0.51085210505973599</v>
      </c>
      <c r="G2352">
        <v>0.32369135397680798</v>
      </c>
      <c r="H2352">
        <v>0.245204812673085</v>
      </c>
      <c r="I2352">
        <v>0.23269577228872201</v>
      </c>
      <c r="J2352">
        <v>0.23750866884913699</v>
      </c>
      <c r="K2352">
        <v>0.223781577059325</v>
      </c>
      <c r="L2352">
        <v>1275.99064222064</v>
      </c>
      <c r="M2352">
        <v>24.5769203183388</v>
      </c>
      <c r="N2352">
        <v>53.250237221137901</v>
      </c>
      <c r="O2352">
        <v>51.578164339989002</v>
      </c>
      <c r="P2352">
        <v>-9.1772767859041704E-2</v>
      </c>
      <c r="Q2352">
        <v>0.22961800717577699</v>
      </c>
      <c r="R2352">
        <v>0.99308856407284096</v>
      </c>
      <c r="S2352" t="s">
        <v>8213</v>
      </c>
      <c r="T2352" t="s">
        <v>11720</v>
      </c>
      <c r="U2352" t="s">
        <v>11720</v>
      </c>
      <c r="V2352" t="s">
        <v>11720</v>
      </c>
      <c r="W2352" t="s">
        <v>14029</v>
      </c>
      <c r="X2352">
        <v>24</v>
      </c>
      <c r="Y2352" t="s">
        <v>19785</v>
      </c>
      <c r="Z2352" t="s">
        <v>25559</v>
      </c>
      <c r="AA2352">
        <v>0.54293331533796896</v>
      </c>
      <c r="AB2352" t="str">
        <f>HYPERLINK("Melting_Curves/meltCurve_P40222_TXLNA.pdf", "Melting_Curves/meltCurve_P40222_TXLNA.pdf")</f>
        <v>Melting_Curves/meltCurve_P40222_TXLNA.pdf</v>
      </c>
    </row>
    <row r="2353" spans="1:28" x14ac:dyDescent="0.25">
      <c r="A2353" t="s">
        <v>2357</v>
      </c>
      <c r="B2353">
        <v>0.99334974765950101</v>
      </c>
      <c r="C2353">
        <v>0.97485823303996</v>
      </c>
      <c r="D2353">
        <v>0.89983744203716598</v>
      </c>
      <c r="E2353">
        <v>0.82299442646593302</v>
      </c>
      <c r="F2353">
        <v>0.89577780551305597</v>
      </c>
      <c r="G2353">
        <v>1.28663041374022</v>
      </c>
      <c r="H2353">
        <v>0.95194081423378496</v>
      </c>
      <c r="I2353">
        <v>0.30277147635879298</v>
      </c>
      <c r="J2353">
        <v>0.22427452762891101</v>
      </c>
      <c r="K2353">
        <v>0.164099122573617</v>
      </c>
      <c r="L2353">
        <v>5974.8361598462197</v>
      </c>
      <c r="M2353">
        <v>95.1943676877261</v>
      </c>
      <c r="N2353">
        <v>63.087390019690098</v>
      </c>
      <c r="O2353">
        <v>62.736915281442897</v>
      </c>
      <c r="P2353">
        <v>-0.306207498960614</v>
      </c>
      <c r="Q2353">
        <v>0.19278787276808601</v>
      </c>
      <c r="R2353">
        <v>0.89535953582768102</v>
      </c>
      <c r="S2353" t="s">
        <v>8214</v>
      </c>
      <c r="T2353" t="s">
        <v>11720</v>
      </c>
      <c r="U2353" t="s">
        <v>11720</v>
      </c>
      <c r="V2353" t="s">
        <v>11720</v>
      </c>
      <c r="W2353" t="s">
        <v>14030</v>
      </c>
      <c r="X2353">
        <v>24</v>
      </c>
      <c r="Y2353" t="s">
        <v>19786</v>
      </c>
      <c r="Z2353" t="s">
        <v>25560</v>
      </c>
      <c r="AA2353">
        <v>0.80592935002444765</v>
      </c>
      <c r="AB2353" t="str">
        <f>HYPERLINK("Melting_Curves/meltCurve_P40227_CCT6A.pdf", "Melting_Curves/meltCurve_P40227_CCT6A.pdf")</f>
        <v>Melting_Curves/meltCurve_P40227_CCT6A.pdf</v>
      </c>
    </row>
    <row r="2354" spans="1:28" x14ac:dyDescent="0.25">
      <c r="A2354" t="s">
        <v>2358</v>
      </c>
      <c r="B2354">
        <v>0.99334974765950101</v>
      </c>
      <c r="C2354">
        <v>0.99104118790617801</v>
      </c>
      <c r="D2354">
        <v>0.86881303556200995</v>
      </c>
      <c r="E2354">
        <v>0.71339031421546495</v>
      </c>
      <c r="F2354">
        <v>0.37713771743110802</v>
      </c>
      <c r="G2354">
        <v>0.13119485301350101</v>
      </c>
      <c r="H2354">
        <v>8.7698976150396499E-2</v>
      </c>
      <c r="I2354">
        <v>6.8508090428300597E-2</v>
      </c>
      <c r="J2354">
        <v>7.6599568543879906E-2</v>
      </c>
      <c r="K2354">
        <v>5.8419204426121502E-2</v>
      </c>
      <c r="L2354">
        <v>1124.73626665448</v>
      </c>
      <c r="M2354">
        <v>21.841855369338901</v>
      </c>
      <c r="N2354">
        <v>51.7688646494137</v>
      </c>
      <c r="O2354">
        <v>51.0687216512421</v>
      </c>
      <c r="P2354">
        <v>-0.101083173749257</v>
      </c>
      <c r="Q2354">
        <v>5.46463506281556E-2</v>
      </c>
      <c r="R2354">
        <v>0.99549155311675697</v>
      </c>
      <c r="S2354" t="s">
        <v>8215</v>
      </c>
      <c r="T2354" t="s">
        <v>11720</v>
      </c>
      <c r="U2354" t="s">
        <v>11720</v>
      </c>
      <c r="V2354" t="s">
        <v>11720</v>
      </c>
      <c r="W2354" t="s">
        <v>14031</v>
      </c>
      <c r="X2354">
        <v>18</v>
      </c>
      <c r="Y2354" t="s">
        <v>19787</v>
      </c>
      <c r="Z2354" t="s">
        <v>25561</v>
      </c>
      <c r="AA2354">
        <v>0.42798461030533191</v>
      </c>
      <c r="AB2354" t="str">
        <f>HYPERLINK("Melting_Curves/meltCurve_P40261_NNMT.pdf", "Melting_Curves/meltCurve_P40261_NNMT.pdf")</f>
        <v>Melting_Curves/meltCurve_P40261_NNMT.pdf</v>
      </c>
    </row>
    <row r="2355" spans="1:28" x14ac:dyDescent="0.25">
      <c r="A2355" t="s">
        <v>2359</v>
      </c>
      <c r="B2355">
        <v>0.99334974765950101</v>
      </c>
      <c r="C2355">
        <v>1.14701552064965</v>
      </c>
      <c r="D2355">
        <v>0.88644749890237995</v>
      </c>
      <c r="E2355">
        <v>0.82504113172865601</v>
      </c>
      <c r="F2355">
        <v>1.0369390842378901</v>
      </c>
      <c r="G2355">
        <v>2.32458554748299</v>
      </c>
      <c r="H2355">
        <v>3.0193298604352701</v>
      </c>
      <c r="I2355">
        <v>2.9001808358541199</v>
      </c>
      <c r="J2355">
        <v>2.0114188489528502</v>
      </c>
      <c r="K2355">
        <v>0.85090691439154398</v>
      </c>
      <c r="L2355">
        <v>13384.010896734901</v>
      </c>
      <c r="M2355">
        <v>250</v>
      </c>
      <c r="O2355">
        <v>53.532617614030698</v>
      </c>
      <c r="P2355">
        <v>0.58375624837843798</v>
      </c>
      <c r="Q2355">
        <v>1.5</v>
      </c>
      <c r="R2355">
        <v>0.18153142299404401</v>
      </c>
      <c r="S2355" t="s">
        <v>8216</v>
      </c>
      <c r="T2355" t="s">
        <v>11720</v>
      </c>
      <c r="U2355" t="s">
        <v>11720</v>
      </c>
      <c r="V2355" t="s">
        <v>11720</v>
      </c>
      <c r="W2355" t="s">
        <v>14032</v>
      </c>
      <c r="X2355">
        <v>4</v>
      </c>
      <c r="Y2355" t="s">
        <v>19788</v>
      </c>
      <c r="Z2355" t="s">
        <v>25562</v>
      </c>
      <c r="AA2355">
        <v>1.274352296089367</v>
      </c>
      <c r="AB2355" t="str">
        <f>HYPERLINK("Melting_Curves/meltCurve_P40306_PSMB10.pdf", "Melting_Curves/meltCurve_P40306_PSMB10.pdf")</f>
        <v>Melting_Curves/meltCurve_P40306_PSMB10.pdf</v>
      </c>
    </row>
    <row r="2356" spans="1:28" x14ac:dyDescent="0.25">
      <c r="A2356" t="s">
        <v>2360</v>
      </c>
      <c r="B2356">
        <v>0.99334974765950101</v>
      </c>
      <c r="C2356">
        <v>0.93089518196786702</v>
      </c>
      <c r="D2356">
        <v>0.75473266490535995</v>
      </c>
      <c r="E2356">
        <v>0.59378800996158698</v>
      </c>
      <c r="F2356">
        <v>0.55650283827616998</v>
      </c>
      <c r="G2356">
        <v>0.14403414985406501</v>
      </c>
      <c r="H2356">
        <v>0.12528104720410899</v>
      </c>
      <c r="I2356">
        <v>0.12279432926216199</v>
      </c>
      <c r="J2356">
        <v>0.15097305365198099</v>
      </c>
      <c r="K2356">
        <v>0.113767530868466</v>
      </c>
      <c r="L2356">
        <v>657.83746406839396</v>
      </c>
      <c r="M2356">
        <v>12.870584445332801</v>
      </c>
      <c r="N2356">
        <v>51.651043470033599</v>
      </c>
      <c r="O2356">
        <v>49.924967675091303</v>
      </c>
      <c r="P2356">
        <v>-6.04082708576687E-2</v>
      </c>
      <c r="Q2356">
        <v>6.2877683248258098E-2</v>
      </c>
      <c r="R2356">
        <v>0.96625751179205799</v>
      </c>
      <c r="S2356" t="s">
        <v>8217</v>
      </c>
      <c r="T2356" t="s">
        <v>11720</v>
      </c>
      <c r="U2356" t="s">
        <v>11720</v>
      </c>
      <c r="V2356" t="s">
        <v>11720</v>
      </c>
      <c r="W2356" t="s">
        <v>14033</v>
      </c>
      <c r="X2356">
        <v>35</v>
      </c>
      <c r="Y2356" t="s">
        <v>19789</v>
      </c>
      <c r="Z2356" t="s">
        <v>25563</v>
      </c>
      <c r="AA2356">
        <v>0.43739869622736199</v>
      </c>
      <c r="AB2356" t="str">
        <f>HYPERLINK("Melting_Curves/meltCurve_P40763_STAT3.pdf", "Melting_Curves/meltCurve_P40763_STAT3.pdf")</f>
        <v>Melting_Curves/meltCurve_P40763_STAT3.pdf</v>
      </c>
    </row>
    <row r="2357" spans="1:28" x14ac:dyDescent="0.25">
      <c r="A2357" t="s">
        <v>2361</v>
      </c>
      <c r="B2357">
        <v>0.99334974765950101</v>
      </c>
      <c r="C2357">
        <v>0.99624889319946097</v>
      </c>
      <c r="D2357">
        <v>0.895402849844116</v>
      </c>
      <c r="E2357">
        <v>0.25995825471018402</v>
      </c>
      <c r="F2357">
        <v>0.15445001178691101</v>
      </c>
      <c r="G2357">
        <v>0.126149907145297</v>
      </c>
      <c r="H2357">
        <v>9.7709996515611797E-2</v>
      </c>
      <c r="I2357">
        <v>8.6952282095396904E-2</v>
      </c>
      <c r="J2357">
        <v>0.101134967530378</v>
      </c>
      <c r="K2357">
        <v>5.2730450304697599E-2</v>
      </c>
      <c r="L2357">
        <v>1967.18805558999</v>
      </c>
      <c r="M2357">
        <v>40.791610773718702</v>
      </c>
      <c r="N2357">
        <v>48.484079943689302</v>
      </c>
      <c r="O2357">
        <v>48.109851456477998</v>
      </c>
      <c r="P2357">
        <v>-0.191236093512858</v>
      </c>
      <c r="Q2357">
        <v>9.7822267666223303E-2</v>
      </c>
      <c r="R2357">
        <v>0.99719089530146199</v>
      </c>
      <c r="S2357" t="s">
        <v>8218</v>
      </c>
      <c r="T2357" t="s">
        <v>11720</v>
      </c>
      <c r="U2357" t="s">
        <v>11720</v>
      </c>
      <c r="V2357" t="s">
        <v>11720</v>
      </c>
      <c r="W2357" t="s">
        <v>14034</v>
      </c>
      <c r="X2357">
        <v>15</v>
      </c>
      <c r="Y2357" t="s">
        <v>19790</v>
      </c>
      <c r="Z2357" t="s">
        <v>25564</v>
      </c>
      <c r="AA2357">
        <v>0.34807537591394427</v>
      </c>
      <c r="AB2357" t="str">
        <f>HYPERLINK("Melting_Curves/meltCurve_P40818_USP8.pdf", "Melting_Curves/meltCurve_P40818_USP8.pdf")</f>
        <v>Melting_Curves/meltCurve_P40818_USP8.pdf</v>
      </c>
    </row>
    <row r="2358" spans="1:28" x14ac:dyDescent="0.25">
      <c r="A2358" t="s">
        <v>2362</v>
      </c>
      <c r="B2358">
        <v>0.99334974765950101</v>
      </c>
      <c r="C2358">
        <v>1.0305025063792399</v>
      </c>
      <c r="D2358">
        <v>1.0209735230053201</v>
      </c>
      <c r="E2358">
        <v>0.88041757024031397</v>
      </c>
      <c r="F2358">
        <v>0.86577620695101598</v>
      </c>
      <c r="G2358">
        <v>0.58956951365917099</v>
      </c>
      <c r="H2358">
        <v>0.17699466213964499</v>
      </c>
      <c r="I2358">
        <v>7.8604824106838805E-2</v>
      </c>
      <c r="J2358">
        <v>6.1745919935552299E-2</v>
      </c>
      <c r="K2358">
        <v>4.90343940101352E-2</v>
      </c>
      <c r="L2358">
        <v>1335.01205253948</v>
      </c>
      <c r="M2358">
        <v>23.257007944335299</v>
      </c>
      <c r="N2358">
        <v>57.477583021568599</v>
      </c>
      <c r="O2358">
        <v>56.983228728156298</v>
      </c>
      <c r="P2358">
        <v>-0.10051110086897</v>
      </c>
      <c r="Q2358">
        <v>1.4947402551874199E-2</v>
      </c>
      <c r="R2358">
        <v>0.99201269776023404</v>
      </c>
      <c r="S2358" t="s">
        <v>8219</v>
      </c>
      <c r="T2358" t="s">
        <v>11720</v>
      </c>
      <c r="U2358" t="s">
        <v>11720</v>
      </c>
      <c r="V2358" t="s">
        <v>11720</v>
      </c>
      <c r="W2358" t="s">
        <v>14035</v>
      </c>
      <c r="X2358">
        <v>25</v>
      </c>
      <c r="Y2358" t="s">
        <v>19791</v>
      </c>
      <c r="Z2358" t="s">
        <v>25565</v>
      </c>
      <c r="AA2358">
        <v>0.59608924730441393</v>
      </c>
      <c r="AB2358" t="str">
        <f>HYPERLINK("Melting_Curves/meltCurve_P40925_MDH1.pdf", "Melting_Curves/meltCurve_P40925_MDH1.pdf")</f>
        <v>Melting_Curves/meltCurve_P40925_MDH1.pdf</v>
      </c>
    </row>
    <row r="2359" spans="1:28" x14ac:dyDescent="0.25">
      <c r="A2359" t="s">
        <v>2363</v>
      </c>
      <c r="B2359">
        <v>0.99334974765950101</v>
      </c>
      <c r="C2359">
        <v>0.96592771531541999</v>
      </c>
      <c r="D2359">
        <v>0.95775740508088403</v>
      </c>
      <c r="E2359">
        <v>0.84394331447631898</v>
      </c>
      <c r="F2359">
        <v>0.77523873522416697</v>
      </c>
      <c r="G2359">
        <v>0.62771039559064801</v>
      </c>
      <c r="H2359">
        <v>0.322457097552931</v>
      </c>
      <c r="I2359">
        <v>0.101916786236801</v>
      </c>
      <c r="J2359">
        <v>8.0261291845626595E-2</v>
      </c>
      <c r="K2359">
        <v>6.4332109455286196E-2</v>
      </c>
      <c r="L2359">
        <v>900.45296763134002</v>
      </c>
      <c r="M2359">
        <v>15.596854924324299</v>
      </c>
      <c r="N2359">
        <v>57.732983711822499</v>
      </c>
      <c r="O2359">
        <v>56.808891249068203</v>
      </c>
      <c r="P2359">
        <v>-6.8643335726890395E-2</v>
      </c>
      <c r="Q2359">
        <v>0</v>
      </c>
      <c r="R2359">
        <v>0.98522021694949402</v>
      </c>
      <c r="S2359" t="s">
        <v>8220</v>
      </c>
      <c r="T2359" t="s">
        <v>11720</v>
      </c>
      <c r="U2359" t="s">
        <v>11720</v>
      </c>
      <c r="V2359" t="s">
        <v>11720</v>
      </c>
      <c r="W2359" t="s">
        <v>14036</v>
      </c>
      <c r="X2359">
        <v>35</v>
      </c>
      <c r="Y2359" t="s">
        <v>19792</v>
      </c>
      <c r="Z2359" t="s">
        <v>25566</v>
      </c>
      <c r="AA2359">
        <v>0.60502480081463617</v>
      </c>
      <c r="AB2359" t="str">
        <f>HYPERLINK("Melting_Curves/meltCurve_P40926_MDH2.pdf", "Melting_Curves/meltCurve_P40926_MDH2.pdf")</f>
        <v>Melting_Curves/meltCurve_P40926_MDH2.pdf</v>
      </c>
    </row>
    <row r="2360" spans="1:28" x14ac:dyDescent="0.25">
      <c r="A2360" t="s">
        <v>2364</v>
      </c>
      <c r="B2360">
        <v>0.99334974765950101</v>
      </c>
      <c r="C2360">
        <v>1.0895197042410301</v>
      </c>
      <c r="D2360">
        <v>1.29240372008031</v>
      </c>
      <c r="E2360">
        <v>2.0052527620115299</v>
      </c>
      <c r="F2360">
        <v>0.45633285361620401</v>
      </c>
      <c r="G2360">
        <v>0.21252534269678799</v>
      </c>
      <c r="H2360">
        <v>0.118776613728913</v>
      </c>
      <c r="I2360">
        <v>0.10313508211025101</v>
      </c>
      <c r="J2360">
        <v>9.9379198698276494E-2</v>
      </c>
      <c r="K2360">
        <v>8.0264087918199695E-2</v>
      </c>
      <c r="L2360">
        <v>13224.102494054199</v>
      </c>
      <c r="M2360">
        <v>250</v>
      </c>
      <c r="N2360">
        <v>52.956121467417702</v>
      </c>
      <c r="O2360">
        <v>52.893044001308198</v>
      </c>
      <c r="P2360">
        <v>-1.0365073143082499</v>
      </c>
      <c r="Q2360">
        <v>0.122815883354672</v>
      </c>
      <c r="R2360">
        <v>0.72114529196896304</v>
      </c>
      <c r="S2360" t="s">
        <v>8221</v>
      </c>
      <c r="T2360" t="s">
        <v>11720</v>
      </c>
      <c r="U2360" t="s">
        <v>11720</v>
      </c>
      <c r="V2360" t="s">
        <v>11720</v>
      </c>
      <c r="W2360" t="s">
        <v>14037</v>
      </c>
      <c r="X2360">
        <v>34</v>
      </c>
      <c r="Y2360" t="s">
        <v>19793</v>
      </c>
      <c r="Z2360" t="s">
        <v>25567</v>
      </c>
      <c r="AA2360">
        <v>0.49998151420342801</v>
      </c>
      <c r="AB2360" t="str">
        <f>HYPERLINK("Melting_Curves/meltCurve_P40939_HADHA.pdf", "Melting_Curves/meltCurve_P40939_HADHA.pdf")</f>
        <v>Melting_Curves/meltCurve_P40939_HADHA.pdf</v>
      </c>
    </row>
    <row r="2361" spans="1:28" x14ac:dyDescent="0.25">
      <c r="A2361" t="s">
        <v>2365</v>
      </c>
      <c r="B2361">
        <v>0.99334974765950101</v>
      </c>
      <c r="C2361">
        <v>1.13246565563518</v>
      </c>
      <c r="D2361">
        <v>1.0122932479306901</v>
      </c>
      <c r="E2361">
        <v>0.90459124328407903</v>
      </c>
      <c r="F2361">
        <v>0.64910216342189997</v>
      </c>
      <c r="G2361">
        <v>0.271351207540663</v>
      </c>
      <c r="H2361">
        <v>0.13764962798680799</v>
      </c>
      <c r="I2361">
        <v>0.119089835637103</v>
      </c>
      <c r="J2361">
        <v>8.5349545166378202E-2</v>
      </c>
      <c r="K2361">
        <v>7.3387619897390496E-2</v>
      </c>
      <c r="L2361">
        <v>1422.3243139230699</v>
      </c>
      <c r="M2361">
        <v>26.337835087683199</v>
      </c>
      <c r="N2361">
        <v>54.399870629166699</v>
      </c>
      <c r="O2361">
        <v>53.694643606522902</v>
      </c>
      <c r="P2361">
        <v>-0.111912614223501</v>
      </c>
      <c r="Q2361">
        <v>8.7390098086169807E-2</v>
      </c>
      <c r="R2361">
        <v>0.989182285722076</v>
      </c>
      <c r="S2361" t="s">
        <v>8222</v>
      </c>
      <c r="T2361" t="s">
        <v>11720</v>
      </c>
      <c r="U2361" t="s">
        <v>11720</v>
      </c>
      <c r="V2361" t="s">
        <v>11720</v>
      </c>
      <c r="W2361" t="s">
        <v>14038</v>
      </c>
      <c r="X2361">
        <v>16</v>
      </c>
      <c r="Y2361" t="s">
        <v>19794</v>
      </c>
      <c r="Z2361" t="s">
        <v>25568</v>
      </c>
      <c r="AA2361">
        <v>0.5210413482082823</v>
      </c>
      <c r="AB2361" t="str">
        <f>HYPERLINK("Melting_Curves/meltCurve_P41091_EIF2S3.pdf", "Melting_Curves/meltCurve_P41091_EIF2S3.pdf")</f>
        <v>Melting_Curves/meltCurve_P41091_EIF2S3.pdf</v>
      </c>
    </row>
    <row r="2362" spans="1:28" x14ac:dyDescent="0.25">
      <c r="A2362" t="s">
        <v>2366</v>
      </c>
      <c r="B2362">
        <v>0.99334974765950101</v>
      </c>
      <c r="C2362">
        <v>0.87641757972843104</v>
      </c>
      <c r="D2362">
        <v>0.59736551674814098</v>
      </c>
      <c r="E2362">
        <v>0.35497809175363099</v>
      </c>
      <c r="F2362">
        <v>0.227277158350431</v>
      </c>
      <c r="G2362">
        <v>0.152339243448949</v>
      </c>
      <c r="H2362">
        <v>0.11625439640386501</v>
      </c>
      <c r="I2362">
        <v>0.127071726481332</v>
      </c>
      <c r="J2362">
        <v>0.205128382799906</v>
      </c>
      <c r="K2362">
        <v>0.151105176731234</v>
      </c>
      <c r="L2362">
        <v>901.66288684551898</v>
      </c>
      <c r="M2362">
        <v>19.351569654071699</v>
      </c>
      <c r="N2362">
        <v>47.440758590948199</v>
      </c>
      <c r="O2362">
        <v>46.104781522853798</v>
      </c>
      <c r="P2362">
        <v>-8.9609202638361696E-2</v>
      </c>
      <c r="Q2362">
        <v>0.146062132913031</v>
      </c>
      <c r="R2362">
        <v>0.99152606151470102</v>
      </c>
      <c r="S2362" t="s">
        <v>8223</v>
      </c>
      <c r="T2362" t="s">
        <v>11720</v>
      </c>
      <c r="U2362" t="s">
        <v>11720</v>
      </c>
      <c r="V2362" t="s">
        <v>11720</v>
      </c>
      <c r="W2362" t="s">
        <v>14039</v>
      </c>
      <c r="X2362">
        <v>2</v>
      </c>
      <c r="Y2362" t="s">
        <v>19795</v>
      </c>
      <c r="Z2362" t="s">
        <v>25569</v>
      </c>
      <c r="AA2362">
        <v>0.34746242885122469</v>
      </c>
      <c r="AB2362" t="str">
        <f>HYPERLINK("Melting_Curves/meltCurve_P41134_2_ID1.pdf", "Melting_Curves/meltCurve_P41134_2_ID1.pdf")</f>
        <v>Melting_Curves/meltCurve_P41134_2_ID1.pdf</v>
      </c>
    </row>
    <row r="2363" spans="1:28" x14ac:dyDescent="0.25">
      <c r="A2363" t="s">
        <v>2367</v>
      </c>
      <c r="B2363">
        <v>0.99334974765950101</v>
      </c>
      <c r="C2363">
        <v>0.976371976062682</v>
      </c>
      <c r="D2363">
        <v>0.97988083767518097</v>
      </c>
      <c r="E2363">
        <v>0.67421117503377503</v>
      </c>
      <c r="F2363">
        <v>0.52555772142574597</v>
      </c>
      <c r="G2363">
        <v>0.46831368211333801</v>
      </c>
      <c r="H2363">
        <v>0.28782759557737497</v>
      </c>
      <c r="I2363">
        <v>9.9640909821544998E-2</v>
      </c>
      <c r="J2363">
        <v>0</v>
      </c>
      <c r="K2363">
        <v>0</v>
      </c>
      <c r="L2363">
        <v>671.35741153867798</v>
      </c>
      <c r="M2363">
        <v>12.3303165168014</v>
      </c>
      <c r="N2363">
        <v>54.447702925389002</v>
      </c>
      <c r="O2363">
        <v>53.075017861980498</v>
      </c>
      <c r="P2363">
        <v>-5.8092265351253503E-2</v>
      </c>
      <c r="Q2363">
        <v>0</v>
      </c>
      <c r="R2363">
        <v>0.96902430972974996</v>
      </c>
      <c r="S2363" t="s">
        <v>8224</v>
      </c>
      <c r="T2363" t="s">
        <v>11720</v>
      </c>
      <c r="U2363" t="s">
        <v>11720</v>
      </c>
      <c r="V2363" t="s">
        <v>11720</v>
      </c>
      <c r="W2363" t="s">
        <v>14040</v>
      </c>
      <c r="X2363">
        <v>1</v>
      </c>
      <c r="Y2363" t="s">
        <v>19796</v>
      </c>
      <c r="Z2363" t="s">
        <v>25570</v>
      </c>
      <c r="AA2363">
        <v>0.50599120310634871</v>
      </c>
      <c r="AB2363" t="str">
        <f>HYPERLINK("Melting_Curves/meltCurve_P41159_LEP.pdf", "Melting_Curves/meltCurve_P41159_LEP.pdf")</f>
        <v>Melting_Curves/meltCurve_P41159_LEP.pdf</v>
      </c>
    </row>
    <row r="2364" spans="1:28" x14ac:dyDescent="0.25">
      <c r="A2364" t="s">
        <v>2368</v>
      </c>
      <c r="B2364">
        <v>0.99334974765950101</v>
      </c>
      <c r="C2364">
        <v>1.0712822540262501</v>
      </c>
      <c r="D2364">
        <v>0.95619926061628602</v>
      </c>
      <c r="E2364">
        <v>0.87740937310924905</v>
      </c>
      <c r="F2364">
        <v>0.70379034037972299</v>
      </c>
      <c r="G2364">
        <v>0.71287196572073896</v>
      </c>
      <c r="H2364">
        <v>0.63120179822061595</v>
      </c>
      <c r="I2364">
        <v>0.90758577389228801</v>
      </c>
      <c r="J2364">
        <v>0.80741020940073205</v>
      </c>
      <c r="K2364">
        <v>0.78060480158763901</v>
      </c>
      <c r="L2364">
        <v>12499.000742682199</v>
      </c>
      <c r="M2364">
        <v>250</v>
      </c>
      <c r="O2364">
        <v>49.992795712232201</v>
      </c>
      <c r="P2364">
        <v>-0.30348850854357601</v>
      </c>
      <c r="Q2364">
        <v>0.757244137954454</v>
      </c>
      <c r="R2364">
        <v>0.70189499049262005</v>
      </c>
      <c r="S2364" t="s">
        <v>8225</v>
      </c>
      <c r="T2364" t="s">
        <v>11720</v>
      </c>
      <c r="U2364" t="s">
        <v>11720</v>
      </c>
      <c r="V2364" t="s">
        <v>11720</v>
      </c>
      <c r="W2364" t="s">
        <v>14041</v>
      </c>
      <c r="X2364">
        <v>10</v>
      </c>
      <c r="Y2364" t="s">
        <v>19797</v>
      </c>
      <c r="Z2364" t="s">
        <v>25571</v>
      </c>
      <c r="AA2364">
        <v>0.83815171516188092</v>
      </c>
      <c r="AB2364" t="str">
        <f>HYPERLINK("Melting_Curves/meltCurve_P41208_CETN2.pdf", "Melting_Curves/meltCurve_P41208_CETN2.pdf")</f>
        <v>Melting_Curves/meltCurve_P41208_CETN2.pdf</v>
      </c>
    </row>
    <row r="2365" spans="1:28" x14ac:dyDescent="0.25">
      <c r="A2365" t="s">
        <v>2369</v>
      </c>
      <c r="B2365">
        <v>0.99334974765950101</v>
      </c>
      <c r="C2365">
        <v>0.93255911094726696</v>
      </c>
      <c r="D2365">
        <v>0.54509678062709799</v>
      </c>
      <c r="E2365">
        <v>0.24707382498152999</v>
      </c>
      <c r="F2365">
        <v>0.21647510162603101</v>
      </c>
      <c r="G2365">
        <v>0.12239260390239801</v>
      </c>
      <c r="H2365">
        <v>0.10004677455357799</v>
      </c>
      <c r="I2365">
        <v>8.4307347309468705E-2</v>
      </c>
      <c r="J2365">
        <v>6.7547037802513907E-2</v>
      </c>
      <c r="K2365">
        <v>4.7331132531179501E-2</v>
      </c>
      <c r="L2365">
        <v>1028.9002916156001</v>
      </c>
      <c r="M2365">
        <v>22.1563811170073</v>
      </c>
      <c r="N2365">
        <v>46.860922723463602</v>
      </c>
      <c r="O2365">
        <v>46.064785785670303</v>
      </c>
      <c r="P2365">
        <v>-0.10935410677405601</v>
      </c>
      <c r="Q2365">
        <v>9.0598256081177803E-2</v>
      </c>
      <c r="R2365">
        <v>0.98809417313078396</v>
      </c>
      <c r="S2365" t="s">
        <v>8226</v>
      </c>
      <c r="T2365" t="s">
        <v>11720</v>
      </c>
      <c r="U2365" t="s">
        <v>11720</v>
      </c>
      <c r="V2365" t="s">
        <v>11720</v>
      </c>
      <c r="W2365" t="s">
        <v>14042</v>
      </c>
      <c r="X2365">
        <v>9</v>
      </c>
      <c r="Y2365" t="s">
        <v>19798</v>
      </c>
      <c r="Z2365" t="s">
        <v>25572</v>
      </c>
      <c r="AA2365">
        <v>0.29660128843611611</v>
      </c>
      <c r="AB2365" t="str">
        <f>HYPERLINK("Melting_Curves/meltCurve_P41214_EIF2D.pdf", "Melting_Curves/meltCurve_P41214_EIF2D.pdf")</f>
        <v>Melting_Curves/meltCurve_P41214_EIF2D.pdf</v>
      </c>
    </row>
    <row r="2366" spans="1:28" x14ac:dyDescent="0.25">
      <c r="A2366" t="s">
        <v>2370</v>
      </c>
      <c r="B2366">
        <v>0.99334974765950101</v>
      </c>
      <c r="C2366">
        <v>0.99220481540703498</v>
      </c>
      <c r="D2366">
        <v>0.94780057230332804</v>
      </c>
      <c r="E2366">
        <v>1.0433202251558</v>
      </c>
      <c r="F2366">
        <v>0.84442534444074602</v>
      </c>
      <c r="G2366">
        <v>0.839990236979968</v>
      </c>
      <c r="H2366">
        <v>0.44852913604970801</v>
      </c>
      <c r="I2366">
        <v>0.33764282636957499</v>
      </c>
      <c r="J2366">
        <v>0.322913798434039</v>
      </c>
      <c r="K2366">
        <v>0.27932735240297502</v>
      </c>
      <c r="L2366">
        <v>1575.41938352123</v>
      </c>
      <c r="M2366">
        <v>26.7625909957065</v>
      </c>
      <c r="N2366">
        <v>60.647355652225201</v>
      </c>
      <c r="O2366">
        <v>58.540768382189299</v>
      </c>
      <c r="P2366">
        <v>-8.3188647165581206E-2</v>
      </c>
      <c r="Q2366">
        <v>0.27213689490382398</v>
      </c>
      <c r="R2366">
        <v>0.97346446845073298</v>
      </c>
      <c r="S2366" t="s">
        <v>8227</v>
      </c>
      <c r="T2366" t="s">
        <v>11720</v>
      </c>
      <c r="U2366" t="s">
        <v>11720</v>
      </c>
      <c r="V2366" t="s">
        <v>11720</v>
      </c>
      <c r="W2366" t="s">
        <v>14043</v>
      </c>
      <c r="X2366">
        <v>9</v>
      </c>
      <c r="Y2366" t="s">
        <v>19799</v>
      </c>
      <c r="Z2366" t="s">
        <v>25573</v>
      </c>
      <c r="AA2366">
        <v>0.73539802826041956</v>
      </c>
      <c r="AB2366" t="str">
        <f>HYPERLINK("Melting_Curves/meltCurve_P41221_2_WNT5A.pdf", "Melting_Curves/meltCurve_P41221_2_WNT5A.pdf")</f>
        <v>Melting_Curves/meltCurve_P41221_2_WNT5A.pdf</v>
      </c>
    </row>
    <row r="2367" spans="1:28" x14ac:dyDescent="0.25">
      <c r="A2367" t="s">
        <v>2371</v>
      </c>
      <c r="B2367">
        <v>0.99334974765950101</v>
      </c>
      <c r="C2367">
        <v>0.96728403853145095</v>
      </c>
      <c r="D2367">
        <v>0.77313339493683098</v>
      </c>
      <c r="E2367">
        <v>0.46181656974393898</v>
      </c>
      <c r="F2367">
        <v>0.198113826645789</v>
      </c>
      <c r="G2367">
        <v>0.20602653190539599</v>
      </c>
      <c r="H2367">
        <v>0.18076032033053999</v>
      </c>
      <c r="I2367">
        <v>0.19306601248171701</v>
      </c>
      <c r="J2367">
        <v>0.17138414770482399</v>
      </c>
      <c r="K2367">
        <v>0.132997806253774</v>
      </c>
      <c r="L2367">
        <v>1111.1489565527099</v>
      </c>
      <c r="M2367">
        <v>23.0327266631631</v>
      </c>
      <c r="N2367">
        <v>49.0879599779594</v>
      </c>
      <c r="O2367">
        <v>47.882943452143699</v>
      </c>
      <c r="P2367">
        <v>-0.100561070878338</v>
      </c>
      <c r="Q2367">
        <v>0.16378631607322999</v>
      </c>
      <c r="R2367">
        <v>0.99275633039366395</v>
      </c>
      <c r="S2367" t="s">
        <v>8228</v>
      </c>
      <c r="T2367" t="s">
        <v>11720</v>
      </c>
      <c r="U2367" t="s">
        <v>11720</v>
      </c>
      <c r="V2367" t="s">
        <v>11720</v>
      </c>
      <c r="W2367" t="s">
        <v>14044</v>
      </c>
      <c r="X2367">
        <v>4</v>
      </c>
      <c r="Y2367" t="s">
        <v>19800</v>
      </c>
      <c r="Z2367" t="s">
        <v>25574</v>
      </c>
      <c r="AA2367">
        <v>0.40231142488671162</v>
      </c>
      <c r="AB2367" t="str">
        <f>HYPERLINK("Melting_Curves/meltCurve_P41223_BUD31.pdf", "Melting_Curves/meltCurve_P41223_BUD31.pdf")</f>
        <v>Melting_Curves/meltCurve_P41223_BUD31.pdf</v>
      </c>
    </row>
    <row r="2368" spans="1:28" x14ac:dyDescent="0.25">
      <c r="A2368" t="s">
        <v>2372</v>
      </c>
      <c r="B2368">
        <v>0.99334974765950101</v>
      </c>
      <c r="C2368">
        <v>0.97087591017041996</v>
      </c>
      <c r="D2368">
        <v>0.87757378667252905</v>
      </c>
      <c r="E2368">
        <v>0.46528776466435301</v>
      </c>
      <c r="F2368">
        <v>0.31665349051535402</v>
      </c>
      <c r="G2368">
        <v>0.14447161497392499</v>
      </c>
      <c r="H2368">
        <v>0.12966060837135501</v>
      </c>
      <c r="I2368">
        <v>0.106374577652167</v>
      </c>
      <c r="J2368">
        <v>0.115834666385323</v>
      </c>
      <c r="K2368">
        <v>0.100449969884913</v>
      </c>
      <c r="L2368">
        <v>1076.1345893848199</v>
      </c>
      <c r="M2368">
        <v>21.7610931728019</v>
      </c>
      <c r="N2368">
        <v>50.0127992907234</v>
      </c>
      <c r="O2368">
        <v>49.040274558575803</v>
      </c>
      <c r="P2368">
        <v>-9.8931710392010999E-2</v>
      </c>
      <c r="Q2368">
        <v>0.108219898953931</v>
      </c>
      <c r="R2368">
        <v>0.99710958149382001</v>
      </c>
      <c r="S2368" t="s">
        <v>8229</v>
      </c>
      <c r="T2368" t="s">
        <v>11720</v>
      </c>
      <c r="U2368" t="s">
        <v>11720</v>
      </c>
      <c r="V2368" t="s">
        <v>11720</v>
      </c>
      <c r="W2368" t="s">
        <v>14045</v>
      </c>
      <c r="X2368">
        <v>11</v>
      </c>
      <c r="Y2368" t="s">
        <v>19801</v>
      </c>
      <c r="Z2368" t="s">
        <v>25575</v>
      </c>
      <c r="AA2368">
        <v>0.39970524723925221</v>
      </c>
      <c r="AB2368" t="str">
        <f>HYPERLINK("Melting_Curves/meltCurve_P41226_UBA7.pdf", "Melting_Curves/meltCurve_P41226_UBA7.pdf")</f>
        <v>Melting_Curves/meltCurve_P41226_UBA7.pdf</v>
      </c>
    </row>
    <row r="2369" spans="1:28" x14ac:dyDescent="0.25">
      <c r="A2369" t="s">
        <v>2373</v>
      </c>
      <c r="B2369">
        <v>0.99334974765950101</v>
      </c>
      <c r="C2369">
        <v>1.0696163354744701</v>
      </c>
      <c r="D2369">
        <v>1.0292794849301301</v>
      </c>
      <c r="E2369">
        <v>1.0763812029486099</v>
      </c>
      <c r="F2369">
        <v>0.34679209842311898</v>
      </c>
      <c r="G2369">
        <v>0.14896060742636499</v>
      </c>
      <c r="H2369">
        <v>0.112449748627288</v>
      </c>
      <c r="I2369">
        <v>9.9720858560751802E-2</v>
      </c>
      <c r="J2369">
        <v>0.108975785589426</v>
      </c>
      <c r="K2369">
        <v>8.9087645600908205E-2</v>
      </c>
      <c r="L2369">
        <v>13195.807135758399</v>
      </c>
      <c r="M2369">
        <v>250</v>
      </c>
      <c r="N2369">
        <v>52.836759796517299</v>
      </c>
      <c r="O2369">
        <v>52.779875384854499</v>
      </c>
      <c r="P2369">
        <v>-1.0517284284186099</v>
      </c>
      <c r="Q2369">
        <v>0.111838886042659</v>
      </c>
      <c r="R2369">
        <v>0.99303902410686096</v>
      </c>
      <c r="S2369" t="s">
        <v>8230</v>
      </c>
      <c r="T2369" t="s">
        <v>11720</v>
      </c>
      <c r="U2369" t="s">
        <v>11720</v>
      </c>
      <c r="V2369" t="s">
        <v>11720</v>
      </c>
      <c r="W2369" t="s">
        <v>14046</v>
      </c>
      <c r="X2369">
        <v>8</v>
      </c>
      <c r="Y2369" t="s">
        <v>19802</v>
      </c>
      <c r="Z2369" t="s">
        <v>25576</v>
      </c>
      <c r="AA2369">
        <v>0.49037337649085688</v>
      </c>
      <c r="AB2369" t="str">
        <f>HYPERLINK("Melting_Curves/meltCurve_P41227_2_NAA10.pdf", "Melting_Curves/meltCurve_P41227_2_NAA10.pdf")</f>
        <v>Melting_Curves/meltCurve_P41227_2_NAA10.pdf</v>
      </c>
    </row>
    <row r="2370" spans="1:28" x14ac:dyDescent="0.25">
      <c r="A2370" t="s">
        <v>2374</v>
      </c>
      <c r="B2370">
        <v>0.99334974765950101</v>
      </c>
      <c r="C2370">
        <v>0.92836913080987904</v>
      </c>
      <c r="D2370">
        <v>0.80878357968204495</v>
      </c>
      <c r="E2370">
        <v>0.44105689391098601</v>
      </c>
      <c r="F2370">
        <v>0.11478559707547201</v>
      </c>
      <c r="G2370">
        <v>8.5372612143695903E-2</v>
      </c>
      <c r="H2370">
        <v>6.8081352973979201E-2</v>
      </c>
      <c r="I2370">
        <v>7.1969186960543899E-2</v>
      </c>
      <c r="J2370">
        <v>5.6531807982457799E-2</v>
      </c>
      <c r="K2370">
        <v>4.3249202827938801E-2</v>
      </c>
      <c r="L2370">
        <v>1153.7406467455301</v>
      </c>
      <c r="M2370">
        <v>23.625795990504798</v>
      </c>
      <c r="N2370">
        <v>49.051739099718702</v>
      </c>
      <c r="O2370">
        <v>48.488125764871498</v>
      </c>
      <c r="P2370">
        <v>-0.115748679989943</v>
      </c>
      <c r="Q2370">
        <v>4.9794539982254901E-2</v>
      </c>
      <c r="R2370">
        <v>0.99442532789943805</v>
      </c>
      <c r="S2370" t="s">
        <v>8231</v>
      </c>
      <c r="T2370" t="s">
        <v>11720</v>
      </c>
      <c r="U2370" t="s">
        <v>11720</v>
      </c>
      <c r="V2370" t="s">
        <v>11720</v>
      </c>
      <c r="W2370" t="s">
        <v>14047</v>
      </c>
      <c r="X2370">
        <v>25</v>
      </c>
      <c r="Y2370" t="s">
        <v>19803</v>
      </c>
      <c r="Z2370" t="s">
        <v>25577</v>
      </c>
      <c r="AA2370">
        <v>0.3390528100992784</v>
      </c>
      <c r="AB2370" t="str">
        <f>HYPERLINK("Melting_Curves/meltCurve_P41240_CSK.pdf", "Melting_Curves/meltCurve_P41240_CSK.pdf")</f>
        <v>Melting_Curves/meltCurve_P41240_CSK.pdf</v>
      </c>
    </row>
    <row r="2371" spans="1:28" x14ac:dyDescent="0.25">
      <c r="A2371" t="s">
        <v>2375</v>
      </c>
      <c r="B2371">
        <v>0.99334974765950101</v>
      </c>
      <c r="C2371">
        <v>0.90897526278101304</v>
      </c>
      <c r="D2371">
        <v>0.84688361256761902</v>
      </c>
      <c r="E2371">
        <v>0.56057937490807697</v>
      </c>
      <c r="F2371">
        <v>0.233849975897158</v>
      </c>
      <c r="G2371">
        <v>0.14302127736690101</v>
      </c>
      <c r="H2371">
        <v>7.3514671614064206E-2</v>
      </c>
      <c r="I2371">
        <v>4.3250658252070202E-2</v>
      </c>
      <c r="J2371">
        <v>7.7997924332759497E-3</v>
      </c>
      <c r="K2371">
        <v>0</v>
      </c>
      <c r="L2371">
        <v>891.15997991676204</v>
      </c>
      <c r="M2371">
        <v>17.743751291929001</v>
      </c>
      <c r="N2371">
        <v>50.283749780408101</v>
      </c>
      <c r="O2371">
        <v>49.598985818104602</v>
      </c>
      <c r="P2371">
        <v>-8.8505685862771702E-2</v>
      </c>
      <c r="Q2371">
        <v>1.04544273748753E-2</v>
      </c>
      <c r="R2371">
        <v>0.99430660435829099</v>
      </c>
      <c r="S2371" t="s">
        <v>8232</v>
      </c>
      <c r="T2371" t="s">
        <v>11720</v>
      </c>
      <c r="U2371" t="s">
        <v>11720</v>
      </c>
      <c r="V2371" t="s">
        <v>11720</v>
      </c>
      <c r="W2371" t="s">
        <v>14048</v>
      </c>
      <c r="X2371">
        <v>3</v>
      </c>
      <c r="Y2371" t="s">
        <v>19804</v>
      </c>
      <c r="Z2371" t="s">
        <v>25578</v>
      </c>
      <c r="AA2371">
        <v>0.3649728427068446</v>
      </c>
      <c r="AB2371" t="str">
        <f>HYPERLINK("Melting_Curves/meltCurve_P41247_PNPLA4.pdf", "Melting_Curves/meltCurve_P41247_PNPLA4.pdf")</f>
        <v>Melting_Curves/meltCurve_P41247_PNPLA4.pdf</v>
      </c>
    </row>
    <row r="2372" spans="1:28" x14ac:dyDescent="0.25">
      <c r="A2372" t="s">
        <v>2376</v>
      </c>
      <c r="B2372">
        <v>0.99334974765950101</v>
      </c>
      <c r="C2372">
        <v>1.0998308862578099</v>
      </c>
      <c r="D2372">
        <v>1.2655672991960101</v>
      </c>
      <c r="E2372">
        <v>1.6724046241794599</v>
      </c>
      <c r="F2372">
        <v>1.6101060798060001</v>
      </c>
      <c r="G2372">
        <v>1.6539701896007799</v>
      </c>
      <c r="H2372">
        <v>1.3769788024090199</v>
      </c>
      <c r="I2372">
        <v>0.82311686714304499</v>
      </c>
      <c r="J2372">
        <v>0.1763895515244</v>
      </c>
      <c r="K2372">
        <v>0.128288037299534</v>
      </c>
      <c r="L2372">
        <v>7647.2102295299301</v>
      </c>
      <c r="M2372">
        <v>118.11728808457001</v>
      </c>
      <c r="N2372">
        <v>64.929321200771497</v>
      </c>
      <c r="O2372">
        <v>64.7239614237225</v>
      </c>
      <c r="P2372">
        <v>-0.39051171902727799</v>
      </c>
      <c r="Q2372">
        <v>0.14405536580185299</v>
      </c>
      <c r="R2372">
        <v>0.48764263563230198</v>
      </c>
      <c r="S2372" t="s">
        <v>8233</v>
      </c>
      <c r="T2372" t="s">
        <v>11720</v>
      </c>
      <c r="U2372" t="s">
        <v>11720</v>
      </c>
      <c r="V2372" t="s">
        <v>11720</v>
      </c>
      <c r="W2372" t="s">
        <v>14049</v>
      </c>
      <c r="X2372">
        <v>47</v>
      </c>
      <c r="Y2372" t="s">
        <v>19805</v>
      </c>
      <c r="Z2372" t="s">
        <v>25579</v>
      </c>
      <c r="AA2372">
        <v>0.85042951100551156</v>
      </c>
      <c r="AB2372" t="str">
        <f>HYPERLINK("Melting_Curves/meltCurve_P41250_GARS.pdf", "Melting_Curves/meltCurve_P41250_GARS.pdf")</f>
        <v>Melting_Curves/meltCurve_P41250_GARS.pdf</v>
      </c>
    </row>
    <row r="2373" spans="1:28" x14ac:dyDescent="0.25">
      <c r="A2373" t="s">
        <v>2377</v>
      </c>
      <c r="B2373">
        <v>0.99334974765950101</v>
      </c>
      <c r="C2373">
        <v>1.0542481716410499</v>
      </c>
      <c r="D2373">
        <v>0.83229986375240805</v>
      </c>
      <c r="E2373">
        <v>0.53176896441350696</v>
      </c>
      <c r="F2373">
        <v>0.34470516481166402</v>
      </c>
      <c r="G2373">
        <v>0.19888308838295901</v>
      </c>
      <c r="H2373">
        <v>0.14767882094066501</v>
      </c>
      <c r="I2373">
        <v>0.137850421255721</v>
      </c>
      <c r="J2373">
        <v>0.102455598514583</v>
      </c>
      <c r="K2373">
        <v>9.3875045977748997E-2</v>
      </c>
      <c r="L2373">
        <v>961.79892079756803</v>
      </c>
      <c r="M2373">
        <v>19.266848370448901</v>
      </c>
      <c r="N2373">
        <v>50.583520653324697</v>
      </c>
      <c r="O2373">
        <v>49.391448325145397</v>
      </c>
      <c r="P2373">
        <v>-8.6633590119202894E-2</v>
      </c>
      <c r="Q2373">
        <v>0.111676954861573</v>
      </c>
      <c r="R2373">
        <v>0.992118568361542</v>
      </c>
      <c r="S2373" t="s">
        <v>8234</v>
      </c>
      <c r="T2373" t="s">
        <v>11720</v>
      </c>
      <c r="U2373" t="s">
        <v>11720</v>
      </c>
      <c r="V2373" t="s">
        <v>11720</v>
      </c>
      <c r="W2373" t="s">
        <v>14050</v>
      </c>
      <c r="X2373">
        <v>6</v>
      </c>
      <c r="Y2373" t="s">
        <v>19806</v>
      </c>
      <c r="Z2373" t="s">
        <v>25580</v>
      </c>
      <c r="AA2373">
        <v>0.41871716402784998</v>
      </c>
      <c r="AB2373" t="str">
        <f>HYPERLINK("Melting_Curves/meltCurve_P41252_IARS.pdf", "Melting_Curves/meltCurve_P41252_IARS.pdf")</f>
        <v>Melting_Curves/meltCurve_P41252_IARS.pdf</v>
      </c>
    </row>
    <row r="2374" spans="1:28" x14ac:dyDescent="0.25">
      <c r="A2374" t="s">
        <v>2378</v>
      </c>
      <c r="B2374">
        <v>0.99334974765950101</v>
      </c>
      <c r="C2374">
        <v>0.98759170057833401</v>
      </c>
      <c r="D2374">
        <v>0.87805925453022604</v>
      </c>
      <c r="E2374">
        <v>0.81688587159007298</v>
      </c>
      <c r="F2374">
        <v>0.90255687906317705</v>
      </c>
      <c r="G2374">
        <v>0.68091751410748103</v>
      </c>
      <c r="H2374">
        <v>0.53702397730040996</v>
      </c>
      <c r="I2374">
        <v>0.41404711711224701</v>
      </c>
      <c r="J2374">
        <v>0.41683288489517201</v>
      </c>
      <c r="K2374">
        <v>0.29491728868113098</v>
      </c>
      <c r="L2374">
        <v>484.48872649162303</v>
      </c>
      <c r="M2374">
        <v>7.7412495987424004</v>
      </c>
      <c r="N2374">
        <v>62.585337442930303</v>
      </c>
      <c r="O2374">
        <v>58.820195653011503</v>
      </c>
      <c r="P2374">
        <v>-3.2944229653875098E-2</v>
      </c>
      <c r="Q2374">
        <v>0</v>
      </c>
      <c r="R2374">
        <v>0.96416989408253995</v>
      </c>
      <c r="S2374" t="s">
        <v>8235</v>
      </c>
      <c r="T2374" t="s">
        <v>11720</v>
      </c>
      <c r="U2374" t="s">
        <v>11720</v>
      </c>
      <c r="V2374" t="s">
        <v>11720</v>
      </c>
      <c r="W2374" t="s">
        <v>14051</v>
      </c>
      <c r="X2374">
        <v>11</v>
      </c>
      <c r="Y2374" t="s">
        <v>19807</v>
      </c>
      <c r="Z2374" t="s">
        <v>25581</v>
      </c>
      <c r="AA2374">
        <v>0.70636822840974134</v>
      </c>
      <c r="AB2374" t="str">
        <f>HYPERLINK("Melting_Curves/meltCurve_P41567_EIF1.pdf", "Melting_Curves/meltCurve_P41567_EIF1.pdf")</f>
        <v>Melting_Curves/meltCurve_P41567_EIF1.pdf</v>
      </c>
    </row>
    <row r="2375" spans="1:28" x14ac:dyDescent="0.25">
      <c r="A2375" t="s">
        <v>2379</v>
      </c>
      <c r="B2375">
        <v>0.99334974765950101</v>
      </c>
      <c r="C2375">
        <v>0.94850545344757098</v>
      </c>
      <c r="D2375">
        <v>0.84274688948668997</v>
      </c>
      <c r="E2375">
        <v>0.56902290501356501</v>
      </c>
      <c r="F2375">
        <v>0.31492028307043402</v>
      </c>
      <c r="G2375">
        <v>0.134402780687606</v>
      </c>
      <c r="H2375">
        <v>9.2188598048906001E-2</v>
      </c>
      <c r="I2375">
        <v>8.2891156561885795E-2</v>
      </c>
      <c r="J2375">
        <v>7.4758959289130206E-2</v>
      </c>
      <c r="K2375">
        <v>5.2515570565044301E-2</v>
      </c>
      <c r="L2375">
        <v>919.14307900439599</v>
      </c>
      <c r="M2375">
        <v>18.2810657107146</v>
      </c>
      <c r="N2375">
        <v>50.597637252330699</v>
      </c>
      <c r="O2375">
        <v>49.688385319426601</v>
      </c>
      <c r="P2375">
        <v>-8.6972923227591203E-2</v>
      </c>
      <c r="Q2375">
        <v>5.4465963321248E-2</v>
      </c>
      <c r="R2375">
        <v>0.99910830303930698</v>
      </c>
      <c r="S2375" t="s">
        <v>8236</v>
      </c>
      <c r="T2375" t="s">
        <v>11720</v>
      </c>
      <c r="U2375" t="s">
        <v>11720</v>
      </c>
      <c r="V2375" t="s">
        <v>11720</v>
      </c>
      <c r="W2375" t="s">
        <v>14052</v>
      </c>
      <c r="X2375">
        <v>5</v>
      </c>
      <c r="Y2375" t="s">
        <v>19808</v>
      </c>
      <c r="Z2375" t="s">
        <v>25582</v>
      </c>
      <c r="AA2375">
        <v>0.3940265595924719</v>
      </c>
      <c r="AB2375" t="str">
        <f>HYPERLINK("Melting_Curves/meltCurve_P41743_PRKCI.pdf", "Melting_Curves/meltCurve_P41743_PRKCI.pdf")</f>
        <v>Melting_Curves/meltCurve_P41743_PRKCI.pdf</v>
      </c>
    </row>
    <row r="2376" spans="1:28" x14ac:dyDescent="0.25">
      <c r="A2376" t="s">
        <v>2380</v>
      </c>
      <c r="B2376">
        <v>0.99334974765950101</v>
      </c>
      <c r="C2376">
        <v>0.98614603276520096</v>
      </c>
      <c r="D2376">
        <v>1.07376635564794</v>
      </c>
      <c r="E2376">
        <v>1.0690271830093401</v>
      </c>
      <c r="F2376">
        <v>1.91616564063787</v>
      </c>
      <c r="G2376">
        <v>1.7812015081630499</v>
      </c>
      <c r="H2376">
        <v>1.07034718551168</v>
      </c>
      <c r="I2376">
        <v>0.37473585320064001</v>
      </c>
      <c r="J2376">
        <v>0.101567988954382</v>
      </c>
      <c r="K2376">
        <v>6.9869779507316904E-2</v>
      </c>
      <c r="L2376">
        <v>15000</v>
      </c>
      <c r="M2376">
        <v>235.14662157882901</v>
      </c>
      <c r="N2376">
        <v>63.841041588437498</v>
      </c>
      <c r="O2376">
        <v>63.785369041344197</v>
      </c>
      <c r="P2376">
        <v>-0.842638220141115</v>
      </c>
      <c r="Q2376">
        <v>8.5710984629916803E-2</v>
      </c>
      <c r="R2376">
        <v>0.58085939058567604</v>
      </c>
      <c r="S2376" t="s">
        <v>8237</v>
      </c>
      <c r="T2376" t="s">
        <v>11720</v>
      </c>
      <c r="U2376" t="s">
        <v>11720</v>
      </c>
      <c r="V2376" t="s">
        <v>11720</v>
      </c>
      <c r="W2376" t="s">
        <v>14053</v>
      </c>
      <c r="X2376">
        <v>10</v>
      </c>
      <c r="Y2376" t="s">
        <v>19809</v>
      </c>
      <c r="Z2376" t="s">
        <v>25583</v>
      </c>
      <c r="AA2376">
        <v>0.81085748382000533</v>
      </c>
      <c r="AB2376" t="str">
        <f>HYPERLINK("Melting_Curves/meltCurve_P42025_ACTR1B.pdf", "Melting_Curves/meltCurve_P42025_ACTR1B.pdf")</f>
        <v>Melting_Curves/meltCurve_P42025_ACTR1B.pdf</v>
      </c>
    </row>
    <row r="2377" spans="1:28" x14ac:dyDescent="0.25">
      <c r="A2377" t="s">
        <v>2381</v>
      </c>
      <c r="B2377">
        <v>0.99334974765950101</v>
      </c>
      <c r="C2377">
        <v>0.92896590643988997</v>
      </c>
      <c r="D2377">
        <v>0.87883547676165497</v>
      </c>
      <c r="E2377">
        <v>0.80506701363547395</v>
      </c>
      <c r="F2377">
        <v>0.73740367867978396</v>
      </c>
      <c r="G2377">
        <v>0.65304568138166397</v>
      </c>
      <c r="H2377">
        <v>0.61570813025912097</v>
      </c>
      <c r="I2377">
        <v>0.88707383401065898</v>
      </c>
      <c r="J2377">
        <v>0.63289675161568804</v>
      </c>
      <c r="K2377">
        <v>0.50726367534058503</v>
      </c>
      <c r="L2377">
        <v>496.282240607988</v>
      </c>
      <c r="M2377">
        <v>10.0059941997665</v>
      </c>
      <c r="O2377">
        <v>47.739520292071802</v>
      </c>
      <c r="P2377">
        <v>-2.0158527582181899E-2</v>
      </c>
      <c r="Q2377">
        <v>0.61547383183084303</v>
      </c>
      <c r="R2377">
        <v>0.66177651453075304</v>
      </c>
      <c r="S2377" t="s">
        <v>8238</v>
      </c>
      <c r="T2377" t="s">
        <v>11720</v>
      </c>
      <c r="U2377" t="s">
        <v>11720</v>
      </c>
      <c r="V2377" t="s">
        <v>11720</v>
      </c>
      <c r="W2377" t="s">
        <v>14054</v>
      </c>
      <c r="X2377">
        <v>4</v>
      </c>
      <c r="Y2377" t="s">
        <v>19810</v>
      </c>
      <c r="Z2377" t="s">
        <v>25584</v>
      </c>
      <c r="AA2377">
        <v>0.7564390911933585</v>
      </c>
      <c r="AB2377" t="str">
        <f>HYPERLINK("Melting_Curves/meltCurve_P42126_2_ECI1.pdf", "Melting_Curves/meltCurve_P42126_2_ECI1.pdf")</f>
        <v>Melting_Curves/meltCurve_P42126_2_ECI1.pdf</v>
      </c>
    </row>
    <row r="2378" spans="1:28" x14ac:dyDescent="0.25">
      <c r="A2378" t="s">
        <v>2382</v>
      </c>
      <c r="B2378">
        <v>0.99334974765950101</v>
      </c>
      <c r="C2378">
        <v>0.91372583767573201</v>
      </c>
      <c r="D2378">
        <v>0.74772113325266099</v>
      </c>
      <c r="E2378">
        <v>0.112787106508615</v>
      </c>
      <c r="F2378">
        <v>8.3179480722167506E-2</v>
      </c>
      <c r="G2378">
        <v>3.96034778952669E-2</v>
      </c>
      <c r="H2378">
        <v>3.20334345350691E-2</v>
      </c>
      <c r="I2378">
        <v>3.3139093796773302E-2</v>
      </c>
      <c r="J2378">
        <v>3.7097381331063203E-2</v>
      </c>
      <c r="K2378">
        <v>2.4275195239081799E-2</v>
      </c>
      <c r="L2378">
        <v>1793.7425118661499</v>
      </c>
      <c r="M2378">
        <v>38.036805526354897</v>
      </c>
      <c r="N2378">
        <v>47.250601362619499</v>
      </c>
      <c r="O2378">
        <v>47.028293682789602</v>
      </c>
      <c r="P2378">
        <v>-0.194944601678461</v>
      </c>
      <c r="Q2378">
        <v>3.5892890547204799E-2</v>
      </c>
      <c r="R2378">
        <v>0.995852403381845</v>
      </c>
      <c r="S2378" t="s">
        <v>8239</v>
      </c>
      <c r="T2378" t="s">
        <v>11720</v>
      </c>
      <c r="U2378" t="s">
        <v>11720</v>
      </c>
      <c r="V2378" t="s">
        <v>11720</v>
      </c>
      <c r="W2378" t="s">
        <v>14055</v>
      </c>
      <c r="X2378">
        <v>43</v>
      </c>
      <c r="Y2378" t="s">
        <v>19811</v>
      </c>
      <c r="Z2378" t="s">
        <v>25585</v>
      </c>
      <c r="AA2378">
        <v>0.2694409948824632</v>
      </c>
      <c r="AB2378" t="str">
        <f>HYPERLINK("Melting_Curves/meltCurve_P42224_STAT1.pdf", "Melting_Curves/meltCurve_P42224_STAT1.pdf")</f>
        <v>Melting_Curves/meltCurve_P42224_STAT1.pdf</v>
      </c>
    </row>
    <row r="2379" spans="1:28" x14ac:dyDescent="0.25">
      <c r="A2379" t="s">
        <v>2383</v>
      </c>
      <c r="B2379">
        <v>0.99334974765950101</v>
      </c>
      <c r="C2379">
        <v>0.87088273918062897</v>
      </c>
      <c r="D2379">
        <v>0.90001329407404995</v>
      </c>
      <c r="E2379">
        <v>0.47898453061122898</v>
      </c>
      <c r="F2379">
        <v>0.190014501453622</v>
      </c>
      <c r="G2379">
        <v>0.136941286602868</v>
      </c>
      <c r="H2379">
        <v>9.7749141267433601E-2</v>
      </c>
      <c r="I2379">
        <v>7.4420253837820499E-2</v>
      </c>
      <c r="J2379">
        <v>5.5463399411118497E-2</v>
      </c>
      <c r="K2379">
        <v>4.1511836845931301E-2</v>
      </c>
      <c r="L2379">
        <v>1175.22265048956</v>
      </c>
      <c r="M2379">
        <v>23.7640532847884</v>
      </c>
      <c r="N2379">
        <v>49.747023507505901</v>
      </c>
      <c r="O2379">
        <v>49.107593360199502</v>
      </c>
      <c r="P2379">
        <v>-0.1130750371537</v>
      </c>
      <c r="Q2379">
        <v>6.5352771096340301E-2</v>
      </c>
      <c r="R2379">
        <v>0.988635282922259</v>
      </c>
      <c r="S2379" t="s">
        <v>8240</v>
      </c>
      <c r="T2379" t="s">
        <v>11720</v>
      </c>
      <c r="U2379" t="s">
        <v>11720</v>
      </c>
      <c r="V2379" t="s">
        <v>11720</v>
      </c>
      <c r="W2379" t="s">
        <v>14056</v>
      </c>
      <c r="X2379">
        <v>26</v>
      </c>
      <c r="Y2379" t="s">
        <v>19812</v>
      </c>
      <c r="Z2379" t="s">
        <v>25586</v>
      </c>
      <c r="AA2379">
        <v>0.36909886457122271</v>
      </c>
      <c r="AB2379" t="str">
        <f>HYPERLINK("Melting_Curves/meltCurve_P42226_STAT6.pdf", "Melting_Curves/meltCurve_P42226_STAT6.pdf")</f>
        <v>Melting_Curves/meltCurve_P42226_STAT6.pdf</v>
      </c>
    </row>
    <row r="2380" spans="1:28" x14ac:dyDescent="0.25">
      <c r="A2380" t="s">
        <v>2384</v>
      </c>
      <c r="B2380">
        <v>0.99334974765950101</v>
      </c>
      <c r="C2380">
        <v>1.2320379891518001</v>
      </c>
      <c r="D2380">
        <v>1.7183466398903</v>
      </c>
      <c r="E2380">
        <v>1.6980308274695699</v>
      </c>
      <c r="F2380">
        <v>0.48989530850096003</v>
      </c>
      <c r="G2380">
        <v>0.32722850534654402</v>
      </c>
      <c r="H2380">
        <v>0.25915401615272698</v>
      </c>
      <c r="I2380">
        <v>0.142988495168302</v>
      </c>
      <c r="J2380">
        <v>0.11992387374795301</v>
      </c>
      <c r="K2380">
        <v>8.92633218196697E-2</v>
      </c>
      <c r="L2380">
        <v>13222.250705739199</v>
      </c>
      <c r="M2380">
        <v>250</v>
      </c>
      <c r="N2380">
        <v>52.988761829624501</v>
      </c>
      <c r="O2380">
        <v>52.885617500670797</v>
      </c>
      <c r="P2380">
        <v>-0.95995910999996503</v>
      </c>
      <c r="Q2380">
        <v>0.18771150409258999</v>
      </c>
      <c r="R2380">
        <v>0.71096723736180401</v>
      </c>
      <c r="S2380" t="s">
        <v>8241</v>
      </c>
      <c r="T2380" t="s">
        <v>11720</v>
      </c>
      <c r="U2380" t="s">
        <v>11720</v>
      </c>
      <c r="V2380" t="s">
        <v>11720</v>
      </c>
      <c r="W2380" t="s">
        <v>14057</v>
      </c>
      <c r="X2380">
        <v>5</v>
      </c>
      <c r="Y2380" t="s">
        <v>19813</v>
      </c>
      <c r="Z2380" t="s">
        <v>25587</v>
      </c>
      <c r="AA2380">
        <v>0.53677319076477614</v>
      </c>
      <c r="AB2380" t="str">
        <f>HYPERLINK("Melting_Curves/meltCurve_P42285_SKIV2L2.pdf", "Melting_Curves/meltCurve_P42285_SKIV2L2.pdf")</f>
        <v>Melting_Curves/meltCurve_P42285_SKIV2L2.pdf</v>
      </c>
    </row>
    <row r="2381" spans="1:28" x14ac:dyDescent="0.25">
      <c r="A2381" t="s">
        <v>2385</v>
      </c>
      <c r="B2381">
        <v>0.99334974765950101</v>
      </c>
      <c r="C2381">
        <v>0.96582181313997095</v>
      </c>
      <c r="D2381">
        <v>0.82189516083680203</v>
      </c>
      <c r="E2381">
        <v>0.504801340357799</v>
      </c>
      <c r="F2381">
        <v>0.35487591451664802</v>
      </c>
      <c r="G2381">
        <v>0.18923283392687801</v>
      </c>
      <c r="H2381">
        <v>0.14424141186075401</v>
      </c>
      <c r="I2381">
        <v>0.108675969785005</v>
      </c>
      <c r="J2381">
        <v>0.11894196975485</v>
      </c>
      <c r="K2381">
        <v>8.2917039129448797E-2</v>
      </c>
      <c r="L2381">
        <v>844.22604160035803</v>
      </c>
      <c r="M2381">
        <v>16.963821743905601</v>
      </c>
      <c r="N2381">
        <v>50.397389740067098</v>
      </c>
      <c r="O2381">
        <v>49.090130027605802</v>
      </c>
      <c r="P2381">
        <v>-7.8128922140125304E-2</v>
      </c>
      <c r="Q2381">
        <v>9.5694417314454702E-2</v>
      </c>
      <c r="R2381">
        <v>0.99808927772938505</v>
      </c>
      <c r="S2381" t="s">
        <v>8242</v>
      </c>
      <c r="T2381" t="s">
        <v>11720</v>
      </c>
      <c r="U2381" t="s">
        <v>11720</v>
      </c>
      <c r="V2381" t="s">
        <v>11720</v>
      </c>
      <c r="W2381" t="s">
        <v>14058</v>
      </c>
      <c r="X2381">
        <v>19</v>
      </c>
      <c r="Y2381" t="s">
        <v>19814</v>
      </c>
      <c r="Z2381" t="s">
        <v>25588</v>
      </c>
      <c r="AA2381">
        <v>0.40740328920462188</v>
      </c>
      <c r="AB2381" t="str">
        <f>HYPERLINK("Melting_Curves/meltCurve_P42330_AKR1C3.pdf", "Melting_Curves/meltCurve_P42330_AKR1C3.pdf")</f>
        <v>Melting_Curves/meltCurve_P42330_AKR1C3.pdf</v>
      </c>
    </row>
    <row r="2382" spans="1:28" x14ac:dyDescent="0.25">
      <c r="A2382" t="s">
        <v>2386</v>
      </c>
      <c r="B2382">
        <v>0.99334974765950101</v>
      </c>
      <c r="C2382">
        <v>0.87574692383658304</v>
      </c>
      <c r="D2382">
        <v>0.76602878176042499</v>
      </c>
      <c r="E2382">
        <v>0.36705538623079698</v>
      </c>
      <c r="F2382">
        <v>0.27205704188831498</v>
      </c>
      <c r="G2382">
        <v>0.15817075359145299</v>
      </c>
      <c r="H2382">
        <v>0.13253918547455701</v>
      </c>
      <c r="I2382">
        <v>0.120526642860196</v>
      </c>
      <c r="J2382">
        <v>0.13304680166282801</v>
      </c>
      <c r="K2382">
        <v>9.6900520987801803E-2</v>
      </c>
      <c r="L2382">
        <v>892.80266985324295</v>
      </c>
      <c r="M2382">
        <v>18.582407837927502</v>
      </c>
      <c r="N2382">
        <v>48.722195646998401</v>
      </c>
      <c r="O2382">
        <v>47.499540757463102</v>
      </c>
      <c r="P2382">
        <v>-8.6684160952132397E-2</v>
      </c>
      <c r="Q2382">
        <v>0.113725477236371</v>
      </c>
      <c r="R2382">
        <v>0.99503876080327402</v>
      </c>
      <c r="S2382" t="s">
        <v>8243</v>
      </c>
      <c r="T2382" t="s">
        <v>11720</v>
      </c>
      <c r="U2382" t="s">
        <v>11720</v>
      </c>
      <c r="V2382" t="s">
        <v>11720</v>
      </c>
      <c r="W2382" t="s">
        <v>14059</v>
      </c>
      <c r="X2382">
        <v>6</v>
      </c>
      <c r="Y2382" t="s">
        <v>19815</v>
      </c>
      <c r="Z2382" t="s">
        <v>25589</v>
      </c>
      <c r="AA2382">
        <v>0.36610406222936692</v>
      </c>
      <c r="AB2382" t="str">
        <f>HYPERLINK("Melting_Curves/meltCurve_P42331_6_ARHGAP25.pdf", "Melting_Curves/meltCurve_P42331_6_ARHGAP25.pdf")</f>
        <v>Melting_Curves/meltCurve_P42331_6_ARHGAP25.pdf</v>
      </c>
    </row>
    <row r="2383" spans="1:28" x14ac:dyDescent="0.25">
      <c r="A2383" t="s">
        <v>2387</v>
      </c>
      <c r="B2383">
        <v>0.99334974765950101</v>
      </c>
      <c r="C2383">
        <v>1.505147308038</v>
      </c>
      <c r="D2383">
        <v>2.0024070375834699</v>
      </c>
      <c r="E2383">
        <v>1.9864420794498501</v>
      </c>
      <c r="F2383">
        <v>6.0518374273408204</v>
      </c>
      <c r="G2383">
        <v>6.4611626620169602</v>
      </c>
      <c r="H2383">
        <v>7.9770163198294401</v>
      </c>
      <c r="I2383">
        <v>6.51595767891199</v>
      </c>
      <c r="J2383">
        <v>11.475288604174899</v>
      </c>
      <c r="K2383">
        <v>8.0880953897977292</v>
      </c>
      <c r="S2383" t="s">
        <v>8244</v>
      </c>
      <c r="T2383" t="s">
        <v>11720</v>
      </c>
      <c r="U2383" t="s">
        <v>11721</v>
      </c>
      <c r="V2383" t="s">
        <v>11720</v>
      </c>
      <c r="W2383" t="s">
        <v>14060</v>
      </c>
      <c r="X2383">
        <v>1</v>
      </c>
      <c r="Y2383" t="s">
        <v>19816</v>
      </c>
      <c r="Z2383" t="s">
        <v>25590</v>
      </c>
      <c r="AB2383" t="str">
        <f>HYPERLINK("Melting_Curves/meltCurve_P42336_PIK3CA.pdf", "Melting_Curves/meltCurve_P42336_PIK3CA.pdf")</f>
        <v>Melting_Curves/meltCurve_P42336_PIK3CA.pdf</v>
      </c>
    </row>
    <row r="2384" spans="1:28" x14ac:dyDescent="0.25">
      <c r="A2384" t="s">
        <v>2388</v>
      </c>
      <c r="B2384">
        <v>0.99334974765950101</v>
      </c>
      <c r="C2384">
        <v>0.99695857292869094</v>
      </c>
      <c r="D2384">
        <v>0.95000164258345698</v>
      </c>
      <c r="E2384">
        <v>0.68172345054081196</v>
      </c>
      <c r="F2384">
        <v>0.35992620979974299</v>
      </c>
      <c r="G2384">
        <v>0.32777525119977802</v>
      </c>
      <c r="H2384">
        <v>0.31325554940010603</v>
      </c>
      <c r="I2384">
        <v>0.19120753919324501</v>
      </c>
      <c r="J2384">
        <v>0.10865314660837901</v>
      </c>
      <c r="K2384">
        <v>7.2641959346835594E-2</v>
      </c>
      <c r="L2384">
        <v>924.43721346524296</v>
      </c>
      <c r="M2384">
        <v>18.043003200393699</v>
      </c>
      <c r="N2384">
        <v>52.265341426087403</v>
      </c>
      <c r="O2384">
        <v>50.6183121279186</v>
      </c>
      <c r="P2384">
        <v>-7.5782908997812107E-2</v>
      </c>
      <c r="Q2384">
        <v>0.149628509628558</v>
      </c>
      <c r="R2384">
        <v>0.96858992517782305</v>
      </c>
      <c r="S2384" t="s">
        <v>8245</v>
      </c>
      <c r="T2384" t="s">
        <v>11720</v>
      </c>
      <c r="U2384" t="s">
        <v>11720</v>
      </c>
      <c r="V2384" t="s">
        <v>11720</v>
      </c>
      <c r="W2384" t="s">
        <v>14061</v>
      </c>
      <c r="X2384">
        <v>7</v>
      </c>
      <c r="Y2384" t="s">
        <v>19817</v>
      </c>
      <c r="Z2384" t="s">
        <v>25591</v>
      </c>
      <c r="AA2384">
        <v>0.48232688407247892</v>
      </c>
      <c r="AB2384" t="str">
        <f>HYPERLINK("Melting_Curves/meltCurve_P42345_MTOR.pdf", "Melting_Curves/meltCurve_P42345_MTOR.pdf")</f>
        <v>Melting_Curves/meltCurve_P42345_MTOR.pdf</v>
      </c>
    </row>
    <row r="2385" spans="1:28" x14ac:dyDescent="0.25">
      <c r="A2385" t="s">
        <v>2389</v>
      </c>
      <c r="B2385">
        <v>0.99334974765950101</v>
      </c>
      <c r="C2385">
        <v>0.95287543109463202</v>
      </c>
      <c r="D2385">
        <v>0.90163666552141397</v>
      </c>
      <c r="E2385">
        <v>0.68413149821868302</v>
      </c>
      <c r="F2385">
        <v>0.50070191012989396</v>
      </c>
      <c r="G2385">
        <v>0.30716089708143002</v>
      </c>
      <c r="H2385">
        <v>0.24800161517238301</v>
      </c>
      <c r="I2385">
        <v>0.21669154922813799</v>
      </c>
      <c r="J2385">
        <v>0.19611402095007899</v>
      </c>
      <c r="K2385">
        <v>0.19424988269131099</v>
      </c>
      <c r="L2385">
        <v>839.63541201685098</v>
      </c>
      <c r="M2385">
        <v>16.3242437574898</v>
      </c>
      <c r="N2385">
        <v>52.901740475706703</v>
      </c>
      <c r="O2385">
        <v>50.681592178055503</v>
      </c>
      <c r="P2385">
        <v>-6.5870874524804501E-2</v>
      </c>
      <c r="Q2385">
        <v>0.18202679020123899</v>
      </c>
      <c r="R2385">
        <v>0.99941144168972096</v>
      </c>
      <c r="S2385" t="s">
        <v>8246</v>
      </c>
      <c r="T2385" t="s">
        <v>11720</v>
      </c>
      <c r="U2385" t="s">
        <v>11720</v>
      </c>
      <c r="V2385" t="s">
        <v>11720</v>
      </c>
      <c r="W2385" t="s">
        <v>14062</v>
      </c>
      <c r="X2385">
        <v>16</v>
      </c>
      <c r="Y2385" t="s">
        <v>19818</v>
      </c>
      <c r="Z2385" t="s">
        <v>25592</v>
      </c>
      <c r="AA2385">
        <v>0.51003048510261761</v>
      </c>
      <c r="AB2385" t="str">
        <f>HYPERLINK("Melting_Curves/meltCurve_P42566_EPS15.pdf", "Melting_Curves/meltCurve_P42566_EPS15.pdf")</f>
        <v>Melting_Curves/meltCurve_P42566_EPS15.pdf</v>
      </c>
    </row>
    <row r="2386" spans="1:28" x14ac:dyDescent="0.25">
      <c r="A2386" t="s">
        <v>2390</v>
      </c>
      <c r="B2386">
        <v>0.99334974765950101</v>
      </c>
      <c r="C2386">
        <v>0.99668565032756096</v>
      </c>
      <c r="D2386">
        <v>0.92154527354119897</v>
      </c>
      <c r="E2386">
        <v>0.78696694316088001</v>
      </c>
      <c r="F2386">
        <v>0.65160589752883902</v>
      </c>
      <c r="G2386">
        <v>0.50784636989676701</v>
      </c>
      <c r="H2386">
        <v>0.49583722979120298</v>
      </c>
      <c r="I2386">
        <v>0.57166998995339502</v>
      </c>
      <c r="J2386">
        <v>0.69709613692995998</v>
      </c>
      <c r="K2386">
        <v>0.60908529311453996</v>
      </c>
      <c r="L2386">
        <v>1348.16555689044</v>
      </c>
      <c r="M2386">
        <v>27.151142947226301</v>
      </c>
      <c r="O2386">
        <v>49.387085506413797</v>
      </c>
      <c r="P2386">
        <v>-5.8191015411592897E-2</v>
      </c>
      <c r="Q2386">
        <v>0.57661350543453804</v>
      </c>
      <c r="R2386">
        <v>0.90711261254819398</v>
      </c>
      <c r="S2386" t="s">
        <v>8247</v>
      </c>
      <c r="T2386" t="s">
        <v>11720</v>
      </c>
      <c r="U2386" t="s">
        <v>11720</v>
      </c>
      <c r="V2386" t="s">
        <v>11720</v>
      </c>
      <c r="W2386" t="s">
        <v>14063</v>
      </c>
      <c r="X2386">
        <v>17</v>
      </c>
      <c r="Y2386" t="s">
        <v>19819</v>
      </c>
      <c r="Z2386" t="s">
        <v>25593</v>
      </c>
      <c r="AA2386">
        <v>0.71605032700658477</v>
      </c>
      <c r="AB2386" t="str">
        <f>HYPERLINK("Melting_Curves/meltCurve_P42574_CASP3.pdf", "Melting_Curves/meltCurve_P42574_CASP3.pdf")</f>
        <v>Melting_Curves/meltCurve_P42574_CASP3.pdf</v>
      </c>
    </row>
    <row r="2387" spans="1:28" x14ac:dyDescent="0.25">
      <c r="A2387" t="s">
        <v>2391</v>
      </c>
      <c r="B2387">
        <v>0.99334974765950101</v>
      </c>
      <c r="C2387">
        <v>0.93889945734416003</v>
      </c>
      <c r="D2387">
        <v>0.69196890405245304</v>
      </c>
      <c r="E2387">
        <v>0.40719874211472601</v>
      </c>
      <c r="F2387">
        <v>0.24257614550925299</v>
      </c>
      <c r="G2387">
        <v>0.12363782137333</v>
      </c>
      <c r="H2387">
        <v>8.0474454652522204E-2</v>
      </c>
      <c r="I2387">
        <v>7.9025354973852394E-2</v>
      </c>
      <c r="J2387">
        <v>5.9579395051784299E-2</v>
      </c>
      <c r="K2387">
        <v>4.7639339011752997E-2</v>
      </c>
      <c r="L2387">
        <v>819.37691832169196</v>
      </c>
      <c r="M2387">
        <v>16.927164918368401</v>
      </c>
      <c r="N2387">
        <v>48.737801585824201</v>
      </c>
      <c r="O2387">
        <v>47.745604875860501</v>
      </c>
      <c r="P2387">
        <v>-8.3814185740898606E-2</v>
      </c>
      <c r="Q2387">
        <v>5.4417865886883798E-2</v>
      </c>
      <c r="R2387">
        <v>0.99758270613396705</v>
      </c>
      <c r="S2387" t="s">
        <v>8248</v>
      </c>
      <c r="T2387" t="s">
        <v>11720</v>
      </c>
      <c r="U2387" t="s">
        <v>11720</v>
      </c>
      <c r="V2387" t="s">
        <v>11720</v>
      </c>
      <c r="W2387" t="s">
        <v>14064</v>
      </c>
      <c r="X2387">
        <v>2</v>
      </c>
      <c r="Y2387" t="s">
        <v>19820</v>
      </c>
      <c r="Z2387" t="s">
        <v>25594</v>
      </c>
      <c r="AA2387">
        <v>0.33817302083268219</v>
      </c>
      <c r="AB2387" t="str">
        <f>HYPERLINK("Melting_Curves/meltCurve_P42575_CASP2.pdf", "Melting_Curves/meltCurve_P42575_CASP2.pdf")</f>
        <v>Melting_Curves/meltCurve_P42575_CASP2.pdf</v>
      </c>
    </row>
    <row r="2388" spans="1:28" x14ac:dyDescent="0.25">
      <c r="A2388" t="s">
        <v>2392</v>
      </c>
      <c r="B2388">
        <v>0.99334974765950101</v>
      </c>
      <c r="C2388">
        <v>0.98642135747845905</v>
      </c>
      <c r="D2388">
        <v>0.75387796046004296</v>
      </c>
      <c r="E2388">
        <v>0.75146882198135101</v>
      </c>
      <c r="F2388">
        <v>0.64735661725842297</v>
      </c>
      <c r="G2388">
        <v>0.52917833214058496</v>
      </c>
      <c r="H2388">
        <v>0.38714860098043502</v>
      </c>
      <c r="I2388">
        <v>0.369592654590159</v>
      </c>
      <c r="J2388">
        <v>0.39136306830094503</v>
      </c>
      <c r="K2388">
        <v>0.30265454074780102</v>
      </c>
      <c r="L2388">
        <v>481.30084968272098</v>
      </c>
      <c r="M2388">
        <v>9.0436408211172292</v>
      </c>
      <c r="N2388">
        <v>57.490058870709298</v>
      </c>
      <c r="O2388">
        <v>50.8110268400075</v>
      </c>
      <c r="P2388">
        <v>-3.3636981480774202E-2</v>
      </c>
      <c r="Q2388">
        <v>0.244591078271575</v>
      </c>
      <c r="R2388">
        <v>0.96625952560003303</v>
      </c>
      <c r="S2388" t="s">
        <v>8249</v>
      </c>
      <c r="T2388" t="s">
        <v>11720</v>
      </c>
      <c r="U2388" t="s">
        <v>11720</v>
      </c>
      <c r="V2388" t="s">
        <v>11720</v>
      </c>
      <c r="W2388" t="s">
        <v>14065</v>
      </c>
      <c r="X2388">
        <v>4</v>
      </c>
      <c r="Y2388" t="s">
        <v>19821</v>
      </c>
      <c r="Z2388" t="s">
        <v>25595</v>
      </c>
      <c r="AA2388">
        <v>0.60477301357663626</v>
      </c>
      <c r="AB2388" t="str">
        <f>HYPERLINK("Melting_Curves/meltCurve_P42677_RPS27.pdf", "Melting_Curves/meltCurve_P42677_RPS27.pdf")</f>
        <v>Melting_Curves/meltCurve_P42677_RPS27.pdf</v>
      </c>
    </row>
    <row r="2389" spans="1:28" x14ac:dyDescent="0.25">
      <c r="A2389" t="s">
        <v>2393</v>
      </c>
      <c r="B2389">
        <v>0.99334974765950101</v>
      </c>
      <c r="C2389">
        <v>0.89861389758166099</v>
      </c>
      <c r="D2389">
        <v>0.55500860732993795</v>
      </c>
      <c r="E2389">
        <v>0.16064043300780401</v>
      </c>
      <c r="F2389">
        <v>0.13992630303948</v>
      </c>
      <c r="G2389">
        <v>9.1901600889853705E-2</v>
      </c>
      <c r="H2389">
        <v>7.5922073253249497E-2</v>
      </c>
      <c r="I2389">
        <v>6.3788840522741502E-2</v>
      </c>
      <c r="J2389">
        <v>6.6605382441845995E-2</v>
      </c>
      <c r="K2389">
        <v>5.1919031152903798E-2</v>
      </c>
      <c r="L2389">
        <v>1253.7020588870801</v>
      </c>
      <c r="M2389">
        <v>27.170984150265099</v>
      </c>
      <c r="N2389">
        <v>46.4135934140877</v>
      </c>
      <c r="O2389">
        <v>45.893444926288304</v>
      </c>
      <c r="P2389">
        <v>-0.13710548897799099</v>
      </c>
      <c r="Q2389">
        <v>7.3690917478921397E-2</v>
      </c>
      <c r="R2389">
        <v>0.99781726464035103</v>
      </c>
      <c r="S2389" t="s">
        <v>8250</v>
      </c>
      <c r="T2389" t="s">
        <v>11720</v>
      </c>
      <c r="U2389" t="s">
        <v>11720</v>
      </c>
      <c r="V2389" t="s">
        <v>11720</v>
      </c>
      <c r="W2389" t="s">
        <v>14066</v>
      </c>
      <c r="X2389">
        <v>37</v>
      </c>
      <c r="Y2389" t="s">
        <v>19822</v>
      </c>
      <c r="Z2389" t="s">
        <v>25596</v>
      </c>
      <c r="AA2389">
        <v>0.27034085808366648</v>
      </c>
      <c r="AB2389" t="str">
        <f>HYPERLINK("Melting_Curves/meltCurve_P42704_LRPPRC.pdf", "Melting_Curves/meltCurve_P42704_LRPPRC.pdf")</f>
        <v>Melting_Curves/meltCurve_P42704_LRPPRC.pdf</v>
      </c>
    </row>
    <row r="2390" spans="1:28" x14ac:dyDescent="0.25">
      <c r="A2390" t="s">
        <v>2394</v>
      </c>
      <c r="B2390">
        <v>0.99334974765950101</v>
      </c>
      <c r="C2390">
        <v>0.98564572375210802</v>
      </c>
      <c r="D2390">
        <v>1.0750309418805399</v>
      </c>
      <c r="E2390">
        <v>1.07643590947028</v>
      </c>
      <c r="F2390">
        <v>1.0527895242551399</v>
      </c>
      <c r="G2390">
        <v>1.0541704850828499</v>
      </c>
      <c r="H2390">
        <v>0.94035993564065701</v>
      </c>
      <c r="I2390">
        <v>1.1730338788838199</v>
      </c>
      <c r="J2390">
        <v>0.48032600637977801</v>
      </c>
      <c r="K2390">
        <v>0.189256032552753</v>
      </c>
      <c r="L2390">
        <v>15000</v>
      </c>
      <c r="M2390">
        <v>224.45987714138701</v>
      </c>
      <c r="N2390">
        <v>66.968960647484707</v>
      </c>
      <c r="O2390">
        <v>66.821763660926294</v>
      </c>
      <c r="P2390">
        <v>-0.68087774201630302</v>
      </c>
      <c r="Q2390">
        <v>0.189209841171527</v>
      </c>
      <c r="R2390">
        <v>0.94225047405003604</v>
      </c>
      <c r="S2390" t="s">
        <v>8251</v>
      </c>
      <c r="T2390" t="s">
        <v>11720</v>
      </c>
      <c r="U2390" t="s">
        <v>11720</v>
      </c>
      <c r="V2390" t="s">
        <v>11720</v>
      </c>
      <c r="W2390" t="s">
        <v>14067</v>
      </c>
      <c r="X2390">
        <v>21</v>
      </c>
      <c r="Y2390" t="s">
        <v>19823</v>
      </c>
      <c r="Z2390" t="s">
        <v>25597</v>
      </c>
      <c r="AA2390">
        <v>0.9143654373165726</v>
      </c>
      <c r="AB2390" t="str">
        <f>HYPERLINK("Melting_Curves/meltCurve_P42765_ACAA2.pdf", "Melting_Curves/meltCurve_P42765_ACAA2.pdf")</f>
        <v>Melting_Curves/meltCurve_P42765_ACAA2.pdf</v>
      </c>
    </row>
    <row r="2391" spans="1:28" x14ac:dyDescent="0.25">
      <c r="A2391" t="s">
        <v>2395</v>
      </c>
      <c r="B2391">
        <v>0.99334974765950101</v>
      </c>
      <c r="C2391">
        <v>1.05763359447321</v>
      </c>
      <c r="D2391">
        <v>0.94404935539864998</v>
      </c>
      <c r="E2391">
        <v>0.84696420522716798</v>
      </c>
      <c r="F2391">
        <v>0.54307632048605203</v>
      </c>
      <c r="G2391">
        <v>0.378840493711669</v>
      </c>
      <c r="H2391">
        <v>0.22367879416827</v>
      </c>
      <c r="I2391">
        <v>0.185287348061795</v>
      </c>
      <c r="J2391">
        <v>0.15784068462781001</v>
      </c>
      <c r="K2391">
        <v>0.16480077971055301</v>
      </c>
      <c r="L2391">
        <v>1026.0725523359799</v>
      </c>
      <c r="M2391">
        <v>19.283989082239401</v>
      </c>
      <c r="N2391">
        <v>54.262482855995898</v>
      </c>
      <c r="O2391">
        <v>52.646249268586402</v>
      </c>
      <c r="P2391">
        <v>-7.7272368744738307E-2</v>
      </c>
      <c r="Q2391">
        <v>0.156202174769906</v>
      </c>
      <c r="R2391">
        <v>0.99184742486026301</v>
      </c>
      <c r="S2391" t="s">
        <v>8252</v>
      </c>
      <c r="T2391" t="s">
        <v>11720</v>
      </c>
      <c r="U2391" t="s">
        <v>11720</v>
      </c>
      <c r="V2391" t="s">
        <v>11720</v>
      </c>
      <c r="W2391" t="s">
        <v>14068</v>
      </c>
      <c r="X2391">
        <v>3</v>
      </c>
      <c r="Y2391" t="s">
        <v>19824</v>
      </c>
      <c r="Z2391" t="s">
        <v>25598</v>
      </c>
      <c r="AA2391">
        <v>0.54002312853475409</v>
      </c>
      <c r="AB2391" t="str">
        <f>HYPERLINK("Melting_Curves/meltCurve_P42766_RPL35.pdf", "Melting_Curves/meltCurve_P42766_RPL35.pdf")</f>
        <v>Melting_Curves/meltCurve_P42766_RPL35.pdf</v>
      </c>
    </row>
    <row r="2392" spans="1:28" x14ac:dyDescent="0.25">
      <c r="A2392" t="s">
        <v>2396</v>
      </c>
      <c r="B2392">
        <v>0.99334974765950101</v>
      </c>
      <c r="C2392">
        <v>0.72808974526964299</v>
      </c>
      <c r="D2392">
        <v>0.67601498546982897</v>
      </c>
      <c r="E2392">
        <v>0.38580084342793403</v>
      </c>
      <c r="F2392">
        <v>0.22477213879123101</v>
      </c>
      <c r="G2392">
        <v>0.146151222010242</v>
      </c>
      <c r="H2392">
        <v>0.107571080465532</v>
      </c>
      <c r="I2392">
        <v>0.103296280738241</v>
      </c>
      <c r="J2392">
        <v>9.8838488811788194E-2</v>
      </c>
      <c r="K2392">
        <v>8.1921933416902099E-2</v>
      </c>
      <c r="L2392">
        <v>644.40590796363097</v>
      </c>
      <c r="M2392">
        <v>13.604714396237799</v>
      </c>
      <c r="N2392">
        <v>47.900181322888102</v>
      </c>
      <c r="O2392">
        <v>46.378127314357698</v>
      </c>
      <c r="P2392">
        <v>-6.8187450420974002E-2</v>
      </c>
      <c r="Q2392">
        <v>7.0340460554989007E-2</v>
      </c>
      <c r="R2392">
        <v>0.98417855041389402</v>
      </c>
      <c r="S2392" t="s">
        <v>8253</v>
      </c>
      <c r="T2392" t="s">
        <v>11720</v>
      </c>
      <c r="U2392" t="s">
        <v>11720</v>
      </c>
      <c r="V2392" t="s">
        <v>11720</v>
      </c>
      <c r="W2392" t="s">
        <v>14069</v>
      </c>
      <c r="X2392">
        <v>10</v>
      </c>
      <c r="Y2392" t="s">
        <v>19825</v>
      </c>
      <c r="Z2392" t="s">
        <v>25599</v>
      </c>
      <c r="AA2392">
        <v>0.32862936810471832</v>
      </c>
      <c r="AB2392" t="str">
        <f>HYPERLINK("Melting_Curves/meltCurve_P42771_CDKN2A.pdf", "Melting_Curves/meltCurve_P42771_CDKN2A.pdf")</f>
        <v>Melting_Curves/meltCurve_P42771_CDKN2A.pdf</v>
      </c>
    </row>
    <row r="2393" spans="1:28" x14ac:dyDescent="0.25">
      <c r="A2393" t="s">
        <v>2397</v>
      </c>
      <c r="B2393">
        <v>0.99334974765950101</v>
      </c>
      <c r="C2393">
        <v>1.1634454283895701</v>
      </c>
      <c r="D2393">
        <v>0.71688879630661495</v>
      </c>
      <c r="E2393">
        <v>0.80746782229692304</v>
      </c>
      <c r="F2393">
        <v>0.60765914854643199</v>
      </c>
      <c r="G2393">
        <v>0.46042882560757598</v>
      </c>
      <c r="H2393">
        <v>0.38907236866984701</v>
      </c>
      <c r="I2393">
        <v>0.40924782872360499</v>
      </c>
      <c r="J2393">
        <v>0.32593686098434699</v>
      </c>
      <c r="K2393">
        <v>0.40251155519463999</v>
      </c>
      <c r="L2393">
        <v>746.378626195327</v>
      </c>
      <c r="M2393">
        <v>14.523582162329401</v>
      </c>
      <c r="N2393">
        <v>56.021765677231102</v>
      </c>
      <c r="O2393">
        <v>50.445993491838202</v>
      </c>
      <c r="P2393">
        <v>-4.6826430254042803E-2</v>
      </c>
      <c r="Q2393">
        <v>0.34948968023996502</v>
      </c>
      <c r="R2393">
        <v>0.88834539932671297</v>
      </c>
      <c r="S2393" t="s">
        <v>8254</v>
      </c>
      <c r="T2393" t="s">
        <v>11720</v>
      </c>
      <c r="U2393" t="s">
        <v>11720</v>
      </c>
      <c r="V2393" t="s">
        <v>11720</v>
      </c>
      <c r="W2393" t="s">
        <v>14070</v>
      </c>
      <c r="X2393">
        <v>4</v>
      </c>
      <c r="Y2393" t="s">
        <v>19826</v>
      </c>
      <c r="Z2393" t="s">
        <v>25600</v>
      </c>
      <c r="AA2393">
        <v>0.61210927712402863</v>
      </c>
      <c r="AB2393" t="str">
        <f>HYPERLINK("Melting_Curves/meltCurve_P42772_CDKN2B.pdf", "Melting_Curves/meltCurve_P42772_CDKN2B.pdf")</f>
        <v>Melting_Curves/meltCurve_P42772_CDKN2B.pdf</v>
      </c>
    </row>
    <row r="2394" spans="1:28" x14ac:dyDescent="0.25">
      <c r="A2394" t="s">
        <v>2398</v>
      </c>
      <c r="B2394">
        <v>0.99334974765950101</v>
      </c>
      <c r="C2394">
        <v>0.93400128765547197</v>
      </c>
      <c r="D2394">
        <v>0.71485458360491205</v>
      </c>
      <c r="E2394">
        <v>0.62779467030172498</v>
      </c>
      <c r="F2394">
        <v>0.426903397798575</v>
      </c>
      <c r="G2394">
        <v>0.45298987499597798</v>
      </c>
      <c r="H2394">
        <v>0.285275597124723</v>
      </c>
      <c r="I2394">
        <v>0.24893151983956199</v>
      </c>
      <c r="J2394">
        <v>0.17744349325272701</v>
      </c>
      <c r="K2394">
        <v>6.8715347634369706E-2</v>
      </c>
      <c r="L2394">
        <v>420.06261501149299</v>
      </c>
      <c r="M2394">
        <v>7.87778318280525</v>
      </c>
      <c r="N2394">
        <v>53.322438847559098</v>
      </c>
      <c r="O2394">
        <v>50.214414052235803</v>
      </c>
      <c r="P2394">
        <v>-3.9267713055356902E-2</v>
      </c>
      <c r="Q2394">
        <v>0</v>
      </c>
      <c r="R2394">
        <v>0.96596132222641196</v>
      </c>
      <c r="S2394" t="s">
        <v>8255</v>
      </c>
      <c r="T2394" t="s">
        <v>11720</v>
      </c>
      <c r="U2394" t="s">
        <v>11720</v>
      </c>
      <c r="V2394" t="s">
        <v>11720</v>
      </c>
      <c r="W2394" t="s">
        <v>14071</v>
      </c>
      <c r="X2394">
        <v>2</v>
      </c>
      <c r="Y2394" t="s">
        <v>19827</v>
      </c>
      <c r="Z2394" t="s">
        <v>25601</v>
      </c>
      <c r="AA2394">
        <v>0.48304943043922077</v>
      </c>
      <c r="AB2394" t="str">
        <f>HYPERLINK("Melting_Curves/meltCurve_P42773_CDKN2C.pdf", "Melting_Curves/meltCurve_P42773_CDKN2C.pdf")</f>
        <v>Melting_Curves/meltCurve_P42773_CDKN2C.pdf</v>
      </c>
    </row>
    <row r="2395" spans="1:28" x14ac:dyDescent="0.25">
      <c r="A2395" t="s">
        <v>2399</v>
      </c>
      <c r="B2395">
        <v>0.99334974765950101</v>
      </c>
      <c r="C2395">
        <v>1.0096093824077701</v>
      </c>
      <c r="D2395">
        <v>1.06776260015919</v>
      </c>
      <c r="E2395">
        <v>0.94147823108166395</v>
      </c>
      <c r="F2395">
        <v>0.80144593181324797</v>
      </c>
      <c r="G2395">
        <v>0.78818847148985205</v>
      </c>
      <c r="H2395">
        <v>0.67836252756825599</v>
      </c>
      <c r="I2395">
        <v>0.60150885928400299</v>
      </c>
      <c r="J2395">
        <v>0.12479733281191401</v>
      </c>
      <c r="K2395">
        <v>8.5032682200103599E-2</v>
      </c>
      <c r="L2395">
        <v>1093.7346509310401</v>
      </c>
      <c r="M2395">
        <v>17.3550882921556</v>
      </c>
      <c r="N2395">
        <v>63.020979361774103</v>
      </c>
      <c r="O2395">
        <v>62.202115885157703</v>
      </c>
      <c r="P2395">
        <v>-6.9756786763211495E-2</v>
      </c>
      <c r="Q2395">
        <v>0</v>
      </c>
      <c r="R2395">
        <v>0.917286427088987</v>
      </c>
      <c r="S2395" t="s">
        <v>8256</v>
      </c>
      <c r="T2395" t="s">
        <v>11720</v>
      </c>
      <c r="U2395" t="s">
        <v>11720</v>
      </c>
      <c r="V2395" t="s">
        <v>11720</v>
      </c>
      <c r="W2395" t="s">
        <v>14072</v>
      </c>
      <c r="X2395">
        <v>10</v>
      </c>
      <c r="Y2395" t="s">
        <v>19828</v>
      </c>
      <c r="Z2395" t="s">
        <v>25602</v>
      </c>
      <c r="AA2395">
        <v>0.76299512129315705</v>
      </c>
      <c r="AB2395" t="str">
        <f>HYPERLINK("Melting_Curves/meltCurve_P42785_PRCP.pdf", "Melting_Curves/meltCurve_P42785_PRCP.pdf")</f>
        <v>Melting_Curves/meltCurve_P42785_PRCP.pdf</v>
      </c>
    </row>
    <row r="2396" spans="1:28" x14ac:dyDescent="0.25">
      <c r="A2396" t="s">
        <v>2400</v>
      </c>
      <c r="B2396">
        <v>0.99334974765950101</v>
      </c>
      <c r="C2396">
        <v>0.99967980883263996</v>
      </c>
      <c r="D2396">
        <v>1.1165716616043699</v>
      </c>
      <c r="E2396">
        <v>1.3384769745451801</v>
      </c>
      <c r="F2396">
        <v>1.09774886811447</v>
      </c>
      <c r="G2396">
        <v>0.97414006215882498</v>
      </c>
      <c r="H2396">
        <v>0.808749587697975</v>
      </c>
      <c r="I2396">
        <v>0.995530636496059</v>
      </c>
      <c r="J2396">
        <v>0.83364198471101902</v>
      </c>
      <c r="K2396">
        <v>0.62365741561284005</v>
      </c>
      <c r="L2396">
        <v>1413.7106282651</v>
      </c>
      <c r="M2396">
        <v>19.620023144003799</v>
      </c>
      <c r="Q2396">
        <v>0</v>
      </c>
      <c r="R2396">
        <v>0.49572767697432202</v>
      </c>
      <c r="S2396" t="s">
        <v>8257</v>
      </c>
      <c r="T2396" t="s">
        <v>11720</v>
      </c>
      <c r="U2396" t="s">
        <v>11720</v>
      </c>
      <c r="V2396" t="s">
        <v>11720</v>
      </c>
      <c r="W2396" t="s">
        <v>14073</v>
      </c>
      <c r="X2396">
        <v>30</v>
      </c>
      <c r="Y2396" t="s">
        <v>19829</v>
      </c>
      <c r="Z2396" t="s">
        <v>25603</v>
      </c>
      <c r="AA2396">
        <v>0.95340965755629825</v>
      </c>
      <c r="AB2396" t="str">
        <f>HYPERLINK("Melting_Curves/meltCurve_P42892_3_ECE1.pdf", "Melting_Curves/meltCurve_P42892_3_ECE1.pdf")</f>
        <v>Melting_Curves/meltCurve_P42892_3_ECE1.pdf</v>
      </c>
    </row>
    <row r="2397" spans="1:28" x14ac:dyDescent="0.25">
      <c r="A2397" t="s">
        <v>2401</v>
      </c>
      <c r="B2397">
        <v>0.99334974765950101</v>
      </c>
      <c r="C2397">
        <v>1.2495383801098301</v>
      </c>
      <c r="D2397">
        <v>1.0523008004215499</v>
      </c>
      <c r="E2397">
        <v>1.31317210047158</v>
      </c>
      <c r="F2397">
        <v>1.07634995281225</v>
      </c>
      <c r="G2397">
        <v>1.5445631782937299</v>
      </c>
      <c r="H2397">
        <v>1.2249924648369701</v>
      </c>
      <c r="I2397">
        <v>1.1007118723966201</v>
      </c>
      <c r="J2397">
        <v>1.30706690415196</v>
      </c>
      <c r="K2397">
        <v>0.33544297414195501</v>
      </c>
      <c r="L2397">
        <v>15000</v>
      </c>
      <c r="M2397">
        <v>214.96855052012</v>
      </c>
      <c r="N2397">
        <v>69.777642517517606</v>
      </c>
      <c r="O2397">
        <v>69.771609719674998</v>
      </c>
      <c r="P2397">
        <v>-0.77025795995536706</v>
      </c>
      <c r="Q2397">
        <v>0</v>
      </c>
      <c r="R2397">
        <v>0.324506314402637</v>
      </c>
      <c r="S2397" t="s">
        <v>8258</v>
      </c>
      <c r="T2397" t="s">
        <v>11720</v>
      </c>
      <c r="U2397" t="s">
        <v>11720</v>
      </c>
      <c r="V2397" t="s">
        <v>11720</v>
      </c>
      <c r="W2397" t="s">
        <v>14074</v>
      </c>
      <c r="X2397">
        <v>1</v>
      </c>
      <c r="Y2397" t="s">
        <v>19830</v>
      </c>
      <c r="Z2397" t="s">
        <v>25604</v>
      </c>
      <c r="AA2397">
        <v>0.98825461618232568</v>
      </c>
      <c r="AB2397" t="str">
        <f>HYPERLINK("Melting_Curves/meltCurve_P43005_SLC1A1.pdf", "Melting_Curves/meltCurve_P43005_SLC1A1.pdf")</f>
        <v>Melting_Curves/meltCurve_P43005_SLC1A1.pdf</v>
      </c>
    </row>
    <row r="2398" spans="1:28" x14ac:dyDescent="0.25">
      <c r="A2398" t="s">
        <v>2402</v>
      </c>
      <c r="B2398">
        <v>0.99334974765950101</v>
      </c>
      <c r="C2398">
        <v>1.0469919868087501</v>
      </c>
      <c r="D2398">
        <v>1.1612731434858301</v>
      </c>
      <c r="E2398">
        <v>0.85410676074602898</v>
      </c>
      <c r="F2398">
        <v>1.28881531837807</v>
      </c>
      <c r="G2398">
        <v>1.2059716283636099</v>
      </c>
      <c r="H2398">
        <v>0.77276756999016405</v>
      </c>
      <c r="I2398">
        <v>0.99924040962864003</v>
      </c>
      <c r="J2398">
        <v>0.62554924388240996</v>
      </c>
      <c r="K2398">
        <v>0.55470703432631296</v>
      </c>
      <c r="L2398">
        <v>11346.738304344801</v>
      </c>
      <c r="M2398">
        <v>171.01845494944999</v>
      </c>
      <c r="O2398">
        <v>66.338964535325303</v>
      </c>
      <c r="P2398">
        <v>-0.28702417228662302</v>
      </c>
      <c r="Q2398">
        <v>0.55464723117894099</v>
      </c>
      <c r="R2398">
        <v>0.58021224007906902</v>
      </c>
      <c r="S2398" t="s">
        <v>8259</v>
      </c>
      <c r="T2398" t="s">
        <v>11720</v>
      </c>
      <c r="U2398" t="s">
        <v>11720</v>
      </c>
      <c r="V2398" t="s">
        <v>11720</v>
      </c>
      <c r="W2398" t="s">
        <v>14075</v>
      </c>
      <c r="X2398">
        <v>1</v>
      </c>
      <c r="Y2398" t="s">
        <v>19831</v>
      </c>
      <c r="Z2398" t="s">
        <v>25605</v>
      </c>
      <c r="AA2398">
        <v>0.94589620850017231</v>
      </c>
      <c r="AB2398" t="str">
        <f>HYPERLINK("Melting_Curves/meltCurve_P43007_SLC1A4.pdf", "Melting_Curves/meltCurve_P43007_SLC1A4.pdf")</f>
        <v>Melting_Curves/meltCurve_P43007_SLC1A4.pdf</v>
      </c>
    </row>
    <row r="2399" spans="1:28" x14ac:dyDescent="0.25">
      <c r="A2399" t="s">
        <v>2403</v>
      </c>
      <c r="B2399">
        <v>0.99334974765950101</v>
      </c>
      <c r="C2399">
        <v>1.04501672534248</v>
      </c>
      <c r="D2399">
        <v>1.1697758292766001</v>
      </c>
      <c r="E2399">
        <v>0.99071857450385203</v>
      </c>
      <c r="F2399">
        <v>0.93733894443408905</v>
      </c>
      <c r="G2399">
        <v>1.01345672393535</v>
      </c>
      <c r="H2399">
        <v>0.75527263041488502</v>
      </c>
      <c r="I2399">
        <v>0.50891359313219497</v>
      </c>
      <c r="J2399">
        <v>0.185109182720641</v>
      </c>
      <c r="K2399">
        <v>0.13240483260302799</v>
      </c>
      <c r="L2399">
        <v>1915.9293913296301</v>
      </c>
      <c r="M2399">
        <v>30.181162894474301</v>
      </c>
      <c r="N2399">
        <v>63.759506546312501</v>
      </c>
      <c r="O2399">
        <v>63.204229067280799</v>
      </c>
      <c r="P2399">
        <v>-0.112007485303073</v>
      </c>
      <c r="Q2399">
        <v>6.1758920399749999E-2</v>
      </c>
      <c r="R2399">
        <v>0.96743137408978797</v>
      </c>
      <c r="S2399" t="s">
        <v>8260</v>
      </c>
      <c r="T2399" t="s">
        <v>11720</v>
      </c>
      <c r="U2399" t="s">
        <v>11720</v>
      </c>
      <c r="V2399" t="s">
        <v>11720</v>
      </c>
      <c r="W2399" t="s">
        <v>14076</v>
      </c>
      <c r="X2399">
        <v>28</v>
      </c>
      <c r="Y2399" t="s">
        <v>19832</v>
      </c>
      <c r="Z2399" t="s">
        <v>25606</v>
      </c>
      <c r="AA2399">
        <v>0.79833790823610129</v>
      </c>
      <c r="AB2399" t="str">
        <f>HYPERLINK("Melting_Curves/meltCurve_P43034_PAFAH1B1.pdf", "Melting_Curves/meltCurve_P43034_PAFAH1B1.pdf")</f>
        <v>Melting_Curves/meltCurve_P43034_PAFAH1B1.pdf</v>
      </c>
    </row>
    <row r="2400" spans="1:28" x14ac:dyDescent="0.25">
      <c r="A2400" t="s">
        <v>2404</v>
      </c>
      <c r="B2400">
        <v>0.99334974765950101</v>
      </c>
      <c r="C2400">
        <v>0.93571812122932096</v>
      </c>
      <c r="D2400">
        <v>0.87611329436193797</v>
      </c>
      <c r="E2400">
        <v>0.87315555970822101</v>
      </c>
      <c r="F2400">
        <v>0.852528223707818</v>
      </c>
      <c r="G2400">
        <v>0.68922761907152996</v>
      </c>
      <c r="H2400">
        <v>0.61163477431112401</v>
      </c>
      <c r="I2400">
        <v>0.65476242671693197</v>
      </c>
      <c r="J2400">
        <v>0.63316917613048895</v>
      </c>
      <c r="K2400">
        <v>0.52924356002405704</v>
      </c>
      <c r="L2400">
        <v>387.94552548873003</v>
      </c>
      <c r="M2400">
        <v>6.6814707366186203</v>
      </c>
      <c r="O2400">
        <v>53.524281555517398</v>
      </c>
      <c r="P2400">
        <v>-1.8172225001443401E-2</v>
      </c>
      <c r="Q2400">
        <v>0.41897678939378102</v>
      </c>
      <c r="R2400">
        <v>0.94060608651478805</v>
      </c>
      <c r="S2400" t="s">
        <v>8261</v>
      </c>
      <c r="T2400" t="s">
        <v>11720</v>
      </c>
      <c r="U2400" t="s">
        <v>11720</v>
      </c>
      <c r="V2400" t="s">
        <v>11720</v>
      </c>
      <c r="W2400" t="s">
        <v>14077</v>
      </c>
      <c r="X2400">
        <v>9</v>
      </c>
      <c r="Y2400" t="s">
        <v>19833</v>
      </c>
      <c r="Z2400" t="s">
        <v>25607</v>
      </c>
      <c r="AA2400">
        <v>0.76632622098481507</v>
      </c>
      <c r="AB2400" t="str">
        <f>HYPERLINK("Melting_Curves/meltCurve_P43121_MCAM.pdf", "Melting_Curves/meltCurve_P43121_MCAM.pdf")</f>
        <v>Melting_Curves/meltCurve_P43121_MCAM.pdf</v>
      </c>
    </row>
    <row r="2401" spans="1:28" x14ac:dyDescent="0.25">
      <c r="A2401" t="s">
        <v>2405</v>
      </c>
      <c r="B2401">
        <v>0.99334974765950101</v>
      </c>
      <c r="C2401">
        <v>0.99143702462741001</v>
      </c>
      <c r="D2401">
        <v>0.85911521145922298</v>
      </c>
      <c r="E2401">
        <v>0.41604081767561801</v>
      </c>
      <c r="F2401">
        <v>0.177581963695919</v>
      </c>
      <c r="G2401">
        <v>9.2468429340359398E-2</v>
      </c>
      <c r="H2401">
        <v>6.4560641886695594E-2</v>
      </c>
      <c r="I2401">
        <v>6.1580091668555E-2</v>
      </c>
      <c r="J2401">
        <v>5.59164708525383E-2</v>
      </c>
      <c r="K2401">
        <v>5.2281276646038398E-2</v>
      </c>
      <c r="L2401">
        <v>1282.6875482283399</v>
      </c>
      <c r="M2401">
        <v>26.136921273321502</v>
      </c>
      <c r="N2401">
        <v>49.310551426614303</v>
      </c>
      <c r="O2401">
        <v>48.791112813817101</v>
      </c>
      <c r="P2401">
        <v>-0.12608626981238599</v>
      </c>
      <c r="Q2401">
        <v>5.8524143950063397E-2</v>
      </c>
      <c r="R2401">
        <v>0.99977808509163502</v>
      </c>
      <c r="S2401" t="s">
        <v>8262</v>
      </c>
      <c r="T2401" t="s">
        <v>11720</v>
      </c>
      <c r="U2401" t="s">
        <v>11720</v>
      </c>
      <c r="V2401" t="s">
        <v>11720</v>
      </c>
      <c r="W2401" t="s">
        <v>14078</v>
      </c>
      <c r="X2401">
        <v>16</v>
      </c>
      <c r="Y2401" t="s">
        <v>19834</v>
      </c>
      <c r="Z2401" t="s">
        <v>25608</v>
      </c>
      <c r="AA2401">
        <v>0.35095987657260391</v>
      </c>
      <c r="AB2401" t="str">
        <f>HYPERLINK("Melting_Curves/meltCurve_P43155_2_CRAT.pdf", "Melting_Curves/meltCurve_P43155_2_CRAT.pdf")</f>
        <v>Melting_Curves/meltCurve_P43155_2_CRAT.pdf</v>
      </c>
    </row>
    <row r="2402" spans="1:28" x14ac:dyDescent="0.25">
      <c r="A2402" t="s">
        <v>2406</v>
      </c>
      <c r="B2402">
        <v>0.99334974765950101</v>
      </c>
      <c r="C2402">
        <v>1.01092248287433</v>
      </c>
      <c r="D2402">
        <v>0.990614931845612</v>
      </c>
      <c r="E2402">
        <v>0.80752806421853296</v>
      </c>
      <c r="F2402">
        <v>0.61763180943755902</v>
      </c>
      <c r="G2402">
        <v>0.60359754400826104</v>
      </c>
      <c r="H2402">
        <v>0.36591973344310003</v>
      </c>
      <c r="I2402">
        <v>0.22390344865527101</v>
      </c>
      <c r="J2402">
        <v>0.130046638289603</v>
      </c>
      <c r="K2402">
        <v>7.66243073058753E-2</v>
      </c>
      <c r="L2402">
        <v>644.84237006833405</v>
      </c>
      <c r="M2402">
        <v>11.2619274111682</v>
      </c>
      <c r="N2402">
        <v>57.258614561545997</v>
      </c>
      <c r="O2402">
        <v>55.542308723057097</v>
      </c>
      <c r="P2402">
        <v>-5.0706375680989998E-2</v>
      </c>
      <c r="Q2402">
        <v>0</v>
      </c>
      <c r="R2402">
        <v>0.97907380507490804</v>
      </c>
      <c r="S2402" t="s">
        <v>8263</v>
      </c>
      <c r="T2402" t="s">
        <v>11720</v>
      </c>
      <c r="U2402" t="s">
        <v>11720</v>
      </c>
      <c r="V2402" t="s">
        <v>11720</v>
      </c>
      <c r="W2402" t="s">
        <v>14079</v>
      </c>
      <c r="X2402">
        <v>4</v>
      </c>
      <c r="Y2402" t="s">
        <v>19835</v>
      </c>
      <c r="Z2402" t="s">
        <v>25609</v>
      </c>
      <c r="AA2402">
        <v>0.59081261095419135</v>
      </c>
      <c r="AB2402" t="str">
        <f>HYPERLINK("Melting_Curves/meltCurve_P43234_CTSO.pdf", "Melting_Curves/meltCurve_P43234_CTSO.pdf")</f>
        <v>Melting_Curves/meltCurve_P43234_CTSO.pdf</v>
      </c>
    </row>
    <row r="2403" spans="1:28" x14ac:dyDescent="0.25">
      <c r="A2403" t="s">
        <v>2407</v>
      </c>
      <c r="B2403">
        <v>0.99334974765950101</v>
      </c>
      <c r="C2403">
        <v>0.98243491904705604</v>
      </c>
      <c r="D2403">
        <v>0.87686841265832705</v>
      </c>
      <c r="E2403">
        <v>0.90461674178882401</v>
      </c>
      <c r="F2403">
        <v>0.72112220700528995</v>
      </c>
      <c r="G2403">
        <v>0.48839738032159602</v>
      </c>
      <c r="H2403">
        <v>0.38199710666262499</v>
      </c>
      <c r="I2403">
        <v>0.373777336664119</v>
      </c>
      <c r="J2403">
        <v>0.54266845606286096</v>
      </c>
      <c r="K2403">
        <v>0.55641039576505802</v>
      </c>
      <c r="L2403">
        <v>1650.0342901624199</v>
      </c>
      <c r="M2403">
        <v>31.348246407696099</v>
      </c>
      <c r="N2403">
        <v>57.242003731887003</v>
      </c>
      <c r="O2403">
        <v>52.422815245511799</v>
      </c>
      <c r="P2403">
        <v>-8.0747311026414206E-2</v>
      </c>
      <c r="Q2403">
        <v>0.459876897586105</v>
      </c>
      <c r="R2403">
        <v>0.91405183912350296</v>
      </c>
      <c r="S2403" t="s">
        <v>8264</v>
      </c>
      <c r="T2403" t="s">
        <v>11720</v>
      </c>
      <c r="U2403" t="s">
        <v>11720</v>
      </c>
      <c r="V2403" t="s">
        <v>11720</v>
      </c>
      <c r="W2403" t="s">
        <v>14080</v>
      </c>
      <c r="X2403">
        <v>14</v>
      </c>
      <c r="Y2403" t="s">
        <v>19836</v>
      </c>
      <c r="Z2403" t="s">
        <v>25610</v>
      </c>
      <c r="AA2403">
        <v>0.69056468711421171</v>
      </c>
      <c r="AB2403" t="str">
        <f>HYPERLINK("Melting_Curves/meltCurve_P43235_CTSK.pdf", "Melting_Curves/meltCurve_P43235_CTSK.pdf")</f>
        <v>Melting_Curves/meltCurve_P43235_CTSK.pdf</v>
      </c>
    </row>
    <row r="2404" spans="1:28" x14ac:dyDescent="0.25">
      <c r="A2404" t="s">
        <v>2408</v>
      </c>
      <c r="B2404">
        <v>0.99334974765950101</v>
      </c>
      <c r="C2404">
        <v>1.01792968575691</v>
      </c>
      <c r="D2404">
        <v>0.97245865758854599</v>
      </c>
      <c r="E2404">
        <v>1.0588310150758999</v>
      </c>
      <c r="F2404">
        <v>1.4500638905082499</v>
      </c>
      <c r="G2404">
        <v>1.0335575866092299</v>
      </c>
      <c r="H2404">
        <v>1.01390878740846</v>
      </c>
      <c r="I2404">
        <v>1.0713807681385801</v>
      </c>
      <c r="J2404">
        <v>1.030448985202</v>
      </c>
      <c r="K2404">
        <v>0.815969599130551</v>
      </c>
      <c r="L2404">
        <v>15000</v>
      </c>
      <c r="M2404">
        <v>212.79641740955901</v>
      </c>
      <c r="Q2404">
        <v>0</v>
      </c>
      <c r="R2404">
        <v>5.6728193259267701E-2</v>
      </c>
      <c r="S2404" t="s">
        <v>8265</v>
      </c>
      <c r="T2404" t="s">
        <v>11720</v>
      </c>
      <c r="U2404" t="s">
        <v>11720</v>
      </c>
      <c r="V2404" t="s">
        <v>11720</v>
      </c>
      <c r="W2404" t="s">
        <v>14081</v>
      </c>
      <c r="X2404">
        <v>45</v>
      </c>
      <c r="Y2404" t="s">
        <v>19837</v>
      </c>
      <c r="Z2404" t="s">
        <v>25611</v>
      </c>
      <c r="AA2404">
        <v>0.99780691601199711</v>
      </c>
      <c r="AB2404" t="str">
        <f>HYPERLINK("Melting_Curves/meltCurve_P43304_GPD2.pdf", "Melting_Curves/meltCurve_P43304_GPD2.pdf")</f>
        <v>Melting_Curves/meltCurve_P43304_GPD2.pdf</v>
      </c>
    </row>
    <row r="2405" spans="1:28" x14ac:dyDescent="0.25">
      <c r="A2405" t="s">
        <v>2409</v>
      </c>
      <c r="B2405">
        <v>0.99334974765950101</v>
      </c>
      <c r="C2405">
        <v>1.0175866332330801</v>
      </c>
      <c r="D2405">
        <v>1.3596000912922099</v>
      </c>
      <c r="E2405">
        <v>1.67178925439821</v>
      </c>
      <c r="F2405">
        <v>2.0146326142336699</v>
      </c>
      <c r="G2405">
        <v>2.44382301267285</v>
      </c>
      <c r="H2405">
        <v>1.9718996594775799</v>
      </c>
      <c r="I2405">
        <v>1.53440691846668</v>
      </c>
      <c r="J2405">
        <v>0.55556807978921197</v>
      </c>
      <c r="K2405">
        <v>0.17363456838501901</v>
      </c>
      <c r="L2405">
        <v>15000</v>
      </c>
      <c r="M2405">
        <v>224.031631235937</v>
      </c>
      <c r="N2405">
        <v>67.082522444753806</v>
      </c>
      <c r="O2405">
        <v>66.949493403096696</v>
      </c>
      <c r="P2405">
        <v>-0.691369357942061</v>
      </c>
      <c r="Q2405">
        <v>0.17356617148826001</v>
      </c>
      <c r="R2405">
        <v>-0.116928569833843</v>
      </c>
      <c r="S2405" t="s">
        <v>8266</v>
      </c>
      <c r="T2405" t="s">
        <v>11720</v>
      </c>
      <c r="U2405" t="s">
        <v>11720</v>
      </c>
      <c r="V2405" t="s">
        <v>11720</v>
      </c>
      <c r="W2405" t="s">
        <v>14082</v>
      </c>
      <c r="X2405">
        <v>43</v>
      </c>
      <c r="Y2405" t="s">
        <v>19837</v>
      </c>
      <c r="Z2405" t="s">
        <v>25612</v>
      </c>
      <c r="AA2405">
        <v>0.91623271206358092</v>
      </c>
      <c r="AB2405" t="str">
        <f>HYPERLINK("Melting_Curves/meltCurve_P43304_2_GPD2.pdf", "Melting_Curves/meltCurve_P43304_2_GPD2.pdf")</f>
        <v>Melting_Curves/meltCurve_P43304_2_GPD2.pdf</v>
      </c>
    </row>
    <row r="2406" spans="1:28" x14ac:dyDescent="0.25">
      <c r="A2406" t="s">
        <v>2410</v>
      </c>
      <c r="B2406">
        <v>0.99334974765950101</v>
      </c>
      <c r="C2406">
        <v>1.0773827734016601</v>
      </c>
      <c r="D2406">
        <v>1.21999098692289</v>
      </c>
      <c r="E2406">
        <v>1.60138180708435</v>
      </c>
      <c r="F2406">
        <v>1.4191751134961901</v>
      </c>
      <c r="G2406">
        <v>1.4722474155338101</v>
      </c>
      <c r="H2406">
        <v>1.0420016662527201</v>
      </c>
      <c r="I2406">
        <v>1.31078336006094</v>
      </c>
      <c r="J2406">
        <v>0.80717605434444895</v>
      </c>
      <c r="K2406">
        <v>0.79296357865443101</v>
      </c>
      <c r="L2406">
        <v>15000</v>
      </c>
      <c r="M2406">
        <v>226.32085253701899</v>
      </c>
      <c r="O2406">
        <v>66.272409389203304</v>
      </c>
      <c r="P2406">
        <v>-0.177726110897579</v>
      </c>
      <c r="Q2406">
        <v>0.79182938079309795</v>
      </c>
      <c r="R2406">
        <v>-0.32027079099946498</v>
      </c>
      <c r="S2406" t="s">
        <v>8267</v>
      </c>
      <c r="T2406" t="s">
        <v>11720</v>
      </c>
      <c r="U2406" t="s">
        <v>11720</v>
      </c>
      <c r="V2406" t="s">
        <v>11720</v>
      </c>
      <c r="W2406" t="s">
        <v>14083</v>
      </c>
      <c r="X2406">
        <v>4</v>
      </c>
      <c r="Y2406" t="s">
        <v>19838</v>
      </c>
      <c r="Z2406" t="s">
        <v>25613</v>
      </c>
      <c r="AA2406">
        <v>0.97419963284014799</v>
      </c>
      <c r="AB2406" t="str">
        <f>HYPERLINK("Melting_Curves/meltCurve_P43307_SSR1.pdf", "Melting_Curves/meltCurve_P43307_SSR1.pdf")</f>
        <v>Melting_Curves/meltCurve_P43307_SSR1.pdf</v>
      </c>
    </row>
    <row r="2407" spans="1:28" x14ac:dyDescent="0.25">
      <c r="A2407" t="s">
        <v>2411</v>
      </c>
      <c r="B2407">
        <v>0.99334974765950101</v>
      </c>
      <c r="C2407">
        <v>0.88560982220276996</v>
      </c>
      <c r="D2407">
        <v>0.534255665234185</v>
      </c>
      <c r="E2407">
        <v>0.201999319296681</v>
      </c>
      <c r="F2407">
        <v>0.18659455810603201</v>
      </c>
      <c r="G2407">
        <v>0.11246384912179</v>
      </c>
      <c r="H2407">
        <v>0.100546554457731</v>
      </c>
      <c r="I2407">
        <v>7.6543216718716195E-2</v>
      </c>
      <c r="J2407">
        <v>8.9724809211770007E-2</v>
      </c>
      <c r="K2407">
        <v>6.7712045676883797E-2</v>
      </c>
      <c r="L2407">
        <v>1118.2280878014899</v>
      </c>
      <c r="M2407">
        <v>24.299384926636201</v>
      </c>
      <c r="N2407">
        <v>46.4231330847321</v>
      </c>
      <c r="O2407">
        <v>45.710488304877899</v>
      </c>
      <c r="P2407">
        <v>-0.12022470257247</v>
      </c>
      <c r="Q2407">
        <v>9.5376367116237898E-2</v>
      </c>
      <c r="R2407">
        <v>0.99527458894912102</v>
      </c>
      <c r="S2407" t="s">
        <v>8268</v>
      </c>
      <c r="T2407" t="s">
        <v>11720</v>
      </c>
      <c r="U2407" t="s">
        <v>11720</v>
      </c>
      <c r="V2407" t="s">
        <v>11720</v>
      </c>
      <c r="W2407" t="s">
        <v>14084</v>
      </c>
      <c r="X2407">
        <v>8</v>
      </c>
      <c r="Y2407" t="s">
        <v>19839</v>
      </c>
      <c r="Z2407" t="s">
        <v>25614</v>
      </c>
      <c r="AA2407">
        <v>0.28578202196136721</v>
      </c>
      <c r="AB2407" t="str">
        <f>HYPERLINK("Melting_Curves/meltCurve_P43378_PTPN9.pdf", "Melting_Curves/meltCurve_P43378_PTPN9.pdf")</f>
        <v>Melting_Curves/meltCurve_P43378_PTPN9.pdf</v>
      </c>
    </row>
    <row r="2408" spans="1:28" x14ac:dyDescent="0.25">
      <c r="A2408" t="s">
        <v>2412</v>
      </c>
      <c r="B2408">
        <v>0.99334974765950101</v>
      </c>
      <c r="C2408">
        <v>0.97995663893819496</v>
      </c>
      <c r="D2408">
        <v>0.92086922035054597</v>
      </c>
      <c r="E2408">
        <v>0.70364502025187603</v>
      </c>
      <c r="F2408">
        <v>0.47374617524455598</v>
      </c>
      <c r="G2408">
        <v>0.33617628168695801</v>
      </c>
      <c r="H2408">
        <v>0.25051610231918298</v>
      </c>
      <c r="I2408">
        <v>0.24100103399077499</v>
      </c>
      <c r="J2408">
        <v>0.22618650579124999</v>
      </c>
      <c r="K2408">
        <v>0.21039434451380801</v>
      </c>
      <c r="L2408">
        <v>961.87823954437795</v>
      </c>
      <c r="M2408">
        <v>18.772747217373599</v>
      </c>
      <c r="N2408">
        <v>52.834975500891098</v>
      </c>
      <c r="O2408">
        <v>50.667215879136101</v>
      </c>
      <c r="P2408">
        <v>-7.2576304814067599E-2</v>
      </c>
      <c r="Q2408">
        <v>0.216505595384135</v>
      </c>
      <c r="R2408">
        <v>0.99920171524564505</v>
      </c>
      <c r="S2408" t="s">
        <v>8269</v>
      </c>
      <c r="T2408" t="s">
        <v>11720</v>
      </c>
      <c r="U2408" t="s">
        <v>11720</v>
      </c>
      <c r="V2408" t="s">
        <v>11720</v>
      </c>
      <c r="W2408" t="s">
        <v>14085</v>
      </c>
      <c r="X2408">
        <v>12</v>
      </c>
      <c r="Y2408" t="s">
        <v>18443</v>
      </c>
      <c r="Z2408" t="s">
        <v>25615</v>
      </c>
      <c r="AA2408">
        <v>0.52221006786283242</v>
      </c>
      <c r="AB2408" t="str">
        <f>HYPERLINK("Melting_Curves/meltCurve_P43487_RANBP1.pdf", "Melting_Curves/meltCurve_P43487_RANBP1.pdf")</f>
        <v>Melting_Curves/meltCurve_P43487_RANBP1.pdf</v>
      </c>
    </row>
    <row r="2409" spans="1:28" x14ac:dyDescent="0.25">
      <c r="A2409" t="s">
        <v>2413</v>
      </c>
      <c r="B2409">
        <v>0.99334974765950101</v>
      </c>
      <c r="C2409">
        <v>1.04005775315746</v>
      </c>
      <c r="D2409">
        <v>1.14873411409</v>
      </c>
      <c r="E2409">
        <v>1.14656095931098</v>
      </c>
      <c r="F2409">
        <v>0.94043972330148995</v>
      </c>
      <c r="G2409">
        <v>0.74736014637368597</v>
      </c>
      <c r="H2409">
        <v>0.23727743600116899</v>
      </c>
      <c r="I2409">
        <v>0.144098871747535</v>
      </c>
      <c r="J2409">
        <v>0.127509432171105</v>
      </c>
      <c r="K2409">
        <v>0.10555139057388201</v>
      </c>
      <c r="L2409">
        <v>2305.2959283763198</v>
      </c>
      <c r="M2409">
        <v>39.555633864355599</v>
      </c>
      <c r="N2409">
        <v>58.662803087144198</v>
      </c>
      <c r="O2409">
        <v>58.131483521848999</v>
      </c>
      <c r="P2409">
        <v>-0.15075587384459899</v>
      </c>
      <c r="Q2409">
        <v>0.11379068526566399</v>
      </c>
      <c r="R2409">
        <v>0.97425459632849498</v>
      </c>
      <c r="S2409" t="s">
        <v>8270</v>
      </c>
      <c r="T2409" t="s">
        <v>11720</v>
      </c>
      <c r="U2409" t="s">
        <v>11720</v>
      </c>
      <c r="V2409" t="s">
        <v>11720</v>
      </c>
      <c r="W2409" t="s">
        <v>14086</v>
      </c>
      <c r="X2409">
        <v>22</v>
      </c>
      <c r="Y2409" t="s">
        <v>19840</v>
      </c>
      <c r="Z2409" t="s">
        <v>25616</v>
      </c>
      <c r="AA2409">
        <v>0.65734626062782797</v>
      </c>
      <c r="AB2409" t="str">
        <f>HYPERLINK("Melting_Curves/meltCurve_P43490_NAMPT.pdf", "Melting_Curves/meltCurve_P43490_NAMPT.pdf")</f>
        <v>Melting_Curves/meltCurve_P43490_NAMPT.pdf</v>
      </c>
    </row>
    <row r="2410" spans="1:28" x14ac:dyDescent="0.25">
      <c r="A2410" t="s">
        <v>2414</v>
      </c>
      <c r="B2410">
        <v>0.99334974765950101</v>
      </c>
      <c r="C2410">
        <v>0.98928673659394195</v>
      </c>
      <c r="D2410">
        <v>0.99424474908610005</v>
      </c>
      <c r="E2410">
        <v>1.1610753991815499</v>
      </c>
      <c r="F2410">
        <v>0.89759521728420999</v>
      </c>
      <c r="G2410">
        <v>0.50660138350652595</v>
      </c>
      <c r="H2410">
        <v>0.18681281485020601</v>
      </c>
      <c r="I2410">
        <v>0.12767057124613801</v>
      </c>
      <c r="J2410">
        <v>0.105692336793797</v>
      </c>
      <c r="K2410">
        <v>0.10550581446707601</v>
      </c>
      <c r="L2410">
        <v>1990.9695737746399</v>
      </c>
      <c r="M2410">
        <v>35.143935559821301</v>
      </c>
      <c r="N2410">
        <v>57.051161158921602</v>
      </c>
      <c r="O2410">
        <v>56.469381453387697</v>
      </c>
      <c r="P2410">
        <v>-0.13862570253218201</v>
      </c>
      <c r="Q2410">
        <v>0.109026361221487</v>
      </c>
      <c r="R2410">
        <v>0.98295458136334601</v>
      </c>
      <c r="S2410" t="s">
        <v>8271</v>
      </c>
      <c r="T2410" t="s">
        <v>11720</v>
      </c>
      <c r="U2410" t="s">
        <v>11720</v>
      </c>
      <c r="V2410" t="s">
        <v>11720</v>
      </c>
      <c r="W2410" t="s">
        <v>14087</v>
      </c>
      <c r="X2410">
        <v>13</v>
      </c>
      <c r="Y2410" t="s">
        <v>19841</v>
      </c>
      <c r="Z2410" t="s">
        <v>25617</v>
      </c>
      <c r="AA2410">
        <v>0.60800841522744042</v>
      </c>
      <c r="AB2410" t="str">
        <f>HYPERLINK("Melting_Curves/meltCurve_P43686_PSMC4.pdf", "Melting_Curves/meltCurve_P43686_PSMC4.pdf")</f>
        <v>Melting_Curves/meltCurve_P43686_PSMC4.pdf</v>
      </c>
    </row>
    <row r="2411" spans="1:28" x14ac:dyDescent="0.25">
      <c r="A2411" t="s">
        <v>2415</v>
      </c>
      <c r="B2411">
        <v>0.99334974765950101</v>
      </c>
      <c r="C2411">
        <v>0.905136632818764</v>
      </c>
      <c r="D2411">
        <v>0.65841123985973204</v>
      </c>
      <c r="E2411">
        <v>0.206161895704041</v>
      </c>
      <c r="F2411">
        <v>0.10142590648739</v>
      </c>
      <c r="G2411">
        <v>5.8058618191824701E-2</v>
      </c>
      <c r="H2411">
        <v>4.41823254586226E-2</v>
      </c>
      <c r="I2411">
        <v>4.4208851840897602E-2</v>
      </c>
      <c r="J2411">
        <v>3.7997550420072398E-2</v>
      </c>
      <c r="K2411">
        <v>3.2502424175063299E-2</v>
      </c>
      <c r="L2411">
        <v>1170.00039046149</v>
      </c>
      <c r="M2411">
        <v>24.884579261571101</v>
      </c>
      <c r="N2411">
        <v>47.174627732706398</v>
      </c>
      <c r="O2411">
        <v>46.716628839139602</v>
      </c>
      <c r="P2411">
        <v>-0.127859820603371</v>
      </c>
      <c r="Q2411">
        <v>3.9872004342239399E-2</v>
      </c>
      <c r="R2411">
        <v>0.999552697506226</v>
      </c>
      <c r="S2411" t="s">
        <v>8272</v>
      </c>
      <c r="T2411" t="s">
        <v>11720</v>
      </c>
      <c r="U2411" t="s">
        <v>11720</v>
      </c>
      <c r="V2411" t="s">
        <v>11720</v>
      </c>
      <c r="W2411" t="s">
        <v>14088</v>
      </c>
      <c r="X2411">
        <v>14</v>
      </c>
      <c r="Y2411" t="s">
        <v>19842</v>
      </c>
      <c r="Z2411" t="s">
        <v>25618</v>
      </c>
      <c r="AA2411">
        <v>0.27310604540532629</v>
      </c>
      <c r="AB2411" t="str">
        <f>HYPERLINK("Melting_Curves/meltCurve_P43897_TSFM.pdf", "Melting_Curves/meltCurve_P43897_TSFM.pdf")</f>
        <v>Melting_Curves/meltCurve_P43897_TSFM.pdf</v>
      </c>
    </row>
    <row r="2412" spans="1:28" x14ac:dyDescent="0.25">
      <c r="A2412" t="s">
        <v>2416</v>
      </c>
      <c r="B2412">
        <v>0.99334974765950101</v>
      </c>
      <c r="C2412">
        <v>1.0085589820270799</v>
      </c>
      <c r="D2412">
        <v>0.97055196661222998</v>
      </c>
      <c r="E2412">
        <v>0.82289837602270599</v>
      </c>
      <c r="F2412">
        <v>0.88836195832339304</v>
      </c>
      <c r="G2412">
        <v>0.45771426972349399</v>
      </c>
      <c r="H2412">
        <v>0.24560529895675001</v>
      </c>
      <c r="I2412">
        <v>0.223034441013641</v>
      </c>
      <c r="J2412">
        <v>0.241398296132326</v>
      </c>
      <c r="K2412">
        <v>0.16255339311929601</v>
      </c>
      <c r="L2412">
        <v>1357.2632374709101</v>
      </c>
      <c r="M2412">
        <v>24.391698781056501</v>
      </c>
      <c r="N2412">
        <v>56.7091586037509</v>
      </c>
      <c r="O2412">
        <v>55.274521649577601</v>
      </c>
      <c r="P2412">
        <v>-9.0055307402581594E-2</v>
      </c>
      <c r="Q2412">
        <v>0.18370776387722401</v>
      </c>
      <c r="R2412">
        <v>0.97793623107945904</v>
      </c>
      <c r="S2412" t="s">
        <v>8273</v>
      </c>
      <c r="T2412" t="s">
        <v>11720</v>
      </c>
      <c r="U2412" t="s">
        <v>11720</v>
      </c>
      <c r="V2412" t="s">
        <v>11720</v>
      </c>
      <c r="W2412" t="s">
        <v>14089</v>
      </c>
      <c r="X2412">
        <v>3</v>
      </c>
      <c r="Y2412" t="s">
        <v>19843</v>
      </c>
      <c r="Z2412" t="s">
        <v>25619</v>
      </c>
      <c r="AA2412">
        <v>0.61723028839998895</v>
      </c>
      <c r="AB2412" t="str">
        <f>HYPERLINK("Melting_Curves/meltCurve_P45381_ASPA.pdf", "Melting_Curves/meltCurve_P45381_ASPA.pdf")</f>
        <v>Melting_Curves/meltCurve_P45381_ASPA.pdf</v>
      </c>
    </row>
    <row r="2413" spans="1:28" x14ac:dyDescent="0.25">
      <c r="A2413" t="s">
        <v>2417</v>
      </c>
      <c r="B2413">
        <v>0.99334974765950101</v>
      </c>
      <c r="C2413">
        <v>0.96594528636135701</v>
      </c>
      <c r="D2413">
        <v>0.94041454007951097</v>
      </c>
      <c r="E2413">
        <v>0.72259426883891698</v>
      </c>
      <c r="F2413">
        <v>0.325632172248914</v>
      </c>
      <c r="G2413">
        <v>0.13001835623966701</v>
      </c>
      <c r="H2413">
        <v>9.3389588196802806E-2</v>
      </c>
      <c r="I2413">
        <v>8.0778506948346304E-2</v>
      </c>
      <c r="J2413">
        <v>6.6397185329543598E-2</v>
      </c>
      <c r="K2413">
        <v>5.0263832363496297E-2</v>
      </c>
      <c r="L2413">
        <v>1462.4310265633101</v>
      </c>
      <c r="M2413">
        <v>28.4770513268687</v>
      </c>
      <c r="N2413">
        <v>51.624630805967698</v>
      </c>
      <c r="O2413">
        <v>51.103475310857803</v>
      </c>
      <c r="P2413">
        <v>-0.129676106773256</v>
      </c>
      <c r="Q2413">
        <v>6.9166747255528196E-2</v>
      </c>
      <c r="R2413">
        <v>0.99810240411086004</v>
      </c>
      <c r="S2413" t="s">
        <v>8274</v>
      </c>
      <c r="T2413" t="s">
        <v>11720</v>
      </c>
      <c r="U2413" t="s">
        <v>11720</v>
      </c>
      <c r="V2413" t="s">
        <v>11720</v>
      </c>
      <c r="W2413" t="s">
        <v>14090</v>
      </c>
      <c r="X2413">
        <v>5</v>
      </c>
      <c r="Y2413" t="s">
        <v>19844</v>
      </c>
      <c r="Z2413" t="s">
        <v>25620</v>
      </c>
      <c r="AA2413">
        <v>0.42800864936820499</v>
      </c>
      <c r="AB2413" t="str">
        <f>HYPERLINK("Melting_Curves/meltCurve_P45877_PPIC.pdf", "Melting_Curves/meltCurve_P45877_PPIC.pdf")</f>
        <v>Melting_Curves/meltCurve_P45877_PPIC.pdf</v>
      </c>
    </row>
    <row r="2414" spans="1:28" x14ac:dyDescent="0.25">
      <c r="A2414" t="s">
        <v>2418</v>
      </c>
      <c r="B2414">
        <v>0.99334974765950101</v>
      </c>
      <c r="C2414">
        <v>0.80670724272753802</v>
      </c>
      <c r="D2414">
        <v>0.65190034343449499</v>
      </c>
      <c r="E2414">
        <v>0.84678097110589101</v>
      </c>
      <c r="F2414">
        <v>0.77442525436476795</v>
      </c>
      <c r="G2414">
        <v>0.79113178152138997</v>
      </c>
      <c r="H2414">
        <v>0.62620921076778402</v>
      </c>
      <c r="I2414">
        <v>0.60854619941453303</v>
      </c>
      <c r="J2414">
        <v>0.58768704880797296</v>
      </c>
      <c r="K2414">
        <v>0.36169831702017202</v>
      </c>
      <c r="L2414">
        <v>220.854741634817</v>
      </c>
      <c r="M2414">
        <v>3.1326677219235801</v>
      </c>
      <c r="O2414">
        <v>52.888136298359797</v>
      </c>
      <c r="P2414">
        <v>-1.52113690221758E-2</v>
      </c>
      <c r="Q2414">
        <v>0</v>
      </c>
      <c r="R2414">
        <v>0.67450980720351195</v>
      </c>
      <c r="S2414" t="s">
        <v>8275</v>
      </c>
      <c r="T2414" t="s">
        <v>11720</v>
      </c>
      <c r="U2414" t="s">
        <v>11720</v>
      </c>
      <c r="V2414" t="s">
        <v>11720</v>
      </c>
      <c r="W2414" t="s">
        <v>14091</v>
      </c>
      <c r="X2414">
        <v>17</v>
      </c>
      <c r="Y2414" t="s">
        <v>19845</v>
      </c>
      <c r="Z2414" t="s">
        <v>25621</v>
      </c>
      <c r="AA2414">
        <v>0.70939724513532854</v>
      </c>
      <c r="AB2414" t="str">
        <f>HYPERLINK("Melting_Curves/meltCurve_P45880_VDAC2.pdf", "Melting_Curves/meltCurve_P45880_VDAC2.pdf")</f>
        <v>Melting_Curves/meltCurve_P45880_VDAC2.pdf</v>
      </c>
    </row>
    <row r="2415" spans="1:28" x14ac:dyDescent="0.25">
      <c r="A2415" t="s">
        <v>2419</v>
      </c>
      <c r="B2415">
        <v>0.99334974765950101</v>
      </c>
      <c r="C2415">
        <v>0.97530973748570904</v>
      </c>
      <c r="D2415">
        <v>1.0173242066342301</v>
      </c>
      <c r="E2415">
        <v>0.938202412356135</v>
      </c>
      <c r="F2415">
        <v>0.44819152491475001</v>
      </c>
      <c r="G2415">
        <v>0.244616382254399</v>
      </c>
      <c r="H2415">
        <v>0.17056286012879601</v>
      </c>
      <c r="I2415">
        <v>0.127516000614806</v>
      </c>
      <c r="J2415">
        <v>8.5877627569627205E-2</v>
      </c>
      <c r="K2415">
        <v>5.6719241345326403E-2</v>
      </c>
      <c r="L2415">
        <v>2187.97846477147</v>
      </c>
      <c r="M2415">
        <v>41.688623367418302</v>
      </c>
      <c r="N2415">
        <v>52.8555322190563</v>
      </c>
      <c r="O2415">
        <v>52.363492199337699</v>
      </c>
      <c r="P2415">
        <v>-0.17374701816831001</v>
      </c>
      <c r="Q2415">
        <v>0.12705348232605199</v>
      </c>
      <c r="R2415">
        <v>0.98824850346178394</v>
      </c>
      <c r="S2415" t="s">
        <v>8276</v>
      </c>
      <c r="T2415" t="s">
        <v>11720</v>
      </c>
      <c r="U2415" t="s">
        <v>11720</v>
      </c>
      <c r="V2415" t="s">
        <v>11720</v>
      </c>
      <c r="W2415" t="s">
        <v>14092</v>
      </c>
      <c r="X2415">
        <v>15</v>
      </c>
      <c r="Y2415" t="s">
        <v>19846</v>
      </c>
      <c r="Z2415" t="s">
        <v>25622</v>
      </c>
      <c r="AA2415">
        <v>0.49322288435026879</v>
      </c>
      <c r="AB2415" t="str">
        <f>HYPERLINK("Melting_Curves/meltCurve_P45954_ACADSB.pdf", "Melting_Curves/meltCurve_P45954_ACADSB.pdf")</f>
        <v>Melting_Curves/meltCurve_P45954_ACADSB.pdf</v>
      </c>
    </row>
    <row r="2416" spans="1:28" x14ac:dyDescent="0.25">
      <c r="A2416" t="s">
        <v>2420</v>
      </c>
      <c r="B2416">
        <v>0.99334974765950101</v>
      </c>
      <c r="C2416">
        <v>0.97632273947413695</v>
      </c>
      <c r="D2416">
        <v>0.83971050771412004</v>
      </c>
      <c r="E2416">
        <v>0.50654909463878195</v>
      </c>
      <c r="F2416">
        <v>0.19347702794062799</v>
      </c>
      <c r="G2416">
        <v>9.7629632228678404E-2</v>
      </c>
      <c r="H2416">
        <v>7.5206421446210203E-2</v>
      </c>
      <c r="I2416">
        <v>7.1553213022219994E-2</v>
      </c>
      <c r="J2416">
        <v>7.1043339471444505E-2</v>
      </c>
      <c r="K2416">
        <v>6.4707207157582894E-2</v>
      </c>
      <c r="L2416">
        <v>1162.63184803012</v>
      </c>
      <c r="M2416">
        <v>23.4923080923516</v>
      </c>
      <c r="N2416">
        <v>49.769344114865</v>
      </c>
      <c r="O2416">
        <v>49.135473138865002</v>
      </c>
      <c r="P2416">
        <v>-0.112144711690121</v>
      </c>
      <c r="Q2416">
        <v>6.17884608104705E-2</v>
      </c>
      <c r="R2416">
        <v>0.99810028638243198</v>
      </c>
      <c r="S2416" t="s">
        <v>8277</v>
      </c>
      <c r="T2416" t="s">
        <v>11720</v>
      </c>
      <c r="U2416" t="s">
        <v>11720</v>
      </c>
      <c r="V2416" t="s">
        <v>11720</v>
      </c>
      <c r="W2416" t="s">
        <v>14093</v>
      </c>
      <c r="X2416">
        <v>6</v>
      </c>
      <c r="Y2416" t="s">
        <v>19847</v>
      </c>
      <c r="Z2416" t="s">
        <v>25623</v>
      </c>
      <c r="AA2416">
        <v>0.36804229181824399</v>
      </c>
      <c r="AB2416" t="str">
        <f>HYPERLINK("Melting_Curves/meltCurve_P45973_CBX5.pdf", "Melting_Curves/meltCurve_P45973_CBX5.pdf")</f>
        <v>Melting_Curves/meltCurve_P45973_CBX5.pdf</v>
      </c>
    </row>
    <row r="2417" spans="1:28" x14ac:dyDescent="0.25">
      <c r="A2417" t="s">
        <v>2421</v>
      </c>
      <c r="B2417">
        <v>0.99334974765950101</v>
      </c>
      <c r="C2417">
        <v>1.0045290283900901</v>
      </c>
      <c r="D2417">
        <v>1.0253558303347201</v>
      </c>
      <c r="E2417">
        <v>0.84431762616200801</v>
      </c>
      <c r="F2417">
        <v>0.49786166174722901</v>
      </c>
      <c r="G2417">
        <v>0.21889981524924901</v>
      </c>
      <c r="H2417">
        <v>0.13552243898795499</v>
      </c>
      <c r="I2417">
        <v>0.103490582750789</v>
      </c>
      <c r="J2417">
        <v>0.100442007573585</v>
      </c>
      <c r="K2417">
        <v>7.8685332520111201E-2</v>
      </c>
      <c r="L2417">
        <v>1467.75791885425</v>
      </c>
      <c r="M2417">
        <v>27.850688049180999</v>
      </c>
      <c r="N2417">
        <v>53.126304205665697</v>
      </c>
      <c r="O2417">
        <v>52.431496038979901</v>
      </c>
      <c r="P2417">
        <v>-0.119525758971658</v>
      </c>
      <c r="Q2417">
        <v>9.9934682702503594E-2</v>
      </c>
      <c r="R2417">
        <v>0.99795992176988901</v>
      </c>
      <c r="S2417" t="s">
        <v>8278</v>
      </c>
      <c r="T2417" t="s">
        <v>11720</v>
      </c>
      <c r="U2417" t="s">
        <v>11720</v>
      </c>
      <c r="V2417" t="s">
        <v>11720</v>
      </c>
      <c r="W2417" t="s">
        <v>14094</v>
      </c>
      <c r="X2417">
        <v>36</v>
      </c>
      <c r="Y2417" t="s">
        <v>19848</v>
      </c>
      <c r="Z2417" t="s">
        <v>25624</v>
      </c>
      <c r="AA2417">
        <v>0.48771222720086449</v>
      </c>
      <c r="AB2417" t="str">
        <f>HYPERLINK("Melting_Curves/meltCurve_P45974_2_USP5.pdf", "Melting_Curves/meltCurve_P45974_2_USP5.pdf")</f>
        <v>Melting_Curves/meltCurve_P45974_2_USP5.pdf</v>
      </c>
    </row>
    <row r="2418" spans="1:28" x14ac:dyDescent="0.25">
      <c r="A2418" t="s">
        <v>2422</v>
      </c>
      <c r="B2418">
        <v>0.99334974765950101</v>
      </c>
      <c r="C2418">
        <v>0.85639176676596496</v>
      </c>
      <c r="D2418">
        <v>0.59228185282533496</v>
      </c>
      <c r="E2418">
        <v>0.202830294213418</v>
      </c>
      <c r="F2418">
        <v>0.16630992244306</v>
      </c>
      <c r="G2418">
        <v>9.9559190318925794E-2</v>
      </c>
      <c r="H2418">
        <v>8.4655846111122104E-2</v>
      </c>
      <c r="I2418">
        <v>7.0469397390275801E-2</v>
      </c>
      <c r="J2418">
        <v>9.9821231886408401E-2</v>
      </c>
      <c r="K2418">
        <v>7.9637649409207603E-2</v>
      </c>
      <c r="L2418">
        <v>1057.3482413134</v>
      </c>
      <c r="M2418">
        <v>22.827852740491501</v>
      </c>
      <c r="N2418">
        <v>46.702219149532503</v>
      </c>
      <c r="O2418">
        <v>45.967305790348199</v>
      </c>
      <c r="P2418">
        <v>-0.113534823642135</v>
      </c>
      <c r="Q2418">
        <v>8.5540417860013498E-2</v>
      </c>
      <c r="R2418">
        <v>0.99734392911833802</v>
      </c>
      <c r="S2418" t="s">
        <v>8279</v>
      </c>
      <c r="T2418" t="s">
        <v>11720</v>
      </c>
      <c r="U2418" t="s">
        <v>11720</v>
      </c>
      <c r="V2418" t="s">
        <v>11720</v>
      </c>
      <c r="W2418" t="s">
        <v>14095</v>
      </c>
      <c r="X2418">
        <v>2</v>
      </c>
      <c r="Y2418" t="s">
        <v>19849</v>
      </c>
      <c r="Z2418" t="s">
        <v>25625</v>
      </c>
      <c r="AA2418">
        <v>0.28838012663542562</v>
      </c>
      <c r="AB2418" t="str">
        <f>HYPERLINK("Melting_Curves/meltCurve_P45983_3_MAPK8.pdf", "Melting_Curves/meltCurve_P45983_3_MAPK8.pdf")</f>
        <v>Melting_Curves/meltCurve_P45983_3_MAPK8.pdf</v>
      </c>
    </row>
    <row r="2419" spans="1:28" x14ac:dyDescent="0.25">
      <c r="A2419" t="s">
        <v>2423</v>
      </c>
      <c r="B2419">
        <v>0.99334974765950101</v>
      </c>
      <c r="C2419">
        <v>0.96605948675863995</v>
      </c>
      <c r="D2419">
        <v>0.94363379257489499</v>
      </c>
      <c r="E2419">
        <v>0.77284064674481701</v>
      </c>
      <c r="F2419">
        <v>0.40198761232555402</v>
      </c>
      <c r="G2419">
        <v>0.15906931252675099</v>
      </c>
      <c r="H2419">
        <v>0.10895503314758199</v>
      </c>
      <c r="I2419">
        <v>9.4203369774534099E-2</v>
      </c>
      <c r="J2419">
        <v>8.9292670484656306E-2</v>
      </c>
      <c r="K2419">
        <v>6.8547417812895597E-2</v>
      </c>
      <c r="L2419">
        <v>1410.1668840377099</v>
      </c>
      <c r="M2419">
        <v>27.185775323195902</v>
      </c>
      <c r="N2419">
        <v>52.224319663657099</v>
      </c>
      <c r="O2419">
        <v>51.5932645087574</v>
      </c>
      <c r="P2419">
        <v>-0.120680651754447</v>
      </c>
      <c r="Q2419">
        <v>8.3896107685609594E-2</v>
      </c>
      <c r="R2419">
        <v>0.99828883947068003</v>
      </c>
      <c r="S2419" t="s">
        <v>8280</v>
      </c>
      <c r="T2419" t="s">
        <v>11720</v>
      </c>
      <c r="U2419" t="s">
        <v>11720</v>
      </c>
      <c r="V2419" t="s">
        <v>11720</v>
      </c>
      <c r="W2419" t="s">
        <v>14096</v>
      </c>
      <c r="X2419">
        <v>7</v>
      </c>
      <c r="Y2419" t="s">
        <v>19850</v>
      </c>
      <c r="Z2419" t="s">
        <v>25626</v>
      </c>
      <c r="AA2419">
        <v>0.45350888728033112</v>
      </c>
      <c r="AB2419" t="str">
        <f>HYPERLINK("Melting_Curves/meltCurve_P45984_2_MAPK9.pdf", "Melting_Curves/meltCurve_P45984_2_MAPK9.pdf")</f>
        <v>Melting_Curves/meltCurve_P45984_2_MAPK9.pdf</v>
      </c>
    </row>
    <row r="2420" spans="1:28" x14ac:dyDescent="0.25">
      <c r="A2420" t="s">
        <v>2424</v>
      </c>
      <c r="B2420">
        <v>0.99334974765950101</v>
      </c>
      <c r="C2420">
        <v>0.88842888293073297</v>
      </c>
      <c r="D2420">
        <v>0.85397310639657897</v>
      </c>
      <c r="E2420">
        <v>0.64573295941447495</v>
      </c>
      <c r="F2420">
        <v>0.19124009437232101</v>
      </c>
      <c r="G2420">
        <v>0.108699935939899</v>
      </c>
      <c r="H2420">
        <v>6.6976558710184403E-2</v>
      </c>
      <c r="I2420">
        <v>8.0787992910865303E-2</v>
      </c>
      <c r="J2420">
        <v>5.05987503015684E-2</v>
      </c>
      <c r="K2420">
        <v>4.9698739789891103E-2</v>
      </c>
      <c r="L2420">
        <v>1257.1334409378001</v>
      </c>
      <c r="M2420">
        <v>24.9544209925341</v>
      </c>
      <c r="N2420">
        <v>50.597314184072701</v>
      </c>
      <c r="O2420">
        <v>50.057015179843098</v>
      </c>
      <c r="P2420">
        <v>-0.11822051545215</v>
      </c>
      <c r="Q2420">
        <v>5.1440915795617603E-2</v>
      </c>
      <c r="R2420">
        <v>0.98194577872864797</v>
      </c>
      <c r="S2420" t="s">
        <v>8281</v>
      </c>
      <c r="T2420" t="s">
        <v>11720</v>
      </c>
      <c r="U2420" t="s">
        <v>11720</v>
      </c>
      <c r="V2420" t="s">
        <v>11720</v>
      </c>
      <c r="W2420" t="s">
        <v>14097</v>
      </c>
      <c r="X2420">
        <v>6</v>
      </c>
      <c r="Y2420" t="s">
        <v>19851</v>
      </c>
      <c r="Z2420" t="s">
        <v>25627</v>
      </c>
      <c r="AA2420">
        <v>0.38809575937725571</v>
      </c>
      <c r="AB2420" t="str">
        <f>HYPERLINK("Melting_Curves/meltCurve_P45985_MAP2K4.pdf", "Melting_Curves/meltCurve_P45985_MAP2K4.pdf")</f>
        <v>Melting_Curves/meltCurve_P45985_MAP2K4.pdf</v>
      </c>
    </row>
    <row r="2421" spans="1:28" x14ac:dyDescent="0.25">
      <c r="A2421" t="s">
        <v>2425</v>
      </c>
      <c r="B2421">
        <v>0.99334974765950101</v>
      </c>
      <c r="C2421">
        <v>0.98378671382379101</v>
      </c>
      <c r="D2421">
        <v>0.93587419637810498</v>
      </c>
      <c r="E2421">
        <v>0.63556932731278304</v>
      </c>
      <c r="F2421">
        <v>0.14164674594947799</v>
      </c>
      <c r="G2421">
        <v>0.10491139239233201</v>
      </c>
      <c r="H2421">
        <v>7.0932656771112698E-2</v>
      </c>
      <c r="I2421">
        <v>6.6708168129707396E-2</v>
      </c>
      <c r="J2421">
        <v>6.22067046576101E-2</v>
      </c>
      <c r="K2421">
        <v>5.1203864136202197E-2</v>
      </c>
      <c r="L2421">
        <v>2362.82581455839</v>
      </c>
      <c r="M2421">
        <v>46.844586088134001</v>
      </c>
      <c r="N2421">
        <v>50.597809459993698</v>
      </c>
      <c r="O2421">
        <v>50.3480143483159</v>
      </c>
      <c r="P2421">
        <v>-0.216764567742086</v>
      </c>
      <c r="Q2421">
        <v>6.80969260554522E-2</v>
      </c>
      <c r="R2421">
        <v>0.99703958743671794</v>
      </c>
      <c r="S2421" t="s">
        <v>8282</v>
      </c>
      <c r="T2421" t="s">
        <v>11720</v>
      </c>
      <c r="U2421" t="s">
        <v>11720</v>
      </c>
      <c r="V2421" t="s">
        <v>11720</v>
      </c>
      <c r="W2421" t="s">
        <v>14098</v>
      </c>
      <c r="X2421">
        <v>25</v>
      </c>
      <c r="Y2421" t="s">
        <v>19852</v>
      </c>
      <c r="Z2421" t="s">
        <v>25628</v>
      </c>
      <c r="AA2421">
        <v>0.39475313408303181</v>
      </c>
      <c r="AB2421" t="str">
        <f>HYPERLINK("Melting_Curves/meltCurve_P46060_RANGAP1.pdf", "Melting_Curves/meltCurve_P46060_RANGAP1.pdf")</f>
        <v>Melting_Curves/meltCurve_P46060_RANGAP1.pdf</v>
      </c>
    </row>
    <row r="2422" spans="1:28" x14ac:dyDescent="0.25">
      <c r="A2422" t="s">
        <v>2426</v>
      </c>
      <c r="B2422">
        <v>0.99334974765950101</v>
      </c>
      <c r="C2422">
        <v>1.1351430911573801</v>
      </c>
      <c r="D2422">
        <v>1.1405100625542799</v>
      </c>
      <c r="E2422">
        <v>0.981489606831491</v>
      </c>
      <c r="F2422">
        <v>0.64149165007307796</v>
      </c>
      <c r="G2422">
        <v>0.28309147149443498</v>
      </c>
      <c r="H2422">
        <v>0.16606051547265499</v>
      </c>
      <c r="I2422">
        <v>0.12146997876511501</v>
      </c>
      <c r="J2422">
        <v>0.117150589187315</v>
      </c>
      <c r="K2422">
        <v>7.6950207130345297E-2</v>
      </c>
      <c r="L2422">
        <v>1677.51640095333</v>
      </c>
      <c r="M2422">
        <v>31.089245772748999</v>
      </c>
      <c r="N2422">
        <v>54.416746640973003</v>
      </c>
      <c r="O2422">
        <v>53.736335732939899</v>
      </c>
      <c r="P2422">
        <v>-0.127967859295749</v>
      </c>
      <c r="Q2422">
        <v>0.115259005445819</v>
      </c>
      <c r="R2422">
        <v>0.97557882563270104</v>
      </c>
      <c r="S2422" t="s">
        <v>8283</v>
      </c>
      <c r="T2422" t="s">
        <v>11720</v>
      </c>
      <c r="U2422" t="s">
        <v>11720</v>
      </c>
      <c r="V2422" t="s">
        <v>11720</v>
      </c>
      <c r="W2422" t="s">
        <v>14099</v>
      </c>
      <c r="X2422">
        <v>13</v>
      </c>
      <c r="Y2422" t="s">
        <v>19853</v>
      </c>
      <c r="Z2422" t="s">
        <v>25629</v>
      </c>
      <c r="AA2422">
        <v>0.53232325213769871</v>
      </c>
      <c r="AB2422" t="str">
        <f>HYPERLINK("Melting_Curves/meltCurve_P46063_RECQL.pdf", "Melting_Curves/meltCurve_P46063_RECQL.pdf")</f>
        <v>Melting_Curves/meltCurve_P46063_RECQL.pdf</v>
      </c>
    </row>
    <row r="2423" spans="1:28" x14ac:dyDescent="0.25">
      <c r="A2423" t="s">
        <v>2427</v>
      </c>
      <c r="B2423">
        <v>0.99334974765950101</v>
      </c>
      <c r="C2423">
        <v>1.0690995005723301</v>
      </c>
      <c r="D2423">
        <v>0.85924461598013602</v>
      </c>
      <c r="E2423">
        <v>0.74935116456426798</v>
      </c>
      <c r="F2423">
        <v>0.64725739329916299</v>
      </c>
      <c r="G2423">
        <v>0.33722024149011198</v>
      </c>
      <c r="H2423">
        <v>0.24476665344965901</v>
      </c>
      <c r="I2423">
        <v>0.27123298882506802</v>
      </c>
      <c r="J2423">
        <v>0.25755277346091399</v>
      </c>
      <c r="K2423">
        <v>0.267339577413581</v>
      </c>
      <c r="L2423">
        <v>913.38068825680398</v>
      </c>
      <c r="M2423">
        <v>17.427429352001301</v>
      </c>
      <c r="N2423">
        <v>54.323215630207102</v>
      </c>
      <c r="O2423">
        <v>51.735042682619103</v>
      </c>
      <c r="P2423">
        <v>-6.49076800626463E-2</v>
      </c>
      <c r="Q2423">
        <v>0.229303792677468</v>
      </c>
      <c r="R2423">
        <v>0.97608391886010604</v>
      </c>
      <c r="S2423" t="s">
        <v>8284</v>
      </c>
      <c r="T2423" t="s">
        <v>11720</v>
      </c>
      <c r="U2423" t="s">
        <v>11720</v>
      </c>
      <c r="V2423" t="s">
        <v>11720</v>
      </c>
      <c r="W2423" t="s">
        <v>14100</v>
      </c>
      <c r="X2423">
        <v>4</v>
      </c>
      <c r="Y2423" t="s">
        <v>19854</v>
      </c>
      <c r="Z2423" t="s">
        <v>25630</v>
      </c>
      <c r="AA2423">
        <v>0.56157443707111721</v>
      </c>
      <c r="AB2423" t="str">
        <f>HYPERLINK("Melting_Curves/meltCurve_P46087_2_NOP2.pdf", "Melting_Curves/meltCurve_P46087_2_NOP2.pdf")</f>
        <v>Melting_Curves/meltCurve_P46087_2_NOP2.pdf</v>
      </c>
    </row>
    <row r="2424" spans="1:28" x14ac:dyDescent="0.25">
      <c r="A2424" t="s">
        <v>2428</v>
      </c>
      <c r="B2424">
        <v>0.99334974765950101</v>
      </c>
      <c r="C2424">
        <v>1.0183436792653</v>
      </c>
      <c r="D2424">
        <v>0.87820293750022005</v>
      </c>
      <c r="E2424">
        <v>0.68840027444827501</v>
      </c>
      <c r="F2424">
        <v>0.29556726265144101</v>
      </c>
      <c r="G2424">
        <v>0.153085394519759</v>
      </c>
      <c r="H2424">
        <v>7.6005251455332504E-2</v>
      </c>
      <c r="I2424">
        <v>6.9667128769451095E-2</v>
      </c>
      <c r="J2424">
        <v>5.3085008017969199E-2</v>
      </c>
      <c r="K2424">
        <v>4.7286345930855303E-2</v>
      </c>
      <c r="L2424">
        <v>1205.3728935674101</v>
      </c>
      <c r="M2424">
        <v>23.598347717137599</v>
      </c>
      <c r="N2424">
        <v>51.330309218492403</v>
      </c>
      <c r="O2424">
        <v>50.716123873870501</v>
      </c>
      <c r="P2424">
        <v>-0.109974115893962</v>
      </c>
      <c r="Q2424">
        <v>5.4617128255030803E-2</v>
      </c>
      <c r="R2424">
        <v>0.99468439475319603</v>
      </c>
      <c r="S2424" t="s">
        <v>8285</v>
      </c>
      <c r="T2424" t="s">
        <v>11720</v>
      </c>
      <c r="U2424" t="s">
        <v>11720</v>
      </c>
      <c r="V2424" t="s">
        <v>11720</v>
      </c>
      <c r="W2424" t="s">
        <v>14101</v>
      </c>
      <c r="X2424">
        <v>17</v>
      </c>
      <c r="Y2424" t="s">
        <v>19855</v>
      </c>
      <c r="Z2424" t="s">
        <v>25631</v>
      </c>
      <c r="AA2424">
        <v>0.41330605075004079</v>
      </c>
      <c r="AB2424" t="str">
        <f>HYPERLINK("Melting_Curves/meltCurve_P46108_CRK.pdf", "Melting_Curves/meltCurve_P46108_CRK.pdf")</f>
        <v>Melting_Curves/meltCurve_P46108_CRK.pdf</v>
      </c>
    </row>
    <row r="2425" spans="1:28" x14ac:dyDescent="0.25">
      <c r="A2425" t="s">
        <v>2429</v>
      </c>
      <c r="B2425">
        <v>0.99334974765950101</v>
      </c>
      <c r="C2425">
        <v>0.82179431522026103</v>
      </c>
      <c r="D2425">
        <v>0.76864813669334697</v>
      </c>
      <c r="E2425">
        <v>0.53151146683504502</v>
      </c>
      <c r="F2425">
        <v>0.13571370270070801</v>
      </c>
      <c r="G2425">
        <v>6.8163109994717197E-2</v>
      </c>
      <c r="H2425">
        <v>2.7948082323040101E-2</v>
      </c>
      <c r="I2425">
        <v>2.5213806806564699E-2</v>
      </c>
      <c r="J2425">
        <v>3.56723507675204E-2</v>
      </c>
      <c r="K2425">
        <v>3.2502183313881897E-2</v>
      </c>
      <c r="L2425">
        <v>837.23188129726702</v>
      </c>
      <c r="M2425">
        <v>17.020594423320802</v>
      </c>
      <c r="N2425">
        <v>49.199739403553799</v>
      </c>
      <c r="O2425">
        <v>48.525400786206902</v>
      </c>
      <c r="P2425">
        <v>-8.75370550122926E-2</v>
      </c>
      <c r="Q2425">
        <v>1.7953759251713899E-3</v>
      </c>
      <c r="R2425">
        <v>0.97766590113001695</v>
      </c>
      <c r="S2425" t="s">
        <v>8286</v>
      </c>
      <c r="T2425" t="s">
        <v>11720</v>
      </c>
      <c r="U2425" t="s">
        <v>11720</v>
      </c>
      <c r="V2425" t="s">
        <v>11720</v>
      </c>
      <c r="W2425" t="s">
        <v>14102</v>
      </c>
      <c r="X2425">
        <v>14</v>
      </c>
      <c r="Y2425" t="s">
        <v>19855</v>
      </c>
      <c r="Z2425" t="s">
        <v>25632</v>
      </c>
      <c r="AA2425">
        <v>0.32678620335558239</v>
      </c>
      <c r="AB2425" t="str">
        <f>HYPERLINK("Melting_Curves/meltCurve_P46108_2_CRK.pdf", "Melting_Curves/meltCurve_P46108_2_CRK.pdf")</f>
        <v>Melting_Curves/meltCurve_P46108_2_CRK.pdf</v>
      </c>
    </row>
    <row r="2426" spans="1:28" x14ac:dyDescent="0.25">
      <c r="A2426" t="s">
        <v>2430</v>
      </c>
      <c r="B2426">
        <v>0.99334974765950101</v>
      </c>
      <c r="C2426">
        <v>0.99484527952551904</v>
      </c>
      <c r="D2426">
        <v>0.88798183540644904</v>
      </c>
      <c r="E2426">
        <v>0.62961247533003695</v>
      </c>
      <c r="F2426">
        <v>0.42766674907388003</v>
      </c>
      <c r="G2426">
        <v>0.26879657179373201</v>
      </c>
      <c r="H2426">
        <v>0.187013866781847</v>
      </c>
      <c r="I2426">
        <v>0.155203916385943</v>
      </c>
      <c r="J2426">
        <v>0.123862909190277</v>
      </c>
      <c r="K2426">
        <v>0.103358763487331</v>
      </c>
      <c r="L2426">
        <v>841.93471377675803</v>
      </c>
      <c r="M2426">
        <v>16.446377839449301</v>
      </c>
      <c r="N2426">
        <v>52.007646423558299</v>
      </c>
      <c r="O2426">
        <v>50.453804321325499</v>
      </c>
      <c r="P2426">
        <v>-7.2240746095222005E-2</v>
      </c>
      <c r="Q2426">
        <v>0.113588684034108</v>
      </c>
      <c r="R2426">
        <v>0.99816040351754798</v>
      </c>
      <c r="S2426" t="s">
        <v>8287</v>
      </c>
      <c r="T2426" t="s">
        <v>11720</v>
      </c>
      <c r="U2426" t="s">
        <v>11720</v>
      </c>
      <c r="V2426" t="s">
        <v>11720</v>
      </c>
      <c r="W2426" t="s">
        <v>14103</v>
      </c>
      <c r="X2426">
        <v>15</v>
      </c>
      <c r="Y2426" t="s">
        <v>19856</v>
      </c>
      <c r="Z2426" t="s">
        <v>25633</v>
      </c>
      <c r="AA2426">
        <v>0.46175169621237672</v>
      </c>
      <c r="AB2426" t="str">
        <f>HYPERLINK("Melting_Curves/meltCurve_P46109_CRKL.pdf", "Melting_Curves/meltCurve_P46109_CRKL.pdf")</f>
        <v>Melting_Curves/meltCurve_P46109_CRKL.pdf</v>
      </c>
    </row>
    <row r="2427" spans="1:28" x14ac:dyDescent="0.25">
      <c r="A2427" t="s">
        <v>2431</v>
      </c>
      <c r="B2427">
        <v>0.99334974765950101</v>
      </c>
      <c r="C2427">
        <v>0.98101249247231503</v>
      </c>
      <c r="D2427">
        <v>0.76365266453280001</v>
      </c>
      <c r="E2427">
        <v>0.378749164080876</v>
      </c>
      <c r="F2427">
        <v>0.24891686350598999</v>
      </c>
      <c r="G2427">
        <v>0.157992249266102</v>
      </c>
      <c r="H2427">
        <v>0.13262533725182801</v>
      </c>
      <c r="I2427">
        <v>0.116370868054641</v>
      </c>
      <c r="J2427">
        <v>0.104547292806297</v>
      </c>
      <c r="K2427">
        <v>9.3161000725019802E-2</v>
      </c>
      <c r="L2427">
        <v>1048.65895146767</v>
      </c>
      <c r="M2427">
        <v>21.7337312599144</v>
      </c>
      <c r="N2427">
        <v>48.828468102540398</v>
      </c>
      <c r="O2427">
        <v>47.847377053775098</v>
      </c>
      <c r="P2427">
        <v>-0.10067684196703899</v>
      </c>
      <c r="Q2427">
        <v>0.113449990757125</v>
      </c>
      <c r="R2427">
        <v>0.99742617992108495</v>
      </c>
      <c r="S2427" t="s">
        <v>8288</v>
      </c>
      <c r="T2427" t="s">
        <v>11720</v>
      </c>
      <c r="U2427" t="s">
        <v>11720</v>
      </c>
      <c r="V2427" t="s">
        <v>11720</v>
      </c>
      <c r="W2427" t="s">
        <v>14104</v>
      </c>
      <c r="X2427">
        <v>8</v>
      </c>
      <c r="Y2427" t="s">
        <v>19857</v>
      </c>
      <c r="Z2427" t="s">
        <v>25634</v>
      </c>
      <c r="AA2427">
        <v>0.36778664907215752</v>
      </c>
      <c r="AB2427" t="str">
        <f>HYPERLINK("Melting_Curves/meltCurve_P46199_MTIF2.pdf", "Melting_Curves/meltCurve_P46199_MTIF2.pdf")</f>
        <v>Melting_Curves/meltCurve_P46199_MTIF2.pdf</v>
      </c>
    </row>
    <row r="2428" spans="1:28" x14ac:dyDescent="0.25">
      <c r="A2428" t="s">
        <v>2432</v>
      </c>
      <c r="B2428">
        <v>0.99334974765950101</v>
      </c>
      <c r="C2428">
        <v>0.96716111598723797</v>
      </c>
      <c r="D2428">
        <v>0.79481019783339901</v>
      </c>
      <c r="E2428">
        <v>0.439864930478092</v>
      </c>
      <c r="F2428">
        <v>0.296018981127039</v>
      </c>
      <c r="G2428">
        <v>0.16661384481438199</v>
      </c>
      <c r="H2428">
        <v>0.131746464491828</v>
      </c>
      <c r="I2428">
        <v>0.11527226326326299</v>
      </c>
      <c r="J2428">
        <v>0.11817154781683201</v>
      </c>
      <c r="K2428">
        <v>9.77239279747774E-2</v>
      </c>
      <c r="L2428">
        <v>945.64939488731602</v>
      </c>
      <c r="M2428">
        <v>19.343070848561499</v>
      </c>
      <c r="N2428">
        <v>49.522998087934901</v>
      </c>
      <c r="O2428">
        <v>48.3747556189454</v>
      </c>
      <c r="P2428">
        <v>-8.8993237095306599E-2</v>
      </c>
      <c r="Q2428">
        <v>0.10978652772235099</v>
      </c>
      <c r="R2428">
        <v>0.99849336591494198</v>
      </c>
      <c r="S2428" t="s">
        <v>8289</v>
      </c>
      <c r="T2428" t="s">
        <v>11720</v>
      </c>
      <c r="U2428" t="s">
        <v>11720</v>
      </c>
      <c r="V2428" t="s">
        <v>11720</v>
      </c>
      <c r="W2428" t="s">
        <v>14105</v>
      </c>
      <c r="X2428">
        <v>15</v>
      </c>
      <c r="Y2428" t="s">
        <v>19858</v>
      </c>
      <c r="Z2428" t="s">
        <v>25635</v>
      </c>
      <c r="AA2428">
        <v>0.38689792666223599</v>
      </c>
      <c r="AB2428" t="str">
        <f>HYPERLINK("Melting_Curves/meltCurve_P46439_GSTM5.pdf", "Melting_Curves/meltCurve_P46439_GSTM5.pdf")</f>
        <v>Melting_Curves/meltCurve_P46439_GSTM5.pdf</v>
      </c>
    </row>
    <row r="2429" spans="1:28" x14ac:dyDescent="0.25">
      <c r="A2429" t="s">
        <v>2433</v>
      </c>
      <c r="B2429">
        <v>0.99334974765950101</v>
      </c>
      <c r="C2429">
        <v>0.929523512622351</v>
      </c>
      <c r="D2429">
        <v>0.75151888109767995</v>
      </c>
      <c r="E2429">
        <v>1.0140748792205001</v>
      </c>
      <c r="F2429">
        <v>1.46311776909689</v>
      </c>
      <c r="G2429">
        <v>0.97027555884299699</v>
      </c>
      <c r="H2429">
        <v>1.10641383414145</v>
      </c>
      <c r="I2429">
        <v>1.9398526792725299</v>
      </c>
      <c r="J2429">
        <v>2.09295735392269</v>
      </c>
      <c r="K2429">
        <v>2.0756926376459202</v>
      </c>
      <c r="L2429">
        <v>15000</v>
      </c>
      <c r="M2429">
        <v>244.59481595708101</v>
      </c>
      <c r="O2429">
        <v>61.321811255483397</v>
      </c>
      <c r="P2429">
        <v>0.49858853253263502</v>
      </c>
      <c r="Q2429">
        <v>1.5</v>
      </c>
      <c r="R2429">
        <v>0.52020143864842605</v>
      </c>
      <c r="S2429" t="s">
        <v>8290</v>
      </c>
      <c r="T2429" t="s">
        <v>11720</v>
      </c>
      <c r="U2429" t="s">
        <v>11720</v>
      </c>
      <c r="V2429" t="s">
        <v>11720</v>
      </c>
      <c r="W2429" t="s">
        <v>14106</v>
      </c>
      <c r="X2429">
        <v>3</v>
      </c>
      <c r="Y2429" t="s">
        <v>19859</v>
      </c>
      <c r="Z2429" t="s">
        <v>25636</v>
      </c>
      <c r="AA2429">
        <v>1.1445119259491841</v>
      </c>
      <c r="AB2429" t="str">
        <f>HYPERLINK("Melting_Curves/meltCurve_P46527_CDKN1B.pdf", "Melting_Curves/meltCurve_P46527_CDKN1B.pdf")</f>
        <v>Melting_Curves/meltCurve_P46527_CDKN1B.pdf</v>
      </c>
    </row>
    <row r="2430" spans="1:28" x14ac:dyDescent="0.25">
      <c r="A2430" t="s">
        <v>2434</v>
      </c>
      <c r="B2430">
        <v>0.99334974765950101</v>
      </c>
      <c r="C2430">
        <v>0.89953751472318499</v>
      </c>
      <c r="D2430">
        <v>0.71515974866397602</v>
      </c>
      <c r="E2430">
        <v>0.40678428968254698</v>
      </c>
      <c r="F2430">
        <v>0.21685130696072399</v>
      </c>
      <c r="G2430">
        <v>7.0827877296441494E-2</v>
      </c>
      <c r="H2430">
        <v>5.6692640020574198E-2</v>
      </c>
      <c r="I2430">
        <v>3.5651333611197503E-2</v>
      </c>
      <c r="J2430">
        <v>5.1417957089877599E-2</v>
      </c>
      <c r="K2430">
        <v>5.0113228420045001E-2</v>
      </c>
      <c r="L2430">
        <v>834.59208260330604</v>
      </c>
      <c r="M2430">
        <v>17.213047950547899</v>
      </c>
      <c r="N2430">
        <v>48.663804900499699</v>
      </c>
      <c r="O2430">
        <v>47.845793579852</v>
      </c>
      <c r="P2430">
        <v>-8.7204416855065997E-2</v>
      </c>
      <c r="Q2430">
        <v>3.0475245083675901E-2</v>
      </c>
      <c r="R2430">
        <v>0.99846231162376997</v>
      </c>
      <c r="S2430" t="s">
        <v>8291</v>
      </c>
      <c r="T2430" t="s">
        <v>11720</v>
      </c>
      <c r="U2430" t="s">
        <v>11720</v>
      </c>
      <c r="V2430" t="s">
        <v>11720</v>
      </c>
      <c r="W2430" t="s">
        <v>14107</v>
      </c>
      <c r="X2430">
        <v>15</v>
      </c>
      <c r="Y2430" t="s">
        <v>19860</v>
      </c>
      <c r="Z2430" t="s">
        <v>25637</v>
      </c>
      <c r="AA2430">
        <v>0.32331439021210501</v>
      </c>
      <c r="AB2430" t="str">
        <f>HYPERLINK("Melting_Curves/meltCurve_P46734_MAP2K3.pdf", "Melting_Curves/meltCurve_P46734_MAP2K3.pdf")</f>
        <v>Melting_Curves/meltCurve_P46734_MAP2K3.pdf</v>
      </c>
    </row>
    <row r="2431" spans="1:28" x14ac:dyDescent="0.25">
      <c r="A2431" t="s">
        <v>2435</v>
      </c>
      <c r="B2431">
        <v>0.99334974765950101</v>
      </c>
      <c r="C2431">
        <v>0.873308973777979</v>
      </c>
      <c r="D2431">
        <v>0.55173706300640402</v>
      </c>
      <c r="E2431">
        <v>0.31539921307406199</v>
      </c>
      <c r="F2431">
        <v>9.2987949275149695E-2</v>
      </c>
      <c r="G2431">
        <v>6.8995822611921095E-2</v>
      </c>
      <c r="H2431">
        <v>4.1637623650916E-2</v>
      </c>
      <c r="I2431">
        <v>6.1651426201154602E-2</v>
      </c>
      <c r="J2431">
        <v>7.06403219134355E-2</v>
      </c>
      <c r="K2431">
        <v>6.11894141033755E-2</v>
      </c>
      <c r="L2431">
        <v>912.86967759051299</v>
      </c>
      <c r="M2431">
        <v>19.5619472887055</v>
      </c>
      <c r="N2431">
        <v>46.925237610693799</v>
      </c>
      <c r="O2431">
        <v>46.1861245760117</v>
      </c>
      <c r="P2431">
        <v>-0.100458569886043</v>
      </c>
      <c r="Q2431">
        <v>5.1295432121763102E-2</v>
      </c>
      <c r="R2431">
        <v>0.992376782603693</v>
      </c>
      <c r="S2431" t="s">
        <v>8292</v>
      </c>
      <c r="T2431" t="s">
        <v>11720</v>
      </c>
      <c r="U2431" t="s">
        <v>11720</v>
      </c>
      <c r="V2431" t="s">
        <v>11720</v>
      </c>
      <c r="W2431" t="s">
        <v>14108</v>
      </c>
      <c r="X2431">
        <v>15</v>
      </c>
      <c r="Y2431" t="s">
        <v>19860</v>
      </c>
      <c r="Z2431" t="s">
        <v>25638</v>
      </c>
      <c r="AA2431">
        <v>0.27689733419866358</v>
      </c>
      <c r="AB2431" t="str">
        <f>HYPERLINK("Melting_Curves/meltCurve_P46734_2_MAP2K3.pdf", "Melting_Curves/meltCurve_P46734_2_MAP2K3.pdf")</f>
        <v>Melting_Curves/meltCurve_P46734_2_MAP2K3.pdf</v>
      </c>
    </row>
    <row r="2432" spans="1:28" x14ac:dyDescent="0.25">
      <c r="A2432" t="s">
        <v>2436</v>
      </c>
      <c r="B2432">
        <v>0.99334974765950101</v>
      </c>
      <c r="C2432">
        <v>0.97430170930495097</v>
      </c>
      <c r="D2432">
        <v>1.0479549283326699</v>
      </c>
      <c r="E2432">
        <v>1.2111849940919699</v>
      </c>
      <c r="F2432">
        <v>1.20124503234958</v>
      </c>
      <c r="G2432">
        <v>1.5461062548494899</v>
      </c>
      <c r="H2432">
        <v>1.3430745688177299</v>
      </c>
      <c r="I2432">
        <v>1.3017629302053999</v>
      </c>
      <c r="J2432">
        <v>0.495856564351289</v>
      </c>
      <c r="K2432">
        <v>0.34821366603952197</v>
      </c>
      <c r="L2432">
        <v>15000</v>
      </c>
      <c r="M2432">
        <v>225.10649620581199</v>
      </c>
      <c r="N2432">
        <v>66.989681299978002</v>
      </c>
      <c r="O2432">
        <v>66.629867842072201</v>
      </c>
      <c r="P2432">
        <v>-0.55060183816886399</v>
      </c>
      <c r="Q2432">
        <v>0.348103617606426</v>
      </c>
      <c r="R2432">
        <v>0.52489705255121399</v>
      </c>
      <c r="S2432" t="s">
        <v>8293</v>
      </c>
      <c r="T2432" t="s">
        <v>11720</v>
      </c>
      <c r="U2432" t="s">
        <v>11720</v>
      </c>
      <c r="V2432" t="s">
        <v>11720</v>
      </c>
      <c r="W2432" t="s">
        <v>14109</v>
      </c>
      <c r="X2432">
        <v>7</v>
      </c>
      <c r="Y2432" t="s">
        <v>19861</v>
      </c>
      <c r="Z2432" t="s">
        <v>25639</v>
      </c>
      <c r="AA2432">
        <v>0.92697560910784105</v>
      </c>
      <c r="AB2432" t="str">
        <f>HYPERLINK("Melting_Curves/meltCurve_P46736_2_BRCC3.pdf", "Melting_Curves/meltCurve_P46736_2_BRCC3.pdf")</f>
        <v>Melting_Curves/meltCurve_P46736_2_BRCC3.pdf</v>
      </c>
    </row>
    <row r="2433" spans="1:28" x14ac:dyDescent="0.25">
      <c r="A2433" t="s">
        <v>2437</v>
      </c>
      <c r="B2433">
        <v>0.99334974765950101</v>
      </c>
      <c r="C2433">
        <v>0.95974774655728101</v>
      </c>
      <c r="D2433">
        <v>1.1253416579786599</v>
      </c>
      <c r="E2433">
        <v>0.85005594213124702</v>
      </c>
      <c r="F2433">
        <v>0.60096386592281403</v>
      </c>
      <c r="G2433">
        <v>0.36397136574302402</v>
      </c>
      <c r="H2433">
        <v>0.14339516349975301</v>
      </c>
      <c r="I2433">
        <v>9.2246587098555599E-2</v>
      </c>
      <c r="J2433">
        <v>9.1365777392329303E-2</v>
      </c>
      <c r="K2433">
        <v>7.0581147091459101E-2</v>
      </c>
      <c r="L2433">
        <v>1108.6805061514301</v>
      </c>
      <c r="M2433">
        <v>20.439629040218399</v>
      </c>
      <c r="N2433">
        <v>54.617649267652098</v>
      </c>
      <c r="O2433">
        <v>53.730515611826398</v>
      </c>
      <c r="P2433">
        <v>-8.8864708036373904E-2</v>
      </c>
      <c r="Q2433">
        <v>6.5618253301121601E-2</v>
      </c>
      <c r="R2433">
        <v>0.98306853107039904</v>
      </c>
      <c r="S2433" t="s">
        <v>8294</v>
      </c>
      <c r="T2433" t="s">
        <v>11720</v>
      </c>
      <c r="U2433" t="s">
        <v>11720</v>
      </c>
      <c r="V2433" t="s">
        <v>11720</v>
      </c>
      <c r="W2433" t="s">
        <v>14110</v>
      </c>
      <c r="X2433">
        <v>25</v>
      </c>
      <c r="Y2433" t="s">
        <v>19862</v>
      </c>
      <c r="Z2433" t="s">
        <v>25640</v>
      </c>
      <c r="AA2433">
        <v>0.52140795017939745</v>
      </c>
      <c r="AB2433" t="str">
        <f>HYPERLINK("Melting_Curves/meltCurve_P46777_RPL5.pdf", "Melting_Curves/meltCurve_P46777_RPL5.pdf")</f>
        <v>Melting_Curves/meltCurve_P46777_RPL5.pdf</v>
      </c>
    </row>
    <row r="2434" spans="1:28" x14ac:dyDescent="0.25">
      <c r="A2434" t="s">
        <v>2438</v>
      </c>
      <c r="B2434">
        <v>0.99334974765950101</v>
      </c>
      <c r="C2434">
        <v>1.01631219756671</v>
      </c>
      <c r="D2434">
        <v>0.815719804221258</v>
      </c>
      <c r="E2434">
        <v>0.679934632155341</v>
      </c>
      <c r="F2434">
        <v>0.366586789591198</v>
      </c>
      <c r="G2434">
        <v>0.24032813652697499</v>
      </c>
      <c r="H2434">
        <v>0.21317334184387399</v>
      </c>
      <c r="I2434">
        <v>0.27618660267526801</v>
      </c>
      <c r="J2434">
        <v>0.28338045622358798</v>
      </c>
      <c r="K2434">
        <v>0.24769236949750201</v>
      </c>
      <c r="L2434">
        <v>1099.62847391082</v>
      </c>
      <c r="M2434">
        <v>22.039631397122399</v>
      </c>
      <c r="N2434">
        <v>51.403724840215901</v>
      </c>
      <c r="O2434">
        <v>49.487925561703499</v>
      </c>
      <c r="P2434">
        <v>-8.4801889241662196E-2</v>
      </c>
      <c r="Q2434">
        <v>0.23835812313961099</v>
      </c>
      <c r="R2434">
        <v>0.97877195325469502</v>
      </c>
      <c r="S2434" t="s">
        <v>8295</v>
      </c>
      <c r="T2434" t="s">
        <v>11720</v>
      </c>
      <c r="U2434" t="s">
        <v>11720</v>
      </c>
      <c r="V2434" t="s">
        <v>11720</v>
      </c>
      <c r="W2434" t="s">
        <v>14111</v>
      </c>
      <c r="X2434">
        <v>6</v>
      </c>
      <c r="Y2434" t="s">
        <v>19863</v>
      </c>
      <c r="Z2434" t="s">
        <v>25641</v>
      </c>
      <c r="AA2434">
        <v>0.49828328742982891</v>
      </c>
      <c r="AB2434" t="str">
        <f>HYPERLINK("Melting_Curves/meltCurve_P46778_RPL21.pdf", "Melting_Curves/meltCurve_P46778_RPL21.pdf")</f>
        <v>Melting_Curves/meltCurve_P46778_RPL21.pdf</v>
      </c>
    </row>
    <row r="2435" spans="1:28" x14ac:dyDescent="0.25">
      <c r="A2435" t="s">
        <v>2439</v>
      </c>
      <c r="B2435">
        <v>0.99334974765950101</v>
      </c>
      <c r="C2435">
        <v>1.0385017007452499</v>
      </c>
      <c r="D2435">
        <v>0.92407048860823005</v>
      </c>
      <c r="E2435">
        <v>0.85811177311310005</v>
      </c>
      <c r="F2435">
        <v>0.58802521293946597</v>
      </c>
      <c r="G2435">
        <v>0.397952489532021</v>
      </c>
      <c r="H2435">
        <v>0.23359211657266701</v>
      </c>
      <c r="I2435">
        <v>0.17148187948346899</v>
      </c>
      <c r="J2435">
        <v>0.190040282848011</v>
      </c>
      <c r="K2435">
        <v>0.106329932715112</v>
      </c>
      <c r="L2435">
        <v>904.87364858599005</v>
      </c>
      <c r="M2435">
        <v>16.756178159075201</v>
      </c>
      <c r="N2435">
        <v>54.905400563172201</v>
      </c>
      <c r="O2435">
        <v>53.250819948925503</v>
      </c>
      <c r="P2435">
        <v>-6.9196601710362501E-2</v>
      </c>
      <c r="Q2435">
        <v>0.120435481419038</v>
      </c>
      <c r="R2435">
        <v>0.99233637736971803</v>
      </c>
      <c r="S2435" t="s">
        <v>8296</v>
      </c>
      <c r="T2435" t="s">
        <v>11720</v>
      </c>
      <c r="U2435" t="s">
        <v>11720</v>
      </c>
      <c r="V2435" t="s">
        <v>11720</v>
      </c>
      <c r="W2435" t="s">
        <v>14112</v>
      </c>
      <c r="X2435">
        <v>10</v>
      </c>
      <c r="Y2435" t="s">
        <v>19864</v>
      </c>
      <c r="Z2435" t="s">
        <v>25642</v>
      </c>
      <c r="AA2435">
        <v>0.54656704157135316</v>
      </c>
      <c r="AB2435" t="str">
        <f>HYPERLINK("Melting_Curves/meltCurve_P46781_RPS9.pdf", "Melting_Curves/meltCurve_P46781_RPS9.pdf")</f>
        <v>Melting_Curves/meltCurve_P46781_RPS9.pdf</v>
      </c>
    </row>
    <row r="2436" spans="1:28" x14ac:dyDescent="0.25">
      <c r="A2436" t="s">
        <v>2440</v>
      </c>
      <c r="B2436">
        <v>0.99334974765950101</v>
      </c>
      <c r="C2436">
        <v>1.0700888701273199</v>
      </c>
      <c r="D2436">
        <v>1.01205714839447</v>
      </c>
      <c r="E2436">
        <v>0.89746398485323997</v>
      </c>
      <c r="F2436">
        <v>0.54694541718307399</v>
      </c>
      <c r="G2436">
        <v>0.58138865257128403</v>
      </c>
      <c r="H2436">
        <v>0.41028752276931801</v>
      </c>
      <c r="I2436">
        <v>0.47887940411145002</v>
      </c>
      <c r="J2436">
        <v>0.44347842598099402</v>
      </c>
      <c r="K2436">
        <v>0.60000354121618205</v>
      </c>
      <c r="L2436">
        <v>3172.2639418327599</v>
      </c>
      <c r="M2436">
        <v>62.103345097467802</v>
      </c>
      <c r="O2436">
        <v>51.027518876033398</v>
      </c>
      <c r="P2436">
        <v>-0.151475066934083</v>
      </c>
      <c r="Q2436">
        <v>0.50215924727676298</v>
      </c>
      <c r="R2436">
        <v>0.94502865758648602</v>
      </c>
      <c r="S2436" t="s">
        <v>8297</v>
      </c>
      <c r="T2436" t="s">
        <v>11720</v>
      </c>
      <c r="U2436" t="s">
        <v>11720</v>
      </c>
      <c r="V2436" t="s">
        <v>11720</v>
      </c>
      <c r="W2436" t="s">
        <v>14113</v>
      </c>
      <c r="X2436">
        <v>12</v>
      </c>
      <c r="Y2436" t="s">
        <v>19865</v>
      </c>
      <c r="Z2436" t="s">
        <v>25643</v>
      </c>
      <c r="AA2436">
        <v>0.686760798798419</v>
      </c>
      <c r="AB2436" t="str">
        <f>HYPERLINK("Melting_Curves/meltCurve_P46783_RPS10.pdf", "Melting_Curves/meltCurve_P46783_RPS10.pdf")</f>
        <v>Melting_Curves/meltCurve_P46783_RPS10.pdf</v>
      </c>
    </row>
    <row r="2437" spans="1:28" x14ac:dyDescent="0.25">
      <c r="A2437" t="s">
        <v>2441</v>
      </c>
      <c r="B2437">
        <v>0.99334974765950101</v>
      </c>
      <c r="C2437">
        <v>1.0417807406802899</v>
      </c>
      <c r="D2437">
        <v>0.96125518703144297</v>
      </c>
      <c r="E2437">
        <v>0.86656084049168502</v>
      </c>
      <c r="F2437">
        <v>0.80942620919992003</v>
      </c>
      <c r="G2437">
        <v>0.66769267809858301</v>
      </c>
      <c r="H2437">
        <v>0.55388297055442004</v>
      </c>
      <c r="I2437">
        <v>0.53217835564604898</v>
      </c>
      <c r="J2437">
        <v>0.49767393473238097</v>
      </c>
      <c r="K2437">
        <v>0.42147501961342598</v>
      </c>
      <c r="L2437">
        <v>671.52863585352304</v>
      </c>
      <c r="M2437">
        <v>11.964495352520901</v>
      </c>
      <c r="N2437">
        <v>64.792478955093202</v>
      </c>
      <c r="O2437">
        <v>54.627778404975103</v>
      </c>
      <c r="P2437">
        <v>-3.2911643164920998E-2</v>
      </c>
      <c r="Q2437">
        <v>0.39907153861870098</v>
      </c>
      <c r="R2437">
        <v>0.98789768332082895</v>
      </c>
      <c r="S2437" t="s">
        <v>8298</v>
      </c>
      <c r="T2437" t="s">
        <v>11720</v>
      </c>
      <c r="U2437" t="s">
        <v>11720</v>
      </c>
      <c r="V2437" t="s">
        <v>11720</v>
      </c>
      <c r="W2437" t="s">
        <v>14114</v>
      </c>
      <c r="X2437">
        <v>97</v>
      </c>
      <c r="Y2437" t="s">
        <v>19866</v>
      </c>
      <c r="Z2437" t="s">
        <v>25644</v>
      </c>
      <c r="AA2437">
        <v>0.7341145690181563</v>
      </c>
      <c r="AB2437" t="str">
        <f>HYPERLINK("Melting_Curves/meltCurve_P46821_MAP1B.pdf", "Melting_Curves/meltCurve_P46821_MAP1B.pdf")</f>
        <v>Melting_Curves/meltCurve_P46821_MAP1B.pdf</v>
      </c>
    </row>
    <row r="2438" spans="1:28" x14ac:dyDescent="0.25">
      <c r="A2438" t="s">
        <v>2442</v>
      </c>
      <c r="B2438">
        <v>0.99334974765950101</v>
      </c>
      <c r="C2438">
        <v>1.04068355883561</v>
      </c>
      <c r="D2438">
        <v>1.03658295839324</v>
      </c>
      <c r="E2438">
        <v>1.16588865384022</v>
      </c>
      <c r="F2438">
        <v>1.1573376638675399</v>
      </c>
      <c r="G2438">
        <v>1.16965720174718</v>
      </c>
      <c r="H2438">
        <v>1.20629306604665</v>
      </c>
      <c r="I2438">
        <v>2.0704440191191802</v>
      </c>
      <c r="J2438">
        <v>1.3801139823536399</v>
      </c>
      <c r="K2438">
        <v>0.20045004578870901</v>
      </c>
      <c r="L2438">
        <v>15000</v>
      </c>
      <c r="M2438">
        <v>215.66520907261301</v>
      </c>
      <c r="N2438">
        <v>69.552247620980694</v>
      </c>
      <c r="O2438">
        <v>69.5462699443665</v>
      </c>
      <c r="P2438">
        <v>-0.77525803814348704</v>
      </c>
      <c r="Q2438">
        <v>0</v>
      </c>
      <c r="R2438">
        <v>0.235766880608307</v>
      </c>
      <c r="S2438" t="s">
        <v>8299</v>
      </c>
      <c r="T2438" t="s">
        <v>11720</v>
      </c>
      <c r="U2438" t="s">
        <v>11720</v>
      </c>
      <c r="V2438" t="s">
        <v>11720</v>
      </c>
      <c r="W2438" t="s">
        <v>14115</v>
      </c>
      <c r="X2438">
        <v>18</v>
      </c>
      <c r="Y2438" t="s">
        <v>19867</v>
      </c>
      <c r="Z2438" t="s">
        <v>25645</v>
      </c>
      <c r="AA2438">
        <v>0.98276983505910254</v>
      </c>
      <c r="AB2438" t="str">
        <f>HYPERLINK("Melting_Curves/meltCurve_P46926_GNPDA1.pdf", "Melting_Curves/meltCurve_P46926_GNPDA1.pdf")</f>
        <v>Melting_Curves/meltCurve_P46926_GNPDA1.pdf</v>
      </c>
    </row>
    <row r="2439" spans="1:28" x14ac:dyDescent="0.25">
      <c r="A2439" t="s">
        <v>2443</v>
      </c>
      <c r="B2439">
        <v>0.99334974765950101</v>
      </c>
      <c r="C2439">
        <v>0.96018121149104396</v>
      </c>
      <c r="D2439">
        <v>0.99448635264771901</v>
      </c>
      <c r="E2439">
        <v>0.58824032468572396</v>
      </c>
      <c r="F2439">
        <v>0.28382378571128603</v>
      </c>
      <c r="G2439">
        <v>0.19483777221285301</v>
      </c>
      <c r="H2439">
        <v>0.148571902514436</v>
      </c>
      <c r="I2439">
        <v>0.13937994397436701</v>
      </c>
      <c r="J2439">
        <v>0.146288965462985</v>
      </c>
      <c r="K2439">
        <v>0.119343331950442</v>
      </c>
      <c r="L2439">
        <v>1621.2997424422599</v>
      </c>
      <c r="M2439">
        <v>32.294786852243</v>
      </c>
      <c r="N2439">
        <v>50.743591607613297</v>
      </c>
      <c r="O2439">
        <v>50.011817114437299</v>
      </c>
      <c r="P2439">
        <v>-0.137944162325016</v>
      </c>
      <c r="Q2439">
        <v>0.145520889068739</v>
      </c>
      <c r="R2439">
        <v>0.99655242761922802</v>
      </c>
      <c r="S2439" t="s">
        <v>8300</v>
      </c>
      <c r="T2439" t="s">
        <v>11720</v>
      </c>
      <c r="U2439" t="s">
        <v>11720</v>
      </c>
      <c r="V2439" t="s">
        <v>11720</v>
      </c>
      <c r="W2439" t="s">
        <v>14116</v>
      </c>
      <c r="X2439">
        <v>18</v>
      </c>
      <c r="Y2439" t="s">
        <v>19868</v>
      </c>
      <c r="Z2439" t="s">
        <v>25646</v>
      </c>
      <c r="AA2439">
        <v>0.44070227240352522</v>
      </c>
      <c r="AB2439" t="str">
        <f>HYPERLINK("Melting_Curves/meltCurve_P46934_4_NEDD4.pdf", "Melting_Curves/meltCurve_P46934_4_NEDD4.pdf")</f>
        <v>Melting_Curves/meltCurve_P46934_4_NEDD4.pdf</v>
      </c>
    </row>
    <row r="2440" spans="1:28" x14ac:dyDescent="0.25">
      <c r="A2440" t="s">
        <v>2444</v>
      </c>
      <c r="B2440">
        <v>0.99334974765950101</v>
      </c>
      <c r="C2440">
        <v>0.958379006519812</v>
      </c>
      <c r="D2440">
        <v>0.92241493110962702</v>
      </c>
      <c r="E2440">
        <v>0.37974544750492001</v>
      </c>
      <c r="F2440">
        <v>0.20411589505184999</v>
      </c>
      <c r="G2440">
        <v>0.119221358541699</v>
      </c>
      <c r="H2440">
        <v>9.5303104395862898E-2</v>
      </c>
      <c r="I2440">
        <v>8.6380254883308194E-2</v>
      </c>
      <c r="J2440">
        <v>7.7542507969825994E-2</v>
      </c>
      <c r="K2440">
        <v>6.3507490407465395E-2</v>
      </c>
      <c r="L2440">
        <v>1534.14200493053</v>
      </c>
      <c r="M2440">
        <v>31.320101664627199</v>
      </c>
      <c r="N2440">
        <v>49.293778711997</v>
      </c>
      <c r="O2440">
        <v>48.784274686299803</v>
      </c>
      <c r="P2440">
        <v>-0.146109514616552</v>
      </c>
      <c r="Q2440">
        <v>8.9682703413707002E-2</v>
      </c>
      <c r="R2440">
        <v>0.99659904176952097</v>
      </c>
      <c r="S2440" t="s">
        <v>8301</v>
      </c>
      <c r="T2440" t="s">
        <v>11720</v>
      </c>
      <c r="U2440" t="s">
        <v>11720</v>
      </c>
      <c r="V2440" t="s">
        <v>11720</v>
      </c>
      <c r="W2440" t="s">
        <v>14117</v>
      </c>
      <c r="X2440">
        <v>40</v>
      </c>
      <c r="Y2440" t="s">
        <v>19869</v>
      </c>
      <c r="Z2440" t="s">
        <v>25647</v>
      </c>
      <c r="AA2440">
        <v>0.36732691780653642</v>
      </c>
      <c r="AB2440" t="str">
        <f>HYPERLINK("Melting_Curves/meltCurve_P46939_UTRN.pdf", "Melting_Curves/meltCurve_P46939_UTRN.pdf")</f>
        <v>Melting_Curves/meltCurve_P46939_UTRN.pdf</v>
      </c>
    </row>
    <row r="2441" spans="1:28" x14ac:dyDescent="0.25">
      <c r="A2441" t="s">
        <v>2445</v>
      </c>
      <c r="B2441">
        <v>0.99334974765950101</v>
      </c>
      <c r="C2441">
        <v>1.01318896338916</v>
      </c>
      <c r="D2441">
        <v>1.2701662970487</v>
      </c>
      <c r="E2441">
        <v>1.0870389302663801</v>
      </c>
      <c r="F2441">
        <v>0.24305061716273901</v>
      </c>
      <c r="G2441">
        <v>0.160685207185746</v>
      </c>
      <c r="H2441">
        <v>0.11854362452900601</v>
      </c>
      <c r="I2441">
        <v>0.111135760408099</v>
      </c>
      <c r="J2441">
        <v>9.90450923202668E-2</v>
      </c>
      <c r="K2441">
        <v>8.2751634896277598E-2</v>
      </c>
      <c r="L2441">
        <v>13156.0611249138</v>
      </c>
      <c r="M2441">
        <v>250</v>
      </c>
      <c r="N2441">
        <v>52.679030198779301</v>
      </c>
      <c r="O2441">
        <v>52.620876816703202</v>
      </c>
      <c r="P2441">
        <v>-1.0518258267002301</v>
      </c>
      <c r="Q2441">
        <v>0.114432043534969</v>
      </c>
      <c r="R2441">
        <v>0.96264903518686396</v>
      </c>
      <c r="S2441" t="s">
        <v>8302</v>
      </c>
      <c r="T2441" t="s">
        <v>11720</v>
      </c>
      <c r="U2441" t="s">
        <v>11720</v>
      </c>
      <c r="V2441" t="s">
        <v>11720</v>
      </c>
      <c r="W2441" t="s">
        <v>14118</v>
      </c>
      <c r="X2441">
        <v>75</v>
      </c>
      <c r="Y2441" t="s">
        <v>19870</v>
      </c>
      <c r="Z2441" t="s">
        <v>25648</v>
      </c>
      <c r="AA2441">
        <v>0.48716804337371028</v>
      </c>
      <c r="AB2441" t="str">
        <f>HYPERLINK("Melting_Curves/meltCurve_P46940_IQGAP1.pdf", "Melting_Curves/meltCurve_P46940_IQGAP1.pdf")</f>
        <v>Melting_Curves/meltCurve_P46940_IQGAP1.pdf</v>
      </c>
    </row>
    <row r="2442" spans="1:28" x14ac:dyDescent="0.25">
      <c r="A2442" t="s">
        <v>2446</v>
      </c>
      <c r="B2442">
        <v>0.99334974765950101</v>
      </c>
      <c r="C2442">
        <v>0.93847476342654201</v>
      </c>
      <c r="D2442">
        <v>0.85185030845050103</v>
      </c>
      <c r="E2442">
        <v>0.69919005528025302</v>
      </c>
      <c r="F2442">
        <v>0.51697463302834501</v>
      </c>
      <c r="G2442">
        <v>0.32339157903180299</v>
      </c>
      <c r="H2442">
        <v>0.21700054561253099</v>
      </c>
      <c r="I2442">
        <v>0.19285008927088201</v>
      </c>
      <c r="J2442">
        <v>0.18831593877717701</v>
      </c>
      <c r="K2442">
        <v>0.154352061133369</v>
      </c>
      <c r="L2442">
        <v>697.421163870437</v>
      </c>
      <c r="M2442">
        <v>13.4054613017741</v>
      </c>
      <c r="N2442">
        <v>53.198637510675702</v>
      </c>
      <c r="O2442">
        <v>50.9083519916311</v>
      </c>
      <c r="P2442">
        <v>-5.7414181700117799E-2</v>
      </c>
      <c r="Q2442">
        <v>0.12799620193560099</v>
      </c>
      <c r="R2442">
        <v>0.99817028385750195</v>
      </c>
      <c r="S2442" t="s">
        <v>8303</v>
      </c>
      <c r="T2442" t="s">
        <v>11720</v>
      </c>
      <c r="U2442" t="s">
        <v>11720</v>
      </c>
      <c r="V2442" t="s">
        <v>11720</v>
      </c>
      <c r="W2442" t="s">
        <v>14119</v>
      </c>
      <c r="X2442">
        <v>8</v>
      </c>
      <c r="Y2442" t="s">
        <v>19871</v>
      </c>
      <c r="Z2442" t="s">
        <v>25649</v>
      </c>
      <c r="AA2442">
        <v>0.50049154116443917</v>
      </c>
      <c r="AB2442" t="str">
        <f>HYPERLINK("Melting_Curves/meltCurve_P46976_2_GYG1.pdf", "Melting_Curves/meltCurve_P46976_2_GYG1.pdf")</f>
        <v>Melting_Curves/meltCurve_P46976_2_GYG1.pdf</v>
      </c>
    </row>
    <row r="2443" spans="1:28" x14ac:dyDescent="0.25">
      <c r="A2443" t="s">
        <v>2447</v>
      </c>
      <c r="B2443">
        <v>0.99334974765950101</v>
      </c>
      <c r="C2443">
        <v>0.999002734803076</v>
      </c>
      <c r="D2443">
        <v>1.18060501732087</v>
      </c>
      <c r="E2443">
        <v>1.5659382506033099</v>
      </c>
      <c r="F2443">
        <v>0.40229334693803998</v>
      </c>
      <c r="G2443">
        <v>0.16867524226643399</v>
      </c>
      <c r="H2443">
        <v>0.110577039775187</v>
      </c>
      <c r="I2443">
        <v>0.11652330935583501</v>
      </c>
      <c r="J2443">
        <v>8.9459361867649495E-2</v>
      </c>
      <c r="K2443">
        <v>6.38866543016917E-2</v>
      </c>
      <c r="L2443">
        <v>13212.119542362399</v>
      </c>
      <c r="M2443">
        <v>250</v>
      </c>
      <c r="N2443">
        <v>52.900959766601801</v>
      </c>
      <c r="O2443">
        <v>52.845107559475103</v>
      </c>
      <c r="P2443">
        <v>-1.05281285046875</v>
      </c>
      <c r="Q2443">
        <v>0.10982405829306099</v>
      </c>
      <c r="R2443">
        <v>0.87274393619990798</v>
      </c>
      <c r="S2443" t="s">
        <v>8304</v>
      </c>
      <c r="T2443" t="s">
        <v>11720</v>
      </c>
      <c r="U2443" t="s">
        <v>11720</v>
      </c>
      <c r="V2443" t="s">
        <v>11720</v>
      </c>
      <c r="W2443" t="s">
        <v>14120</v>
      </c>
      <c r="X2443">
        <v>12</v>
      </c>
      <c r="Y2443" t="s">
        <v>19872</v>
      </c>
      <c r="Z2443" t="s">
        <v>25650</v>
      </c>
      <c r="AA2443">
        <v>0.49115349235949057</v>
      </c>
      <c r="AB2443" t="str">
        <f>HYPERLINK("Melting_Curves/meltCurve_P46977_STT3A.pdf", "Melting_Curves/meltCurve_P46977_STT3A.pdf")</f>
        <v>Melting_Curves/meltCurve_P46977_STT3A.pdf</v>
      </c>
    </row>
    <row r="2444" spans="1:28" x14ac:dyDescent="0.25">
      <c r="A2444" t="s">
        <v>2448</v>
      </c>
      <c r="B2444">
        <v>0.99334974765950101</v>
      </c>
      <c r="C2444">
        <v>0.91479773476561299</v>
      </c>
      <c r="D2444">
        <v>0.84084712051070498</v>
      </c>
      <c r="E2444">
        <v>0.70492206026640103</v>
      </c>
      <c r="F2444">
        <v>0.38130899304333699</v>
      </c>
      <c r="G2444">
        <v>0.46436541040234097</v>
      </c>
      <c r="H2444">
        <v>0.34205067935802003</v>
      </c>
      <c r="I2444">
        <v>0.18565023556629401</v>
      </c>
      <c r="J2444">
        <v>0.116770419669343</v>
      </c>
      <c r="K2444">
        <v>0.108490676088941</v>
      </c>
      <c r="L2444">
        <v>474.58119224434</v>
      </c>
      <c r="M2444">
        <v>8.7956905331403004</v>
      </c>
      <c r="N2444">
        <v>53.9561036949056</v>
      </c>
      <c r="O2444">
        <v>51.385197800638501</v>
      </c>
      <c r="P2444">
        <v>-4.2826815361102603E-2</v>
      </c>
      <c r="Q2444">
        <v>0</v>
      </c>
      <c r="R2444">
        <v>0.95838057178946001</v>
      </c>
      <c r="S2444" t="s">
        <v>8305</v>
      </c>
      <c r="T2444" t="s">
        <v>11720</v>
      </c>
      <c r="U2444" t="s">
        <v>11720</v>
      </c>
      <c r="V2444" t="s">
        <v>11720</v>
      </c>
      <c r="W2444" t="s">
        <v>14121</v>
      </c>
      <c r="X2444">
        <v>2</v>
      </c>
      <c r="Y2444" t="s">
        <v>19873</v>
      </c>
      <c r="Z2444" t="s">
        <v>25651</v>
      </c>
      <c r="AA2444">
        <v>0.49806864515702309</v>
      </c>
      <c r="AB2444" t="str">
        <f>HYPERLINK("Melting_Curves/meltCurve_P47224_RABIF.pdf", "Melting_Curves/meltCurve_P47224_RABIF.pdf")</f>
        <v>Melting_Curves/meltCurve_P47224_RABIF.pdf</v>
      </c>
    </row>
    <row r="2445" spans="1:28" x14ac:dyDescent="0.25">
      <c r="A2445" t="s">
        <v>2449</v>
      </c>
      <c r="B2445">
        <v>0.99334974765950101</v>
      </c>
      <c r="C2445">
        <v>0.96099633417685604</v>
      </c>
      <c r="D2445">
        <v>0.942879599128014</v>
      </c>
      <c r="E2445">
        <v>0.60741885414242602</v>
      </c>
      <c r="F2445">
        <v>0.241653339950753</v>
      </c>
      <c r="G2445">
        <v>0.21044065082996599</v>
      </c>
      <c r="H2445">
        <v>0.12533938617085799</v>
      </c>
      <c r="I2445">
        <v>0.185181569547511</v>
      </c>
      <c r="J2445">
        <v>0.14588784286241999</v>
      </c>
      <c r="K2445">
        <v>0.126844738496391</v>
      </c>
      <c r="L2445">
        <v>1710.9553664022001</v>
      </c>
      <c r="M2445">
        <v>34.1326846517794</v>
      </c>
      <c r="N2445">
        <v>50.6645363125157</v>
      </c>
      <c r="O2445">
        <v>49.9554599643469</v>
      </c>
      <c r="P2445">
        <v>-0.14485206963085701</v>
      </c>
      <c r="Q2445">
        <v>0.152000416935028</v>
      </c>
      <c r="R2445">
        <v>0.99450975485885396</v>
      </c>
      <c r="S2445" t="s">
        <v>8306</v>
      </c>
      <c r="T2445" t="s">
        <v>11720</v>
      </c>
      <c r="U2445" t="s">
        <v>11720</v>
      </c>
      <c r="V2445" t="s">
        <v>11720</v>
      </c>
      <c r="W2445" t="s">
        <v>14122</v>
      </c>
      <c r="X2445">
        <v>3</v>
      </c>
      <c r="Y2445" t="s">
        <v>19874</v>
      </c>
      <c r="Z2445" t="s">
        <v>25652</v>
      </c>
      <c r="AA2445">
        <v>0.44229433577287353</v>
      </c>
      <c r="AB2445" t="str">
        <f>HYPERLINK("Melting_Curves/meltCurve_P47712_PLA2G4A.pdf", "Melting_Curves/meltCurve_P47712_PLA2G4A.pdf")</f>
        <v>Melting_Curves/meltCurve_P47712_PLA2G4A.pdf</v>
      </c>
    </row>
    <row r="2446" spans="1:28" x14ac:dyDescent="0.25">
      <c r="A2446" t="s">
        <v>2450</v>
      </c>
      <c r="B2446">
        <v>0.99334974765950101</v>
      </c>
      <c r="C2446">
        <v>1.0311310701336001</v>
      </c>
      <c r="D2446">
        <v>0.96085916736976795</v>
      </c>
      <c r="E2446">
        <v>0.89935784953853704</v>
      </c>
      <c r="F2446">
        <v>0.83664172464728803</v>
      </c>
      <c r="G2446">
        <v>0.36007139992328502</v>
      </c>
      <c r="H2446">
        <v>0.23246439554516701</v>
      </c>
      <c r="I2446">
        <v>0.17416197311027201</v>
      </c>
      <c r="J2446">
        <v>0.206560366561714</v>
      </c>
      <c r="K2446">
        <v>0.171222691861627</v>
      </c>
      <c r="L2446">
        <v>1752.25248364512</v>
      </c>
      <c r="M2446">
        <v>31.8933768792355</v>
      </c>
      <c r="N2446">
        <v>55.732969306926996</v>
      </c>
      <c r="O2446">
        <v>54.726312379946798</v>
      </c>
      <c r="P2446">
        <v>-0.11914764132295701</v>
      </c>
      <c r="Q2446">
        <v>0.182215529847847</v>
      </c>
      <c r="R2446">
        <v>0.99291642719613604</v>
      </c>
      <c r="S2446" t="s">
        <v>8307</v>
      </c>
      <c r="T2446" t="s">
        <v>11720</v>
      </c>
      <c r="U2446" t="s">
        <v>11720</v>
      </c>
      <c r="V2446" t="s">
        <v>11720</v>
      </c>
      <c r="W2446" t="s">
        <v>14123</v>
      </c>
      <c r="X2446">
        <v>17</v>
      </c>
      <c r="Y2446" t="s">
        <v>19875</v>
      </c>
      <c r="Z2446" t="s">
        <v>25653</v>
      </c>
      <c r="AA2446">
        <v>0.59432298352281265</v>
      </c>
      <c r="AB2446" t="str">
        <f>HYPERLINK("Melting_Curves/meltCurve_P47755_CAPZA2.pdf", "Melting_Curves/meltCurve_P47755_CAPZA2.pdf")</f>
        <v>Melting_Curves/meltCurve_P47755_CAPZA2.pdf</v>
      </c>
    </row>
    <row r="2447" spans="1:28" x14ac:dyDescent="0.25">
      <c r="A2447" t="s">
        <v>2451</v>
      </c>
      <c r="B2447">
        <v>0.99334974765950101</v>
      </c>
      <c r="C2447">
        <v>0.92283184188054501</v>
      </c>
      <c r="D2447">
        <v>0.87805713898863902</v>
      </c>
      <c r="E2447">
        <v>0.86679600591166595</v>
      </c>
      <c r="F2447">
        <v>0.74740010441839599</v>
      </c>
      <c r="G2447">
        <v>0.342283613957513</v>
      </c>
      <c r="H2447">
        <v>0.20797560934004899</v>
      </c>
      <c r="I2447">
        <v>0.17072223914641799</v>
      </c>
      <c r="J2447">
        <v>0.14652924464809</v>
      </c>
      <c r="K2447">
        <v>0.111525038163493</v>
      </c>
      <c r="L2447">
        <v>1087.18826970911</v>
      </c>
      <c r="M2447">
        <v>19.879032965685202</v>
      </c>
      <c r="N2447">
        <v>55.382374953050601</v>
      </c>
      <c r="O2447">
        <v>54.145762498148898</v>
      </c>
      <c r="P2447">
        <v>-8.1691350281626204E-2</v>
      </c>
      <c r="Q2447">
        <v>0.109998041135197</v>
      </c>
      <c r="R2447">
        <v>0.98276738297747501</v>
      </c>
      <c r="S2447" t="s">
        <v>8308</v>
      </c>
      <c r="T2447" t="s">
        <v>11720</v>
      </c>
      <c r="U2447" t="s">
        <v>11720</v>
      </c>
      <c r="V2447" t="s">
        <v>11720</v>
      </c>
      <c r="W2447" t="s">
        <v>14124</v>
      </c>
      <c r="X2447">
        <v>25</v>
      </c>
      <c r="Y2447" t="s">
        <v>19876</v>
      </c>
      <c r="Z2447" t="s">
        <v>25654</v>
      </c>
      <c r="AA2447">
        <v>0.55785896330888418</v>
      </c>
      <c r="AB2447" t="str">
        <f>HYPERLINK("Melting_Curves/meltCurve_P47756_CAPZB.pdf", "Melting_Curves/meltCurve_P47756_CAPZB.pdf")</f>
        <v>Melting_Curves/meltCurve_P47756_CAPZB.pdf</v>
      </c>
    </row>
    <row r="2448" spans="1:28" x14ac:dyDescent="0.25">
      <c r="A2448" t="s">
        <v>2452</v>
      </c>
      <c r="B2448">
        <v>0.99334974765950101</v>
      </c>
      <c r="C2448">
        <v>1.12866328982169</v>
      </c>
      <c r="D2448">
        <v>1.06565020225089</v>
      </c>
      <c r="E2448">
        <v>1.0951707938225901</v>
      </c>
      <c r="F2448">
        <v>0.76725898564072503</v>
      </c>
      <c r="G2448">
        <v>0.36111254989884101</v>
      </c>
      <c r="H2448">
        <v>0.19725673056294299</v>
      </c>
      <c r="I2448">
        <v>0.169198809134018</v>
      </c>
      <c r="J2448">
        <v>0.109595567537845</v>
      </c>
      <c r="K2448">
        <v>7.5837626161178007E-2</v>
      </c>
      <c r="L2448">
        <v>1735.2762282913</v>
      </c>
      <c r="M2448">
        <v>31.452777339959901</v>
      </c>
      <c r="N2448">
        <v>55.669806477026697</v>
      </c>
      <c r="O2448">
        <v>54.949259042492201</v>
      </c>
      <c r="P2448">
        <v>-0.12552311905219299</v>
      </c>
      <c r="Q2448">
        <v>0.122829113149271</v>
      </c>
      <c r="R2448">
        <v>0.97598569900465304</v>
      </c>
      <c r="S2448" t="s">
        <v>8309</v>
      </c>
      <c r="T2448" t="s">
        <v>11720</v>
      </c>
      <c r="U2448" t="s">
        <v>11720</v>
      </c>
      <c r="V2448" t="s">
        <v>11720</v>
      </c>
      <c r="W2448" t="s">
        <v>14125</v>
      </c>
      <c r="X2448">
        <v>27</v>
      </c>
      <c r="Y2448" t="s">
        <v>19876</v>
      </c>
      <c r="Z2448" t="s">
        <v>25655</v>
      </c>
      <c r="AA2448">
        <v>0.57173686273905988</v>
      </c>
      <c r="AB2448" t="str">
        <f>HYPERLINK("Melting_Curves/meltCurve_P47756_2_CAPZB.pdf", "Melting_Curves/meltCurve_P47756_2_CAPZB.pdf")</f>
        <v>Melting_Curves/meltCurve_P47756_2_CAPZB.pdf</v>
      </c>
    </row>
    <row r="2449" spans="1:28" x14ac:dyDescent="0.25">
      <c r="A2449" t="s">
        <v>2453</v>
      </c>
      <c r="B2449">
        <v>0.99334974765950101</v>
      </c>
      <c r="C2449">
        <v>1.0540739640344401</v>
      </c>
      <c r="D2449">
        <v>1.0016487684131601</v>
      </c>
      <c r="E2449">
        <v>0.77489733148602902</v>
      </c>
      <c r="F2449">
        <v>0.51535128688953702</v>
      </c>
      <c r="G2449">
        <v>0.209990186304334</v>
      </c>
      <c r="H2449">
        <v>0.13351206465999799</v>
      </c>
      <c r="I2449">
        <v>0.114632560373607</v>
      </c>
      <c r="J2449">
        <v>0.124296470772242</v>
      </c>
      <c r="K2449">
        <v>7.3598037992695597E-2</v>
      </c>
      <c r="L2449">
        <v>1266.3066221046199</v>
      </c>
      <c r="M2449">
        <v>24.0980790907157</v>
      </c>
      <c r="N2449">
        <v>53.029090194412603</v>
      </c>
      <c r="O2449">
        <v>52.190181730174999</v>
      </c>
      <c r="P2449">
        <v>-0.10410217967459399</v>
      </c>
      <c r="Q2449">
        <v>9.8180901964440598E-2</v>
      </c>
      <c r="R2449">
        <v>0.99607602532294104</v>
      </c>
      <c r="S2449" t="s">
        <v>8310</v>
      </c>
      <c r="T2449" t="s">
        <v>11720</v>
      </c>
      <c r="U2449" t="s">
        <v>11720</v>
      </c>
      <c r="V2449" t="s">
        <v>11720</v>
      </c>
      <c r="W2449" t="s">
        <v>14126</v>
      </c>
      <c r="X2449">
        <v>9</v>
      </c>
      <c r="Y2449" t="s">
        <v>19877</v>
      </c>
      <c r="Z2449" t="s">
        <v>25656</v>
      </c>
      <c r="AA2449">
        <v>0.48425175962559869</v>
      </c>
      <c r="AB2449" t="str">
        <f>HYPERLINK("Melting_Curves/meltCurve_P47813_EIF1AX.pdf", "Melting_Curves/meltCurve_P47813_EIF1AX.pdf")</f>
        <v>Melting_Curves/meltCurve_P47813_EIF1AX.pdf</v>
      </c>
    </row>
    <row r="2450" spans="1:28" x14ac:dyDescent="0.25">
      <c r="A2450" t="s">
        <v>2454</v>
      </c>
      <c r="B2450">
        <v>0.99334974765950101</v>
      </c>
      <c r="C2450">
        <v>1.1948573303810801</v>
      </c>
      <c r="D2450">
        <v>1.0125028448434199</v>
      </c>
      <c r="E2450">
        <v>1.2248258757388</v>
      </c>
      <c r="F2450">
        <v>1.81854571288413</v>
      </c>
      <c r="G2450">
        <v>0.86954677315328199</v>
      </c>
      <c r="H2450">
        <v>0.78055979010681997</v>
      </c>
      <c r="I2450">
        <v>0.75583336277717195</v>
      </c>
      <c r="J2450">
        <v>0.65070784439589502</v>
      </c>
      <c r="K2450">
        <v>0.72962811636057001</v>
      </c>
      <c r="L2450">
        <v>14254.174021334</v>
      </c>
      <c r="M2450">
        <v>250</v>
      </c>
      <c r="O2450">
        <v>57.013047764335496</v>
      </c>
      <c r="P2450">
        <v>-0.29688131186570399</v>
      </c>
      <c r="Q2450">
        <v>0.729182267451984</v>
      </c>
      <c r="R2450">
        <v>0.28769979323116501</v>
      </c>
      <c r="S2450" t="s">
        <v>8311</v>
      </c>
      <c r="T2450" t="s">
        <v>11720</v>
      </c>
      <c r="U2450" t="s">
        <v>11720</v>
      </c>
      <c r="V2450" t="s">
        <v>11720</v>
      </c>
      <c r="W2450" t="s">
        <v>14127</v>
      </c>
      <c r="X2450">
        <v>5</v>
      </c>
      <c r="Y2450" t="s">
        <v>19878</v>
      </c>
      <c r="Z2450" t="s">
        <v>25657</v>
      </c>
      <c r="AA2450">
        <v>0.88282346804192313</v>
      </c>
      <c r="AB2450" t="str">
        <f>HYPERLINK("Melting_Curves/meltCurve_P47914_RPL29.pdf", "Melting_Curves/meltCurve_P47914_RPL29.pdf")</f>
        <v>Melting_Curves/meltCurve_P47914_RPL29.pdf</v>
      </c>
    </row>
    <row r="2451" spans="1:28" x14ac:dyDescent="0.25">
      <c r="A2451" t="s">
        <v>2455</v>
      </c>
      <c r="B2451">
        <v>0.99334974765950101</v>
      </c>
      <c r="C2451">
        <v>0.84696845239937002</v>
      </c>
      <c r="D2451">
        <v>0.68792799165198604</v>
      </c>
      <c r="E2451">
        <v>0.441214879325593</v>
      </c>
      <c r="F2451">
        <v>0.28586205798627601</v>
      </c>
      <c r="G2451">
        <v>0.221348006758502</v>
      </c>
      <c r="H2451">
        <v>0.20109943453387799</v>
      </c>
      <c r="I2451">
        <v>0.16340412232558599</v>
      </c>
      <c r="J2451">
        <v>0.105173851489856</v>
      </c>
      <c r="K2451">
        <v>0.14526045827283399</v>
      </c>
      <c r="L2451">
        <v>699.91496027622702</v>
      </c>
      <c r="M2451">
        <v>14.6316089207674</v>
      </c>
      <c r="N2451">
        <v>48.8808802025235</v>
      </c>
      <c r="O2451">
        <v>46.968910853506799</v>
      </c>
      <c r="P2451">
        <v>-6.7426724256666001E-2</v>
      </c>
      <c r="Q2451">
        <v>0.13431060607356601</v>
      </c>
      <c r="R2451">
        <v>0.99440691350534804</v>
      </c>
      <c r="S2451" t="s">
        <v>8312</v>
      </c>
      <c r="T2451" t="s">
        <v>11720</v>
      </c>
      <c r="U2451" t="s">
        <v>11720</v>
      </c>
      <c r="V2451" t="s">
        <v>11720</v>
      </c>
      <c r="W2451" t="s">
        <v>14128</v>
      </c>
      <c r="X2451">
        <v>6</v>
      </c>
      <c r="Y2451" t="s">
        <v>19879</v>
      </c>
      <c r="Z2451" t="s">
        <v>25658</v>
      </c>
      <c r="AA2451">
        <v>0.38401289119176901</v>
      </c>
      <c r="AB2451" t="str">
        <f>HYPERLINK("Melting_Curves/meltCurve_P47974_ZFP36L2.pdf", "Melting_Curves/meltCurve_P47974_ZFP36L2.pdf")</f>
        <v>Melting_Curves/meltCurve_P47974_ZFP36L2.pdf</v>
      </c>
    </row>
    <row r="2452" spans="1:28" x14ac:dyDescent="0.25">
      <c r="A2452" t="s">
        <v>2456</v>
      </c>
      <c r="B2452">
        <v>0.99334974765950101</v>
      </c>
      <c r="C2452">
        <v>0.88828834520200695</v>
      </c>
      <c r="D2452">
        <v>0.75181087505305699</v>
      </c>
      <c r="E2452">
        <v>0.69934210082998505</v>
      </c>
      <c r="F2452">
        <v>0.80958289344297796</v>
      </c>
      <c r="G2452">
        <v>0.60688247421264196</v>
      </c>
      <c r="H2452">
        <v>0.38461888387370302</v>
      </c>
      <c r="I2452">
        <v>0.182021108881921</v>
      </c>
      <c r="J2452">
        <v>0.15667574537008</v>
      </c>
      <c r="K2452">
        <v>0.108350028364532</v>
      </c>
      <c r="L2452">
        <v>526.64854512934505</v>
      </c>
      <c r="M2452">
        <v>9.2198274551570005</v>
      </c>
      <c r="N2452">
        <v>57.121304556284002</v>
      </c>
      <c r="O2452">
        <v>54.626834430932803</v>
      </c>
      <c r="P2452">
        <v>-4.2222554196499999E-2</v>
      </c>
      <c r="Q2452">
        <v>0</v>
      </c>
      <c r="R2452">
        <v>0.91879084253929399</v>
      </c>
      <c r="S2452" t="s">
        <v>8313</v>
      </c>
      <c r="T2452" t="s">
        <v>11720</v>
      </c>
      <c r="U2452" t="s">
        <v>11720</v>
      </c>
      <c r="V2452" t="s">
        <v>11720</v>
      </c>
      <c r="W2452" t="s">
        <v>14129</v>
      </c>
      <c r="X2452">
        <v>11</v>
      </c>
      <c r="Y2452" t="s">
        <v>19880</v>
      </c>
      <c r="Z2452" t="s">
        <v>25659</v>
      </c>
      <c r="AA2452">
        <v>0.5846632180927348</v>
      </c>
      <c r="AB2452" t="str">
        <f>HYPERLINK("Melting_Curves/meltCurve_P47985_UQCRFS1.pdf", "Melting_Curves/meltCurve_P47985_UQCRFS1.pdf")</f>
        <v>Melting_Curves/meltCurve_P47985_UQCRFS1.pdf</v>
      </c>
    </row>
    <row r="2453" spans="1:28" x14ac:dyDescent="0.25">
      <c r="A2453" t="s">
        <v>2457</v>
      </c>
      <c r="B2453">
        <v>0.99334974765950101</v>
      </c>
      <c r="C2453">
        <v>0.94268725221194205</v>
      </c>
      <c r="D2453">
        <v>1.02552656752806</v>
      </c>
      <c r="E2453">
        <v>1.2040255309807499</v>
      </c>
      <c r="F2453">
        <v>1.2102321099337101</v>
      </c>
      <c r="G2453">
        <v>1.30766416711329</v>
      </c>
      <c r="H2453">
        <v>1.1894858907656001</v>
      </c>
      <c r="I2453">
        <v>1.3677625147925201</v>
      </c>
      <c r="J2453">
        <v>1.0802571005511299</v>
      </c>
      <c r="K2453">
        <v>0.71442892811503</v>
      </c>
      <c r="L2453">
        <v>15000</v>
      </c>
      <c r="M2453">
        <v>213.368669212535</v>
      </c>
      <c r="Q2453">
        <v>0</v>
      </c>
      <c r="R2453">
        <v>-7.6287333619723605E-2</v>
      </c>
      <c r="S2453" t="s">
        <v>8314</v>
      </c>
      <c r="T2453" t="s">
        <v>11720</v>
      </c>
      <c r="U2453" t="s">
        <v>11720</v>
      </c>
      <c r="V2453" t="s">
        <v>11720</v>
      </c>
      <c r="W2453" t="s">
        <v>14130</v>
      </c>
      <c r="X2453">
        <v>2</v>
      </c>
      <c r="Y2453" t="s">
        <v>19881</v>
      </c>
      <c r="Z2453" t="s">
        <v>25660</v>
      </c>
      <c r="AA2453">
        <v>0.9963751580066823</v>
      </c>
      <c r="AB2453" t="str">
        <f>HYPERLINK("Melting_Curves/meltCurve_P48029_SLC6A8.pdf", "Melting_Curves/meltCurve_P48029_SLC6A8.pdf")</f>
        <v>Melting_Curves/meltCurve_P48029_SLC6A8.pdf</v>
      </c>
    </row>
    <row r="2454" spans="1:28" x14ac:dyDescent="0.25">
      <c r="A2454" t="s">
        <v>2458</v>
      </c>
      <c r="B2454">
        <v>0.99334974765950101</v>
      </c>
      <c r="C2454">
        <v>1.04566057533151</v>
      </c>
      <c r="D2454">
        <v>0.98324102232904897</v>
      </c>
      <c r="E2454">
        <v>1.49598851859708</v>
      </c>
      <c r="F2454">
        <v>1.36224639741761</v>
      </c>
      <c r="G2454">
        <v>2.4690405304612799</v>
      </c>
      <c r="H2454">
        <v>2.1541284781039498</v>
      </c>
      <c r="I2454">
        <v>1.2484390536377801</v>
      </c>
      <c r="J2454">
        <v>0.26383764355017097</v>
      </c>
      <c r="K2454">
        <v>0.19782809040664101</v>
      </c>
      <c r="L2454">
        <v>15000</v>
      </c>
      <c r="M2454">
        <v>226.264323424385</v>
      </c>
      <c r="N2454">
        <v>66.441230832345695</v>
      </c>
      <c r="O2454">
        <v>66.288988527027399</v>
      </c>
      <c r="P2454">
        <v>-0.68520898837723898</v>
      </c>
      <c r="Q2454">
        <v>0.19701356324573499</v>
      </c>
      <c r="R2454">
        <v>0.15025958208868601</v>
      </c>
      <c r="S2454" t="s">
        <v>8315</v>
      </c>
      <c r="T2454" t="s">
        <v>11720</v>
      </c>
      <c r="U2454" t="s">
        <v>11720</v>
      </c>
      <c r="V2454" t="s">
        <v>11720</v>
      </c>
      <c r="W2454" t="s">
        <v>14131</v>
      </c>
      <c r="X2454">
        <v>12</v>
      </c>
      <c r="Y2454" t="s">
        <v>19882</v>
      </c>
      <c r="Z2454" t="s">
        <v>25661</v>
      </c>
      <c r="AA2454">
        <v>0.90092230845806598</v>
      </c>
      <c r="AB2454" t="str">
        <f>HYPERLINK("Melting_Curves/meltCurve_P48047_ATP5O.pdf", "Melting_Curves/meltCurve_P48047_ATP5O.pdf")</f>
        <v>Melting_Curves/meltCurve_P48047_ATP5O.pdf</v>
      </c>
    </row>
    <row r="2455" spans="1:28" x14ac:dyDescent="0.25">
      <c r="A2455" t="s">
        <v>2459</v>
      </c>
      <c r="B2455">
        <v>0.99334974765950101</v>
      </c>
      <c r="C2455">
        <v>0.97174276798894299</v>
      </c>
      <c r="D2455">
        <v>1.1109430737844901</v>
      </c>
      <c r="E2455">
        <v>0.81077065697778605</v>
      </c>
      <c r="F2455">
        <v>0.494692146484911</v>
      </c>
      <c r="G2455">
        <v>0.282531780383728</v>
      </c>
      <c r="H2455">
        <v>0.122355844265037</v>
      </c>
      <c r="I2455">
        <v>8.65586149684546E-2</v>
      </c>
      <c r="J2455">
        <v>8.8021438842495997E-2</v>
      </c>
      <c r="K2455">
        <v>7.2455520147556005E-2</v>
      </c>
      <c r="L2455">
        <v>1257.6728813733901</v>
      </c>
      <c r="M2455">
        <v>23.768710286686201</v>
      </c>
      <c r="N2455">
        <v>53.330060918951197</v>
      </c>
      <c r="O2455">
        <v>52.542684278206004</v>
      </c>
      <c r="P2455">
        <v>-0.103501238597402</v>
      </c>
      <c r="Q2455">
        <v>8.4823065464195394E-2</v>
      </c>
      <c r="R2455">
        <v>0.98525777182265895</v>
      </c>
      <c r="S2455" t="s">
        <v>8316</v>
      </c>
      <c r="T2455" t="s">
        <v>11720</v>
      </c>
      <c r="U2455" t="s">
        <v>11720</v>
      </c>
      <c r="V2455" t="s">
        <v>11720</v>
      </c>
      <c r="W2455" t="s">
        <v>14132</v>
      </c>
      <c r="X2455">
        <v>17</v>
      </c>
      <c r="Y2455" t="s">
        <v>19883</v>
      </c>
      <c r="Z2455" t="s">
        <v>25662</v>
      </c>
      <c r="AA2455">
        <v>0.48799806050799338</v>
      </c>
      <c r="AB2455" t="str">
        <f>HYPERLINK("Melting_Curves/meltCurve_P48059_3_LIMS1.pdf", "Melting_Curves/meltCurve_P48059_3_LIMS1.pdf")</f>
        <v>Melting_Curves/meltCurve_P48059_3_LIMS1.pdf</v>
      </c>
    </row>
    <row r="2456" spans="1:28" x14ac:dyDescent="0.25">
      <c r="A2456" t="s">
        <v>2460</v>
      </c>
      <c r="B2456">
        <v>0.99334974765950101</v>
      </c>
      <c r="C2456">
        <v>0.92035894075994495</v>
      </c>
      <c r="D2456">
        <v>0.80762630898619203</v>
      </c>
      <c r="E2456">
        <v>0.832908978918248</v>
      </c>
      <c r="F2456">
        <v>0.739432215673274</v>
      </c>
      <c r="G2456">
        <v>0.50464525375519798</v>
      </c>
      <c r="H2456">
        <v>0.31432958643164499</v>
      </c>
      <c r="I2456">
        <v>0.23025910770158201</v>
      </c>
      <c r="J2456">
        <v>0.197170821073887</v>
      </c>
      <c r="K2456">
        <v>0.119781032285127</v>
      </c>
      <c r="L2456">
        <v>571.18021169388305</v>
      </c>
      <c r="M2456">
        <v>10.022527727325899</v>
      </c>
      <c r="N2456">
        <v>56.989636680772001</v>
      </c>
      <c r="O2456">
        <v>54.860250395909098</v>
      </c>
      <c r="P2456">
        <v>-4.56950190008623E-2</v>
      </c>
      <c r="Q2456">
        <v>0</v>
      </c>
      <c r="R2456">
        <v>0.97985294770964904</v>
      </c>
      <c r="S2456" t="s">
        <v>8317</v>
      </c>
      <c r="T2456" t="s">
        <v>11720</v>
      </c>
      <c r="U2456" t="s">
        <v>11720</v>
      </c>
      <c r="V2456" t="s">
        <v>11720</v>
      </c>
      <c r="W2456" t="s">
        <v>14133</v>
      </c>
      <c r="X2456">
        <v>3</v>
      </c>
      <c r="Y2456" t="s">
        <v>19884</v>
      </c>
      <c r="Z2456" t="s">
        <v>25663</v>
      </c>
      <c r="AA2456">
        <v>0.5822097418943758</v>
      </c>
      <c r="AB2456" t="str">
        <f>HYPERLINK("Melting_Curves/meltCurve_P48060_GLIPR1.pdf", "Melting_Curves/meltCurve_P48060_GLIPR1.pdf")</f>
        <v>Melting_Curves/meltCurve_P48060_GLIPR1.pdf</v>
      </c>
    </row>
    <row r="2457" spans="1:28" x14ac:dyDescent="0.25">
      <c r="A2457" t="s">
        <v>2461</v>
      </c>
      <c r="B2457">
        <v>0.99334974765950101</v>
      </c>
      <c r="C2457">
        <v>0.97421516153868504</v>
      </c>
      <c r="D2457">
        <v>0.89489953208719797</v>
      </c>
      <c r="E2457">
        <v>0.31412516447575201</v>
      </c>
      <c r="F2457">
        <v>0.176812494025814</v>
      </c>
      <c r="G2457">
        <v>0.10412422941456501</v>
      </c>
      <c r="H2457">
        <v>8.20228537820714E-2</v>
      </c>
      <c r="I2457">
        <v>7.1888057631026306E-2</v>
      </c>
      <c r="J2457">
        <v>6.7154242566123096E-2</v>
      </c>
      <c r="K2457">
        <v>5.5488034356522602E-2</v>
      </c>
      <c r="L2457">
        <v>1623.69761994798</v>
      </c>
      <c r="M2457">
        <v>33.427792968193003</v>
      </c>
      <c r="N2457">
        <v>48.828096233705601</v>
      </c>
      <c r="O2457">
        <v>48.400441695746302</v>
      </c>
      <c r="P2457">
        <v>-0.15884356167253999</v>
      </c>
      <c r="Q2457">
        <v>8.0039174571641794E-2</v>
      </c>
      <c r="R2457">
        <v>0.99726967917592002</v>
      </c>
      <c r="S2457" t="s">
        <v>8318</v>
      </c>
      <c r="T2457" t="s">
        <v>11720</v>
      </c>
      <c r="U2457" t="s">
        <v>11720</v>
      </c>
      <c r="V2457" t="s">
        <v>11720</v>
      </c>
      <c r="W2457" t="s">
        <v>14134</v>
      </c>
      <c r="X2457">
        <v>35</v>
      </c>
      <c r="Y2457" t="s">
        <v>18315</v>
      </c>
      <c r="Z2457" t="s">
        <v>25664</v>
      </c>
      <c r="AA2457">
        <v>0.34740181186586799</v>
      </c>
      <c r="AB2457" t="str">
        <f>HYPERLINK("Melting_Curves/meltCurve_P48147_PREP.pdf", "Melting_Curves/meltCurve_P48147_PREP.pdf")</f>
        <v>Melting_Curves/meltCurve_P48147_PREP.pdf</v>
      </c>
    </row>
    <row r="2458" spans="1:28" x14ac:dyDescent="0.25">
      <c r="A2458" t="s">
        <v>2462</v>
      </c>
      <c r="B2458">
        <v>0.99334974765950101</v>
      </c>
      <c r="C2458">
        <v>1.05619913601639</v>
      </c>
      <c r="D2458">
        <v>1.1811466802382999</v>
      </c>
      <c r="E2458">
        <v>1.4098579136593901</v>
      </c>
      <c r="F2458">
        <v>1.3462163596986201</v>
      </c>
      <c r="G2458">
        <v>1.1403573232586</v>
      </c>
      <c r="H2458">
        <v>0.56958536999254705</v>
      </c>
      <c r="I2458">
        <v>0.50614697938454101</v>
      </c>
      <c r="J2458">
        <v>0.37467279248781199</v>
      </c>
      <c r="K2458">
        <v>0.19365041892667101</v>
      </c>
      <c r="L2458">
        <v>3351.7553727310901</v>
      </c>
      <c r="M2458">
        <v>55.2595759530329</v>
      </c>
      <c r="N2458">
        <v>61.8987396413063</v>
      </c>
      <c r="O2458">
        <v>60.575464088454702</v>
      </c>
      <c r="P2458">
        <v>-0.15158896696452701</v>
      </c>
      <c r="Q2458">
        <v>0.33531399953032098</v>
      </c>
      <c r="R2458">
        <v>0.76463903396089306</v>
      </c>
      <c r="S2458" t="s">
        <v>8319</v>
      </c>
      <c r="T2458" t="s">
        <v>11720</v>
      </c>
      <c r="U2458" t="s">
        <v>11720</v>
      </c>
      <c r="V2458" t="s">
        <v>11720</v>
      </c>
      <c r="W2458" t="s">
        <v>14135</v>
      </c>
      <c r="X2458">
        <v>23</v>
      </c>
      <c r="Y2458" t="s">
        <v>19885</v>
      </c>
      <c r="Z2458" t="s">
        <v>25665</v>
      </c>
      <c r="AA2458">
        <v>0.79437793426892933</v>
      </c>
      <c r="AB2458" t="str">
        <f>HYPERLINK("Melting_Curves/meltCurve_P48163_ME1.pdf", "Melting_Curves/meltCurve_P48163_ME1.pdf")</f>
        <v>Melting_Curves/meltCurve_P48163_ME1.pdf</v>
      </c>
    </row>
    <row r="2459" spans="1:28" x14ac:dyDescent="0.25">
      <c r="A2459" t="s">
        <v>2463</v>
      </c>
      <c r="B2459">
        <v>0.99334974765950101</v>
      </c>
      <c r="C2459">
        <v>1.0186535049921901</v>
      </c>
      <c r="D2459">
        <v>0.95051427515683495</v>
      </c>
      <c r="E2459">
        <v>0.34246633829524598</v>
      </c>
      <c r="F2459">
        <v>0.34712135220177498</v>
      </c>
      <c r="G2459">
        <v>0.17513980209604199</v>
      </c>
      <c r="H2459">
        <v>0.18723831835652599</v>
      </c>
      <c r="I2459">
        <v>0.121140308218863</v>
      </c>
      <c r="J2459">
        <v>0.24881637753615099</v>
      </c>
      <c r="K2459">
        <v>0.12765728936824999</v>
      </c>
      <c r="L2459">
        <v>2007.5805873158299</v>
      </c>
      <c r="M2459">
        <v>41.370297511454503</v>
      </c>
      <c r="N2459">
        <v>49.103245240374001</v>
      </c>
      <c r="O2459">
        <v>48.414133415543901</v>
      </c>
      <c r="P2459">
        <v>-0.17255170093472399</v>
      </c>
      <c r="Q2459">
        <v>0.19227801472338901</v>
      </c>
      <c r="R2459">
        <v>0.97489408838194602</v>
      </c>
      <c r="S2459" t="s">
        <v>8320</v>
      </c>
      <c r="T2459" t="s">
        <v>11720</v>
      </c>
      <c r="U2459" t="s">
        <v>11720</v>
      </c>
      <c r="V2459" t="s">
        <v>11720</v>
      </c>
      <c r="W2459" t="s">
        <v>14136</v>
      </c>
      <c r="X2459">
        <v>4</v>
      </c>
      <c r="Y2459" t="s">
        <v>19886</v>
      </c>
      <c r="Z2459" t="s">
        <v>25666</v>
      </c>
      <c r="AA2459">
        <v>0.42439718742362331</v>
      </c>
      <c r="AB2459" t="str">
        <f>HYPERLINK("Melting_Curves/meltCurve_P48200_IREB2.pdf", "Melting_Curves/meltCurve_P48200_IREB2.pdf")</f>
        <v>Melting_Curves/meltCurve_P48200_IREB2.pdf</v>
      </c>
    </row>
    <row r="2460" spans="1:28" x14ac:dyDescent="0.25">
      <c r="A2460" t="s">
        <v>2464</v>
      </c>
      <c r="B2460">
        <v>0.99334974765950101</v>
      </c>
      <c r="C2460">
        <v>0.84079566063177802</v>
      </c>
      <c r="D2460">
        <v>0.94655905293750697</v>
      </c>
      <c r="E2460">
        <v>0.89362376275866495</v>
      </c>
      <c r="F2460">
        <v>0.73820343618613204</v>
      </c>
      <c r="G2460">
        <v>0.521554504794013</v>
      </c>
      <c r="H2460">
        <v>0.32383927158610398</v>
      </c>
      <c r="I2460">
        <v>0.30686901504063802</v>
      </c>
      <c r="J2460">
        <v>0.30803978114629899</v>
      </c>
      <c r="K2460">
        <v>0.21545839027879801</v>
      </c>
      <c r="L2460">
        <v>815.82490459524502</v>
      </c>
      <c r="M2460">
        <v>14.7331421466855</v>
      </c>
      <c r="N2460">
        <v>57.414102740795002</v>
      </c>
      <c r="O2460">
        <v>54.383319138494301</v>
      </c>
      <c r="P2460">
        <v>-5.3929396628855597E-2</v>
      </c>
      <c r="Q2460">
        <v>0.203824483800357</v>
      </c>
      <c r="R2460">
        <v>0.96679800647377101</v>
      </c>
      <c r="S2460" t="s">
        <v>8321</v>
      </c>
      <c r="T2460" t="s">
        <v>11720</v>
      </c>
      <c r="U2460" t="s">
        <v>11720</v>
      </c>
      <c r="V2460" t="s">
        <v>11720</v>
      </c>
      <c r="W2460" t="s">
        <v>14137</v>
      </c>
      <c r="X2460">
        <v>1</v>
      </c>
      <c r="Y2460" t="s">
        <v>19887</v>
      </c>
      <c r="Z2460" t="s">
        <v>25667</v>
      </c>
      <c r="AA2460">
        <v>0.62701205240160041</v>
      </c>
      <c r="AB2460" t="str">
        <f>HYPERLINK("Melting_Curves/meltCurve_P48357_2_LEPR.pdf", "Melting_Curves/meltCurve_P48357_2_LEPR.pdf")</f>
        <v>Melting_Curves/meltCurve_P48357_2_LEPR.pdf</v>
      </c>
    </row>
    <row r="2461" spans="1:28" x14ac:dyDescent="0.25">
      <c r="A2461" t="s">
        <v>2465</v>
      </c>
      <c r="B2461">
        <v>0.99334974765950101</v>
      </c>
      <c r="C2461">
        <v>1.0857049960237499</v>
      </c>
      <c r="D2461">
        <v>0.72297166544931102</v>
      </c>
      <c r="E2461">
        <v>0.89939622090508897</v>
      </c>
      <c r="F2461">
        <v>1.1044851218565701</v>
      </c>
      <c r="G2461">
        <v>0.80756311141830195</v>
      </c>
      <c r="H2461">
        <v>0.856068510881836</v>
      </c>
      <c r="I2461">
        <v>0.93059199945183502</v>
      </c>
      <c r="J2461">
        <v>1.57659616743383</v>
      </c>
      <c r="K2461">
        <v>1.18369636055905</v>
      </c>
      <c r="L2461">
        <v>15000</v>
      </c>
      <c r="M2461">
        <v>229.63341464804901</v>
      </c>
      <c r="O2461">
        <v>65.316548663190801</v>
      </c>
      <c r="P2461">
        <v>0.33409747653845301</v>
      </c>
      <c r="Q2461">
        <v>1.38012053898169</v>
      </c>
      <c r="R2461">
        <v>0.53730249571759203</v>
      </c>
      <c r="S2461" t="s">
        <v>8322</v>
      </c>
      <c r="T2461" t="s">
        <v>11720</v>
      </c>
      <c r="U2461" t="s">
        <v>11720</v>
      </c>
      <c r="V2461" t="s">
        <v>11720</v>
      </c>
      <c r="W2461" t="s">
        <v>14138</v>
      </c>
      <c r="X2461">
        <v>2</v>
      </c>
      <c r="Y2461" t="s">
        <v>19888</v>
      </c>
      <c r="Z2461" t="s">
        <v>25668</v>
      </c>
      <c r="AA2461">
        <v>1.059228098053153</v>
      </c>
      <c r="AB2461" t="str">
        <f>HYPERLINK("Melting_Curves/meltCurve_P48436_SOX9.pdf", "Melting_Curves/meltCurve_P48436_SOX9.pdf")</f>
        <v>Melting_Curves/meltCurve_P48436_SOX9.pdf</v>
      </c>
    </row>
    <row r="2462" spans="1:28" x14ac:dyDescent="0.25">
      <c r="A2462" t="s">
        <v>2466</v>
      </c>
      <c r="B2462">
        <v>0.99334974765950101</v>
      </c>
      <c r="C2462">
        <v>0.90398592038866499</v>
      </c>
      <c r="D2462">
        <v>0.86693931300420402</v>
      </c>
      <c r="E2462">
        <v>0.79709646481060903</v>
      </c>
      <c r="F2462">
        <v>0.449997666782813</v>
      </c>
      <c r="G2462">
        <v>0.17460504734372001</v>
      </c>
      <c r="H2462">
        <v>0.11865240141703599</v>
      </c>
      <c r="I2462">
        <v>9.9391718684658306E-2</v>
      </c>
      <c r="J2462">
        <v>9.7487580978507293E-2</v>
      </c>
      <c r="K2462">
        <v>8.2204062552533999E-2</v>
      </c>
      <c r="L2462">
        <v>1149.4187395619399</v>
      </c>
      <c r="M2462">
        <v>22.0289024071668</v>
      </c>
      <c r="N2462">
        <v>52.585331439328002</v>
      </c>
      <c r="O2462">
        <v>51.753498109782797</v>
      </c>
      <c r="P2462">
        <v>-9.8063675124544503E-2</v>
      </c>
      <c r="Q2462">
        <v>7.8478977799328206E-2</v>
      </c>
      <c r="R2462">
        <v>0.98583906236874497</v>
      </c>
      <c r="S2462" t="s">
        <v>8323</v>
      </c>
      <c r="T2462" t="s">
        <v>11720</v>
      </c>
      <c r="U2462" t="s">
        <v>11720</v>
      </c>
      <c r="V2462" t="s">
        <v>11720</v>
      </c>
      <c r="W2462" t="s">
        <v>14139</v>
      </c>
      <c r="X2462">
        <v>32</v>
      </c>
      <c r="Y2462" t="s">
        <v>19889</v>
      </c>
      <c r="Z2462" t="s">
        <v>25669</v>
      </c>
      <c r="AA2462">
        <v>0.46324241375650571</v>
      </c>
      <c r="AB2462" t="str">
        <f>HYPERLINK("Melting_Curves/meltCurve_P48444_ARCN1.pdf", "Melting_Curves/meltCurve_P48444_ARCN1.pdf")</f>
        <v>Melting_Curves/meltCurve_P48444_ARCN1.pdf</v>
      </c>
    </row>
    <row r="2463" spans="1:28" x14ac:dyDescent="0.25">
      <c r="A2463" t="s">
        <v>2467</v>
      </c>
      <c r="B2463">
        <v>0.99334974765950101</v>
      </c>
      <c r="C2463">
        <v>0.97615547510268896</v>
      </c>
      <c r="D2463">
        <v>1.0028252754001801</v>
      </c>
      <c r="E2463">
        <v>0.83664360711177499</v>
      </c>
      <c r="F2463">
        <v>0.350521419379143</v>
      </c>
      <c r="G2463">
        <v>0.16733826946536601</v>
      </c>
      <c r="H2463">
        <v>0.109882293165004</v>
      </c>
      <c r="I2463">
        <v>8.3861725416622498E-2</v>
      </c>
      <c r="J2463">
        <v>6.8118751306262507E-2</v>
      </c>
      <c r="K2463">
        <v>5.2613893694115697E-2</v>
      </c>
      <c r="L2463">
        <v>1999.7377677960501</v>
      </c>
      <c r="M2463">
        <v>38.5537265342574</v>
      </c>
      <c r="N2463">
        <v>52.130789655620497</v>
      </c>
      <c r="O2463">
        <v>51.729898073909801</v>
      </c>
      <c r="P2463">
        <v>-0.16991642079988001</v>
      </c>
      <c r="Q2463">
        <v>8.80530913807583E-2</v>
      </c>
      <c r="R2463">
        <v>0.99652913342757898</v>
      </c>
      <c r="S2463" t="s">
        <v>8324</v>
      </c>
      <c r="T2463" t="s">
        <v>11720</v>
      </c>
      <c r="U2463" t="s">
        <v>11720</v>
      </c>
      <c r="V2463" t="s">
        <v>11720</v>
      </c>
      <c r="W2463" t="s">
        <v>14140</v>
      </c>
      <c r="X2463">
        <v>37</v>
      </c>
      <c r="Y2463" t="s">
        <v>19890</v>
      </c>
      <c r="Z2463" t="s">
        <v>25670</v>
      </c>
      <c r="AA2463">
        <v>0.45236487580071483</v>
      </c>
      <c r="AB2463" t="str">
        <f>HYPERLINK("Melting_Curves/meltCurve_P48449_LSS.pdf", "Melting_Curves/meltCurve_P48449_LSS.pdf")</f>
        <v>Melting_Curves/meltCurve_P48449_LSS.pdf</v>
      </c>
    </row>
    <row r="2464" spans="1:28" x14ac:dyDescent="0.25">
      <c r="A2464" t="s">
        <v>2468</v>
      </c>
      <c r="B2464">
        <v>0.99334974765950101</v>
      </c>
      <c r="C2464">
        <v>0.94092337510131396</v>
      </c>
      <c r="D2464">
        <v>0.99563290666942095</v>
      </c>
      <c r="E2464">
        <v>0.87402315415853604</v>
      </c>
      <c r="F2464">
        <v>0.75363977968648099</v>
      </c>
      <c r="G2464">
        <v>0.39616327008156599</v>
      </c>
      <c r="H2464">
        <v>0.16670942475724501</v>
      </c>
      <c r="I2464">
        <v>0.102576432378824</v>
      </c>
      <c r="J2464">
        <v>7.7070970306285597E-2</v>
      </c>
      <c r="K2464">
        <v>8.2112398351999502E-2</v>
      </c>
      <c r="L2464">
        <v>1135.9206416325701</v>
      </c>
      <c r="M2464">
        <v>20.499284232209899</v>
      </c>
      <c r="N2464">
        <v>55.716791722437797</v>
      </c>
      <c r="O2464">
        <v>54.893461051999701</v>
      </c>
      <c r="P2464">
        <v>-8.8420786498515994E-2</v>
      </c>
      <c r="Q2464">
        <v>5.2927133648491401E-2</v>
      </c>
      <c r="R2464">
        <v>0.99645156490775599</v>
      </c>
      <c r="S2464" t="s">
        <v>8325</v>
      </c>
      <c r="T2464" t="s">
        <v>11720</v>
      </c>
      <c r="U2464" t="s">
        <v>11720</v>
      </c>
      <c r="V2464" t="s">
        <v>11720</v>
      </c>
      <c r="W2464" t="s">
        <v>14141</v>
      </c>
      <c r="X2464">
        <v>8</v>
      </c>
      <c r="Y2464" t="s">
        <v>19891</v>
      </c>
      <c r="Z2464" t="s">
        <v>25671</v>
      </c>
      <c r="AA2464">
        <v>0.5515122753523557</v>
      </c>
      <c r="AB2464" t="str">
        <f>HYPERLINK("Melting_Curves/meltCurve_P48454_2_PPP3CC.pdf", "Melting_Curves/meltCurve_P48454_2_PPP3CC.pdf")</f>
        <v>Melting_Curves/meltCurve_P48454_2_PPP3CC.pdf</v>
      </c>
    </row>
    <row r="2465" spans="1:28" x14ac:dyDescent="0.25">
      <c r="A2465" t="s">
        <v>2469</v>
      </c>
      <c r="B2465">
        <v>0.99334974765950101</v>
      </c>
      <c r="C2465">
        <v>0.97846809082903097</v>
      </c>
      <c r="D2465">
        <v>0.92974600446287003</v>
      </c>
      <c r="E2465">
        <v>0.60545391621488998</v>
      </c>
      <c r="F2465">
        <v>0.211710587368305</v>
      </c>
      <c r="G2465">
        <v>0.12600783220887199</v>
      </c>
      <c r="H2465">
        <v>8.9665233156825105E-2</v>
      </c>
      <c r="I2465">
        <v>8.1208456241505397E-2</v>
      </c>
      <c r="J2465">
        <v>7.3324491774739403E-2</v>
      </c>
      <c r="K2465">
        <v>6.6426942289027194E-2</v>
      </c>
      <c r="L2465">
        <v>1590.0659407324299</v>
      </c>
      <c r="M2465">
        <v>31.584796838954201</v>
      </c>
      <c r="N2465">
        <v>50.617860433998899</v>
      </c>
      <c r="O2465">
        <v>50.142222605866699</v>
      </c>
      <c r="P2465">
        <v>-0.145057303590794</v>
      </c>
      <c r="Q2465">
        <v>7.8865641718862595E-2</v>
      </c>
      <c r="R2465">
        <v>0.99822732431577998</v>
      </c>
      <c r="S2465" t="s">
        <v>8326</v>
      </c>
      <c r="T2465" t="s">
        <v>11720</v>
      </c>
      <c r="U2465" t="s">
        <v>11720</v>
      </c>
      <c r="V2465" t="s">
        <v>11720</v>
      </c>
      <c r="W2465" t="s">
        <v>14142</v>
      </c>
      <c r="X2465">
        <v>28</v>
      </c>
      <c r="Y2465" t="s">
        <v>19892</v>
      </c>
      <c r="Z2465" t="s">
        <v>25672</v>
      </c>
      <c r="AA2465">
        <v>0.40159897909886721</v>
      </c>
      <c r="AB2465" t="str">
        <f>HYPERLINK("Melting_Curves/meltCurve_P48506_GCLC.pdf", "Melting_Curves/meltCurve_P48506_GCLC.pdf")</f>
        <v>Melting_Curves/meltCurve_P48506_GCLC.pdf</v>
      </c>
    </row>
    <row r="2466" spans="1:28" x14ac:dyDescent="0.25">
      <c r="A2466" t="s">
        <v>2470</v>
      </c>
      <c r="B2466">
        <v>0.99334974765950101</v>
      </c>
      <c r="C2466">
        <v>0.96315412222274299</v>
      </c>
      <c r="D2466">
        <v>0.76605172724194504</v>
      </c>
      <c r="E2466">
        <v>0.44787091446868399</v>
      </c>
      <c r="F2466">
        <v>0.158627713098898</v>
      </c>
      <c r="G2466">
        <v>9.8192472695508196E-2</v>
      </c>
      <c r="H2466">
        <v>7.2524560046693595E-2</v>
      </c>
      <c r="I2466">
        <v>7.0481697481441993E-2</v>
      </c>
      <c r="J2466">
        <v>5.2924127098578203E-2</v>
      </c>
      <c r="K2466">
        <v>4.4721383237850902E-2</v>
      </c>
      <c r="L2466">
        <v>1022.14255955491</v>
      </c>
      <c r="M2466">
        <v>20.9455196064118</v>
      </c>
      <c r="N2466">
        <v>49.048426005466503</v>
      </c>
      <c r="O2466">
        <v>48.361765938581698</v>
      </c>
      <c r="P2466">
        <v>-0.102830030546742</v>
      </c>
      <c r="Q2466">
        <v>5.0315844595169898E-2</v>
      </c>
      <c r="R2466">
        <v>0.99668152802809595</v>
      </c>
      <c r="S2466" t="s">
        <v>8327</v>
      </c>
      <c r="T2466" t="s">
        <v>11720</v>
      </c>
      <c r="U2466" t="s">
        <v>11720</v>
      </c>
      <c r="V2466" t="s">
        <v>11720</v>
      </c>
      <c r="W2466" t="s">
        <v>14143</v>
      </c>
      <c r="X2466">
        <v>12</v>
      </c>
      <c r="Y2466" t="s">
        <v>19893</v>
      </c>
      <c r="Z2466" t="s">
        <v>25673</v>
      </c>
      <c r="AA2466">
        <v>0.34101435124590102</v>
      </c>
      <c r="AB2466" t="str">
        <f>HYPERLINK("Melting_Curves/meltCurve_P48507_GCLM.pdf", "Melting_Curves/meltCurve_P48507_GCLM.pdf")</f>
        <v>Melting_Curves/meltCurve_P48507_GCLM.pdf</v>
      </c>
    </row>
    <row r="2467" spans="1:28" x14ac:dyDescent="0.25">
      <c r="A2467" t="s">
        <v>2471</v>
      </c>
      <c r="B2467">
        <v>0.99334974765950101</v>
      </c>
      <c r="C2467">
        <v>0.81207741570270398</v>
      </c>
      <c r="D2467">
        <v>0.83441857374558803</v>
      </c>
      <c r="E2467">
        <v>0.75258375229391605</v>
      </c>
      <c r="F2467">
        <v>1.16751254904001</v>
      </c>
      <c r="G2467">
        <v>0.95660161217188899</v>
      </c>
      <c r="H2467">
        <v>0.59295271281546602</v>
      </c>
      <c r="I2467">
        <v>0.55886070275135602</v>
      </c>
      <c r="J2467">
        <v>0.55351133074405801</v>
      </c>
      <c r="K2467">
        <v>0.45860389747830299</v>
      </c>
      <c r="L2467">
        <v>3448.2857468819898</v>
      </c>
      <c r="M2467">
        <v>58.178062196528202</v>
      </c>
      <c r="O2467">
        <v>59.201329748010302</v>
      </c>
      <c r="P2467">
        <v>-0.117937882923627</v>
      </c>
      <c r="Q2467">
        <v>0.51995127430860699</v>
      </c>
      <c r="R2467">
        <v>0.66256554684504998</v>
      </c>
      <c r="S2467" t="s">
        <v>8328</v>
      </c>
      <c r="T2467" t="s">
        <v>11720</v>
      </c>
      <c r="U2467" t="s">
        <v>11720</v>
      </c>
      <c r="V2467" t="s">
        <v>11720</v>
      </c>
      <c r="W2467" t="s">
        <v>14144</v>
      </c>
      <c r="X2467">
        <v>6</v>
      </c>
      <c r="Y2467" t="s">
        <v>19894</v>
      </c>
      <c r="Z2467" t="s">
        <v>25674</v>
      </c>
      <c r="AA2467">
        <v>0.8292448597984422</v>
      </c>
      <c r="AB2467" t="str">
        <f>HYPERLINK("Melting_Curves/meltCurve_P48509_CD151.pdf", "Melting_Curves/meltCurve_P48509_CD151.pdf")</f>
        <v>Melting_Curves/meltCurve_P48509_CD151.pdf</v>
      </c>
    </row>
    <row r="2468" spans="1:28" x14ac:dyDescent="0.25">
      <c r="A2468" t="s">
        <v>2472</v>
      </c>
      <c r="B2468">
        <v>0.99334974765950101</v>
      </c>
      <c r="C2468">
        <v>1.0050464921762701</v>
      </c>
      <c r="D2468">
        <v>0.91972215411692704</v>
      </c>
      <c r="E2468">
        <v>0.93202143764593504</v>
      </c>
      <c r="F2468">
        <v>0.87323099255969505</v>
      </c>
      <c r="G2468">
        <v>0.68683226075917303</v>
      </c>
      <c r="H2468">
        <v>0.62772781043677295</v>
      </c>
      <c r="I2468">
        <v>0.67698082089376399</v>
      </c>
      <c r="J2468">
        <v>0.78818115826052304</v>
      </c>
      <c r="K2468">
        <v>0.905394879769433</v>
      </c>
      <c r="L2468">
        <v>1919.4343449888199</v>
      </c>
      <c r="M2468">
        <v>36.651953589628697</v>
      </c>
      <c r="O2468">
        <v>52.2140734735138</v>
      </c>
      <c r="P2468">
        <v>-4.6006794187649899E-2</v>
      </c>
      <c r="Q2468">
        <v>0.73783723299029202</v>
      </c>
      <c r="R2468">
        <v>0.65046945133210898</v>
      </c>
      <c r="S2468" t="s">
        <v>8329</v>
      </c>
      <c r="T2468" t="s">
        <v>11720</v>
      </c>
      <c r="U2468" t="s">
        <v>11720</v>
      </c>
      <c r="V2468" t="s">
        <v>11720</v>
      </c>
      <c r="W2468" t="s">
        <v>14145</v>
      </c>
      <c r="X2468">
        <v>34</v>
      </c>
      <c r="Y2468" t="s">
        <v>19895</v>
      </c>
      <c r="Z2468" t="s">
        <v>25675</v>
      </c>
      <c r="AA2468">
        <v>0.84705917494160965</v>
      </c>
      <c r="AB2468" t="str">
        <f>HYPERLINK("Melting_Curves/meltCurve_P48634_PRRC2A.pdf", "Melting_Curves/meltCurve_P48634_PRRC2A.pdf")</f>
        <v>Melting_Curves/meltCurve_P48634_PRRC2A.pdf</v>
      </c>
    </row>
    <row r="2469" spans="1:28" x14ac:dyDescent="0.25">
      <c r="A2469" t="s">
        <v>2473</v>
      </c>
      <c r="B2469">
        <v>0.99334974765950101</v>
      </c>
      <c r="C2469">
        <v>1.0014427027644599</v>
      </c>
      <c r="D2469">
        <v>1.0572155167641899</v>
      </c>
      <c r="E2469">
        <v>0.99587921508961297</v>
      </c>
      <c r="F2469">
        <v>0.96089814891949699</v>
      </c>
      <c r="G2469">
        <v>0.73836958608672398</v>
      </c>
      <c r="H2469">
        <v>0.56125311794962396</v>
      </c>
      <c r="I2469">
        <v>0.23803151841270601</v>
      </c>
      <c r="J2469">
        <v>0.16783936872749</v>
      </c>
      <c r="K2469">
        <v>0.12534978881842901</v>
      </c>
      <c r="L2469">
        <v>1189.71507488066</v>
      </c>
      <c r="M2469">
        <v>19.626959876761099</v>
      </c>
      <c r="N2469">
        <v>60.897117516239099</v>
      </c>
      <c r="O2469">
        <v>59.997626346202203</v>
      </c>
      <c r="P2469">
        <v>-7.8247450830689E-2</v>
      </c>
      <c r="Q2469">
        <v>4.3255456821395401E-2</v>
      </c>
      <c r="R2469">
        <v>0.989019137078329</v>
      </c>
      <c r="S2469" t="s">
        <v>8330</v>
      </c>
      <c r="T2469" t="s">
        <v>11720</v>
      </c>
      <c r="U2469" t="s">
        <v>11720</v>
      </c>
      <c r="V2469" t="s">
        <v>11720</v>
      </c>
      <c r="W2469" t="s">
        <v>14146</v>
      </c>
      <c r="X2469">
        <v>31</v>
      </c>
      <c r="Y2469" t="s">
        <v>19896</v>
      </c>
      <c r="Z2469" t="s">
        <v>25676</v>
      </c>
      <c r="AA2469">
        <v>0.70741371314300683</v>
      </c>
      <c r="AB2469" t="str">
        <f>HYPERLINK("Melting_Curves/meltCurve_P48637_GSS.pdf", "Melting_Curves/meltCurve_P48637_GSS.pdf")</f>
        <v>Melting_Curves/meltCurve_P48637_GSS.pdf</v>
      </c>
    </row>
    <row r="2470" spans="1:28" x14ac:dyDescent="0.25">
      <c r="A2470" t="s">
        <v>2474</v>
      </c>
      <c r="B2470">
        <v>0.99334974765950101</v>
      </c>
      <c r="C2470">
        <v>0.95768085266671299</v>
      </c>
      <c r="D2470">
        <v>0.96771570975834098</v>
      </c>
      <c r="E2470">
        <v>0.87390833720304395</v>
      </c>
      <c r="F2470">
        <v>0.91987591127630497</v>
      </c>
      <c r="G2470">
        <v>1.4650607055365099</v>
      </c>
      <c r="H2470">
        <v>1.51107428155412</v>
      </c>
      <c r="I2470">
        <v>0.63351574306852398</v>
      </c>
      <c r="J2470">
        <v>0.14664955096681201</v>
      </c>
      <c r="K2470">
        <v>9.11141143154518E-2</v>
      </c>
      <c r="L2470">
        <v>15000</v>
      </c>
      <c r="M2470">
        <v>234.03537136727499</v>
      </c>
      <c r="N2470">
        <v>64.167313127173202</v>
      </c>
      <c r="O2470">
        <v>64.088195760560893</v>
      </c>
      <c r="P2470">
        <v>-0.80442844112829903</v>
      </c>
      <c r="Q2470">
        <v>0.118861956387462</v>
      </c>
      <c r="R2470">
        <v>0.74584213700038704</v>
      </c>
      <c r="S2470" t="s">
        <v>8331</v>
      </c>
      <c r="T2470" t="s">
        <v>11720</v>
      </c>
      <c r="U2470" t="s">
        <v>11720</v>
      </c>
      <c r="V2470" t="s">
        <v>11720</v>
      </c>
      <c r="W2470" t="s">
        <v>14147</v>
      </c>
      <c r="X2470">
        <v>36</v>
      </c>
      <c r="Y2470" t="s">
        <v>19897</v>
      </c>
      <c r="Z2470" t="s">
        <v>25677</v>
      </c>
      <c r="AA2470">
        <v>0.82661337123422529</v>
      </c>
      <c r="AB2470" t="str">
        <f>HYPERLINK("Melting_Curves/meltCurve_P48643_CCT5.pdf", "Melting_Curves/meltCurve_P48643_CCT5.pdf")</f>
        <v>Melting_Curves/meltCurve_P48643_CCT5.pdf</v>
      </c>
    </row>
    <row r="2471" spans="1:28" x14ac:dyDescent="0.25">
      <c r="A2471" t="s">
        <v>2475</v>
      </c>
      <c r="B2471">
        <v>0.99334974765950101</v>
      </c>
      <c r="C2471">
        <v>0.99382679391328199</v>
      </c>
      <c r="D2471">
        <v>0.91086423615381495</v>
      </c>
      <c r="E2471">
        <v>0.83422610073329595</v>
      </c>
      <c r="F2471">
        <v>0.94412669096521695</v>
      </c>
      <c r="G2471">
        <v>0.68626332297777304</v>
      </c>
      <c r="H2471">
        <v>0.61205789357162799</v>
      </c>
      <c r="I2471">
        <v>0.68728873339316099</v>
      </c>
      <c r="J2471">
        <v>0.59506017139066503</v>
      </c>
      <c r="K2471">
        <v>0.51310677933617899</v>
      </c>
      <c r="L2471">
        <v>454.99964673830198</v>
      </c>
      <c r="M2471">
        <v>7.6568992894876304</v>
      </c>
      <c r="O2471">
        <v>55.777229636129597</v>
      </c>
      <c r="P2471">
        <v>-2.0707828655496901E-2</v>
      </c>
      <c r="Q2471">
        <v>0.3974117390313</v>
      </c>
      <c r="R2471">
        <v>0.89537918960979501</v>
      </c>
      <c r="S2471" t="s">
        <v>8332</v>
      </c>
      <c r="T2471" t="s">
        <v>11720</v>
      </c>
      <c r="U2471" t="s">
        <v>11720</v>
      </c>
      <c r="V2471" t="s">
        <v>11720</v>
      </c>
      <c r="W2471" t="s">
        <v>14148</v>
      </c>
      <c r="X2471">
        <v>82</v>
      </c>
      <c r="Y2471" t="s">
        <v>19898</v>
      </c>
      <c r="Z2471" t="s">
        <v>25678</v>
      </c>
      <c r="AA2471">
        <v>0.78047775966639865</v>
      </c>
      <c r="AB2471" t="str">
        <f>HYPERLINK("Melting_Curves/meltCurve_P48681_NES.pdf", "Melting_Curves/meltCurve_P48681_NES.pdf")</f>
        <v>Melting_Curves/meltCurve_P48681_NES.pdf</v>
      </c>
    </row>
    <row r="2472" spans="1:28" x14ac:dyDescent="0.25">
      <c r="A2472" t="s">
        <v>2476</v>
      </c>
      <c r="B2472">
        <v>0.99334974765950101</v>
      </c>
      <c r="C2472">
        <v>0.91386877068474104</v>
      </c>
      <c r="D2472">
        <v>0.80738509472917297</v>
      </c>
      <c r="E2472">
        <v>0.50059568624820705</v>
      </c>
      <c r="F2472">
        <v>0.229850047161853</v>
      </c>
      <c r="G2472">
        <v>0.14417178183185</v>
      </c>
      <c r="H2472">
        <v>0.12599956302493301</v>
      </c>
      <c r="I2472">
        <v>0.10416601943343699</v>
      </c>
      <c r="J2472">
        <v>9.8097186685480606E-2</v>
      </c>
      <c r="K2472">
        <v>7.6430064746458498E-2</v>
      </c>
      <c r="L2472">
        <v>943.70473129170898</v>
      </c>
      <c r="M2472">
        <v>19.198920370885698</v>
      </c>
      <c r="N2472">
        <v>49.645676750926398</v>
      </c>
      <c r="O2472">
        <v>48.630090839369501</v>
      </c>
      <c r="P2472">
        <v>-9.0157856076610601E-2</v>
      </c>
      <c r="Q2472">
        <v>8.6570157977444398E-2</v>
      </c>
      <c r="R2472">
        <v>0.996645982772566</v>
      </c>
      <c r="S2472" t="s">
        <v>8333</v>
      </c>
      <c r="T2472" t="s">
        <v>11720</v>
      </c>
      <c r="U2472" t="s">
        <v>11720</v>
      </c>
      <c r="V2472" t="s">
        <v>11720</v>
      </c>
      <c r="W2472" t="s">
        <v>14149</v>
      </c>
      <c r="X2472">
        <v>8</v>
      </c>
      <c r="Y2472" t="s">
        <v>19899</v>
      </c>
      <c r="Z2472" t="s">
        <v>25679</v>
      </c>
      <c r="AA2472">
        <v>0.37916359698587682</v>
      </c>
      <c r="AB2472" t="str">
        <f>HYPERLINK("Melting_Curves/meltCurve_P48723_HSPA13.pdf", "Melting_Curves/meltCurve_P48723_HSPA13.pdf")</f>
        <v>Melting_Curves/meltCurve_P48723_HSPA13.pdf</v>
      </c>
    </row>
    <row r="2473" spans="1:28" x14ac:dyDescent="0.25">
      <c r="A2473" t="s">
        <v>2477</v>
      </c>
      <c r="B2473">
        <v>0.99334974765950101</v>
      </c>
      <c r="C2473">
        <v>0.98351991341617995</v>
      </c>
      <c r="D2473">
        <v>1.0118916061848</v>
      </c>
      <c r="E2473">
        <v>0.88417801821813402</v>
      </c>
      <c r="F2473">
        <v>0.27908011559759599</v>
      </c>
      <c r="G2473">
        <v>0.116296875517803</v>
      </c>
      <c r="H2473">
        <v>7.7250518792192593E-2</v>
      </c>
      <c r="I2473">
        <v>6.4180052776890498E-2</v>
      </c>
      <c r="J2473">
        <v>5.5794241712359499E-2</v>
      </c>
      <c r="K2473">
        <v>4.8095621991562101E-2</v>
      </c>
      <c r="L2473">
        <v>2774.8729795959298</v>
      </c>
      <c r="M2473">
        <v>53.574388070266899</v>
      </c>
      <c r="N2473">
        <v>51.941794284826003</v>
      </c>
      <c r="O2473">
        <v>51.722754983415903</v>
      </c>
      <c r="P2473">
        <v>-0.240731683305514</v>
      </c>
      <c r="Q2473">
        <v>7.0354498595551304E-2</v>
      </c>
      <c r="R2473">
        <v>0.99846093555073001</v>
      </c>
      <c r="S2473" t="s">
        <v>8334</v>
      </c>
      <c r="T2473" t="s">
        <v>11720</v>
      </c>
      <c r="U2473" t="s">
        <v>11720</v>
      </c>
      <c r="V2473" t="s">
        <v>11720</v>
      </c>
      <c r="W2473" t="s">
        <v>14150</v>
      </c>
      <c r="X2473">
        <v>29</v>
      </c>
      <c r="Y2473" t="s">
        <v>19900</v>
      </c>
      <c r="Z2473" t="s">
        <v>25680</v>
      </c>
      <c r="AA2473">
        <v>0.43770152182944327</v>
      </c>
      <c r="AB2473" t="str">
        <f>HYPERLINK("Melting_Curves/meltCurve_P48735_IDH2.pdf", "Melting_Curves/meltCurve_P48735_IDH2.pdf")</f>
        <v>Melting_Curves/meltCurve_P48735_IDH2.pdf</v>
      </c>
    </row>
    <row r="2474" spans="1:28" x14ac:dyDescent="0.25">
      <c r="A2474" t="s">
        <v>2478</v>
      </c>
      <c r="B2474">
        <v>0.99334974765950101</v>
      </c>
      <c r="C2474">
        <v>0.96376375000803405</v>
      </c>
      <c r="D2474">
        <v>0.81642545746155104</v>
      </c>
      <c r="E2474">
        <v>0.70540259952082696</v>
      </c>
      <c r="F2474">
        <v>0.44585512778575298</v>
      </c>
      <c r="G2474">
        <v>0.124315270000256</v>
      </c>
      <c r="H2474">
        <v>5.8174934242069799E-2</v>
      </c>
      <c r="I2474">
        <v>4.7252798535968497E-2</v>
      </c>
      <c r="J2474">
        <v>4.2375652154462602E-2</v>
      </c>
      <c r="K2474">
        <v>3.0603388787230699E-2</v>
      </c>
      <c r="L2474">
        <v>881.95068389854998</v>
      </c>
      <c r="M2474">
        <v>16.976024899238102</v>
      </c>
      <c r="N2474">
        <v>51.961912220679402</v>
      </c>
      <c r="O2474">
        <v>51.247868923031497</v>
      </c>
      <c r="P2474">
        <v>-8.2694521429335699E-2</v>
      </c>
      <c r="Q2474">
        <v>1.4966011767191499E-3</v>
      </c>
      <c r="R2474">
        <v>0.990513108106574</v>
      </c>
      <c r="S2474" t="s">
        <v>8335</v>
      </c>
      <c r="T2474" t="s">
        <v>11720</v>
      </c>
      <c r="U2474" t="s">
        <v>11720</v>
      </c>
      <c r="V2474" t="s">
        <v>11720</v>
      </c>
      <c r="W2474" t="s">
        <v>14151</v>
      </c>
      <c r="X2474">
        <v>25</v>
      </c>
      <c r="Y2474" t="s">
        <v>19901</v>
      </c>
      <c r="Z2474" t="s">
        <v>25681</v>
      </c>
      <c r="AA2474">
        <v>0.41767481852540761</v>
      </c>
      <c r="AB2474" t="str">
        <f>HYPERLINK("Melting_Curves/meltCurve_P48739_PITPNB.pdf", "Melting_Curves/meltCurve_P48739_PITPNB.pdf")</f>
        <v>Melting_Curves/meltCurve_P48739_PITPNB.pdf</v>
      </c>
    </row>
    <row r="2475" spans="1:28" x14ac:dyDescent="0.25">
      <c r="A2475" t="s">
        <v>2479</v>
      </c>
      <c r="B2475">
        <v>0.99334974765950101</v>
      </c>
      <c r="C2475">
        <v>0.96642695428931102</v>
      </c>
      <c r="D2475">
        <v>0.74473867714938802</v>
      </c>
      <c r="E2475">
        <v>0.69582930090495398</v>
      </c>
      <c r="F2475">
        <v>0.86850938543685197</v>
      </c>
      <c r="G2475">
        <v>0.55254218803042898</v>
      </c>
      <c r="H2475">
        <v>0.48589294691402901</v>
      </c>
      <c r="I2475">
        <v>0.47537120054084497</v>
      </c>
      <c r="J2475">
        <v>0.78912588598333999</v>
      </c>
      <c r="K2475">
        <v>0.498215008620017</v>
      </c>
      <c r="L2475">
        <v>530.31208564060398</v>
      </c>
      <c r="M2475">
        <v>10.8878385699196</v>
      </c>
      <c r="O2475">
        <v>47.150189105517299</v>
      </c>
      <c r="P2475">
        <v>-2.63683286175974E-2</v>
      </c>
      <c r="Q2475">
        <v>0.54340437604703895</v>
      </c>
      <c r="R2475">
        <v>0.63013696315762002</v>
      </c>
      <c r="S2475" t="s">
        <v>8336</v>
      </c>
      <c r="T2475" t="s">
        <v>11720</v>
      </c>
      <c r="U2475" t="s">
        <v>11720</v>
      </c>
      <c r="V2475" t="s">
        <v>11720</v>
      </c>
      <c r="W2475" t="s">
        <v>14152</v>
      </c>
      <c r="X2475">
        <v>2</v>
      </c>
      <c r="Y2475" t="s">
        <v>19902</v>
      </c>
      <c r="Z2475" t="s">
        <v>25682</v>
      </c>
      <c r="AA2475">
        <v>0.69597255550656245</v>
      </c>
      <c r="AB2475" t="str">
        <f>HYPERLINK("Melting_Curves/meltCurve_P48740_4_MASP1.pdf", "Melting_Curves/meltCurve_P48740_4_MASP1.pdf")</f>
        <v>Melting_Curves/meltCurve_P48740_4_MASP1.pdf</v>
      </c>
    </row>
    <row r="2476" spans="1:28" x14ac:dyDescent="0.25">
      <c r="A2476" t="s">
        <v>2480</v>
      </c>
      <c r="B2476">
        <v>0.99334974765950101</v>
      </c>
      <c r="C2476">
        <v>0.96072790575863598</v>
      </c>
      <c r="D2476">
        <v>1.00078083595456</v>
      </c>
      <c r="E2476">
        <v>0.96479740023131999</v>
      </c>
      <c r="F2476">
        <v>0.96949704190544395</v>
      </c>
      <c r="G2476">
        <v>0.82442694215173695</v>
      </c>
      <c r="H2476">
        <v>0.80691700171314895</v>
      </c>
      <c r="I2476">
        <v>0.853409062576584</v>
      </c>
      <c r="J2476">
        <v>0.87081848255975802</v>
      </c>
      <c r="K2476">
        <v>0.77229718818667203</v>
      </c>
      <c r="L2476">
        <v>4368.6828627511704</v>
      </c>
      <c r="M2476">
        <v>80.8996980018171</v>
      </c>
      <c r="O2476">
        <v>53.968249615767903</v>
      </c>
      <c r="P2476">
        <v>-6.5543468612499906E-2</v>
      </c>
      <c r="Q2476">
        <v>0.82510361412084798</v>
      </c>
      <c r="R2476">
        <v>0.86472676285342698</v>
      </c>
      <c r="S2476" t="s">
        <v>8337</v>
      </c>
      <c r="T2476" t="s">
        <v>11720</v>
      </c>
      <c r="U2476" t="s">
        <v>11720</v>
      </c>
      <c r="V2476" t="s">
        <v>11720</v>
      </c>
      <c r="W2476" t="s">
        <v>14153</v>
      </c>
      <c r="X2476">
        <v>16</v>
      </c>
      <c r="Y2476" t="s">
        <v>19903</v>
      </c>
      <c r="Z2476" t="s">
        <v>25683</v>
      </c>
      <c r="AA2476">
        <v>0.90688766123990161</v>
      </c>
      <c r="AB2476" t="str">
        <f>HYPERLINK("Melting_Curves/meltCurve_P48960_2_CD97.pdf", "Melting_Curves/meltCurve_P48960_2_CD97.pdf")</f>
        <v>Melting_Curves/meltCurve_P48960_2_CD97.pdf</v>
      </c>
    </row>
    <row r="2477" spans="1:28" x14ac:dyDescent="0.25">
      <c r="A2477" t="s">
        <v>2481</v>
      </c>
      <c r="B2477">
        <v>0.99334974765950101</v>
      </c>
      <c r="C2477">
        <v>0.92934531257656505</v>
      </c>
      <c r="D2477">
        <v>0.81174039326024305</v>
      </c>
      <c r="E2477">
        <v>0.75447114629758405</v>
      </c>
      <c r="F2477">
        <v>0.64258296457827302</v>
      </c>
      <c r="G2477">
        <v>0.50546835227426801</v>
      </c>
      <c r="H2477">
        <v>0.52816863284224502</v>
      </c>
      <c r="I2477">
        <v>0.94916843498234904</v>
      </c>
      <c r="J2477">
        <v>1.08549857032331</v>
      </c>
      <c r="K2477">
        <v>1.1563913661265099</v>
      </c>
      <c r="L2477">
        <v>2411.78779194564</v>
      </c>
      <c r="M2477">
        <v>55.643926978804899</v>
      </c>
      <c r="O2477">
        <v>43.287360591961203</v>
      </c>
      <c r="P2477">
        <v>-6.3236882750881102E-2</v>
      </c>
      <c r="Q2477">
        <v>0.80322336171258202</v>
      </c>
      <c r="R2477">
        <v>9.0455802592327106E-2</v>
      </c>
      <c r="S2477" t="s">
        <v>8338</v>
      </c>
      <c r="T2477" t="s">
        <v>11720</v>
      </c>
      <c r="U2477" t="s">
        <v>11720</v>
      </c>
      <c r="V2477" t="s">
        <v>11720</v>
      </c>
      <c r="W2477" t="s">
        <v>14154</v>
      </c>
      <c r="X2477">
        <v>9</v>
      </c>
      <c r="Y2477" t="s">
        <v>19904</v>
      </c>
      <c r="Z2477" t="s">
        <v>25684</v>
      </c>
      <c r="AA2477">
        <v>0.82549588265777607</v>
      </c>
      <c r="AB2477" t="str">
        <f>HYPERLINK("Melting_Curves/meltCurve_P49006_MARCKSL1.pdf", "Melting_Curves/meltCurve_P49006_MARCKSL1.pdf")</f>
        <v>Melting_Curves/meltCurve_P49006_MARCKSL1.pdf</v>
      </c>
    </row>
    <row r="2478" spans="1:28" x14ac:dyDescent="0.25">
      <c r="A2478" t="s">
        <v>2482</v>
      </c>
      <c r="B2478">
        <v>0.99334974765950101</v>
      </c>
      <c r="C2478">
        <v>0.98790561620245998</v>
      </c>
      <c r="D2478">
        <v>0.97551163010539299</v>
      </c>
      <c r="E2478">
        <v>0.97738562188046296</v>
      </c>
      <c r="F2478">
        <v>1.0098235994610301</v>
      </c>
      <c r="G2478">
        <v>0.84352200848043202</v>
      </c>
      <c r="H2478">
        <v>0.75939466256958799</v>
      </c>
      <c r="I2478">
        <v>0.57827803126163602</v>
      </c>
      <c r="J2478">
        <v>0.45932368325289602</v>
      </c>
      <c r="K2478">
        <v>0.29337618429521001</v>
      </c>
      <c r="L2478">
        <v>879.37415103574006</v>
      </c>
      <c r="M2478">
        <v>13.3720571459738</v>
      </c>
      <c r="N2478">
        <v>65.762069487091495</v>
      </c>
      <c r="O2478">
        <v>64.343574925936295</v>
      </c>
      <c r="P2478">
        <v>-5.1963905305476003E-2</v>
      </c>
      <c r="Q2478">
        <v>0</v>
      </c>
      <c r="R2478">
        <v>0.98994478277126596</v>
      </c>
      <c r="S2478" t="s">
        <v>8339</v>
      </c>
      <c r="T2478" t="s">
        <v>11720</v>
      </c>
      <c r="U2478" t="s">
        <v>11720</v>
      </c>
      <c r="V2478" t="s">
        <v>11720</v>
      </c>
      <c r="W2478" t="s">
        <v>14155</v>
      </c>
      <c r="X2478">
        <v>10</v>
      </c>
      <c r="Y2478" t="s">
        <v>19905</v>
      </c>
      <c r="Z2478" t="s">
        <v>25685</v>
      </c>
      <c r="AA2478">
        <v>0.81789366467638913</v>
      </c>
      <c r="AB2478" t="str">
        <f>HYPERLINK("Melting_Curves/meltCurve_P49069_CAMLG.pdf", "Melting_Curves/meltCurve_P49069_CAMLG.pdf")</f>
        <v>Melting_Curves/meltCurve_P49069_CAMLG.pdf</v>
      </c>
    </row>
    <row r="2479" spans="1:28" x14ac:dyDescent="0.25">
      <c r="A2479" t="s">
        <v>2483</v>
      </c>
      <c r="B2479">
        <v>0.99334974765950101</v>
      </c>
      <c r="C2479">
        <v>0.99335276120721205</v>
      </c>
      <c r="D2479">
        <v>0.89131454972783797</v>
      </c>
      <c r="E2479">
        <v>0.65171712116423597</v>
      </c>
      <c r="F2479">
        <v>0.31266377778078402</v>
      </c>
      <c r="G2479">
        <v>0.18899937915847601</v>
      </c>
      <c r="H2479">
        <v>0.12337058214994299</v>
      </c>
      <c r="I2479">
        <v>0.11201286517047999</v>
      </c>
      <c r="J2479">
        <v>0.111035909990292</v>
      </c>
      <c r="K2479">
        <v>7.6464307517477001E-2</v>
      </c>
      <c r="L2479">
        <v>1141.34858244256</v>
      </c>
      <c r="M2479">
        <v>22.502074775160601</v>
      </c>
      <c r="N2479">
        <v>51.220746268590403</v>
      </c>
      <c r="O2479">
        <v>50.326447789518397</v>
      </c>
      <c r="P2479">
        <v>-0.100784027379763</v>
      </c>
      <c r="Q2479">
        <v>9.8394801241999799E-2</v>
      </c>
      <c r="R2479">
        <v>0.997108210277596</v>
      </c>
      <c r="S2479" t="s">
        <v>8340</v>
      </c>
      <c r="T2479" t="s">
        <v>11720</v>
      </c>
      <c r="U2479" t="s">
        <v>11720</v>
      </c>
      <c r="V2479" t="s">
        <v>11720</v>
      </c>
      <c r="W2479" t="s">
        <v>14156</v>
      </c>
      <c r="X2479">
        <v>13</v>
      </c>
      <c r="Y2479" t="s">
        <v>19906</v>
      </c>
      <c r="Z2479" t="s">
        <v>25686</v>
      </c>
      <c r="AA2479">
        <v>0.43061182411149562</v>
      </c>
      <c r="AB2479" t="str">
        <f>HYPERLINK("Melting_Curves/meltCurve_P49137_MAPKAPK2.pdf", "Melting_Curves/meltCurve_P49137_MAPKAPK2.pdf")</f>
        <v>Melting_Curves/meltCurve_P49137_MAPKAPK2.pdf</v>
      </c>
    </row>
    <row r="2480" spans="1:28" x14ac:dyDescent="0.25">
      <c r="A2480" t="s">
        <v>2484</v>
      </c>
      <c r="B2480">
        <v>0.99334974765950101</v>
      </c>
      <c r="C2480">
        <v>1.0578128308603201</v>
      </c>
      <c r="D2480">
        <v>1.1763884727151499</v>
      </c>
      <c r="E2480">
        <v>1.46515864649793</v>
      </c>
      <c r="F2480">
        <v>1.5060877518415501</v>
      </c>
      <c r="G2480">
        <v>1.5284643976764001</v>
      </c>
      <c r="H2480">
        <v>1.00104242569373</v>
      </c>
      <c r="I2480">
        <v>0.35630889606431299</v>
      </c>
      <c r="J2480">
        <v>0.200390783826807</v>
      </c>
      <c r="K2480">
        <v>0.15250740937743401</v>
      </c>
      <c r="L2480">
        <v>9381.1169169410896</v>
      </c>
      <c r="M2480">
        <v>147.853116211485</v>
      </c>
      <c r="N2480">
        <v>63.635964891145797</v>
      </c>
      <c r="O2480">
        <v>63.437289267482399</v>
      </c>
      <c r="P2480">
        <v>-0.47998099340525702</v>
      </c>
      <c r="Q2480">
        <v>0.17624481484825999</v>
      </c>
      <c r="R2480">
        <v>0.68834961179911502</v>
      </c>
      <c r="S2480" t="s">
        <v>8341</v>
      </c>
      <c r="T2480" t="s">
        <v>11720</v>
      </c>
      <c r="U2480" t="s">
        <v>11720</v>
      </c>
      <c r="V2480" t="s">
        <v>11720</v>
      </c>
      <c r="W2480" t="s">
        <v>14157</v>
      </c>
      <c r="X2480">
        <v>28</v>
      </c>
      <c r="Y2480" t="s">
        <v>19907</v>
      </c>
      <c r="Z2480" t="s">
        <v>25687</v>
      </c>
      <c r="AA2480">
        <v>0.82037879926044466</v>
      </c>
      <c r="AB2480" t="str">
        <f>HYPERLINK("Melting_Curves/meltCurve_P49189_ALDH9A1.pdf", "Melting_Curves/meltCurve_P49189_ALDH9A1.pdf")</f>
        <v>Melting_Curves/meltCurve_P49189_ALDH9A1.pdf</v>
      </c>
    </row>
    <row r="2481" spans="1:28" x14ac:dyDescent="0.25">
      <c r="A2481" t="s">
        <v>2485</v>
      </c>
      <c r="B2481">
        <v>0.99334974765950101</v>
      </c>
      <c r="C2481">
        <v>1.55455758300035</v>
      </c>
      <c r="D2481">
        <v>1.5306624632919299</v>
      </c>
      <c r="E2481">
        <v>1.1572336209990499</v>
      </c>
      <c r="F2481">
        <v>1.06769037562697</v>
      </c>
      <c r="G2481">
        <v>0.50165475631034395</v>
      </c>
      <c r="H2481">
        <v>0.54744641624747203</v>
      </c>
      <c r="I2481">
        <v>0.21726727584559699</v>
      </c>
      <c r="J2481">
        <v>0.28435768855729399</v>
      </c>
      <c r="K2481">
        <v>0.17049296243728501</v>
      </c>
      <c r="L2481">
        <v>4279.7607345083197</v>
      </c>
      <c r="M2481">
        <v>75.959492601449796</v>
      </c>
      <c r="N2481">
        <v>57.042837352814999</v>
      </c>
      <c r="O2481">
        <v>56.303659946664403</v>
      </c>
      <c r="P2481">
        <v>-0.23501825389105599</v>
      </c>
      <c r="Q2481">
        <v>0.30318729369497999</v>
      </c>
      <c r="R2481">
        <v>0.71802445147753002</v>
      </c>
      <c r="S2481" t="s">
        <v>8342</v>
      </c>
      <c r="T2481" t="s">
        <v>11720</v>
      </c>
      <c r="U2481" t="s">
        <v>11720</v>
      </c>
      <c r="V2481" t="s">
        <v>11720</v>
      </c>
      <c r="W2481" t="s">
        <v>14158</v>
      </c>
      <c r="X2481">
        <v>1</v>
      </c>
      <c r="Y2481" t="s">
        <v>19908</v>
      </c>
      <c r="Z2481" t="s">
        <v>25688</v>
      </c>
      <c r="AA2481">
        <v>0.68352796935985505</v>
      </c>
      <c r="AB2481" t="str">
        <f>HYPERLINK("Melting_Curves/meltCurve_P49207_RPL34.pdf", "Melting_Curves/meltCurve_P49207_RPL34.pdf")</f>
        <v>Melting_Curves/meltCurve_P49207_RPL34.pdf</v>
      </c>
    </row>
    <row r="2482" spans="1:28" x14ac:dyDescent="0.25">
      <c r="A2482" t="s">
        <v>2486</v>
      </c>
      <c r="B2482">
        <v>0.99334974765950101</v>
      </c>
      <c r="C2482">
        <v>0.97769443197390005</v>
      </c>
      <c r="D2482">
        <v>0.93650044729613902</v>
      </c>
      <c r="E2482">
        <v>0.84454441780487199</v>
      </c>
      <c r="F2482">
        <v>0.74578709048669101</v>
      </c>
      <c r="G2482">
        <v>0.60111177405429495</v>
      </c>
      <c r="H2482">
        <v>0.498459376998167</v>
      </c>
      <c r="I2482">
        <v>0.68431192710220301</v>
      </c>
      <c r="J2482">
        <v>0.57326331746399495</v>
      </c>
      <c r="K2482">
        <v>0.58744721677933998</v>
      </c>
      <c r="L2482">
        <v>1044.2840271564</v>
      </c>
      <c r="M2482">
        <v>20.381804872266599</v>
      </c>
      <c r="O2482">
        <v>50.7505172223185</v>
      </c>
      <c r="P2482">
        <v>-4.2381729726428001E-2</v>
      </c>
      <c r="Q2482">
        <v>0.57789216530778598</v>
      </c>
      <c r="R2482">
        <v>0.92982571171524298</v>
      </c>
      <c r="S2482" t="s">
        <v>8343</v>
      </c>
      <c r="T2482" t="s">
        <v>11720</v>
      </c>
      <c r="U2482" t="s">
        <v>11720</v>
      </c>
      <c r="V2482" t="s">
        <v>11720</v>
      </c>
      <c r="W2482" t="s">
        <v>14159</v>
      </c>
      <c r="X2482">
        <v>7</v>
      </c>
      <c r="Y2482" t="s">
        <v>19909</v>
      </c>
      <c r="Z2482" t="s">
        <v>25689</v>
      </c>
      <c r="AA2482">
        <v>0.74164064715130873</v>
      </c>
      <c r="AB2482" t="str">
        <f>HYPERLINK("Melting_Curves/meltCurve_P49247_RPIA.pdf", "Melting_Curves/meltCurve_P49247_RPIA.pdf")</f>
        <v>Melting_Curves/meltCurve_P49247_RPIA.pdf</v>
      </c>
    </row>
    <row r="2483" spans="1:28" x14ac:dyDescent="0.25">
      <c r="A2483" t="s">
        <v>2487</v>
      </c>
      <c r="B2483">
        <v>0.99334974765950101</v>
      </c>
      <c r="C2483">
        <v>0.88259748705860297</v>
      </c>
      <c r="D2483">
        <v>0.759338445661904</v>
      </c>
      <c r="E2483">
        <v>0.56616253635702496</v>
      </c>
      <c r="F2483">
        <v>0.28746574994891699</v>
      </c>
      <c r="G2483">
        <v>0.165779774165699</v>
      </c>
      <c r="H2483">
        <v>0.106803138370636</v>
      </c>
      <c r="I2483">
        <v>0.106693385307294</v>
      </c>
      <c r="J2483">
        <v>0.111065426284766</v>
      </c>
      <c r="K2483">
        <v>9.6340174614857499E-2</v>
      </c>
      <c r="L2483">
        <v>750.24817615214602</v>
      </c>
      <c r="M2483">
        <v>15.149589607956299</v>
      </c>
      <c r="N2483">
        <v>50.050566667353799</v>
      </c>
      <c r="O2483">
        <v>48.683834301233901</v>
      </c>
      <c r="P2483">
        <v>-7.20586051914201E-2</v>
      </c>
      <c r="Q2483">
        <v>7.3836788643059106E-2</v>
      </c>
      <c r="R2483">
        <v>0.99265110347879304</v>
      </c>
      <c r="S2483" t="s">
        <v>8344</v>
      </c>
      <c r="T2483" t="s">
        <v>11720</v>
      </c>
      <c r="U2483" t="s">
        <v>11720</v>
      </c>
      <c r="V2483" t="s">
        <v>11720</v>
      </c>
      <c r="W2483" t="s">
        <v>14160</v>
      </c>
      <c r="X2483">
        <v>16</v>
      </c>
      <c r="Y2483" t="s">
        <v>19910</v>
      </c>
      <c r="Z2483" t="s">
        <v>25690</v>
      </c>
      <c r="AA2483">
        <v>0.38985545166286018</v>
      </c>
      <c r="AB2483" t="str">
        <f>HYPERLINK("Melting_Curves/meltCurve_P49257_LMAN1.pdf", "Melting_Curves/meltCurve_P49257_LMAN1.pdf")</f>
        <v>Melting_Curves/meltCurve_P49257_LMAN1.pdf</v>
      </c>
    </row>
    <row r="2484" spans="1:28" x14ac:dyDescent="0.25">
      <c r="A2484" t="s">
        <v>2488</v>
      </c>
      <c r="B2484">
        <v>0.99334974765950101</v>
      </c>
      <c r="C2484">
        <v>0.97992765584641195</v>
      </c>
      <c r="D2484">
        <v>0.87006637128425901</v>
      </c>
      <c r="E2484">
        <v>0.70570201837196</v>
      </c>
      <c r="F2484">
        <v>0.41524192180330799</v>
      </c>
      <c r="G2484">
        <v>0.24413640390234501</v>
      </c>
      <c r="H2484">
        <v>0.21568546281713499</v>
      </c>
      <c r="I2484">
        <v>0.244911496917633</v>
      </c>
      <c r="J2484">
        <v>0.30116189905447899</v>
      </c>
      <c r="K2484">
        <v>0.30048406445749798</v>
      </c>
      <c r="L2484">
        <v>1253.0533184828901</v>
      </c>
      <c r="M2484">
        <v>24.846536134058098</v>
      </c>
      <c r="N2484">
        <v>51.8928078643414</v>
      </c>
      <c r="O2484">
        <v>50.108436048952399</v>
      </c>
      <c r="P2484">
        <v>-9.2775557195281105E-2</v>
      </c>
      <c r="Q2484">
        <v>0.25160211293747697</v>
      </c>
      <c r="R2484">
        <v>0.98359251854614405</v>
      </c>
      <c r="S2484" t="s">
        <v>8345</v>
      </c>
      <c r="T2484" t="s">
        <v>11720</v>
      </c>
      <c r="U2484" t="s">
        <v>11720</v>
      </c>
      <c r="V2484" t="s">
        <v>11720</v>
      </c>
      <c r="W2484" t="s">
        <v>14161</v>
      </c>
      <c r="X2484">
        <v>19</v>
      </c>
      <c r="Y2484" t="s">
        <v>19911</v>
      </c>
      <c r="Z2484" t="s">
        <v>25691</v>
      </c>
      <c r="AA2484">
        <v>0.51863998202394901</v>
      </c>
      <c r="AB2484" t="str">
        <f>HYPERLINK("Melting_Curves/meltCurve_P49321_NASP.pdf", "Melting_Curves/meltCurve_P49321_NASP.pdf")</f>
        <v>Melting_Curves/meltCurve_P49321_NASP.pdf</v>
      </c>
    </row>
    <row r="2485" spans="1:28" x14ac:dyDescent="0.25">
      <c r="A2485" t="s">
        <v>2489</v>
      </c>
      <c r="B2485">
        <v>0.99334974765950101</v>
      </c>
      <c r="C2485">
        <v>1.17951838649504</v>
      </c>
      <c r="D2485">
        <v>1.2965554272881199</v>
      </c>
      <c r="E2485">
        <v>2.1120049519788302</v>
      </c>
      <c r="F2485">
        <v>0.453941116066231</v>
      </c>
      <c r="G2485">
        <v>0.30020383923135502</v>
      </c>
      <c r="H2485">
        <v>0.18596173603247801</v>
      </c>
      <c r="I2485">
        <v>0.16262974532326999</v>
      </c>
      <c r="J2485">
        <v>0.16539915146851999</v>
      </c>
      <c r="K2485">
        <v>0.14049342154583999</v>
      </c>
      <c r="L2485">
        <v>13211.2814892232</v>
      </c>
      <c r="M2485">
        <v>250</v>
      </c>
      <c r="N2485">
        <v>52.946990770389903</v>
      </c>
      <c r="O2485">
        <v>52.841749770879197</v>
      </c>
      <c r="P2485">
        <v>-0.956940827116745</v>
      </c>
      <c r="Q2485">
        <v>0.19093724209646201</v>
      </c>
      <c r="R2485">
        <v>0.66003317286732099</v>
      </c>
      <c r="S2485" t="s">
        <v>8346</v>
      </c>
      <c r="T2485" t="s">
        <v>11720</v>
      </c>
      <c r="U2485" t="s">
        <v>11720</v>
      </c>
      <c r="V2485" t="s">
        <v>11720</v>
      </c>
      <c r="W2485" t="s">
        <v>14162</v>
      </c>
      <c r="X2485">
        <v>50</v>
      </c>
      <c r="Y2485" t="s">
        <v>19912</v>
      </c>
      <c r="Z2485" t="s">
        <v>25692</v>
      </c>
      <c r="AA2485">
        <v>0.53742937757375708</v>
      </c>
      <c r="AB2485" t="str">
        <f>HYPERLINK("Melting_Curves/meltCurve_P49327_FASN.pdf", "Melting_Curves/meltCurve_P49327_FASN.pdf")</f>
        <v>Melting_Curves/meltCurve_P49327_FASN.pdf</v>
      </c>
    </row>
    <row r="2486" spans="1:28" x14ac:dyDescent="0.25">
      <c r="A2486" t="s">
        <v>2490</v>
      </c>
      <c r="B2486">
        <v>0.99334974765950101</v>
      </c>
      <c r="C2486">
        <v>0.98400518355271904</v>
      </c>
      <c r="D2486">
        <v>0.94770225358121996</v>
      </c>
      <c r="E2486">
        <v>0.73805127639874601</v>
      </c>
      <c r="F2486">
        <v>0.42867051679697599</v>
      </c>
      <c r="G2486">
        <v>0.18846665687416</v>
      </c>
      <c r="H2486">
        <v>0.13573372993266899</v>
      </c>
      <c r="I2486">
        <v>0.123269692257997</v>
      </c>
      <c r="J2486">
        <v>0.122503821703019</v>
      </c>
      <c r="K2486">
        <v>0.105911929972692</v>
      </c>
      <c r="L2486">
        <v>1264.1580267418601</v>
      </c>
      <c r="M2486">
        <v>24.440832219953698</v>
      </c>
      <c r="N2486">
        <v>52.265049187137002</v>
      </c>
      <c r="O2486">
        <v>51.380666709284903</v>
      </c>
      <c r="P2486">
        <v>-0.10561281218753001</v>
      </c>
      <c r="Q2486">
        <v>0.11191618469745</v>
      </c>
      <c r="R2486">
        <v>0.99965384716648398</v>
      </c>
      <c r="S2486" t="s">
        <v>8347</v>
      </c>
      <c r="T2486" t="s">
        <v>11720</v>
      </c>
      <c r="U2486" t="s">
        <v>11720</v>
      </c>
      <c r="V2486" t="s">
        <v>11720</v>
      </c>
      <c r="W2486" t="s">
        <v>14163</v>
      </c>
      <c r="X2486">
        <v>14</v>
      </c>
      <c r="Y2486" t="s">
        <v>19913</v>
      </c>
      <c r="Z2486" t="s">
        <v>25693</v>
      </c>
      <c r="AA2486">
        <v>0.46740175517994981</v>
      </c>
      <c r="AB2486" t="str">
        <f>HYPERLINK("Melting_Curves/meltCurve_P49354_FNTA.pdf", "Melting_Curves/meltCurve_P49354_FNTA.pdf")</f>
        <v>Melting_Curves/meltCurve_P49354_FNTA.pdf</v>
      </c>
    </row>
    <row r="2487" spans="1:28" x14ac:dyDescent="0.25">
      <c r="A2487" t="s">
        <v>2491</v>
      </c>
      <c r="B2487">
        <v>0.99334974765950101</v>
      </c>
      <c r="C2487">
        <v>1.00426770563774</v>
      </c>
      <c r="D2487">
        <v>0.82738514476950797</v>
      </c>
      <c r="E2487">
        <v>0.63536319930644602</v>
      </c>
      <c r="F2487">
        <v>0.57565377659698302</v>
      </c>
      <c r="G2487">
        <v>0.17222862728434801</v>
      </c>
      <c r="H2487">
        <v>0.123264523849398</v>
      </c>
      <c r="I2487">
        <v>0.123979162395669</v>
      </c>
      <c r="J2487">
        <v>0.13518691291947199</v>
      </c>
      <c r="K2487">
        <v>0.109445897764824</v>
      </c>
      <c r="L2487">
        <v>799.42745704723404</v>
      </c>
      <c r="M2487">
        <v>15.410526830490999</v>
      </c>
      <c r="N2487">
        <v>52.421740766277701</v>
      </c>
      <c r="O2487">
        <v>51.0254287757299</v>
      </c>
      <c r="P2487">
        <v>-6.9909186771625095E-2</v>
      </c>
      <c r="Q2487">
        <v>7.4185605786718095E-2</v>
      </c>
      <c r="R2487">
        <v>0.97741104908782805</v>
      </c>
      <c r="S2487" t="s">
        <v>8348</v>
      </c>
      <c r="T2487" t="s">
        <v>11720</v>
      </c>
      <c r="U2487" t="s">
        <v>11720</v>
      </c>
      <c r="V2487" t="s">
        <v>11720</v>
      </c>
      <c r="W2487" t="s">
        <v>14164</v>
      </c>
      <c r="X2487">
        <v>5</v>
      </c>
      <c r="Y2487" t="s">
        <v>19914</v>
      </c>
      <c r="Z2487" t="s">
        <v>25694</v>
      </c>
      <c r="AA2487">
        <v>0.46059761641152441</v>
      </c>
      <c r="AB2487" t="str">
        <f>HYPERLINK("Melting_Curves/meltCurve_P49356_FNTB.pdf", "Melting_Curves/meltCurve_P49356_FNTB.pdf")</f>
        <v>Melting_Curves/meltCurve_P49356_FNTB.pdf</v>
      </c>
    </row>
    <row r="2488" spans="1:28" x14ac:dyDescent="0.25">
      <c r="A2488" t="s">
        <v>2492</v>
      </c>
      <c r="B2488">
        <v>0.99334974765950101</v>
      </c>
      <c r="C2488">
        <v>0.92521433312176005</v>
      </c>
      <c r="D2488">
        <v>1.0284256493797601</v>
      </c>
      <c r="E2488">
        <v>1.13385986054843</v>
      </c>
      <c r="F2488">
        <v>1.114168678927</v>
      </c>
      <c r="G2488">
        <v>0.87147308351693198</v>
      </c>
      <c r="H2488">
        <v>0.604013567826447</v>
      </c>
      <c r="I2488">
        <v>0.43493488290040899</v>
      </c>
      <c r="J2488">
        <v>0.26689208823210703</v>
      </c>
      <c r="K2488">
        <v>0.21732596802311999</v>
      </c>
      <c r="L2488">
        <v>1575.6454492758501</v>
      </c>
      <c r="M2488">
        <v>25.6912957099739</v>
      </c>
      <c r="N2488">
        <v>62.5211810028919</v>
      </c>
      <c r="O2488">
        <v>60.961967039248499</v>
      </c>
      <c r="P2488">
        <v>-8.4968324252372898E-2</v>
      </c>
      <c r="Q2488">
        <v>0.19353634455445801</v>
      </c>
      <c r="R2488">
        <v>0.95988797332280995</v>
      </c>
      <c r="S2488" t="s">
        <v>8349</v>
      </c>
      <c r="T2488" t="s">
        <v>11720</v>
      </c>
      <c r="U2488" t="s">
        <v>11720</v>
      </c>
      <c r="V2488" t="s">
        <v>11720</v>
      </c>
      <c r="W2488" t="s">
        <v>14165</v>
      </c>
      <c r="X2488">
        <v>9</v>
      </c>
      <c r="Y2488" t="s">
        <v>19915</v>
      </c>
      <c r="Z2488" t="s">
        <v>25695</v>
      </c>
      <c r="AA2488">
        <v>0.7715739741786154</v>
      </c>
      <c r="AB2488" t="str">
        <f>HYPERLINK("Melting_Curves/meltCurve_P49366_DHPS.pdf", "Melting_Curves/meltCurve_P49366_DHPS.pdf")</f>
        <v>Melting_Curves/meltCurve_P49366_DHPS.pdf</v>
      </c>
    </row>
    <row r="2489" spans="1:28" x14ac:dyDescent="0.25">
      <c r="A2489" t="s">
        <v>2493</v>
      </c>
      <c r="B2489">
        <v>0.99334974765950101</v>
      </c>
      <c r="C2489">
        <v>0.960790666174557</v>
      </c>
      <c r="D2489">
        <v>0.87651875412785196</v>
      </c>
      <c r="E2489">
        <v>0.68909784767946802</v>
      </c>
      <c r="F2489">
        <v>0.62893412006724803</v>
      </c>
      <c r="G2489">
        <v>0.69560782108558605</v>
      </c>
      <c r="H2489">
        <v>0.286975479313966</v>
      </c>
      <c r="I2489">
        <v>0.147675282250988</v>
      </c>
      <c r="J2489">
        <v>0.12753701739321699</v>
      </c>
      <c r="K2489">
        <v>9.7253445074119704E-2</v>
      </c>
      <c r="L2489">
        <v>573.32938305705295</v>
      </c>
      <c r="M2489">
        <v>10.162017683215799</v>
      </c>
      <c r="N2489">
        <v>56.418861980288398</v>
      </c>
      <c r="O2489">
        <v>54.364847011555497</v>
      </c>
      <c r="P2489">
        <v>-4.6752019559747102E-2</v>
      </c>
      <c r="Q2489">
        <v>0</v>
      </c>
      <c r="R2489">
        <v>0.93767406295464695</v>
      </c>
      <c r="S2489" t="s">
        <v>8350</v>
      </c>
      <c r="T2489" t="s">
        <v>11720</v>
      </c>
      <c r="U2489" t="s">
        <v>11720</v>
      </c>
      <c r="V2489" t="s">
        <v>11720</v>
      </c>
      <c r="W2489" t="s">
        <v>14166</v>
      </c>
      <c r="X2489">
        <v>32</v>
      </c>
      <c r="Y2489" t="s">
        <v>19916</v>
      </c>
      <c r="Z2489" t="s">
        <v>25696</v>
      </c>
      <c r="AA2489">
        <v>0.56631430740600064</v>
      </c>
      <c r="AB2489" t="str">
        <f>HYPERLINK("Melting_Curves/meltCurve_P49368_CCT3.pdf", "Melting_Curves/meltCurve_P49368_CCT3.pdf")</f>
        <v>Melting_Curves/meltCurve_P49368_CCT3.pdf</v>
      </c>
    </row>
    <row r="2490" spans="1:28" x14ac:dyDescent="0.25">
      <c r="A2490" t="s">
        <v>2494</v>
      </c>
      <c r="B2490">
        <v>0.99334974765950101</v>
      </c>
      <c r="C2490">
        <v>0.97362121323913098</v>
      </c>
      <c r="D2490">
        <v>0.88495132929641396</v>
      </c>
      <c r="E2490">
        <v>0.77005131170466501</v>
      </c>
      <c r="F2490">
        <v>0.68662103722528001</v>
      </c>
      <c r="G2490">
        <v>0.276350966967019</v>
      </c>
      <c r="H2490">
        <v>0.12209618079898001</v>
      </c>
      <c r="I2490">
        <v>0.119064913337706</v>
      </c>
      <c r="J2490">
        <v>0.115662218298765</v>
      </c>
      <c r="K2490">
        <v>0.107383116642721</v>
      </c>
      <c r="L2490">
        <v>970.97362581801701</v>
      </c>
      <c r="M2490">
        <v>18.0426173294567</v>
      </c>
      <c r="N2490">
        <v>54.259369995427001</v>
      </c>
      <c r="O2490">
        <v>53.167535757019898</v>
      </c>
      <c r="P2490">
        <v>-7.9021999597340506E-2</v>
      </c>
      <c r="Q2490">
        <v>6.8605218020863695E-2</v>
      </c>
      <c r="R2490">
        <v>0.98523565977865202</v>
      </c>
      <c r="S2490" t="s">
        <v>8351</v>
      </c>
      <c r="T2490" t="s">
        <v>11720</v>
      </c>
      <c r="U2490" t="s">
        <v>11720</v>
      </c>
      <c r="V2490" t="s">
        <v>11720</v>
      </c>
      <c r="W2490" t="s">
        <v>14167</v>
      </c>
      <c r="X2490">
        <v>11</v>
      </c>
      <c r="Y2490" t="s">
        <v>19917</v>
      </c>
      <c r="Z2490" t="s">
        <v>25697</v>
      </c>
      <c r="AA2490">
        <v>0.51245269991316156</v>
      </c>
      <c r="AB2490" t="str">
        <f>HYPERLINK("Melting_Curves/meltCurve_P49407_2_ARRB1.pdf", "Melting_Curves/meltCurve_P49407_2_ARRB1.pdf")</f>
        <v>Melting_Curves/meltCurve_P49407_2_ARRB1.pdf</v>
      </c>
    </row>
    <row r="2491" spans="1:28" x14ac:dyDescent="0.25">
      <c r="A2491" t="s">
        <v>2495</v>
      </c>
      <c r="B2491">
        <v>0.99334974765950101</v>
      </c>
      <c r="C2491">
        <v>0.90257938930644699</v>
      </c>
      <c r="D2491">
        <v>0.85814816266243099</v>
      </c>
      <c r="E2491">
        <v>0.449250112045955</v>
      </c>
      <c r="F2491">
        <v>0.11591452057139599</v>
      </c>
      <c r="G2491">
        <v>8.5788089554232103E-2</v>
      </c>
      <c r="H2491">
        <v>5.7545551575617103E-2</v>
      </c>
      <c r="I2491">
        <v>4.3954361750719102E-2</v>
      </c>
      <c r="J2491">
        <v>4.1458036102844098E-2</v>
      </c>
      <c r="K2491">
        <v>3.27356317106711E-2</v>
      </c>
      <c r="L2491">
        <v>1248.51453478813</v>
      </c>
      <c r="M2491">
        <v>25.3960629976362</v>
      </c>
      <c r="N2491">
        <v>49.316482451719303</v>
      </c>
      <c r="O2491">
        <v>48.859952288197903</v>
      </c>
      <c r="P2491">
        <v>-0.124968163916487</v>
      </c>
      <c r="Q2491">
        <v>3.8297961538447903E-2</v>
      </c>
      <c r="R2491">
        <v>0.99326028761743501</v>
      </c>
      <c r="S2491" t="s">
        <v>8352</v>
      </c>
      <c r="T2491" t="s">
        <v>11720</v>
      </c>
      <c r="U2491" t="s">
        <v>11720</v>
      </c>
      <c r="V2491" t="s">
        <v>11720</v>
      </c>
      <c r="W2491" t="s">
        <v>14168</v>
      </c>
      <c r="X2491">
        <v>25</v>
      </c>
      <c r="Y2491" t="s">
        <v>19918</v>
      </c>
      <c r="Z2491" t="s">
        <v>25698</v>
      </c>
      <c r="AA2491">
        <v>0.3402540010586575</v>
      </c>
      <c r="AB2491" t="str">
        <f>HYPERLINK("Melting_Curves/meltCurve_P49411_TUFM.pdf", "Melting_Curves/meltCurve_P49411_TUFM.pdf")</f>
        <v>Melting_Curves/meltCurve_P49411_TUFM.pdf</v>
      </c>
    </row>
    <row r="2492" spans="1:28" x14ac:dyDescent="0.25">
      <c r="A2492" t="s">
        <v>2496</v>
      </c>
      <c r="B2492">
        <v>0.99334974765950101</v>
      </c>
      <c r="C2492">
        <v>1.1561565410172701</v>
      </c>
      <c r="D2492">
        <v>1.38510705331643</v>
      </c>
      <c r="E2492">
        <v>1.3947463932149</v>
      </c>
      <c r="F2492">
        <v>0.75389129177981296</v>
      </c>
      <c r="G2492">
        <v>0.211913755168985</v>
      </c>
      <c r="H2492">
        <v>0.13872595593887799</v>
      </c>
      <c r="I2492">
        <v>0.110791814141873</v>
      </c>
      <c r="J2492">
        <v>0.11267158968178</v>
      </c>
      <c r="K2492">
        <v>8.4874213253993705E-2</v>
      </c>
      <c r="L2492">
        <v>13299.148080957601</v>
      </c>
      <c r="M2492">
        <v>250</v>
      </c>
      <c r="N2492">
        <v>53.261766806616201</v>
      </c>
      <c r="O2492">
        <v>53.193168808180303</v>
      </c>
      <c r="P2492">
        <v>-1.0201077679123101</v>
      </c>
      <c r="Q2492">
        <v>0.13179544922428399</v>
      </c>
      <c r="R2492">
        <v>0.88053432798328302</v>
      </c>
      <c r="S2492" t="s">
        <v>8353</v>
      </c>
      <c r="T2492" t="s">
        <v>11720</v>
      </c>
      <c r="U2492" t="s">
        <v>11720</v>
      </c>
      <c r="V2492" t="s">
        <v>11720</v>
      </c>
      <c r="W2492" t="s">
        <v>14169</v>
      </c>
      <c r="X2492">
        <v>28</v>
      </c>
      <c r="Y2492" t="s">
        <v>19919</v>
      </c>
      <c r="Z2492" t="s">
        <v>25699</v>
      </c>
      <c r="AA2492">
        <v>0.51378788777534157</v>
      </c>
      <c r="AB2492" t="str">
        <f>HYPERLINK("Melting_Curves/meltCurve_P49419_2_ALDH7A1.pdf", "Melting_Curves/meltCurve_P49419_2_ALDH7A1.pdf")</f>
        <v>Melting_Curves/meltCurve_P49419_2_ALDH7A1.pdf</v>
      </c>
    </row>
    <row r="2493" spans="1:28" x14ac:dyDescent="0.25">
      <c r="A2493" t="s">
        <v>2497</v>
      </c>
      <c r="B2493">
        <v>0.99334974765950101</v>
      </c>
      <c r="C2493">
        <v>0.95269182523513396</v>
      </c>
      <c r="D2493">
        <v>0.79458600959294601</v>
      </c>
      <c r="E2493">
        <v>0.379232433757833</v>
      </c>
      <c r="F2493">
        <v>0.269271232819078</v>
      </c>
      <c r="G2493">
        <v>0.13342287043456399</v>
      </c>
      <c r="H2493">
        <v>0.105483981584794</v>
      </c>
      <c r="I2493">
        <v>8.5371829845367397E-2</v>
      </c>
      <c r="J2493">
        <v>8.9439342816725095E-2</v>
      </c>
      <c r="K2493">
        <v>6.7715631794276407E-2</v>
      </c>
      <c r="L2493">
        <v>988.13761958463897</v>
      </c>
      <c r="M2493">
        <v>20.3256015496607</v>
      </c>
      <c r="N2493">
        <v>49.065113189621499</v>
      </c>
      <c r="O2493">
        <v>48.152175923968898</v>
      </c>
      <c r="P2493">
        <v>-9.65627835532923E-2</v>
      </c>
      <c r="Q2493">
        <v>8.49833820907374E-2</v>
      </c>
      <c r="R2493">
        <v>0.99701450585365203</v>
      </c>
      <c r="S2493" t="s">
        <v>8354</v>
      </c>
      <c r="T2493" t="s">
        <v>11720</v>
      </c>
      <c r="U2493" t="s">
        <v>11720</v>
      </c>
      <c r="V2493" t="s">
        <v>11720</v>
      </c>
      <c r="W2493" t="s">
        <v>14170</v>
      </c>
      <c r="X2493">
        <v>4</v>
      </c>
      <c r="Y2493" t="s">
        <v>19920</v>
      </c>
      <c r="Z2493" t="s">
        <v>25700</v>
      </c>
      <c r="AA2493">
        <v>0.36020750683447678</v>
      </c>
      <c r="AB2493" t="str">
        <f>HYPERLINK("Melting_Curves/meltCurve_P49427_CDC34.pdf", "Melting_Curves/meltCurve_P49427_CDC34.pdf")</f>
        <v>Melting_Curves/meltCurve_P49427_CDC34.pdf</v>
      </c>
    </row>
    <row r="2494" spans="1:28" x14ac:dyDescent="0.25">
      <c r="A2494" t="s">
        <v>2498</v>
      </c>
      <c r="B2494">
        <v>0.99334974765950101</v>
      </c>
      <c r="C2494">
        <v>0.97698089424872803</v>
      </c>
      <c r="D2494">
        <v>0.88354254755188999</v>
      </c>
      <c r="E2494">
        <v>0.62374038500068296</v>
      </c>
      <c r="F2494">
        <v>0.30314946942507698</v>
      </c>
      <c r="G2494">
        <v>0.138292401148252</v>
      </c>
      <c r="H2494">
        <v>0.10467227356106901</v>
      </c>
      <c r="I2494">
        <v>8.9704934784722301E-2</v>
      </c>
      <c r="J2494">
        <v>9.57545168923188E-2</v>
      </c>
      <c r="K2494">
        <v>7.6440747604355902E-2</v>
      </c>
      <c r="L2494">
        <v>1141.0752272320999</v>
      </c>
      <c r="M2494">
        <v>22.569204890442901</v>
      </c>
      <c r="N2494">
        <v>50.954830146006501</v>
      </c>
      <c r="O2494">
        <v>50.167034052601998</v>
      </c>
      <c r="P2494">
        <v>-0.103427857313021</v>
      </c>
      <c r="Q2494">
        <v>8.0417023029620102E-2</v>
      </c>
      <c r="R2494">
        <v>0.998530667964595</v>
      </c>
      <c r="S2494" t="s">
        <v>8355</v>
      </c>
      <c r="T2494" t="s">
        <v>11720</v>
      </c>
      <c r="U2494" t="s">
        <v>11720</v>
      </c>
      <c r="V2494" t="s">
        <v>11720</v>
      </c>
      <c r="W2494" t="s">
        <v>14171</v>
      </c>
      <c r="X2494">
        <v>14</v>
      </c>
      <c r="Y2494" t="s">
        <v>19921</v>
      </c>
      <c r="Z2494" t="s">
        <v>25701</v>
      </c>
      <c r="AA2494">
        <v>0.41419424650564879</v>
      </c>
      <c r="AB2494" t="str">
        <f>HYPERLINK("Melting_Curves/meltCurve_P49441_INPP1.pdf", "Melting_Curves/meltCurve_P49441_INPP1.pdf")</f>
        <v>Melting_Curves/meltCurve_P49441_INPP1.pdf</v>
      </c>
    </row>
    <row r="2495" spans="1:28" x14ac:dyDescent="0.25">
      <c r="A2495" t="s">
        <v>2499</v>
      </c>
      <c r="B2495">
        <v>0.99334974765950101</v>
      </c>
      <c r="C2495">
        <v>1.0299061552811599</v>
      </c>
      <c r="D2495">
        <v>1.1187622818702101</v>
      </c>
      <c r="E2495">
        <v>1.06533096614762</v>
      </c>
      <c r="F2495">
        <v>1.14254740931986</v>
      </c>
      <c r="G2495">
        <v>1.2143564008579599</v>
      </c>
      <c r="H2495">
        <v>1.3052925862307001</v>
      </c>
      <c r="I2495">
        <v>1.54512080236535</v>
      </c>
      <c r="J2495">
        <v>0.79377547490465294</v>
      </c>
      <c r="K2495">
        <v>0.37130574295275998</v>
      </c>
      <c r="L2495">
        <v>15000</v>
      </c>
      <c r="M2495">
        <v>223.16298745646799</v>
      </c>
      <c r="N2495">
        <v>67.626501379808204</v>
      </c>
      <c r="O2495">
        <v>67.210055995901499</v>
      </c>
      <c r="P2495">
        <v>-0.52195194789270205</v>
      </c>
      <c r="Q2495">
        <v>0.37121443898152801</v>
      </c>
      <c r="R2495">
        <v>0.45921885557157299</v>
      </c>
      <c r="S2495" t="s">
        <v>8356</v>
      </c>
      <c r="T2495" t="s">
        <v>11720</v>
      </c>
      <c r="U2495" t="s">
        <v>11720</v>
      </c>
      <c r="V2495" t="s">
        <v>11720</v>
      </c>
      <c r="W2495" t="s">
        <v>14172</v>
      </c>
      <c r="X2495">
        <v>7</v>
      </c>
      <c r="Y2495" t="s">
        <v>19922</v>
      </c>
      <c r="Z2495" t="s">
        <v>25702</v>
      </c>
      <c r="AA2495">
        <v>0.94172923965932009</v>
      </c>
      <c r="AB2495" t="str">
        <f>HYPERLINK("Melting_Curves/meltCurve_P49458_SRP9.pdf", "Melting_Curves/meltCurve_P49458_SRP9.pdf")</f>
        <v>Melting_Curves/meltCurve_P49458_SRP9.pdf</v>
      </c>
    </row>
    <row r="2496" spans="1:28" x14ac:dyDescent="0.25">
      <c r="A2496" t="s">
        <v>2500</v>
      </c>
      <c r="B2496">
        <v>0.99334974765950101</v>
      </c>
      <c r="C2496">
        <v>0.91483227532714595</v>
      </c>
      <c r="D2496">
        <v>0.81001233561097097</v>
      </c>
      <c r="E2496">
        <v>0.78627892674768796</v>
      </c>
      <c r="F2496">
        <v>0.68442053983231599</v>
      </c>
      <c r="G2496">
        <v>0.28444694782747298</v>
      </c>
      <c r="H2496">
        <v>0.195204009014352</v>
      </c>
      <c r="I2496">
        <v>0.165495752194872</v>
      </c>
      <c r="J2496">
        <v>0.147506531186268</v>
      </c>
      <c r="K2496">
        <v>0.10577243804884399</v>
      </c>
      <c r="L2496">
        <v>701.84883494921996</v>
      </c>
      <c r="M2496">
        <v>12.987640421371299</v>
      </c>
      <c r="N2496">
        <v>54.470263510747202</v>
      </c>
      <c r="O2496">
        <v>52.806717024115102</v>
      </c>
      <c r="P2496">
        <v>-5.8497856262492501E-2</v>
      </c>
      <c r="Q2496">
        <v>4.8778106558161297E-2</v>
      </c>
      <c r="R2496">
        <v>0.97135744157699999</v>
      </c>
      <c r="S2496" t="s">
        <v>8357</v>
      </c>
      <c r="T2496" t="s">
        <v>11720</v>
      </c>
      <c r="U2496" t="s">
        <v>11720</v>
      </c>
      <c r="V2496" t="s">
        <v>11720</v>
      </c>
      <c r="W2496" t="s">
        <v>14173</v>
      </c>
      <c r="X2496">
        <v>4</v>
      </c>
      <c r="Y2496" t="s">
        <v>19923</v>
      </c>
      <c r="Z2496" t="s">
        <v>25703</v>
      </c>
      <c r="AA2496">
        <v>0.51686126331693572</v>
      </c>
      <c r="AB2496" t="str">
        <f>HYPERLINK("Melting_Curves/meltCurve_P49459_UBE2A.pdf", "Melting_Curves/meltCurve_P49459_UBE2A.pdf")</f>
        <v>Melting_Curves/meltCurve_P49459_UBE2A.pdf</v>
      </c>
    </row>
    <row r="2497" spans="1:28" x14ac:dyDescent="0.25">
      <c r="A2497" t="s">
        <v>2501</v>
      </c>
      <c r="B2497">
        <v>0.99334974765950101</v>
      </c>
      <c r="C2497">
        <v>1.07173916902561</v>
      </c>
      <c r="D2497">
        <v>0.92125924661083503</v>
      </c>
      <c r="E2497">
        <v>0.81853467485169096</v>
      </c>
      <c r="F2497">
        <v>0.449383729042928</v>
      </c>
      <c r="G2497">
        <v>0.219840297827851</v>
      </c>
      <c r="H2497">
        <v>0.134989710807219</v>
      </c>
      <c r="I2497">
        <v>9.3884914096776198E-2</v>
      </c>
      <c r="J2497">
        <v>9.0450105964128905E-2</v>
      </c>
      <c r="K2497">
        <v>8.2345437856065504E-2</v>
      </c>
      <c r="L2497">
        <v>1301.8419772173099</v>
      </c>
      <c r="M2497">
        <v>24.860807868544001</v>
      </c>
      <c r="N2497">
        <v>52.797391887186798</v>
      </c>
      <c r="O2497">
        <v>52.029942687828203</v>
      </c>
      <c r="P2497">
        <v>-0.108458811471269</v>
      </c>
      <c r="Q2497">
        <v>9.2060380773876294E-2</v>
      </c>
      <c r="R2497">
        <v>0.99286127635128596</v>
      </c>
      <c r="S2497" t="s">
        <v>8358</v>
      </c>
      <c r="T2497" t="s">
        <v>11720</v>
      </c>
      <c r="U2497" t="s">
        <v>11720</v>
      </c>
      <c r="V2497" t="s">
        <v>11720</v>
      </c>
      <c r="W2497" t="s">
        <v>14174</v>
      </c>
      <c r="X2497">
        <v>26</v>
      </c>
      <c r="Y2497" t="s">
        <v>19924</v>
      </c>
      <c r="Z2497" t="s">
        <v>25704</v>
      </c>
      <c r="AA2497">
        <v>0.47469586406601583</v>
      </c>
      <c r="AB2497" t="str">
        <f>HYPERLINK("Melting_Curves/meltCurve_P49585_PCYT1A.pdf", "Melting_Curves/meltCurve_P49585_PCYT1A.pdf")</f>
        <v>Melting_Curves/meltCurve_P49585_PCYT1A.pdf</v>
      </c>
    </row>
    <row r="2498" spans="1:28" x14ac:dyDescent="0.25">
      <c r="A2498" t="s">
        <v>2502</v>
      </c>
      <c r="B2498">
        <v>0.99334974765950101</v>
      </c>
      <c r="C2498">
        <v>1.0002819043208999</v>
      </c>
      <c r="D2498">
        <v>1.0512696112448201</v>
      </c>
      <c r="E2498">
        <v>0.83324660269928397</v>
      </c>
      <c r="F2498">
        <v>0.27757432377164398</v>
      </c>
      <c r="G2498">
        <v>0.14166219650994899</v>
      </c>
      <c r="H2498">
        <v>0.100169257635514</v>
      </c>
      <c r="I2498">
        <v>8.19807268483599E-2</v>
      </c>
      <c r="J2498">
        <v>7.9509857666484399E-2</v>
      </c>
      <c r="K2498">
        <v>6.9604511039235498E-2</v>
      </c>
      <c r="L2498">
        <v>2494.3399898007201</v>
      </c>
      <c r="M2498">
        <v>48.397994347974603</v>
      </c>
      <c r="N2498">
        <v>51.755841902112202</v>
      </c>
      <c r="O2498">
        <v>51.4503265231995</v>
      </c>
      <c r="P2498">
        <v>-0.213507186399682</v>
      </c>
      <c r="Q2498">
        <v>9.2110844835033998E-2</v>
      </c>
      <c r="R2498">
        <v>0.99691256677364004</v>
      </c>
      <c r="S2498" t="s">
        <v>8359</v>
      </c>
      <c r="T2498" t="s">
        <v>11720</v>
      </c>
      <c r="U2498" t="s">
        <v>11720</v>
      </c>
      <c r="V2498" t="s">
        <v>11720</v>
      </c>
      <c r="W2498" t="s">
        <v>14175</v>
      </c>
      <c r="X2498">
        <v>45</v>
      </c>
      <c r="Y2498" t="s">
        <v>19925</v>
      </c>
      <c r="Z2498" t="s">
        <v>25705</v>
      </c>
      <c r="AA2498">
        <v>0.44349115057540328</v>
      </c>
      <c r="AB2498" t="str">
        <f>HYPERLINK("Melting_Curves/meltCurve_P49588_AARS.pdf", "Melting_Curves/meltCurve_P49588_AARS.pdf")</f>
        <v>Melting_Curves/meltCurve_P49588_AARS.pdf</v>
      </c>
    </row>
    <row r="2499" spans="1:28" x14ac:dyDescent="0.25">
      <c r="A2499" t="s">
        <v>2503</v>
      </c>
      <c r="B2499">
        <v>0.99334974765950101</v>
      </c>
      <c r="C2499">
        <v>1.05184021052217</v>
      </c>
      <c r="D2499">
        <v>1.2181727148405099</v>
      </c>
      <c r="E2499">
        <v>1.4888793944432299</v>
      </c>
      <c r="F2499">
        <v>0.90341501958207204</v>
      </c>
      <c r="G2499">
        <v>0.24141737397763099</v>
      </c>
      <c r="H2499">
        <v>0.15535324260078401</v>
      </c>
      <c r="I2499">
        <v>0.125841746205377</v>
      </c>
      <c r="J2499">
        <v>0.123383675171975</v>
      </c>
      <c r="K2499">
        <v>9.7614644085275704E-2</v>
      </c>
      <c r="L2499">
        <v>3297.91723526138</v>
      </c>
      <c r="M2499">
        <v>59.8108569757404</v>
      </c>
      <c r="N2499">
        <v>55.408125630644498</v>
      </c>
      <c r="O2499">
        <v>55.077567609730501</v>
      </c>
      <c r="P2499">
        <v>-0.23727447874433999</v>
      </c>
      <c r="Q2499">
        <v>0.12601180397464001</v>
      </c>
      <c r="R2499">
        <v>0.88879666813050595</v>
      </c>
      <c r="S2499" t="s">
        <v>8360</v>
      </c>
      <c r="T2499" t="s">
        <v>11720</v>
      </c>
      <c r="U2499" t="s">
        <v>11720</v>
      </c>
      <c r="V2499" t="s">
        <v>11720</v>
      </c>
      <c r="W2499" t="s">
        <v>14176</v>
      </c>
      <c r="X2499">
        <v>32</v>
      </c>
      <c r="Y2499" t="s">
        <v>19926</v>
      </c>
      <c r="Z2499" t="s">
        <v>25706</v>
      </c>
      <c r="AA2499">
        <v>0.5685413913659001</v>
      </c>
      <c r="AB2499" t="str">
        <f>HYPERLINK("Melting_Curves/meltCurve_P49589_3_CARS.pdf", "Melting_Curves/meltCurve_P49589_3_CARS.pdf")</f>
        <v>Melting_Curves/meltCurve_P49589_3_CARS.pdf</v>
      </c>
    </row>
    <row r="2500" spans="1:28" x14ac:dyDescent="0.25">
      <c r="A2500" t="s">
        <v>2504</v>
      </c>
      <c r="B2500">
        <v>0.99334974765950101</v>
      </c>
      <c r="C2500">
        <v>1.0878608568200301</v>
      </c>
      <c r="D2500">
        <v>1.25120187664851</v>
      </c>
      <c r="E2500">
        <v>1.42894367841729</v>
      </c>
      <c r="F2500">
        <v>0.63828327163389897</v>
      </c>
      <c r="G2500">
        <v>0.26873180995670998</v>
      </c>
      <c r="H2500">
        <v>0.16591569094441</v>
      </c>
      <c r="I2500">
        <v>0.15326929316978199</v>
      </c>
      <c r="J2500">
        <v>0.15266751296356201</v>
      </c>
      <c r="K2500">
        <v>0.123168036581929</v>
      </c>
      <c r="L2500">
        <v>13263.373140755401</v>
      </c>
      <c r="M2500">
        <v>250</v>
      </c>
      <c r="N2500">
        <v>53.143599983546601</v>
      </c>
      <c r="O2500">
        <v>53.0500974026086</v>
      </c>
      <c r="P2500">
        <v>-0.97460890426186297</v>
      </c>
      <c r="Q2500">
        <v>0.17275044277644899</v>
      </c>
      <c r="R2500">
        <v>0.88968880552668494</v>
      </c>
      <c r="S2500" t="s">
        <v>8361</v>
      </c>
      <c r="T2500" t="s">
        <v>11720</v>
      </c>
      <c r="U2500" t="s">
        <v>11720</v>
      </c>
      <c r="V2500" t="s">
        <v>11720</v>
      </c>
      <c r="W2500" t="s">
        <v>14177</v>
      </c>
      <c r="X2500">
        <v>25</v>
      </c>
      <c r="Y2500" t="s">
        <v>19927</v>
      </c>
      <c r="Z2500" t="s">
        <v>25707</v>
      </c>
      <c r="AA2500">
        <v>0.53277733113870795</v>
      </c>
      <c r="AB2500" t="str">
        <f>HYPERLINK("Melting_Curves/meltCurve_P49591_SARS.pdf", "Melting_Curves/meltCurve_P49591_SARS.pdf")</f>
        <v>Melting_Curves/meltCurve_P49591_SARS.pdf</v>
      </c>
    </row>
    <row r="2501" spans="1:28" x14ac:dyDescent="0.25">
      <c r="A2501" t="s">
        <v>2505</v>
      </c>
      <c r="B2501">
        <v>0.99334974765950101</v>
      </c>
      <c r="C2501">
        <v>1.0055255483635901</v>
      </c>
      <c r="D2501">
        <v>0.89465911930243103</v>
      </c>
      <c r="E2501">
        <v>0.67582695395646297</v>
      </c>
      <c r="F2501">
        <v>0.31812247140202199</v>
      </c>
      <c r="G2501">
        <v>0.20629909540510299</v>
      </c>
      <c r="H2501">
        <v>0.16622012423048499</v>
      </c>
      <c r="I2501">
        <v>0.158928640361992</v>
      </c>
      <c r="J2501">
        <v>0.17713673411856501</v>
      </c>
      <c r="K2501">
        <v>0.15368694137764899</v>
      </c>
      <c r="L2501">
        <v>1364.4415645486699</v>
      </c>
      <c r="M2501">
        <v>26.983372347522501</v>
      </c>
      <c r="N2501">
        <v>51.297042760671197</v>
      </c>
      <c r="O2501">
        <v>50.290734154275398</v>
      </c>
      <c r="P2501">
        <v>-0.112727452955658</v>
      </c>
      <c r="Q2501">
        <v>0.15961726292692999</v>
      </c>
      <c r="R2501">
        <v>0.99585920484382795</v>
      </c>
      <c r="S2501" t="s">
        <v>8362</v>
      </c>
      <c r="T2501" t="s">
        <v>11720</v>
      </c>
      <c r="U2501" t="s">
        <v>11720</v>
      </c>
      <c r="V2501" t="s">
        <v>11720</v>
      </c>
      <c r="W2501" t="s">
        <v>14178</v>
      </c>
      <c r="X2501">
        <v>14</v>
      </c>
      <c r="Y2501" t="s">
        <v>19928</v>
      </c>
      <c r="Z2501" t="s">
        <v>25708</v>
      </c>
      <c r="AA2501">
        <v>0.46208980174513398</v>
      </c>
      <c r="AB2501" t="str">
        <f>HYPERLINK("Melting_Curves/meltCurve_P49662_CASP4.pdf", "Melting_Curves/meltCurve_P49662_CASP4.pdf")</f>
        <v>Melting_Curves/meltCurve_P49662_CASP4.pdf</v>
      </c>
    </row>
    <row r="2502" spans="1:28" x14ac:dyDescent="0.25">
      <c r="A2502" t="s">
        <v>2506</v>
      </c>
      <c r="B2502">
        <v>0.99334974765950101</v>
      </c>
      <c r="C2502">
        <v>1.0855844186650401</v>
      </c>
      <c r="D2502">
        <v>1.17974163858345</v>
      </c>
      <c r="E2502">
        <v>1.4114155377390001</v>
      </c>
      <c r="F2502">
        <v>1.70018112468369</v>
      </c>
      <c r="G2502">
        <v>1.5842754543184301</v>
      </c>
      <c r="H2502">
        <v>1.14296221992141</v>
      </c>
      <c r="I2502">
        <v>1.4603041802631</v>
      </c>
      <c r="J2502">
        <v>0.92102576369396805</v>
      </c>
      <c r="K2502">
        <v>0.58240241414374605</v>
      </c>
      <c r="L2502">
        <v>15000</v>
      </c>
      <c r="M2502">
        <v>222.42416541231299</v>
      </c>
      <c r="O2502">
        <v>67.433263941422695</v>
      </c>
      <c r="P2502">
        <v>-0.34445566920652199</v>
      </c>
      <c r="Q2502">
        <v>0.58227974315420405</v>
      </c>
      <c r="R2502">
        <v>-0.237449121468916</v>
      </c>
      <c r="S2502" t="s">
        <v>8363</v>
      </c>
      <c r="T2502" t="s">
        <v>11720</v>
      </c>
      <c r="U2502" t="s">
        <v>11720</v>
      </c>
      <c r="V2502" t="s">
        <v>11720</v>
      </c>
      <c r="W2502" t="s">
        <v>14179</v>
      </c>
      <c r="X2502">
        <v>8</v>
      </c>
      <c r="Y2502" t="s">
        <v>19929</v>
      </c>
      <c r="Z2502" t="s">
        <v>25709</v>
      </c>
      <c r="AA2502">
        <v>0.96439777209515321</v>
      </c>
      <c r="AB2502" t="str">
        <f>HYPERLINK("Melting_Curves/meltCurve_P49721_PSMB2.pdf", "Melting_Curves/meltCurve_P49721_PSMB2.pdf")</f>
        <v>Melting_Curves/meltCurve_P49721_PSMB2.pdf</v>
      </c>
    </row>
    <row r="2503" spans="1:28" x14ac:dyDescent="0.25">
      <c r="A2503" t="s">
        <v>2507</v>
      </c>
      <c r="B2503">
        <v>0.99334974765950101</v>
      </c>
      <c r="C2503">
        <v>1.09551422366107</v>
      </c>
      <c r="D2503">
        <v>1.15781341753398</v>
      </c>
      <c r="E2503">
        <v>1.16774532265876</v>
      </c>
      <c r="F2503">
        <v>0.92675171277474699</v>
      </c>
      <c r="G2503">
        <v>0.57656684850932904</v>
      </c>
      <c r="H2503">
        <v>0.27059564429344402</v>
      </c>
      <c r="I2503">
        <v>0.168594576555608</v>
      </c>
      <c r="J2503">
        <v>0.14307526827532399</v>
      </c>
      <c r="K2503">
        <v>0.117722195905239</v>
      </c>
      <c r="L2503">
        <v>1827.4834446509601</v>
      </c>
      <c r="M2503">
        <v>31.942363877645601</v>
      </c>
      <c r="N2503">
        <v>57.788830044979903</v>
      </c>
      <c r="O2503">
        <v>56.9890669415594</v>
      </c>
      <c r="P2503">
        <v>-0.120995300399278</v>
      </c>
      <c r="Q2503">
        <v>0.136522981183343</v>
      </c>
      <c r="R2503">
        <v>0.96355774263225102</v>
      </c>
      <c r="S2503" t="s">
        <v>8364</v>
      </c>
      <c r="T2503" t="s">
        <v>11720</v>
      </c>
      <c r="U2503" t="s">
        <v>11720</v>
      </c>
      <c r="V2503" t="s">
        <v>11720</v>
      </c>
      <c r="W2503" t="s">
        <v>14180</v>
      </c>
      <c r="X2503">
        <v>28</v>
      </c>
      <c r="Y2503" t="s">
        <v>19930</v>
      </c>
      <c r="Z2503" t="s">
        <v>25710</v>
      </c>
      <c r="AA2503">
        <v>0.63706479332786059</v>
      </c>
      <c r="AB2503" t="str">
        <f>HYPERLINK("Melting_Curves/meltCurve_P49748_2_ACADVL.pdf", "Melting_Curves/meltCurve_P49748_2_ACADVL.pdf")</f>
        <v>Melting_Curves/meltCurve_P49748_2_ACADVL.pdf</v>
      </c>
    </row>
    <row r="2504" spans="1:28" x14ac:dyDescent="0.25">
      <c r="A2504" t="s">
        <v>2508</v>
      </c>
      <c r="B2504">
        <v>0.99334974765950101</v>
      </c>
      <c r="C2504">
        <v>0.92473028204919605</v>
      </c>
      <c r="D2504">
        <v>0.72336721770701695</v>
      </c>
      <c r="E2504">
        <v>0.773210521433085</v>
      </c>
      <c r="F2504">
        <v>0.59511198656048703</v>
      </c>
      <c r="G2504">
        <v>0.37348232678708898</v>
      </c>
      <c r="H2504">
        <v>0.328880724384297</v>
      </c>
      <c r="I2504">
        <v>0.29902246233845398</v>
      </c>
      <c r="J2504">
        <v>0.279853929685077</v>
      </c>
      <c r="K2504">
        <v>0.28444726297421002</v>
      </c>
      <c r="L2504">
        <v>527.97844522197602</v>
      </c>
      <c r="M2504">
        <v>10.1499267717693</v>
      </c>
      <c r="N2504">
        <v>54.7961888748207</v>
      </c>
      <c r="O2504">
        <v>50.1199471355227</v>
      </c>
      <c r="P2504">
        <v>-4.04637525920057E-2</v>
      </c>
      <c r="Q2504">
        <v>0.201133592982777</v>
      </c>
      <c r="R2504">
        <v>0.96136188894588104</v>
      </c>
      <c r="S2504" t="s">
        <v>8365</v>
      </c>
      <c r="T2504" t="s">
        <v>11720</v>
      </c>
      <c r="U2504" t="s">
        <v>11720</v>
      </c>
      <c r="V2504" t="s">
        <v>11720</v>
      </c>
      <c r="W2504" t="s">
        <v>14181</v>
      </c>
      <c r="X2504">
        <v>7</v>
      </c>
      <c r="Y2504" t="s">
        <v>19931</v>
      </c>
      <c r="Z2504" t="s">
        <v>25711</v>
      </c>
      <c r="AA2504">
        <v>0.55094967296512964</v>
      </c>
      <c r="AB2504" t="str">
        <f>HYPERLINK("Melting_Curves/meltCurve_P49750_4_YLPM1.pdf", "Melting_Curves/meltCurve_P49750_4_YLPM1.pdf")</f>
        <v>Melting_Curves/meltCurve_P49750_4_YLPM1.pdf</v>
      </c>
    </row>
    <row r="2505" spans="1:28" x14ac:dyDescent="0.25">
      <c r="A2505" t="s">
        <v>2509</v>
      </c>
      <c r="B2505">
        <v>0.99334974765950101</v>
      </c>
      <c r="C2505">
        <v>0.982389501521437</v>
      </c>
      <c r="D2505">
        <v>0.92496062645966903</v>
      </c>
      <c r="E2505">
        <v>0.71695326864540498</v>
      </c>
      <c r="F2505">
        <v>0.40683552000801598</v>
      </c>
      <c r="G2505">
        <v>0.227467114016455</v>
      </c>
      <c r="H2505">
        <v>0.13685584033998099</v>
      </c>
      <c r="I2505">
        <v>0.16346312839322</v>
      </c>
      <c r="J2505">
        <v>0.1018524508932</v>
      </c>
      <c r="K2505">
        <v>4.1748934290650297E-2</v>
      </c>
      <c r="L2505">
        <v>1031.5334972568601</v>
      </c>
      <c r="M2505">
        <v>19.952052509032001</v>
      </c>
      <c r="N2505">
        <v>52.232132687161297</v>
      </c>
      <c r="O2505">
        <v>51.189661854405898</v>
      </c>
      <c r="P2505">
        <v>-8.8492591516007704E-2</v>
      </c>
      <c r="Q2505">
        <v>9.1871476795153395E-2</v>
      </c>
      <c r="R2505">
        <v>0.99467134489588205</v>
      </c>
      <c r="S2505" t="s">
        <v>8366</v>
      </c>
      <c r="T2505" t="s">
        <v>11720</v>
      </c>
      <c r="U2505" t="s">
        <v>11720</v>
      </c>
      <c r="V2505" t="s">
        <v>11720</v>
      </c>
      <c r="W2505" t="s">
        <v>14182</v>
      </c>
      <c r="X2505">
        <v>24</v>
      </c>
      <c r="Y2505" t="s">
        <v>19932</v>
      </c>
      <c r="Z2505" t="s">
        <v>25712</v>
      </c>
      <c r="AA2505">
        <v>0.45869684272857042</v>
      </c>
      <c r="AB2505" t="str">
        <f>HYPERLINK("Melting_Curves/meltCurve_P49753_ACOT2.pdf", "Melting_Curves/meltCurve_P49753_ACOT2.pdf")</f>
        <v>Melting_Curves/meltCurve_P49753_ACOT2.pdf</v>
      </c>
    </row>
    <row r="2506" spans="1:28" x14ac:dyDescent="0.25">
      <c r="A2506" t="s">
        <v>2510</v>
      </c>
      <c r="B2506">
        <v>0.99334974765950101</v>
      </c>
      <c r="C2506">
        <v>0.92048037307831798</v>
      </c>
      <c r="D2506">
        <v>0.94183690481071802</v>
      </c>
      <c r="E2506">
        <v>1.0235442461564801</v>
      </c>
      <c r="F2506">
        <v>0.79024684993314898</v>
      </c>
      <c r="G2506">
        <v>0.39260967564205501</v>
      </c>
      <c r="H2506">
        <v>0.14564206850400399</v>
      </c>
      <c r="I2506">
        <v>0.108447983463182</v>
      </c>
      <c r="J2506">
        <v>0.10907010291828199</v>
      </c>
      <c r="K2506">
        <v>9.5284543161301E-2</v>
      </c>
      <c r="L2506">
        <v>1616.80625772286</v>
      </c>
      <c r="M2506">
        <v>29.139429388906098</v>
      </c>
      <c r="N2506">
        <v>55.886264335407198</v>
      </c>
      <c r="O2506">
        <v>55.225831744383697</v>
      </c>
      <c r="P2506">
        <v>-0.119464717157633</v>
      </c>
      <c r="Q2506">
        <v>9.4355738806925896E-2</v>
      </c>
      <c r="R2506">
        <v>0.99101126293893504</v>
      </c>
      <c r="S2506" t="s">
        <v>8367</v>
      </c>
      <c r="T2506" t="s">
        <v>11720</v>
      </c>
      <c r="U2506" t="s">
        <v>11720</v>
      </c>
      <c r="V2506" t="s">
        <v>11720</v>
      </c>
      <c r="W2506" t="s">
        <v>14183</v>
      </c>
      <c r="X2506">
        <v>13</v>
      </c>
      <c r="Y2506" t="s">
        <v>19933</v>
      </c>
      <c r="Z2506" t="s">
        <v>25713</v>
      </c>
      <c r="AA2506">
        <v>0.56818527279774678</v>
      </c>
      <c r="AB2506" t="str">
        <f>HYPERLINK("Melting_Curves/meltCurve_P49755_TMED10.pdf", "Melting_Curves/meltCurve_P49755_TMED10.pdf")</f>
        <v>Melting_Curves/meltCurve_P49755_TMED10.pdf</v>
      </c>
    </row>
    <row r="2507" spans="1:28" x14ac:dyDescent="0.25">
      <c r="A2507" t="s">
        <v>2511</v>
      </c>
      <c r="B2507">
        <v>0.99334974765950101</v>
      </c>
      <c r="C2507">
        <v>0.97657219200983603</v>
      </c>
      <c r="D2507">
        <v>0.86323338152186302</v>
      </c>
      <c r="E2507">
        <v>0.52449239987817098</v>
      </c>
      <c r="F2507">
        <v>0.29231078675097799</v>
      </c>
      <c r="G2507">
        <v>0.17169681530893699</v>
      </c>
      <c r="H2507">
        <v>0.139059351824667</v>
      </c>
      <c r="I2507">
        <v>0.12675351269034901</v>
      </c>
      <c r="J2507">
        <v>9.4390737703205302E-2</v>
      </c>
      <c r="K2507">
        <v>8.7274734446738306E-2</v>
      </c>
      <c r="L2507">
        <v>1037.74666427532</v>
      </c>
      <c r="M2507">
        <v>20.8687781095623</v>
      </c>
      <c r="N2507">
        <v>50.291336905542103</v>
      </c>
      <c r="O2507">
        <v>49.2773962229044</v>
      </c>
      <c r="P2507">
        <v>-9.4828773602318006E-2</v>
      </c>
      <c r="Q2507">
        <v>0.104349171892177</v>
      </c>
      <c r="R2507">
        <v>0.99907497865477402</v>
      </c>
      <c r="S2507" t="s">
        <v>8368</v>
      </c>
      <c r="T2507" t="s">
        <v>11720</v>
      </c>
      <c r="U2507" t="s">
        <v>11720</v>
      </c>
      <c r="V2507" t="s">
        <v>11720</v>
      </c>
      <c r="W2507" t="s">
        <v>14184</v>
      </c>
      <c r="X2507">
        <v>8</v>
      </c>
      <c r="Y2507" t="s">
        <v>19934</v>
      </c>
      <c r="Z2507" t="s">
        <v>25714</v>
      </c>
      <c r="AA2507">
        <v>0.40623138499113032</v>
      </c>
      <c r="AB2507" t="str">
        <f>HYPERLINK("Melting_Curves/meltCurve_P49756_RBM25.pdf", "Melting_Curves/meltCurve_P49756_RBM25.pdf")</f>
        <v>Melting_Curves/meltCurve_P49756_RBM25.pdf</v>
      </c>
    </row>
    <row r="2508" spans="1:28" x14ac:dyDescent="0.25">
      <c r="A2508" t="s">
        <v>2512</v>
      </c>
      <c r="B2508">
        <v>0.99334974765950101</v>
      </c>
      <c r="C2508">
        <v>0.98349479137044504</v>
      </c>
      <c r="D2508">
        <v>0.83626859684202703</v>
      </c>
      <c r="E2508">
        <v>0.72838284384136198</v>
      </c>
      <c r="F2508">
        <v>0.51991481938072903</v>
      </c>
      <c r="G2508">
        <v>0.28983629979344999</v>
      </c>
      <c r="H2508">
        <v>0.24407799394066201</v>
      </c>
      <c r="I2508">
        <v>0.23746054244800299</v>
      </c>
      <c r="J2508">
        <v>0.25606967117798801</v>
      </c>
      <c r="K2508">
        <v>0.22579169792272399</v>
      </c>
      <c r="L2508">
        <v>858.04562120414698</v>
      </c>
      <c r="M2508">
        <v>16.7212452971504</v>
      </c>
      <c r="N2508">
        <v>53.042195399129497</v>
      </c>
      <c r="O2508">
        <v>50.597606234651799</v>
      </c>
      <c r="P2508">
        <v>-6.5276534598844096E-2</v>
      </c>
      <c r="Q2508">
        <v>0.20995853171911599</v>
      </c>
      <c r="R2508">
        <v>0.99013449545545396</v>
      </c>
      <c r="S2508" t="s">
        <v>8369</v>
      </c>
      <c r="T2508" t="s">
        <v>11720</v>
      </c>
      <c r="U2508" t="s">
        <v>11720</v>
      </c>
      <c r="V2508" t="s">
        <v>11720</v>
      </c>
      <c r="W2508" t="s">
        <v>14185</v>
      </c>
      <c r="X2508">
        <v>11</v>
      </c>
      <c r="Y2508" t="s">
        <v>19935</v>
      </c>
      <c r="Z2508" t="s">
        <v>25715</v>
      </c>
      <c r="AA2508">
        <v>0.5230089945626536</v>
      </c>
      <c r="AB2508" t="str">
        <f>HYPERLINK("Melting_Curves/meltCurve_P49757_4_NUMB.pdf", "Melting_Curves/meltCurve_P49757_4_NUMB.pdf")</f>
        <v>Melting_Curves/meltCurve_P49757_4_NUMB.pdf</v>
      </c>
    </row>
    <row r="2509" spans="1:28" x14ac:dyDescent="0.25">
      <c r="A2509" t="s">
        <v>2513</v>
      </c>
      <c r="B2509">
        <v>0.99334974765950101</v>
      </c>
      <c r="C2509">
        <v>0.98032566318133096</v>
      </c>
      <c r="D2509">
        <v>0.91327340376844401</v>
      </c>
      <c r="E2509">
        <v>0.95921857874852601</v>
      </c>
      <c r="F2509">
        <v>0.70644329134891204</v>
      </c>
      <c r="G2509">
        <v>0.28183029640003099</v>
      </c>
      <c r="H2509">
        <v>0.19195478515442899</v>
      </c>
      <c r="I2509">
        <v>0.150508320066848</v>
      </c>
      <c r="J2509">
        <v>0.14234322732579699</v>
      </c>
      <c r="K2509">
        <v>0.110370070123259</v>
      </c>
      <c r="L2509">
        <v>1673.6579203168301</v>
      </c>
      <c r="M2509">
        <v>30.901942297930599</v>
      </c>
      <c r="N2509">
        <v>54.7310945617375</v>
      </c>
      <c r="O2509">
        <v>53.9349859315763</v>
      </c>
      <c r="P2509">
        <v>-0.123506024944098</v>
      </c>
      <c r="Q2509">
        <v>0.13775551243145401</v>
      </c>
      <c r="R2509">
        <v>0.993369166891093</v>
      </c>
      <c r="S2509" t="s">
        <v>8370</v>
      </c>
      <c r="T2509" t="s">
        <v>11720</v>
      </c>
      <c r="U2509" t="s">
        <v>11720</v>
      </c>
      <c r="V2509" t="s">
        <v>11720</v>
      </c>
      <c r="W2509" t="s">
        <v>14186</v>
      </c>
      <c r="X2509">
        <v>13</v>
      </c>
      <c r="Y2509" t="s">
        <v>19936</v>
      </c>
      <c r="Z2509" t="s">
        <v>25716</v>
      </c>
      <c r="AA2509">
        <v>0.55010193945243557</v>
      </c>
      <c r="AB2509" t="str">
        <f>HYPERLINK("Melting_Curves/meltCurve_P49770_EIF2B2.pdf", "Melting_Curves/meltCurve_P49770_EIF2B2.pdf")</f>
        <v>Melting_Curves/meltCurve_P49770_EIF2B2.pdf</v>
      </c>
    </row>
    <row r="2510" spans="1:28" x14ac:dyDescent="0.25">
      <c r="A2510" t="s">
        <v>2514</v>
      </c>
      <c r="B2510">
        <v>0.99334974765950101</v>
      </c>
      <c r="C2510">
        <v>1.0059116668802</v>
      </c>
      <c r="D2510">
        <v>0.85845883551609803</v>
      </c>
      <c r="E2510">
        <v>0.79905381326403302</v>
      </c>
      <c r="F2510">
        <v>0.62299924429225195</v>
      </c>
      <c r="G2510">
        <v>0.51261566755333099</v>
      </c>
      <c r="H2510">
        <v>0.34816909279109898</v>
      </c>
      <c r="I2510">
        <v>0.21833545280814101</v>
      </c>
      <c r="J2510">
        <v>0.18156186373729599</v>
      </c>
      <c r="K2510">
        <v>0.170811727573215</v>
      </c>
      <c r="L2510">
        <v>558.73032537525705</v>
      </c>
      <c r="M2510">
        <v>9.9512950893665995</v>
      </c>
      <c r="N2510">
        <v>56.522838586672798</v>
      </c>
      <c r="O2510">
        <v>54.020316132373097</v>
      </c>
      <c r="P2510">
        <v>-4.4599287129308898E-2</v>
      </c>
      <c r="Q2510">
        <v>3.2055565346614599E-2</v>
      </c>
      <c r="R2510">
        <v>0.99111554932735002</v>
      </c>
      <c r="S2510" t="s">
        <v>8371</v>
      </c>
      <c r="T2510" t="s">
        <v>11720</v>
      </c>
      <c r="U2510" t="s">
        <v>11720</v>
      </c>
      <c r="V2510" t="s">
        <v>11720</v>
      </c>
      <c r="W2510" t="s">
        <v>14187</v>
      </c>
      <c r="X2510">
        <v>11</v>
      </c>
      <c r="Y2510" t="s">
        <v>19937</v>
      </c>
      <c r="Z2510" t="s">
        <v>25717</v>
      </c>
      <c r="AA2510">
        <v>0.57271535007464913</v>
      </c>
      <c r="AB2510" t="str">
        <f>HYPERLINK("Melting_Curves/meltCurve_P49773_HINT1.pdf", "Melting_Curves/meltCurve_P49773_HINT1.pdf")</f>
        <v>Melting_Curves/meltCurve_P49773_HINT1.pdf</v>
      </c>
    </row>
    <row r="2511" spans="1:28" x14ac:dyDescent="0.25">
      <c r="A2511" t="s">
        <v>2515</v>
      </c>
      <c r="B2511">
        <v>0.99334974765950101</v>
      </c>
      <c r="C2511">
        <v>0.94324039433803897</v>
      </c>
      <c r="D2511">
        <v>0.90628090248952398</v>
      </c>
      <c r="E2511">
        <v>0.84621368638719796</v>
      </c>
      <c r="F2511">
        <v>0.75270219202670896</v>
      </c>
      <c r="G2511">
        <v>0.42804572167317301</v>
      </c>
      <c r="H2511">
        <v>0.34137135585015099</v>
      </c>
      <c r="I2511">
        <v>0.37711241860450001</v>
      </c>
      <c r="J2511">
        <v>0.321117915875271</v>
      </c>
      <c r="K2511">
        <v>0.379639605043877</v>
      </c>
      <c r="L2511">
        <v>1130.1563946440101</v>
      </c>
      <c r="M2511">
        <v>21.1682606087792</v>
      </c>
      <c r="N2511">
        <v>56.298474398703497</v>
      </c>
      <c r="O2511">
        <v>52.919578422413998</v>
      </c>
      <c r="P2511">
        <v>-6.6748642088152399E-2</v>
      </c>
      <c r="Q2511">
        <v>0.33254447112098301</v>
      </c>
      <c r="R2511">
        <v>0.97431719481009604</v>
      </c>
      <c r="S2511" t="s">
        <v>8372</v>
      </c>
      <c r="T2511" t="s">
        <v>11720</v>
      </c>
      <c r="U2511" t="s">
        <v>11720</v>
      </c>
      <c r="V2511" t="s">
        <v>11720</v>
      </c>
      <c r="W2511" t="s">
        <v>14188</v>
      </c>
      <c r="X2511">
        <v>14</v>
      </c>
      <c r="Y2511" t="s">
        <v>19938</v>
      </c>
      <c r="Z2511" t="s">
        <v>25718</v>
      </c>
      <c r="AA2511">
        <v>0.63873884259257774</v>
      </c>
      <c r="AB2511" t="str">
        <f>HYPERLINK("Melting_Curves/meltCurve_P49790_NUP153.pdf", "Melting_Curves/meltCurve_P49790_NUP153.pdf")</f>
        <v>Melting_Curves/meltCurve_P49790_NUP153.pdf</v>
      </c>
    </row>
    <row r="2512" spans="1:28" x14ac:dyDescent="0.25">
      <c r="A2512" t="s">
        <v>2516</v>
      </c>
      <c r="B2512">
        <v>0.99334974765950101</v>
      </c>
      <c r="C2512">
        <v>0.918585094434484</v>
      </c>
      <c r="D2512">
        <v>0.67028867157458105</v>
      </c>
      <c r="E2512">
        <v>0.42601591684025097</v>
      </c>
      <c r="F2512">
        <v>0.346040027234231</v>
      </c>
      <c r="G2512">
        <v>0.26227669695601802</v>
      </c>
      <c r="H2512">
        <v>0.23423866892818301</v>
      </c>
      <c r="I2512">
        <v>0.23730508373989501</v>
      </c>
      <c r="J2512">
        <v>0.25377479833358901</v>
      </c>
      <c r="K2512">
        <v>0.204145723284825</v>
      </c>
      <c r="L2512">
        <v>873.26632080055197</v>
      </c>
      <c r="M2512">
        <v>18.548406908272401</v>
      </c>
      <c r="N2512">
        <v>48.717384622373302</v>
      </c>
      <c r="O2512">
        <v>46.543392924443502</v>
      </c>
      <c r="P2512">
        <v>-7.6528648988766601E-2</v>
      </c>
      <c r="Q2512">
        <v>0.231902367436291</v>
      </c>
      <c r="R2512">
        <v>0.99494319202399295</v>
      </c>
      <c r="S2512" t="s">
        <v>8373</v>
      </c>
      <c r="T2512" t="s">
        <v>11720</v>
      </c>
      <c r="U2512" t="s">
        <v>11720</v>
      </c>
      <c r="V2512" t="s">
        <v>11720</v>
      </c>
      <c r="W2512" t="s">
        <v>14189</v>
      </c>
      <c r="X2512">
        <v>12</v>
      </c>
      <c r="Y2512" t="s">
        <v>19939</v>
      </c>
      <c r="Z2512" t="s">
        <v>25719</v>
      </c>
      <c r="AA2512">
        <v>0.42640727174984311</v>
      </c>
      <c r="AB2512" t="str">
        <f>HYPERLINK("Melting_Curves/meltCurve_P49792_RANBP2.pdf", "Melting_Curves/meltCurve_P49792_RANBP2.pdf")</f>
        <v>Melting_Curves/meltCurve_P49792_RANBP2.pdf</v>
      </c>
    </row>
    <row r="2513" spans="1:28" x14ac:dyDescent="0.25">
      <c r="A2513" t="s">
        <v>2517</v>
      </c>
      <c r="B2513">
        <v>0.99334974765950101</v>
      </c>
      <c r="C2513">
        <v>1.1413342655845899</v>
      </c>
      <c r="D2513">
        <v>0.74914783856196399</v>
      </c>
      <c r="E2513">
        <v>0.52645838161570302</v>
      </c>
      <c r="F2513">
        <v>0.33833519205781898</v>
      </c>
      <c r="G2513">
        <v>0.20739993868286299</v>
      </c>
      <c r="H2513">
        <v>0.31402575036401398</v>
      </c>
      <c r="I2513">
        <v>0.14878390049979301</v>
      </c>
      <c r="J2513">
        <v>9.8380204246370603E-2</v>
      </c>
      <c r="K2513">
        <v>0</v>
      </c>
      <c r="L2513">
        <v>859.03783492422497</v>
      </c>
      <c r="M2513">
        <v>17.2735402575405</v>
      </c>
      <c r="N2513">
        <v>50.521514678670897</v>
      </c>
      <c r="O2513">
        <v>49.079261588410297</v>
      </c>
      <c r="P2513">
        <v>-7.75781393320506E-2</v>
      </c>
      <c r="Q2513">
        <v>0.118361082621291</v>
      </c>
      <c r="R2513">
        <v>0.93731457412635599</v>
      </c>
      <c r="S2513" t="s">
        <v>8374</v>
      </c>
      <c r="T2513" t="s">
        <v>11720</v>
      </c>
      <c r="U2513" t="s">
        <v>11720</v>
      </c>
      <c r="V2513" t="s">
        <v>11720</v>
      </c>
      <c r="W2513" t="s">
        <v>14190</v>
      </c>
      <c r="X2513">
        <v>2</v>
      </c>
      <c r="Y2513" t="s">
        <v>19940</v>
      </c>
      <c r="Z2513" t="s">
        <v>25720</v>
      </c>
      <c r="AA2513">
        <v>0.42067520260034619</v>
      </c>
      <c r="AB2513" t="str">
        <f>HYPERLINK("Melting_Curves/meltCurve_P49795_RGS19.pdf", "Melting_Curves/meltCurve_P49795_RGS19.pdf")</f>
        <v>Melting_Curves/meltCurve_P49795_RGS19.pdf</v>
      </c>
    </row>
    <row r="2514" spans="1:28" x14ac:dyDescent="0.25">
      <c r="A2514" t="s">
        <v>2518</v>
      </c>
      <c r="B2514">
        <v>0.99334974765950101</v>
      </c>
      <c r="C2514">
        <v>0.88821733037910999</v>
      </c>
      <c r="D2514">
        <v>0.65536347743735801</v>
      </c>
      <c r="E2514">
        <v>0.38974221867978898</v>
      </c>
      <c r="F2514">
        <v>0.27261810561487598</v>
      </c>
      <c r="G2514">
        <v>9.3769289658633306E-2</v>
      </c>
      <c r="H2514">
        <v>7.3762724988092193E-2</v>
      </c>
      <c r="I2514">
        <v>9.5995830860730297E-2</v>
      </c>
      <c r="J2514">
        <v>0.13215124898910599</v>
      </c>
      <c r="K2514">
        <v>0</v>
      </c>
      <c r="L2514">
        <v>745.26820554564404</v>
      </c>
      <c r="M2514">
        <v>15.5089795523227</v>
      </c>
      <c r="N2514">
        <v>48.417333850462597</v>
      </c>
      <c r="O2514">
        <v>47.276326902367302</v>
      </c>
      <c r="P2514">
        <v>-7.7513717305285307E-2</v>
      </c>
      <c r="Q2514">
        <v>5.4937835119065102E-2</v>
      </c>
      <c r="R2514">
        <v>0.98823208396684503</v>
      </c>
      <c r="S2514" t="s">
        <v>8375</v>
      </c>
      <c r="T2514" t="s">
        <v>11720</v>
      </c>
      <c r="U2514" t="s">
        <v>11720</v>
      </c>
      <c r="V2514" t="s">
        <v>11720</v>
      </c>
      <c r="W2514" t="s">
        <v>14191</v>
      </c>
      <c r="X2514">
        <v>1</v>
      </c>
      <c r="Y2514" t="s">
        <v>19941</v>
      </c>
      <c r="Z2514" t="s">
        <v>25721</v>
      </c>
      <c r="AA2514">
        <v>0.33135706204202803</v>
      </c>
      <c r="AB2514" t="str">
        <f>HYPERLINK("Melting_Curves/meltCurve_P49796_1_RGS3.pdf", "Melting_Curves/meltCurve_P49796_1_RGS3.pdf")</f>
        <v>Melting_Curves/meltCurve_P49796_1_RGS3.pdf</v>
      </c>
    </row>
    <row r="2515" spans="1:28" x14ac:dyDescent="0.25">
      <c r="A2515" t="s">
        <v>2519</v>
      </c>
      <c r="B2515">
        <v>0.99334974765950101</v>
      </c>
      <c r="C2515">
        <v>1.0204004808802101</v>
      </c>
      <c r="D2515">
        <v>0.851466223187481</v>
      </c>
      <c r="E2515">
        <v>0.64081143449357003</v>
      </c>
      <c r="F2515">
        <v>0.409681324051482</v>
      </c>
      <c r="G2515">
        <v>0.14303717451370801</v>
      </c>
      <c r="H2515">
        <v>5.7723302602787303E-2</v>
      </c>
      <c r="I2515">
        <v>5.3536510358461901E-2</v>
      </c>
      <c r="J2515">
        <v>3.5935586277202697E-2</v>
      </c>
      <c r="K2515">
        <v>3.4555880220307401E-2</v>
      </c>
      <c r="L2515">
        <v>911.81719185562599</v>
      </c>
      <c r="M2515">
        <v>17.702459926106201</v>
      </c>
      <c r="N2515">
        <v>51.597491908750001</v>
      </c>
      <c r="O2515">
        <v>50.864133123525001</v>
      </c>
      <c r="P2515">
        <v>-8.5696727033374206E-2</v>
      </c>
      <c r="Q2515">
        <v>1.51289495119875E-2</v>
      </c>
      <c r="R2515">
        <v>0.99636931918191896</v>
      </c>
      <c r="S2515" t="s">
        <v>8376</v>
      </c>
      <c r="T2515" t="s">
        <v>11720</v>
      </c>
      <c r="U2515" t="s">
        <v>11720</v>
      </c>
      <c r="V2515" t="s">
        <v>11720</v>
      </c>
      <c r="W2515" t="s">
        <v>14192</v>
      </c>
      <c r="X2515">
        <v>13</v>
      </c>
      <c r="Y2515" t="s">
        <v>19942</v>
      </c>
      <c r="Z2515" t="s">
        <v>25722</v>
      </c>
      <c r="AA2515">
        <v>0.40990523157344011</v>
      </c>
      <c r="AB2515" t="str">
        <f>HYPERLINK("Melting_Curves/meltCurve_P49840_GSK3A.pdf", "Melting_Curves/meltCurve_P49840_GSK3A.pdf")</f>
        <v>Melting_Curves/meltCurve_P49840_GSK3A.pdf</v>
      </c>
    </row>
    <row r="2516" spans="1:28" x14ac:dyDescent="0.25">
      <c r="A2516" t="s">
        <v>2520</v>
      </c>
      <c r="B2516">
        <v>0.99334974765950101</v>
      </c>
      <c r="C2516">
        <v>0.978796355595554</v>
      </c>
      <c r="D2516">
        <v>0.79671302139987998</v>
      </c>
      <c r="E2516">
        <v>0.65026479578678398</v>
      </c>
      <c r="F2516">
        <v>0.30363888871332301</v>
      </c>
      <c r="G2516">
        <v>0.12089260311609799</v>
      </c>
      <c r="H2516">
        <v>9.1446839170511399E-2</v>
      </c>
      <c r="I2516">
        <v>8.4960377190513595E-2</v>
      </c>
      <c r="J2516">
        <v>7.4101076429145402E-2</v>
      </c>
      <c r="K2516">
        <v>5.6004912612878002E-2</v>
      </c>
      <c r="L2516">
        <v>937.190030461888</v>
      </c>
      <c r="M2516">
        <v>18.5246089690643</v>
      </c>
      <c r="N2516">
        <v>50.8836284699291</v>
      </c>
      <c r="O2516">
        <v>50.013116138606797</v>
      </c>
      <c r="P2516">
        <v>-8.7933266085348405E-2</v>
      </c>
      <c r="Q2516">
        <v>5.0425750711616597E-2</v>
      </c>
      <c r="R2516">
        <v>0.99028355995409401</v>
      </c>
      <c r="S2516" t="s">
        <v>8377</v>
      </c>
      <c r="T2516" t="s">
        <v>11720</v>
      </c>
      <c r="U2516" t="s">
        <v>11720</v>
      </c>
      <c r="V2516" t="s">
        <v>11720</v>
      </c>
      <c r="W2516" t="s">
        <v>14193</v>
      </c>
      <c r="X2516">
        <v>13</v>
      </c>
      <c r="Y2516" t="s">
        <v>19943</v>
      </c>
      <c r="Z2516" t="s">
        <v>25723</v>
      </c>
      <c r="AA2516">
        <v>0.40092007652975209</v>
      </c>
      <c r="AB2516" t="str">
        <f>HYPERLINK("Melting_Curves/meltCurve_P49841_GSK3B.pdf", "Melting_Curves/meltCurve_P49841_GSK3B.pdf")</f>
        <v>Melting_Curves/meltCurve_P49841_GSK3B.pdf</v>
      </c>
    </row>
    <row r="2517" spans="1:28" x14ac:dyDescent="0.25">
      <c r="A2517" t="s">
        <v>2521</v>
      </c>
      <c r="B2517">
        <v>0.99334974765950101</v>
      </c>
      <c r="C2517">
        <v>1.01988983121695</v>
      </c>
      <c r="D2517">
        <v>1.21300626662146</v>
      </c>
      <c r="E2517">
        <v>1.3789804462186299</v>
      </c>
      <c r="F2517">
        <v>1.41637817327536</v>
      </c>
      <c r="G2517">
        <v>1.7875926525158401</v>
      </c>
      <c r="H2517">
        <v>0.96104171039312103</v>
      </c>
      <c r="I2517">
        <v>0.245839160887173</v>
      </c>
      <c r="J2517">
        <v>0.20720602104554001</v>
      </c>
      <c r="K2517">
        <v>0.165793538222933</v>
      </c>
      <c r="L2517">
        <v>7204.1755270003696</v>
      </c>
      <c r="M2517">
        <v>115.101989737184</v>
      </c>
      <c r="N2517">
        <v>62.843936813143998</v>
      </c>
      <c r="O2517">
        <v>62.570624020474497</v>
      </c>
      <c r="P2517">
        <v>-0.37423558580942701</v>
      </c>
      <c r="Q2517">
        <v>0.18624699260195501</v>
      </c>
      <c r="R2517">
        <v>0.65359203408663802</v>
      </c>
      <c r="S2517" t="s">
        <v>8378</v>
      </c>
      <c r="T2517" t="s">
        <v>11720</v>
      </c>
      <c r="U2517" t="s">
        <v>11720</v>
      </c>
      <c r="V2517" t="s">
        <v>11720</v>
      </c>
      <c r="W2517" t="s">
        <v>14194</v>
      </c>
      <c r="X2517">
        <v>16</v>
      </c>
      <c r="Y2517" t="s">
        <v>19944</v>
      </c>
      <c r="Z2517" t="s">
        <v>25724</v>
      </c>
      <c r="AA2517">
        <v>0.79941126642250671</v>
      </c>
      <c r="AB2517" t="str">
        <f>HYPERLINK("Melting_Curves/meltCurve_P49902_NT5C2.pdf", "Melting_Curves/meltCurve_P49902_NT5C2.pdf")</f>
        <v>Melting_Curves/meltCurve_P49902_NT5C2.pdf</v>
      </c>
    </row>
    <row r="2518" spans="1:28" x14ac:dyDescent="0.25">
      <c r="A2518" t="s">
        <v>2522</v>
      </c>
      <c r="B2518">
        <v>0.99334974765950101</v>
      </c>
      <c r="C2518">
        <v>1.0012434059533399</v>
      </c>
      <c r="D2518">
        <v>1.0072976333236301</v>
      </c>
      <c r="E2518">
        <v>0.95980211094489998</v>
      </c>
      <c r="F2518">
        <v>0.99307306996612199</v>
      </c>
      <c r="G2518">
        <v>0.92168084363289104</v>
      </c>
      <c r="H2518">
        <v>0.79610196966542202</v>
      </c>
      <c r="I2518">
        <v>0.87656742097540197</v>
      </c>
      <c r="J2518">
        <v>0.83839019306190499</v>
      </c>
      <c r="K2518">
        <v>0.71377938037000299</v>
      </c>
      <c r="L2518">
        <v>442.60249164398601</v>
      </c>
      <c r="M2518">
        <v>5.2690655011866498</v>
      </c>
      <c r="Q2518">
        <v>0</v>
      </c>
      <c r="R2518">
        <v>0.85509989264011699</v>
      </c>
      <c r="S2518" t="s">
        <v>8379</v>
      </c>
      <c r="T2518" t="s">
        <v>11720</v>
      </c>
      <c r="U2518" t="s">
        <v>11720</v>
      </c>
      <c r="V2518" t="s">
        <v>11720</v>
      </c>
      <c r="W2518" t="s">
        <v>14195</v>
      </c>
      <c r="X2518">
        <v>14</v>
      </c>
      <c r="Y2518" t="s">
        <v>19945</v>
      </c>
      <c r="Z2518" t="s">
        <v>25725</v>
      </c>
      <c r="AA2518">
        <v>0.91590352868608405</v>
      </c>
      <c r="AB2518" t="str">
        <f>HYPERLINK("Melting_Curves/meltCurve_P49903_SEPHS1.pdf", "Melting_Curves/meltCurve_P49903_SEPHS1.pdf")</f>
        <v>Melting_Curves/meltCurve_P49903_SEPHS1.pdf</v>
      </c>
    </row>
    <row r="2519" spans="1:28" x14ac:dyDescent="0.25">
      <c r="A2519" t="s">
        <v>2523</v>
      </c>
      <c r="B2519">
        <v>0.99334974765950101</v>
      </c>
      <c r="C2519">
        <v>1.1574950974954199</v>
      </c>
      <c r="D2519">
        <v>1.13094033240887</v>
      </c>
      <c r="E2519">
        <v>0.59118234386305302</v>
      </c>
      <c r="F2519">
        <v>0.19613966067592001</v>
      </c>
      <c r="G2519">
        <v>0.10936901160243</v>
      </c>
      <c r="H2519">
        <v>8.2155677978339406E-2</v>
      </c>
      <c r="I2519">
        <v>7.32827706207477E-2</v>
      </c>
      <c r="J2519">
        <v>8.4520441294577697E-2</v>
      </c>
      <c r="K2519">
        <v>6.7571063203481496E-2</v>
      </c>
      <c r="L2519">
        <v>2381.6877321605698</v>
      </c>
      <c r="M2519">
        <v>47.3473330110278</v>
      </c>
      <c r="N2519">
        <v>50.507883558798298</v>
      </c>
      <c r="O2519">
        <v>50.2129856804535</v>
      </c>
      <c r="P2519">
        <v>-0.21508779546783</v>
      </c>
      <c r="Q2519">
        <v>8.7577947392011204E-2</v>
      </c>
      <c r="R2519">
        <v>0.97649372963366299</v>
      </c>
      <c r="S2519" t="s">
        <v>8380</v>
      </c>
      <c r="T2519" t="s">
        <v>11720</v>
      </c>
      <c r="U2519" t="s">
        <v>11720</v>
      </c>
      <c r="V2519" t="s">
        <v>11720</v>
      </c>
      <c r="W2519" t="s">
        <v>14196</v>
      </c>
      <c r="X2519">
        <v>4</v>
      </c>
      <c r="Y2519" t="s">
        <v>19946</v>
      </c>
      <c r="Z2519" t="s">
        <v>25726</v>
      </c>
      <c r="AA2519">
        <v>0.40317714013936778</v>
      </c>
      <c r="AB2519" t="str">
        <f>HYPERLINK("Melting_Curves/meltCurve_P49914_MTHFS.pdf", "Melting_Curves/meltCurve_P49914_MTHFS.pdf")</f>
        <v>Melting_Curves/meltCurve_P49914_MTHFS.pdf</v>
      </c>
    </row>
    <row r="2520" spans="1:28" x14ac:dyDescent="0.25">
      <c r="A2520" t="s">
        <v>2524</v>
      </c>
      <c r="B2520">
        <v>0.99334974765950101</v>
      </c>
      <c r="C2520">
        <v>0.998709396355417</v>
      </c>
      <c r="D2520">
        <v>0.98165382467880702</v>
      </c>
      <c r="E2520">
        <v>0.76751621022163996</v>
      </c>
      <c r="F2520">
        <v>0.19635462928956701</v>
      </c>
      <c r="G2520">
        <v>0.13225866020291699</v>
      </c>
      <c r="H2520">
        <v>0.108693342635764</v>
      </c>
      <c r="I2520">
        <v>0.109044600706698</v>
      </c>
      <c r="J2520">
        <v>0.106197281441095</v>
      </c>
      <c r="K2520">
        <v>8.1120292937879396E-2</v>
      </c>
      <c r="L2520">
        <v>2831.1236908952001</v>
      </c>
      <c r="M2520">
        <v>55.583020174710001</v>
      </c>
      <c r="N2520">
        <v>51.155746155877097</v>
      </c>
      <c r="O2520">
        <v>50.869242457791202</v>
      </c>
      <c r="P2520">
        <v>-0.24404675579486901</v>
      </c>
      <c r="Q2520">
        <v>0.10660008228661901</v>
      </c>
      <c r="R2520">
        <v>0.99907534304458601</v>
      </c>
      <c r="S2520" t="s">
        <v>8381</v>
      </c>
      <c r="T2520" t="s">
        <v>11720</v>
      </c>
      <c r="U2520" t="s">
        <v>11720</v>
      </c>
      <c r="V2520" t="s">
        <v>11720</v>
      </c>
      <c r="W2520" t="s">
        <v>14197</v>
      </c>
      <c r="X2520">
        <v>33</v>
      </c>
      <c r="Y2520" t="s">
        <v>19947</v>
      </c>
      <c r="Z2520" t="s">
        <v>25727</v>
      </c>
      <c r="AA2520">
        <v>0.4338682454592756</v>
      </c>
      <c r="AB2520" t="str">
        <f>HYPERLINK("Melting_Curves/meltCurve_P49915_GMPS.pdf", "Melting_Curves/meltCurve_P49915_GMPS.pdf")</f>
        <v>Melting_Curves/meltCurve_P49915_GMPS.pdf</v>
      </c>
    </row>
    <row r="2521" spans="1:28" x14ac:dyDescent="0.25">
      <c r="A2521" t="s">
        <v>2525</v>
      </c>
      <c r="B2521">
        <v>0.99334974765950101</v>
      </c>
      <c r="C2521">
        <v>1.0127846089744601</v>
      </c>
      <c r="D2521">
        <v>0.99777816585503198</v>
      </c>
      <c r="E2521">
        <v>0.87682963995811103</v>
      </c>
      <c r="F2521">
        <v>0.96377536503540395</v>
      </c>
      <c r="G2521">
        <v>0.62883472823876096</v>
      </c>
      <c r="H2521">
        <v>0.401988923778832</v>
      </c>
      <c r="I2521">
        <v>0.23476427302549699</v>
      </c>
      <c r="J2521">
        <v>0.19502707987064499</v>
      </c>
      <c r="K2521">
        <v>0.17110818685721299</v>
      </c>
      <c r="L2521">
        <v>1193.04620159965</v>
      </c>
      <c r="M2521">
        <v>20.5202062925969</v>
      </c>
      <c r="N2521">
        <v>59.088795362194297</v>
      </c>
      <c r="O2521">
        <v>57.5963648125839</v>
      </c>
      <c r="P2521">
        <v>-7.6570589189041902E-2</v>
      </c>
      <c r="Q2521">
        <v>0.14034830428410799</v>
      </c>
      <c r="R2521">
        <v>0.98714543068906002</v>
      </c>
      <c r="S2521" t="s">
        <v>8382</v>
      </c>
      <c r="T2521" t="s">
        <v>11720</v>
      </c>
      <c r="U2521" t="s">
        <v>11720</v>
      </c>
      <c r="V2521" t="s">
        <v>11720</v>
      </c>
      <c r="W2521" t="s">
        <v>14198</v>
      </c>
      <c r="X2521">
        <v>9</v>
      </c>
      <c r="Y2521" t="s">
        <v>19948</v>
      </c>
      <c r="Z2521" t="s">
        <v>25728</v>
      </c>
      <c r="AA2521">
        <v>0.66952985940282195</v>
      </c>
      <c r="AB2521" t="str">
        <f>HYPERLINK("Melting_Curves/meltCurve_P49959_MRE11A.pdf", "Melting_Curves/meltCurve_P49959_MRE11A.pdf")</f>
        <v>Melting_Curves/meltCurve_P49959_MRE11A.pdf</v>
      </c>
    </row>
    <row r="2522" spans="1:28" x14ac:dyDescent="0.25">
      <c r="A2522" t="s">
        <v>2526</v>
      </c>
      <c r="B2522">
        <v>0.99334974765950101</v>
      </c>
      <c r="C2522">
        <v>1.05985539516668</v>
      </c>
      <c r="D2522">
        <v>1.00613885626445</v>
      </c>
      <c r="E2522">
        <v>0.786687238736273</v>
      </c>
      <c r="F2522">
        <v>0.37587685365294898</v>
      </c>
      <c r="G2522">
        <v>0.105362448765377</v>
      </c>
      <c r="H2522">
        <v>6.898353296095E-2</v>
      </c>
      <c r="I2522">
        <v>9.64557247871764E-2</v>
      </c>
      <c r="J2522">
        <v>7.3073710686965401E-2</v>
      </c>
      <c r="K2522">
        <v>6.1244270891833603E-2</v>
      </c>
      <c r="L2522">
        <v>1764.3471091223801</v>
      </c>
      <c r="M2522">
        <v>34.036208824637598</v>
      </c>
      <c r="N2522">
        <v>52.075068048623898</v>
      </c>
      <c r="O2522">
        <v>51.659393708855497</v>
      </c>
      <c r="P2522">
        <v>-0.15286356400019599</v>
      </c>
      <c r="Q2522">
        <v>7.1952114179449397E-2</v>
      </c>
      <c r="R2522">
        <v>0.99723689378453095</v>
      </c>
      <c r="S2522" t="s">
        <v>8383</v>
      </c>
      <c r="T2522" t="s">
        <v>11720</v>
      </c>
      <c r="U2522" t="s">
        <v>11720</v>
      </c>
      <c r="V2522" t="s">
        <v>11720</v>
      </c>
      <c r="W2522" t="s">
        <v>14199</v>
      </c>
      <c r="X2522">
        <v>10</v>
      </c>
      <c r="Y2522" t="s">
        <v>19949</v>
      </c>
      <c r="Z2522" t="s">
        <v>25729</v>
      </c>
      <c r="AA2522">
        <v>0.44273717216112529</v>
      </c>
      <c r="AB2522" t="str">
        <f>HYPERLINK("Melting_Curves/meltCurve_P50135_HNMT.pdf", "Melting_Curves/meltCurve_P50135_HNMT.pdf")</f>
        <v>Melting_Curves/meltCurve_P50135_HNMT.pdf</v>
      </c>
    </row>
    <row r="2523" spans="1:28" x14ac:dyDescent="0.25">
      <c r="A2523" t="s">
        <v>2527</v>
      </c>
      <c r="B2523">
        <v>0.99334974765950101</v>
      </c>
      <c r="C2523">
        <v>1.0542621127293199</v>
      </c>
      <c r="D2523">
        <v>1.00637832526721</v>
      </c>
      <c r="E2523">
        <v>1.04465274288006</v>
      </c>
      <c r="F2523">
        <v>1.09058112034606</v>
      </c>
      <c r="G2523">
        <v>0.598259592294342</v>
      </c>
      <c r="H2523">
        <v>0.25578365553225202</v>
      </c>
      <c r="I2523">
        <v>0.17834718060646601</v>
      </c>
      <c r="J2523">
        <v>0.15966036662889499</v>
      </c>
      <c r="K2523">
        <v>9.7629622180978995E-2</v>
      </c>
      <c r="L2523">
        <v>2742.5858789502699</v>
      </c>
      <c r="M2523">
        <v>47.928757238679601</v>
      </c>
      <c r="N2523">
        <v>57.681472376058899</v>
      </c>
      <c r="O2523">
        <v>57.122796589744702</v>
      </c>
      <c r="P2523">
        <v>-0.176485628184405</v>
      </c>
      <c r="Q2523">
        <v>0.158639529139914</v>
      </c>
      <c r="R2523">
        <v>0.98551109180739405</v>
      </c>
      <c r="S2523" t="s">
        <v>8384</v>
      </c>
      <c r="T2523" t="s">
        <v>11720</v>
      </c>
      <c r="U2523" t="s">
        <v>11720</v>
      </c>
      <c r="V2523" t="s">
        <v>11720</v>
      </c>
      <c r="W2523" t="s">
        <v>14200</v>
      </c>
      <c r="X2523">
        <v>18</v>
      </c>
      <c r="Y2523" t="s">
        <v>17621</v>
      </c>
      <c r="Z2523" t="s">
        <v>25730</v>
      </c>
      <c r="AA2523">
        <v>0.64394430453608209</v>
      </c>
      <c r="AB2523" t="str">
        <f>HYPERLINK("Melting_Curves/meltCurve_P50148_GNAQ.pdf", "Melting_Curves/meltCurve_P50148_GNAQ.pdf")</f>
        <v>Melting_Curves/meltCurve_P50148_GNAQ.pdf</v>
      </c>
    </row>
    <row r="2524" spans="1:28" x14ac:dyDescent="0.25">
      <c r="A2524" t="s">
        <v>2528</v>
      </c>
      <c r="B2524">
        <v>0.99334974765950101</v>
      </c>
      <c r="C2524">
        <v>1.02157055968198</v>
      </c>
      <c r="D2524">
        <v>0.97883241273244204</v>
      </c>
      <c r="E2524">
        <v>1.1463142655653999</v>
      </c>
      <c r="F2524">
        <v>1.3848995184826101</v>
      </c>
      <c r="G2524">
        <v>1.0602147462327101</v>
      </c>
      <c r="H2524">
        <v>0.96336303201487195</v>
      </c>
      <c r="I2524">
        <v>1.10276666465335</v>
      </c>
      <c r="J2524">
        <v>1.53641345275639</v>
      </c>
      <c r="K2524">
        <v>1.22680829489645</v>
      </c>
      <c r="L2524">
        <v>293.52727195667899</v>
      </c>
      <c r="M2524">
        <v>4.3707453375947196</v>
      </c>
      <c r="O2524">
        <v>56.617466499695396</v>
      </c>
      <c r="P2524">
        <v>9.7426831375092109E-3</v>
      </c>
      <c r="Q2524">
        <v>1.5</v>
      </c>
      <c r="R2524">
        <v>0.248429336418827</v>
      </c>
      <c r="S2524" t="s">
        <v>8385</v>
      </c>
      <c r="T2524" t="s">
        <v>11720</v>
      </c>
      <c r="U2524" t="s">
        <v>11720</v>
      </c>
      <c r="V2524" t="s">
        <v>11720</v>
      </c>
      <c r="W2524" t="s">
        <v>14201</v>
      </c>
      <c r="X2524">
        <v>7</v>
      </c>
      <c r="Y2524" t="s">
        <v>19950</v>
      </c>
      <c r="Z2524" t="s">
        <v>25731</v>
      </c>
      <c r="AA2524">
        <v>1.14104384588674</v>
      </c>
      <c r="AB2524" t="str">
        <f>HYPERLINK("Melting_Curves/meltCurve_P50151_GNG10.pdf", "Melting_Curves/meltCurve_P50151_GNG10.pdf")</f>
        <v>Melting_Curves/meltCurve_P50151_GNG10.pdf</v>
      </c>
    </row>
    <row r="2525" spans="1:28" x14ac:dyDescent="0.25">
      <c r="A2525" t="s">
        <v>2529</v>
      </c>
      <c r="B2525">
        <v>0.99334974765950101</v>
      </c>
      <c r="C2525">
        <v>0.98815904953076505</v>
      </c>
      <c r="D2525">
        <v>0.99381072129846204</v>
      </c>
      <c r="E2525">
        <v>0.94988678456068598</v>
      </c>
      <c r="F2525">
        <v>0.98695773910524898</v>
      </c>
      <c r="G2525">
        <v>0.47174136741917599</v>
      </c>
      <c r="H2525">
        <v>0.226813796017346</v>
      </c>
      <c r="I2525">
        <v>0.16642306046462799</v>
      </c>
      <c r="J2525">
        <v>0.135145315961503</v>
      </c>
      <c r="K2525">
        <v>0.105168369478065</v>
      </c>
      <c r="L2525">
        <v>2415.1911951350799</v>
      </c>
      <c r="M2525">
        <v>42.779990248475897</v>
      </c>
      <c r="N2525">
        <v>56.915309658104398</v>
      </c>
      <c r="O2525">
        <v>56.3331500525113</v>
      </c>
      <c r="P2525">
        <v>-0.16214506365349399</v>
      </c>
      <c r="Q2525">
        <v>0.145943917978656</v>
      </c>
      <c r="R2525">
        <v>0.99465588647109404</v>
      </c>
      <c r="S2525" t="s">
        <v>8386</v>
      </c>
      <c r="T2525" t="s">
        <v>11720</v>
      </c>
      <c r="U2525" t="s">
        <v>11720</v>
      </c>
      <c r="V2525" t="s">
        <v>11720</v>
      </c>
      <c r="W2525" t="s">
        <v>14202</v>
      </c>
      <c r="X2525">
        <v>18</v>
      </c>
      <c r="Y2525" t="s">
        <v>19951</v>
      </c>
      <c r="Z2525" t="s">
        <v>25732</v>
      </c>
      <c r="AA2525">
        <v>0.61732060365629071</v>
      </c>
      <c r="AB2525" t="str">
        <f>HYPERLINK("Melting_Curves/meltCurve_P50213_IDH3A.pdf", "Melting_Curves/meltCurve_P50213_IDH3A.pdf")</f>
        <v>Melting_Curves/meltCurve_P50213_IDH3A.pdf</v>
      </c>
    </row>
    <row r="2526" spans="1:28" x14ac:dyDescent="0.25">
      <c r="A2526" t="s">
        <v>2530</v>
      </c>
      <c r="B2526">
        <v>0.99334974765950101</v>
      </c>
      <c r="C2526">
        <v>0.92692391989019696</v>
      </c>
      <c r="D2526">
        <v>0.64690458850701105</v>
      </c>
      <c r="E2526">
        <v>0.29471561031490501</v>
      </c>
      <c r="F2526">
        <v>0.42081883437907902</v>
      </c>
      <c r="G2526">
        <v>0.252739810125436</v>
      </c>
      <c r="H2526">
        <v>0.23380854146875699</v>
      </c>
      <c r="I2526">
        <v>0.19271020512607601</v>
      </c>
      <c r="J2526">
        <v>0.33306201640671501</v>
      </c>
      <c r="K2526">
        <v>0.33625597384860401</v>
      </c>
      <c r="L2526">
        <v>1427.4879525608401</v>
      </c>
      <c r="M2526">
        <v>31.047302184958699</v>
      </c>
      <c r="N2526">
        <v>47.268469010755403</v>
      </c>
      <c r="O2526">
        <v>45.788360586000699</v>
      </c>
      <c r="P2526">
        <v>-0.121067319477222</v>
      </c>
      <c r="Q2526">
        <v>0.28580688650890801</v>
      </c>
      <c r="R2526">
        <v>0.95441474198993603</v>
      </c>
      <c r="S2526" t="s">
        <v>8387</v>
      </c>
      <c r="T2526" t="s">
        <v>11720</v>
      </c>
      <c r="U2526" t="s">
        <v>11720</v>
      </c>
      <c r="V2526" t="s">
        <v>11720</v>
      </c>
      <c r="W2526" t="s">
        <v>14203</v>
      </c>
      <c r="X2526">
        <v>9</v>
      </c>
      <c r="Y2526" t="s">
        <v>19952</v>
      </c>
      <c r="Z2526" t="s">
        <v>25733</v>
      </c>
      <c r="AA2526">
        <v>0.43215013909205208</v>
      </c>
      <c r="AB2526" t="str">
        <f>HYPERLINK("Melting_Curves/meltCurve_P50224_SULT1A3.pdf", "Melting_Curves/meltCurve_P50224_SULT1A3.pdf")</f>
        <v>Melting_Curves/meltCurve_P50224_SULT1A3.pdf</v>
      </c>
    </row>
    <row r="2527" spans="1:28" x14ac:dyDescent="0.25">
      <c r="A2527" t="s">
        <v>2531</v>
      </c>
      <c r="B2527">
        <v>0.99334974765950101</v>
      </c>
      <c r="C2527">
        <v>0.78710761633883197</v>
      </c>
      <c r="D2527">
        <v>0.71553755406425201</v>
      </c>
      <c r="E2527">
        <v>0.53032244636408798</v>
      </c>
      <c r="F2527">
        <v>0.27592433680987399</v>
      </c>
      <c r="G2527">
        <v>0.23096670464688099</v>
      </c>
      <c r="H2527">
        <v>0.24549691810201099</v>
      </c>
      <c r="I2527">
        <v>0.35951515286268598</v>
      </c>
      <c r="J2527">
        <v>0.23353463182571199</v>
      </c>
      <c r="K2527">
        <v>8.3030105084520495E-2</v>
      </c>
      <c r="L2527">
        <v>654.34211284916603</v>
      </c>
      <c r="M2527">
        <v>13.739280896981599</v>
      </c>
      <c r="N2527">
        <v>49.384764602339203</v>
      </c>
      <c r="O2527">
        <v>46.650707512908099</v>
      </c>
      <c r="P2527">
        <v>-5.9389502809655402E-2</v>
      </c>
      <c r="Q2527">
        <v>0.193504289626688</v>
      </c>
      <c r="R2527">
        <v>0.93171222400312304</v>
      </c>
      <c r="S2527" t="s">
        <v>8388</v>
      </c>
      <c r="T2527" t="s">
        <v>11720</v>
      </c>
      <c r="U2527" t="s">
        <v>11720</v>
      </c>
      <c r="V2527" t="s">
        <v>11720</v>
      </c>
      <c r="W2527" t="s">
        <v>14204</v>
      </c>
      <c r="X2527">
        <v>7</v>
      </c>
      <c r="Y2527" t="s">
        <v>19953</v>
      </c>
      <c r="Z2527" t="s">
        <v>25734</v>
      </c>
      <c r="AA2527">
        <v>0.42365003365475218</v>
      </c>
      <c r="AB2527" t="str">
        <f>HYPERLINK("Melting_Curves/meltCurve_P50225_SULT1A1.pdf", "Melting_Curves/meltCurve_P50225_SULT1A1.pdf")</f>
        <v>Melting_Curves/meltCurve_P50225_SULT1A1.pdf</v>
      </c>
    </row>
    <row r="2528" spans="1:28" x14ac:dyDescent="0.25">
      <c r="A2528" t="s">
        <v>2532</v>
      </c>
      <c r="B2528">
        <v>0.99334974765950101</v>
      </c>
      <c r="C2528">
        <v>1.0185089351116301</v>
      </c>
      <c r="D2528">
        <v>0.80083087301253397</v>
      </c>
      <c r="E2528">
        <v>0.73145093778466896</v>
      </c>
      <c r="F2528">
        <v>0.76864765101044796</v>
      </c>
      <c r="G2528">
        <v>0.59061951574239002</v>
      </c>
      <c r="H2528">
        <v>0.522277613695323</v>
      </c>
      <c r="I2528">
        <v>0.69411273311422905</v>
      </c>
      <c r="J2528">
        <v>0.60285634802978905</v>
      </c>
      <c r="K2528">
        <v>0.47108146093082198</v>
      </c>
      <c r="L2528">
        <v>593.24935965827001</v>
      </c>
      <c r="M2528">
        <v>11.9593618571144</v>
      </c>
      <c r="O2528">
        <v>48.279510220472197</v>
      </c>
      <c r="P2528">
        <v>-2.8112645515794999E-2</v>
      </c>
      <c r="Q2528">
        <v>0.54615196071796401</v>
      </c>
      <c r="R2528">
        <v>0.84256223224746896</v>
      </c>
      <c r="S2528" t="s">
        <v>8389</v>
      </c>
      <c r="T2528" t="s">
        <v>11720</v>
      </c>
      <c r="U2528" t="s">
        <v>11720</v>
      </c>
      <c r="V2528" t="s">
        <v>11720</v>
      </c>
      <c r="W2528" t="s">
        <v>14205</v>
      </c>
      <c r="X2528">
        <v>4</v>
      </c>
      <c r="Y2528" t="s">
        <v>19954</v>
      </c>
      <c r="Z2528" t="s">
        <v>25735</v>
      </c>
      <c r="AA2528">
        <v>0.70763380501307771</v>
      </c>
      <c r="AB2528" t="str">
        <f>HYPERLINK("Melting_Curves/meltCurve_P50238_CRIP1.pdf", "Melting_Curves/meltCurve_P50238_CRIP1.pdf")</f>
        <v>Melting_Curves/meltCurve_P50238_CRIP1.pdf</v>
      </c>
    </row>
    <row r="2529" spans="1:28" x14ac:dyDescent="0.25">
      <c r="A2529" t="s">
        <v>2533</v>
      </c>
      <c r="B2529">
        <v>0.99334974765950101</v>
      </c>
      <c r="C2529">
        <v>0.95484490230376895</v>
      </c>
      <c r="D2529">
        <v>0.85377792531104901</v>
      </c>
      <c r="E2529">
        <v>0.76698345681920499</v>
      </c>
      <c r="F2529">
        <v>0.65557567354678103</v>
      </c>
      <c r="G2529">
        <v>0.4912246530387</v>
      </c>
      <c r="H2529">
        <v>0.36245517983546799</v>
      </c>
      <c r="I2529">
        <v>0.33670988735426</v>
      </c>
      <c r="J2529">
        <v>0.35852664577954102</v>
      </c>
      <c r="K2529">
        <v>0.37782912233476001</v>
      </c>
      <c r="L2529">
        <v>659.99694879185995</v>
      </c>
      <c r="M2529">
        <v>12.6153014568663</v>
      </c>
      <c r="N2529">
        <v>56.595348778468903</v>
      </c>
      <c r="O2529">
        <v>51.054782415779599</v>
      </c>
      <c r="P2529">
        <v>-4.2797161859870397E-2</v>
      </c>
      <c r="Q2529">
        <v>0.307328157249316</v>
      </c>
      <c r="R2529">
        <v>0.98716135340104205</v>
      </c>
      <c r="S2529" t="s">
        <v>8390</v>
      </c>
      <c r="T2529" t="s">
        <v>11720</v>
      </c>
      <c r="U2529" t="s">
        <v>11720</v>
      </c>
      <c r="V2529" t="s">
        <v>11720</v>
      </c>
      <c r="W2529" t="s">
        <v>14206</v>
      </c>
      <c r="X2529">
        <v>23</v>
      </c>
      <c r="Y2529" t="s">
        <v>19955</v>
      </c>
      <c r="Z2529" t="s">
        <v>25736</v>
      </c>
      <c r="AA2529">
        <v>0.61119409806577818</v>
      </c>
      <c r="AB2529" t="str">
        <f>HYPERLINK("Melting_Curves/meltCurve_P50281_MMP14.pdf", "Melting_Curves/meltCurve_P50281_MMP14.pdf")</f>
        <v>Melting_Curves/meltCurve_P50281_MMP14.pdf</v>
      </c>
    </row>
    <row r="2530" spans="1:28" x14ac:dyDescent="0.25">
      <c r="A2530" t="s">
        <v>2534</v>
      </c>
      <c r="B2530">
        <v>0.99334974765950101</v>
      </c>
      <c r="C2530">
        <v>0.93971711880191799</v>
      </c>
      <c r="D2530">
        <v>0.83855268435216401</v>
      </c>
      <c r="E2530">
        <v>0.67414931740670003</v>
      </c>
      <c r="F2530">
        <v>0.37895392186929899</v>
      </c>
      <c r="G2530">
        <v>0.22779550408174101</v>
      </c>
      <c r="H2530">
        <v>0.17503594937987099</v>
      </c>
      <c r="I2530">
        <v>0.158022739769723</v>
      </c>
      <c r="J2530">
        <v>0.16124890382614901</v>
      </c>
      <c r="K2530">
        <v>0.150601996333323</v>
      </c>
      <c r="L2530">
        <v>889.20811513725005</v>
      </c>
      <c r="M2530">
        <v>17.550861755896101</v>
      </c>
      <c r="N2530">
        <v>51.6021821797803</v>
      </c>
      <c r="O2530">
        <v>50.020623276953302</v>
      </c>
      <c r="P2530">
        <v>-7.5747341033699706E-2</v>
      </c>
      <c r="Q2530">
        <v>0.136515879174924</v>
      </c>
      <c r="R2530">
        <v>0.99416867750553894</v>
      </c>
      <c r="S2530" t="s">
        <v>8391</v>
      </c>
      <c r="T2530" t="s">
        <v>11720</v>
      </c>
      <c r="U2530" t="s">
        <v>11720</v>
      </c>
      <c r="V2530" t="s">
        <v>11720</v>
      </c>
      <c r="W2530" t="s">
        <v>14207</v>
      </c>
      <c r="X2530">
        <v>9</v>
      </c>
      <c r="Y2530" t="s">
        <v>19956</v>
      </c>
      <c r="Z2530" t="s">
        <v>25737</v>
      </c>
      <c r="AA2530">
        <v>0.45877045586407389</v>
      </c>
      <c r="AB2530" t="str">
        <f>HYPERLINK("Melting_Curves/meltCurve_P50336_PPOX.pdf", "Melting_Curves/meltCurve_P50336_PPOX.pdf")</f>
        <v>Melting_Curves/meltCurve_P50336_PPOX.pdf</v>
      </c>
    </row>
    <row r="2531" spans="1:28" x14ac:dyDescent="0.25">
      <c r="A2531" t="s">
        <v>2535</v>
      </c>
      <c r="B2531">
        <v>0.99334974765950101</v>
      </c>
      <c r="C2531">
        <v>0.97712476528773495</v>
      </c>
      <c r="D2531">
        <v>0.85093823159989701</v>
      </c>
      <c r="E2531">
        <v>0.77752112973505505</v>
      </c>
      <c r="F2531">
        <v>0.58607027476121099</v>
      </c>
      <c r="G2531">
        <v>0.49009816638553899</v>
      </c>
      <c r="H2531">
        <v>0.48013225956968297</v>
      </c>
      <c r="I2531">
        <v>0.63428826460797105</v>
      </c>
      <c r="J2531">
        <v>0.668524299365724</v>
      </c>
      <c r="K2531">
        <v>0.69042371280111903</v>
      </c>
      <c r="L2531">
        <v>1107.8590023504901</v>
      </c>
      <c r="M2531">
        <v>23.101667416973001</v>
      </c>
      <c r="O2531">
        <v>47.600804999299903</v>
      </c>
      <c r="P2531">
        <v>-4.9681818868144302E-2</v>
      </c>
      <c r="Q2531">
        <v>0.59053158921298998</v>
      </c>
      <c r="R2531">
        <v>0.82841483812517502</v>
      </c>
      <c r="S2531" t="s">
        <v>8392</v>
      </c>
      <c r="T2531" t="s">
        <v>11720</v>
      </c>
      <c r="U2531" t="s">
        <v>11720</v>
      </c>
      <c r="V2531" t="s">
        <v>11720</v>
      </c>
      <c r="W2531" t="s">
        <v>14208</v>
      </c>
      <c r="X2531">
        <v>9</v>
      </c>
      <c r="Y2531" t="s">
        <v>19957</v>
      </c>
      <c r="Z2531" t="s">
        <v>25738</v>
      </c>
      <c r="AA2531">
        <v>0.70340291161685731</v>
      </c>
      <c r="AB2531" t="str">
        <f>HYPERLINK("Melting_Curves/meltCurve_P50402_EMD.pdf", "Melting_Curves/meltCurve_P50402_EMD.pdf")</f>
        <v>Melting_Curves/meltCurve_P50402_EMD.pdf</v>
      </c>
    </row>
    <row r="2532" spans="1:28" x14ac:dyDescent="0.25">
      <c r="A2532" t="s">
        <v>2536</v>
      </c>
      <c r="B2532">
        <v>0.99334974765950101</v>
      </c>
      <c r="C2532">
        <v>1.0747977971035001</v>
      </c>
      <c r="D2532">
        <v>0.97484605486592502</v>
      </c>
      <c r="E2532">
        <v>0.51655928362891501</v>
      </c>
      <c r="F2532">
        <v>0.241727968888585</v>
      </c>
      <c r="G2532">
        <v>0.141483955410524</v>
      </c>
      <c r="H2532">
        <v>0.106037387029796</v>
      </c>
      <c r="I2532">
        <v>0.103378609149643</v>
      </c>
      <c r="J2532">
        <v>0.122736130662675</v>
      </c>
      <c r="K2532">
        <v>8.8147779096970594E-2</v>
      </c>
      <c r="L2532">
        <v>1680.3259653761099</v>
      </c>
      <c r="M2532">
        <v>33.705314483448397</v>
      </c>
      <c r="N2532">
        <v>50.231265948654503</v>
      </c>
      <c r="O2532">
        <v>49.6789334355473</v>
      </c>
      <c r="P2532">
        <v>-0.150624816279044</v>
      </c>
      <c r="Q2532">
        <v>0.111967994802842</v>
      </c>
      <c r="R2532">
        <v>0.99442142778980602</v>
      </c>
      <c r="S2532" t="s">
        <v>8393</v>
      </c>
      <c r="T2532" t="s">
        <v>11720</v>
      </c>
      <c r="U2532" t="s">
        <v>11720</v>
      </c>
      <c r="V2532" t="s">
        <v>11720</v>
      </c>
      <c r="W2532" t="s">
        <v>14209</v>
      </c>
      <c r="X2532">
        <v>6</v>
      </c>
      <c r="Y2532" t="s">
        <v>19958</v>
      </c>
      <c r="Z2532" t="s">
        <v>25739</v>
      </c>
      <c r="AA2532">
        <v>0.40796828009479258</v>
      </c>
      <c r="AB2532" t="str">
        <f>HYPERLINK("Melting_Curves/meltCurve_P50416_CPT1A.pdf", "Melting_Curves/meltCurve_P50416_CPT1A.pdf")</f>
        <v>Melting_Curves/meltCurve_P50416_CPT1A.pdf</v>
      </c>
    </row>
    <row r="2533" spans="1:28" x14ac:dyDescent="0.25">
      <c r="A2533" t="s">
        <v>2537</v>
      </c>
      <c r="B2533">
        <v>0.99334974765950101</v>
      </c>
      <c r="C2533">
        <v>0.90927354277750905</v>
      </c>
      <c r="D2533">
        <v>0.80580992830486597</v>
      </c>
      <c r="E2533">
        <v>0.84676206212540495</v>
      </c>
      <c r="F2533">
        <v>0.79344195540358398</v>
      </c>
      <c r="G2533">
        <v>0.81312108688421703</v>
      </c>
      <c r="H2533">
        <v>0.53574206774403899</v>
      </c>
      <c r="I2533">
        <v>0.193221747219816</v>
      </c>
      <c r="J2533">
        <v>0.121726949066678</v>
      </c>
      <c r="K2533">
        <v>9.2503406645866995E-2</v>
      </c>
      <c r="L2533">
        <v>976.21636782955295</v>
      </c>
      <c r="M2533">
        <v>16.187377539872202</v>
      </c>
      <c r="N2533">
        <v>60.307258899415402</v>
      </c>
      <c r="O2533">
        <v>59.409406500254697</v>
      </c>
      <c r="P2533">
        <v>-6.8123013262422399E-2</v>
      </c>
      <c r="Q2533">
        <v>0</v>
      </c>
      <c r="R2533">
        <v>0.91314336764134196</v>
      </c>
      <c r="S2533" t="s">
        <v>8394</v>
      </c>
      <c r="T2533" t="s">
        <v>11720</v>
      </c>
      <c r="U2533" t="s">
        <v>11720</v>
      </c>
      <c r="V2533" t="s">
        <v>11720</v>
      </c>
      <c r="W2533" t="s">
        <v>14210</v>
      </c>
      <c r="X2533">
        <v>24</v>
      </c>
      <c r="Y2533" t="s">
        <v>19959</v>
      </c>
      <c r="Z2533" t="s">
        <v>25740</v>
      </c>
      <c r="AA2533">
        <v>0.68350719869923937</v>
      </c>
      <c r="AB2533" t="str">
        <f>HYPERLINK("Melting_Curves/meltCurve_P50452_SERPINB8.pdf", "Melting_Curves/meltCurve_P50452_SERPINB8.pdf")</f>
        <v>Melting_Curves/meltCurve_P50452_SERPINB8.pdf</v>
      </c>
    </row>
    <row r="2534" spans="1:28" x14ac:dyDescent="0.25">
      <c r="A2534" t="s">
        <v>2538</v>
      </c>
      <c r="B2534">
        <v>0.99334974765950101</v>
      </c>
      <c r="C2534">
        <v>0.99124570151410096</v>
      </c>
      <c r="D2534">
        <v>0.89602885683617395</v>
      </c>
      <c r="E2534">
        <v>0.81454517739742205</v>
      </c>
      <c r="F2534">
        <v>0.75672802592758504</v>
      </c>
      <c r="G2534">
        <v>0.434825242430463</v>
      </c>
      <c r="H2534">
        <v>0.150671735749625</v>
      </c>
      <c r="I2534">
        <v>0.121321859479465</v>
      </c>
      <c r="J2534">
        <v>0.109094327999975</v>
      </c>
      <c r="K2534">
        <v>8.4375503288668302E-2</v>
      </c>
      <c r="L2534">
        <v>911.01517375065498</v>
      </c>
      <c r="M2534">
        <v>16.4000572222111</v>
      </c>
      <c r="N2534">
        <v>55.7749853477888</v>
      </c>
      <c r="O2534">
        <v>54.743289442932401</v>
      </c>
      <c r="P2534">
        <v>-7.2498240463057001E-2</v>
      </c>
      <c r="Q2534">
        <v>3.2074186267387103E-2</v>
      </c>
      <c r="R2534">
        <v>0.98798564641855602</v>
      </c>
      <c r="S2534" t="s">
        <v>8395</v>
      </c>
      <c r="T2534" t="s">
        <v>11720</v>
      </c>
      <c r="U2534" t="s">
        <v>11720</v>
      </c>
      <c r="V2534" t="s">
        <v>11720</v>
      </c>
      <c r="W2534" t="s">
        <v>14211</v>
      </c>
      <c r="X2534">
        <v>17</v>
      </c>
      <c r="Y2534" t="s">
        <v>19960</v>
      </c>
      <c r="Z2534" t="s">
        <v>25741</v>
      </c>
      <c r="AA2534">
        <v>0.55008203137566614</v>
      </c>
      <c r="AB2534" t="str">
        <f>HYPERLINK("Melting_Curves/meltCurve_P50453_SERPINB9.pdf", "Melting_Curves/meltCurve_P50453_SERPINB9.pdf")</f>
        <v>Melting_Curves/meltCurve_P50453_SERPINB9.pdf</v>
      </c>
    </row>
    <row r="2535" spans="1:28" x14ac:dyDescent="0.25">
      <c r="A2535" t="s">
        <v>2539</v>
      </c>
      <c r="B2535">
        <v>0.99334974765950101</v>
      </c>
      <c r="C2535">
        <v>1.1728778304660501</v>
      </c>
      <c r="D2535">
        <v>0.91072145219795397</v>
      </c>
      <c r="E2535">
        <v>0.77344671482161598</v>
      </c>
      <c r="F2535">
        <v>0.36407703497777399</v>
      </c>
      <c r="G2535">
        <v>0.157207106774468</v>
      </c>
      <c r="H2535">
        <v>0.119183458669362</v>
      </c>
      <c r="I2535">
        <v>0.114462680566083</v>
      </c>
      <c r="J2535">
        <v>8.6575111992340498E-2</v>
      </c>
      <c r="K2535">
        <v>8.1093021772323706E-2</v>
      </c>
      <c r="L2535">
        <v>1579.8308245829801</v>
      </c>
      <c r="M2535">
        <v>30.6075546064388</v>
      </c>
      <c r="N2535">
        <v>51.9885765420102</v>
      </c>
      <c r="O2535">
        <v>51.396888728879702</v>
      </c>
      <c r="P2535">
        <v>-0.134207776024861</v>
      </c>
      <c r="Q2535">
        <v>9.8546726123191403E-2</v>
      </c>
      <c r="R2535">
        <v>0.978557967454177</v>
      </c>
      <c r="S2535" t="s">
        <v>8396</v>
      </c>
      <c r="T2535" t="s">
        <v>11720</v>
      </c>
      <c r="U2535" t="s">
        <v>11720</v>
      </c>
      <c r="V2535" t="s">
        <v>11720</v>
      </c>
      <c r="W2535" t="s">
        <v>12248</v>
      </c>
      <c r="X2535">
        <v>27</v>
      </c>
      <c r="Y2535" t="s">
        <v>18046</v>
      </c>
      <c r="Z2535" t="s">
        <v>25742</v>
      </c>
      <c r="AA2535">
        <v>0.4530814870528721</v>
      </c>
      <c r="AB2535" t="str">
        <f>HYPERLINK("Melting_Curves/meltCurve_P50454_SERPINH1.pdf", "Melting_Curves/meltCurve_P50454_SERPINH1.pdf")</f>
        <v>Melting_Curves/meltCurve_P50454_SERPINH1.pdf</v>
      </c>
    </row>
    <row r="2536" spans="1:28" x14ac:dyDescent="0.25">
      <c r="A2536" t="s">
        <v>2540</v>
      </c>
      <c r="B2536">
        <v>0.99334974765950101</v>
      </c>
      <c r="C2536">
        <v>0.95683120429964297</v>
      </c>
      <c r="D2536">
        <v>0.84725132887745702</v>
      </c>
      <c r="E2536">
        <v>0.56843755010972796</v>
      </c>
      <c r="F2536">
        <v>0.33848704783699901</v>
      </c>
      <c r="G2536">
        <v>0.22584346168695099</v>
      </c>
      <c r="H2536">
        <v>0.18819045328947601</v>
      </c>
      <c r="I2536">
        <v>0.18556847291300799</v>
      </c>
      <c r="J2536">
        <v>0.215394798652771</v>
      </c>
      <c r="K2536">
        <v>0.23947395312890399</v>
      </c>
      <c r="L2536">
        <v>1053.7006264848401</v>
      </c>
      <c r="M2536">
        <v>21.3369825659287</v>
      </c>
      <c r="N2536">
        <v>50.576388525795302</v>
      </c>
      <c r="O2536">
        <v>48.956118697526797</v>
      </c>
      <c r="P2536">
        <v>-8.7421944415835798E-2</v>
      </c>
      <c r="Q2536">
        <v>0.197687463126001</v>
      </c>
      <c r="R2536">
        <v>0.99614392021056897</v>
      </c>
      <c r="S2536" t="s">
        <v>8397</v>
      </c>
      <c r="T2536" t="s">
        <v>11720</v>
      </c>
      <c r="U2536" t="s">
        <v>11720</v>
      </c>
      <c r="V2536" t="s">
        <v>11720</v>
      </c>
      <c r="W2536" t="s">
        <v>14212</v>
      </c>
      <c r="X2536">
        <v>21</v>
      </c>
      <c r="Y2536" t="s">
        <v>19961</v>
      </c>
      <c r="Z2536" t="s">
        <v>25743</v>
      </c>
      <c r="AA2536">
        <v>0.45848236144540572</v>
      </c>
      <c r="AB2536" t="str">
        <f>HYPERLINK("Melting_Curves/meltCurve_P50479_PDLIM4.pdf", "Melting_Curves/meltCurve_P50479_PDLIM4.pdf")</f>
        <v>Melting_Curves/meltCurve_P50479_PDLIM4.pdf</v>
      </c>
    </row>
    <row r="2537" spans="1:28" x14ac:dyDescent="0.25">
      <c r="A2537" t="s">
        <v>2541</v>
      </c>
      <c r="B2537">
        <v>0.99334974765950101</v>
      </c>
      <c r="C2537">
        <v>1.0179512658924901</v>
      </c>
      <c r="D2537">
        <v>1.0169755700695999</v>
      </c>
      <c r="E2537">
        <v>0.95022726332031604</v>
      </c>
      <c r="F2537">
        <v>0.38224570737616198</v>
      </c>
      <c r="G2537">
        <v>0.17040349294069099</v>
      </c>
      <c r="H2537">
        <v>0.116500497933836</v>
      </c>
      <c r="I2537">
        <v>0.108857654871371</v>
      </c>
      <c r="J2537">
        <v>0.107404820638549</v>
      </c>
      <c r="K2537">
        <v>0.10883675629435401</v>
      </c>
      <c r="L2537">
        <v>3130.7318074097402</v>
      </c>
      <c r="M2537">
        <v>59.914022179949399</v>
      </c>
      <c r="N2537">
        <v>52.495993192587399</v>
      </c>
      <c r="O2537">
        <v>52.195610534436</v>
      </c>
      <c r="P2537">
        <v>-0.25231130065956803</v>
      </c>
      <c r="Q2537">
        <v>0.120770763532177</v>
      </c>
      <c r="R2537">
        <v>0.99819169767971605</v>
      </c>
      <c r="S2537" t="s">
        <v>8398</v>
      </c>
      <c r="T2537" t="s">
        <v>11720</v>
      </c>
      <c r="U2537" t="s">
        <v>11720</v>
      </c>
      <c r="V2537" t="s">
        <v>11720</v>
      </c>
      <c r="W2537" t="s">
        <v>14213</v>
      </c>
      <c r="X2537">
        <v>21</v>
      </c>
      <c r="Y2537" t="s">
        <v>19962</v>
      </c>
      <c r="Z2537" t="s">
        <v>25744</v>
      </c>
      <c r="AA2537">
        <v>0.48130797529878488</v>
      </c>
      <c r="AB2537" t="str">
        <f>HYPERLINK("Melting_Curves/meltCurve_P50502_ST13.pdf", "Melting_Curves/meltCurve_P50502_ST13.pdf")</f>
        <v>Melting_Curves/meltCurve_P50502_ST13.pdf</v>
      </c>
    </row>
    <row r="2538" spans="1:28" x14ac:dyDescent="0.25">
      <c r="A2538" t="s">
        <v>2542</v>
      </c>
      <c r="B2538">
        <v>0.99334974765950101</v>
      </c>
      <c r="C2538">
        <v>0.97067255387144602</v>
      </c>
      <c r="D2538">
        <v>0.89292295270339495</v>
      </c>
      <c r="E2538">
        <v>0.65067532044368503</v>
      </c>
      <c r="F2538">
        <v>0.284379615332783</v>
      </c>
      <c r="G2538">
        <v>0.15674177351469901</v>
      </c>
      <c r="H2538">
        <v>0.122185191995495</v>
      </c>
      <c r="I2538">
        <v>0.12054692575082</v>
      </c>
      <c r="J2538">
        <v>0.12103907289997</v>
      </c>
      <c r="K2538">
        <v>0.110476419785158</v>
      </c>
      <c r="L2538">
        <v>1319.3987039696301</v>
      </c>
      <c r="M2538">
        <v>26.1127592869876</v>
      </c>
      <c r="N2538">
        <v>51.022268450561</v>
      </c>
      <c r="O2538">
        <v>50.233440287540297</v>
      </c>
      <c r="P2538">
        <v>-0.115409374179023</v>
      </c>
      <c r="Q2538">
        <v>0.11195225250719699</v>
      </c>
      <c r="R2538">
        <v>0.99663811818955395</v>
      </c>
      <c r="S2538" t="s">
        <v>8399</v>
      </c>
      <c r="T2538" t="s">
        <v>11720</v>
      </c>
      <c r="U2538" t="s">
        <v>11720</v>
      </c>
      <c r="V2538" t="s">
        <v>11720</v>
      </c>
      <c r="W2538" t="s">
        <v>14214</v>
      </c>
      <c r="X2538">
        <v>23</v>
      </c>
      <c r="Y2538" t="s">
        <v>19963</v>
      </c>
      <c r="Z2538" t="s">
        <v>25745</v>
      </c>
      <c r="AA2538">
        <v>0.43088555714559562</v>
      </c>
      <c r="AB2538" t="str">
        <f>HYPERLINK("Melting_Curves/meltCurve_P50552_VASP.pdf", "Melting_Curves/meltCurve_P50552_VASP.pdf")</f>
        <v>Melting_Curves/meltCurve_P50552_VASP.pdf</v>
      </c>
    </row>
    <row r="2539" spans="1:28" x14ac:dyDescent="0.25">
      <c r="A2539" t="s">
        <v>2543</v>
      </c>
      <c r="B2539">
        <v>0.99334974765950101</v>
      </c>
      <c r="C2539">
        <v>1.0659327184424401</v>
      </c>
      <c r="D2539">
        <v>1.10762279155929</v>
      </c>
      <c r="E2539">
        <v>0.89723960321955198</v>
      </c>
      <c r="F2539">
        <v>0.35660578881092903</v>
      </c>
      <c r="G2539">
        <v>0.22305925680897001</v>
      </c>
      <c r="H2539">
        <v>0.18130207453490499</v>
      </c>
      <c r="I2539">
        <v>0.13224719429576601</v>
      </c>
      <c r="J2539">
        <v>0.13498146749667</v>
      </c>
      <c r="K2539">
        <v>0.106144945020028</v>
      </c>
      <c r="L2539">
        <v>2706.7531338981198</v>
      </c>
      <c r="M2539">
        <v>52.1866655268527</v>
      </c>
      <c r="N2539">
        <v>52.2326498420977</v>
      </c>
      <c r="O2539">
        <v>51.7907843795114</v>
      </c>
      <c r="P2539">
        <v>-0.21334377298356</v>
      </c>
      <c r="Q2539">
        <v>0.153099413644085</v>
      </c>
      <c r="R2539">
        <v>0.98602805954666894</v>
      </c>
      <c r="S2539" t="s">
        <v>8400</v>
      </c>
      <c r="T2539" t="s">
        <v>11720</v>
      </c>
      <c r="U2539" t="s">
        <v>11720</v>
      </c>
      <c r="V2539" t="s">
        <v>11720</v>
      </c>
      <c r="W2539" t="s">
        <v>14215</v>
      </c>
      <c r="X2539">
        <v>19</v>
      </c>
      <c r="Y2539" t="s">
        <v>19964</v>
      </c>
      <c r="Z2539" t="s">
        <v>25746</v>
      </c>
      <c r="AA2539">
        <v>0.48987594582699667</v>
      </c>
      <c r="AB2539" t="str">
        <f>HYPERLINK("Melting_Curves/meltCurve_P50570_2_DNM2.pdf", "Melting_Curves/meltCurve_P50570_2_DNM2.pdf")</f>
        <v>Melting_Curves/meltCurve_P50570_2_DNM2.pdf</v>
      </c>
    </row>
    <row r="2540" spans="1:28" x14ac:dyDescent="0.25">
      <c r="A2540" t="s">
        <v>2544</v>
      </c>
      <c r="B2540">
        <v>0.99334974765950101</v>
      </c>
      <c r="C2540">
        <v>1.3531988245087601</v>
      </c>
      <c r="D2540">
        <v>0.97896013869815701</v>
      </c>
      <c r="E2540">
        <v>0.76240518372521604</v>
      </c>
      <c r="F2540">
        <v>1.1442485487006699</v>
      </c>
      <c r="G2540">
        <v>0.51142530708511102</v>
      </c>
      <c r="H2540">
        <v>0.69604523077458302</v>
      </c>
      <c r="I2540">
        <v>0.60186720581255804</v>
      </c>
      <c r="J2540">
        <v>0.43361647954563598</v>
      </c>
      <c r="K2540">
        <v>0.23791569269840299</v>
      </c>
      <c r="L2540">
        <v>625.48957561077702</v>
      </c>
      <c r="M2540">
        <v>9.7196034073484707</v>
      </c>
      <c r="N2540">
        <v>64.353392629652902</v>
      </c>
      <c r="O2540">
        <v>61.806502295804002</v>
      </c>
      <c r="P2540">
        <v>-3.9335960516059601E-2</v>
      </c>
      <c r="Q2540">
        <v>0</v>
      </c>
      <c r="R2540">
        <v>0.70361704331400599</v>
      </c>
      <c r="S2540" t="s">
        <v>8401</v>
      </c>
      <c r="T2540" t="s">
        <v>11720</v>
      </c>
      <c r="U2540" t="s">
        <v>11720</v>
      </c>
      <c r="V2540" t="s">
        <v>11720</v>
      </c>
      <c r="W2540" t="s">
        <v>14216</v>
      </c>
      <c r="X2540">
        <v>13</v>
      </c>
      <c r="Y2540" t="s">
        <v>18190</v>
      </c>
      <c r="Z2540" t="s">
        <v>25747</v>
      </c>
      <c r="AA2540">
        <v>0.76299382324756271</v>
      </c>
      <c r="AB2540" t="str">
        <f>HYPERLINK("Melting_Curves/meltCurve_P50579_METAP2.pdf", "Melting_Curves/meltCurve_P50579_METAP2.pdf")</f>
        <v>Melting_Curves/meltCurve_P50579_METAP2.pdf</v>
      </c>
    </row>
    <row r="2541" spans="1:28" x14ac:dyDescent="0.25">
      <c r="A2541" t="s">
        <v>2545</v>
      </c>
      <c r="B2541">
        <v>0.99334974765950101</v>
      </c>
      <c r="C2541">
        <v>0.98490808363985805</v>
      </c>
      <c r="D2541">
        <v>0.77101904230361495</v>
      </c>
      <c r="E2541">
        <v>0.45635917578125501</v>
      </c>
      <c r="F2541">
        <v>0.217946535791568</v>
      </c>
      <c r="G2541">
        <v>0.135526789958028</v>
      </c>
      <c r="H2541">
        <v>0.10786927492338701</v>
      </c>
      <c r="I2541">
        <v>7.2925474758121805E-2</v>
      </c>
      <c r="J2541">
        <v>6.4314403923838401E-2</v>
      </c>
      <c r="K2541">
        <v>6.0877389730690498E-2</v>
      </c>
      <c r="L2541">
        <v>971.41465673109099</v>
      </c>
      <c r="M2541">
        <v>19.8426532569515</v>
      </c>
      <c r="N2541">
        <v>49.324800429745103</v>
      </c>
      <c r="O2541">
        <v>48.466792409125297</v>
      </c>
      <c r="P2541">
        <v>-9.5296735845883093E-2</v>
      </c>
      <c r="Q2541">
        <v>6.8960810552589999E-2</v>
      </c>
      <c r="R2541">
        <v>0.99734439427709598</v>
      </c>
      <c r="S2541" t="s">
        <v>8402</v>
      </c>
      <c r="T2541" t="s">
        <v>11720</v>
      </c>
      <c r="U2541" t="s">
        <v>11720</v>
      </c>
      <c r="V2541" t="s">
        <v>11720</v>
      </c>
      <c r="W2541" t="s">
        <v>14217</v>
      </c>
      <c r="X2541">
        <v>7</v>
      </c>
      <c r="Y2541" t="s">
        <v>19965</v>
      </c>
      <c r="Z2541" t="s">
        <v>25748</v>
      </c>
      <c r="AA2541">
        <v>0.36016215401693252</v>
      </c>
      <c r="AB2541" t="str">
        <f>HYPERLINK("Melting_Curves/meltCurve_P50583_NUDT2.pdf", "Melting_Curves/meltCurve_P50583_NUDT2.pdf")</f>
        <v>Melting_Curves/meltCurve_P50583_NUDT2.pdf</v>
      </c>
    </row>
    <row r="2542" spans="1:28" x14ac:dyDescent="0.25">
      <c r="A2542" t="s">
        <v>2546</v>
      </c>
      <c r="B2542">
        <v>0.99334974765950101</v>
      </c>
      <c r="C2542">
        <v>0.99064133386698405</v>
      </c>
      <c r="D2542">
        <v>0.83230999601184097</v>
      </c>
      <c r="E2542">
        <v>0.50385866622976205</v>
      </c>
      <c r="F2542">
        <v>0.197598777894335</v>
      </c>
      <c r="G2542">
        <v>0.12584702965894401</v>
      </c>
      <c r="H2542">
        <v>8.5769430546055597E-2</v>
      </c>
      <c r="I2542">
        <v>7.7962546413417003E-2</v>
      </c>
      <c r="J2542">
        <v>6.8907546238375694E-2</v>
      </c>
      <c r="K2542">
        <v>4.56025840682261E-2</v>
      </c>
      <c r="L2542">
        <v>1119.3021944166801</v>
      </c>
      <c r="M2542">
        <v>22.627457321321501</v>
      </c>
      <c r="N2542">
        <v>49.767394189663001</v>
      </c>
      <c r="O2542">
        <v>49.085039092120297</v>
      </c>
      <c r="P2542">
        <v>-0.107881728016557</v>
      </c>
      <c r="Q2542">
        <v>6.39205971201256E-2</v>
      </c>
      <c r="R2542">
        <v>0.99734923104647499</v>
      </c>
      <c r="S2542" t="s">
        <v>8403</v>
      </c>
      <c r="T2542" t="s">
        <v>11720</v>
      </c>
      <c r="U2542" t="s">
        <v>11720</v>
      </c>
      <c r="V2542" t="s">
        <v>11720</v>
      </c>
      <c r="W2542" t="s">
        <v>14218</v>
      </c>
      <c r="X2542">
        <v>10</v>
      </c>
      <c r="Y2542" t="s">
        <v>19966</v>
      </c>
      <c r="Z2542" t="s">
        <v>25749</v>
      </c>
      <c r="AA2542">
        <v>0.36949534463361022</v>
      </c>
      <c r="AB2542" t="str">
        <f>HYPERLINK("Melting_Curves/meltCurve_P50747_HLCS.pdf", "Melting_Curves/meltCurve_P50747_HLCS.pdf")</f>
        <v>Melting_Curves/meltCurve_P50747_HLCS.pdf</v>
      </c>
    </row>
    <row r="2543" spans="1:28" x14ac:dyDescent="0.25">
      <c r="A2543" t="s">
        <v>2547</v>
      </c>
      <c r="B2543">
        <v>0.99334974765950101</v>
      </c>
      <c r="C2543">
        <v>0.85399452798594599</v>
      </c>
      <c r="D2543">
        <v>0.65829259636663695</v>
      </c>
      <c r="E2543">
        <v>0.196423208702624</v>
      </c>
      <c r="F2543">
        <v>0.125000400706405</v>
      </c>
      <c r="G2543">
        <v>8.4033023333787302E-2</v>
      </c>
      <c r="H2543">
        <v>6.0591853059077702E-2</v>
      </c>
      <c r="I2543">
        <v>5.0178857491518798E-2</v>
      </c>
      <c r="J2543">
        <v>4.7385712075840601E-2</v>
      </c>
      <c r="K2543">
        <v>4.0014532347026899E-2</v>
      </c>
      <c r="L2543">
        <v>1073.9169083582001</v>
      </c>
      <c r="M2543">
        <v>22.923983230231698</v>
      </c>
      <c r="N2543">
        <v>47.064065988284199</v>
      </c>
      <c r="O2543">
        <v>46.494748159350202</v>
      </c>
      <c r="P2543">
        <v>-0.117076441472202</v>
      </c>
      <c r="Q2543">
        <v>5.0193621034497003E-2</v>
      </c>
      <c r="R2543">
        <v>0.99596074694974401</v>
      </c>
      <c r="S2543" t="s">
        <v>8404</v>
      </c>
      <c r="T2543" t="s">
        <v>11720</v>
      </c>
      <c r="U2543" t="s">
        <v>11720</v>
      </c>
      <c r="V2543" t="s">
        <v>11720</v>
      </c>
      <c r="W2543" t="s">
        <v>14219</v>
      </c>
      <c r="X2543">
        <v>12</v>
      </c>
      <c r="Y2543" t="s">
        <v>19967</v>
      </c>
      <c r="Z2543" t="s">
        <v>25750</v>
      </c>
      <c r="AA2543">
        <v>0.27728783880680802</v>
      </c>
      <c r="AB2543" t="str">
        <f>HYPERLINK("Melting_Curves/meltCurve_P50749_RASSF2.pdf", "Melting_Curves/meltCurve_P50749_RASSF2.pdf")</f>
        <v>Melting_Curves/meltCurve_P50749_RASSF2.pdf</v>
      </c>
    </row>
    <row r="2544" spans="1:28" x14ac:dyDescent="0.25">
      <c r="A2544" t="s">
        <v>2548</v>
      </c>
      <c r="B2544">
        <v>0.99334974765950101</v>
      </c>
      <c r="C2544">
        <v>0.94957131687751095</v>
      </c>
      <c r="D2544">
        <v>0.94738983840900404</v>
      </c>
      <c r="E2544">
        <v>0.93125404042868898</v>
      </c>
      <c r="F2544">
        <v>0.80296543532012699</v>
      </c>
      <c r="G2544">
        <v>0.63469834441485595</v>
      </c>
      <c r="H2544">
        <v>0.52503979146171698</v>
      </c>
      <c r="I2544">
        <v>0.51353296503887003</v>
      </c>
      <c r="J2544">
        <v>0.446581101587189</v>
      </c>
      <c r="K2544">
        <v>0.415480482491217</v>
      </c>
      <c r="L2544">
        <v>778.83281022238702</v>
      </c>
      <c r="M2544">
        <v>13.9696776543016</v>
      </c>
      <c r="N2544">
        <v>62.7809517918541</v>
      </c>
      <c r="O2544">
        <v>54.646482182847301</v>
      </c>
      <c r="P2544">
        <v>-3.8647038403724798E-2</v>
      </c>
      <c r="Q2544">
        <v>0.39536374107136601</v>
      </c>
      <c r="R2544">
        <v>0.98989188761139602</v>
      </c>
      <c r="S2544" t="s">
        <v>8405</v>
      </c>
      <c r="T2544" t="s">
        <v>11720</v>
      </c>
      <c r="U2544" t="s">
        <v>11720</v>
      </c>
      <c r="V2544" t="s">
        <v>11720</v>
      </c>
      <c r="W2544" t="s">
        <v>14220</v>
      </c>
      <c r="X2544">
        <v>15</v>
      </c>
      <c r="Y2544" t="s">
        <v>19968</v>
      </c>
      <c r="Z2544" t="s">
        <v>25751</v>
      </c>
      <c r="AA2544">
        <v>0.72448533296762507</v>
      </c>
      <c r="AB2544" t="str">
        <f>HYPERLINK("Melting_Curves/meltCurve_P50895_BCAM.pdf", "Melting_Curves/meltCurve_P50895_BCAM.pdf")</f>
        <v>Melting_Curves/meltCurve_P50895_BCAM.pdf</v>
      </c>
    </row>
    <row r="2545" spans="1:28" x14ac:dyDescent="0.25">
      <c r="A2545" t="s">
        <v>2549</v>
      </c>
      <c r="B2545">
        <v>0.99334974765950101</v>
      </c>
      <c r="C2545">
        <v>0.95210734556501397</v>
      </c>
      <c r="D2545">
        <v>1.0113557732638701</v>
      </c>
      <c r="E2545">
        <v>0.85636735501561301</v>
      </c>
      <c r="F2545">
        <v>0.68970762584325696</v>
      </c>
      <c r="G2545">
        <v>0.54625185115771702</v>
      </c>
      <c r="H2545">
        <v>0.26994047650736602</v>
      </c>
      <c r="I2545">
        <v>0.17703170931964199</v>
      </c>
      <c r="J2545">
        <v>0.199043920130308</v>
      </c>
      <c r="K2545">
        <v>0.16705004712865201</v>
      </c>
      <c r="L2545">
        <v>848.29922256908105</v>
      </c>
      <c r="M2545">
        <v>15.211695059119601</v>
      </c>
      <c r="N2545">
        <v>56.706841238665596</v>
      </c>
      <c r="O2545">
        <v>54.829137160385898</v>
      </c>
      <c r="P2545">
        <v>-6.1631860031657999E-2</v>
      </c>
      <c r="Q2545">
        <v>0.111499784849489</v>
      </c>
      <c r="R2545">
        <v>0.98913520226690199</v>
      </c>
      <c r="S2545" t="s">
        <v>8406</v>
      </c>
      <c r="T2545" t="s">
        <v>11720</v>
      </c>
      <c r="U2545" t="s">
        <v>11720</v>
      </c>
      <c r="V2545" t="s">
        <v>11720</v>
      </c>
      <c r="W2545" t="s">
        <v>14221</v>
      </c>
      <c r="X2545">
        <v>11</v>
      </c>
      <c r="Y2545" t="s">
        <v>19969</v>
      </c>
      <c r="Z2545" t="s">
        <v>25752</v>
      </c>
      <c r="AA2545">
        <v>0.59434990395611009</v>
      </c>
      <c r="AB2545" t="str">
        <f>HYPERLINK("Melting_Curves/meltCurve_P50897_PPT1.pdf", "Melting_Curves/meltCurve_P50897_PPT1.pdf")</f>
        <v>Melting_Curves/meltCurve_P50897_PPT1.pdf</v>
      </c>
    </row>
    <row r="2546" spans="1:28" x14ac:dyDescent="0.25">
      <c r="A2546" t="s">
        <v>2550</v>
      </c>
      <c r="B2546">
        <v>0.99334974765950101</v>
      </c>
      <c r="C2546">
        <v>1.13274158149407</v>
      </c>
      <c r="D2546">
        <v>0.93597438622061602</v>
      </c>
      <c r="E2546">
        <v>0.99173015384486696</v>
      </c>
      <c r="F2546">
        <v>0.90077402489645897</v>
      </c>
      <c r="G2546">
        <v>0.66808060607156206</v>
      </c>
      <c r="H2546">
        <v>0.48587651745871602</v>
      </c>
      <c r="I2546">
        <v>0.33282956965221799</v>
      </c>
      <c r="J2546">
        <v>0.24635925514809701</v>
      </c>
      <c r="K2546">
        <v>0.194415765934292</v>
      </c>
      <c r="L2546">
        <v>970.04665284153702</v>
      </c>
      <c r="M2546">
        <v>16.387732440602001</v>
      </c>
      <c r="N2546">
        <v>60.3619678686687</v>
      </c>
      <c r="O2546">
        <v>58.333086376469701</v>
      </c>
      <c r="P2546">
        <v>-6.06915476699409E-2</v>
      </c>
      <c r="Q2546">
        <v>0.13592121528869699</v>
      </c>
      <c r="R2546">
        <v>0.97817310849489203</v>
      </c>
      <c r="S2546" t="s">
        <v>8407</v>
      </c>
      <c r="T2546" t="s">
        <v>11720</v>
      </c>
      <c r="U2546" t="s">
        <v>11720</v>
      </c>
      <c r="V2546" t="s">
        <v>11720</v>
      </c>
      <c r="W2546" t="s">
        <v>14222</v>
      </c>
      <c r="X2546">
        <v>5</v>
      </c>
      <c r="Y2546" t="s">
        <v>19970</v>
      </c>
      <c r="Z2546" t="s">
        <v>25753</v>
      </c>
      <c r="AA2546">
        <v>0.6975570507849691</v>
      </c>
      <c r="AB2546" t="str">
        <f>HYPERLINK("Melting_Curves/meltCurve_P50914_RPL14.pdf", "Melting_Curves/meltCurve_P50914_RPL14.pdf")</f>
        <v>Melting_Curves/meltCurve_P50914_RPL14.pdf</v>
      </c>
    </row>
    <row r="2547" spans="1:28" x14ac:dyDescent="0.25">
      <c r="A2547" t="s">
        <v>2551</v>
      </c>
      <c r="B2547">
        <v>0.99334974765950101</v>
      </c>
      <c r="C2547">
        <v>0.97413206801267804</v>
      </c>
      <c r="D2547">
        <v>0.958544600733643</v>
      </c>
      <c r="E2547">
        <v>0.82193003280939603</v>
      </c>
      <c r="F2547">
        <v>0.76613111439884496</v>
      </c>
      <c r="G2547">
        <v>1.2965147458108099</v>
      </c>
      <c r="H2547">
        <v>1.19691943393692</v>
      </c>
      <c r="I2547">
        <v>0.41299238353349499</v>
      </c>
      <c r="J2547">
        <v>0.14264612178868299</v>
      </c>
      <c r="K2547">
        <v>0.104092940404606</v>
      </c>
      <c r="L2547">
        <v>15000</v>
      </c>
      <c r="M2547">
        <v>235.08132406710601</v>
      </c>
      <c r="N2547">
        <v>63.8846876358703</v>
      </c>
      <c r="O2547">
        <v>63.8030998748496</v>
      </c>
      <c r="P2547">
        <v>-0.807491957588507</v>
      </c>
      <c r="Q2547">
        <v>0.12335902296588901</v>
      </c>
      <c r="R2547">
        <v>0.86078980746836198</v>
      </c>
      <c r="S2547" t="s">
        <v>8408</v>
      </c>
      <c r="T2547" t="s">
        <v>11720</v>
      </c>
      <c r="U2547" t="s">
        <v>11720</v>
      </c>
      <c r="V2547" t="s">
        <v>11720</v>
      </c>
      <c r="W2547" t="s">
        <v>14223</v>
      </c>
      <c r="X2547">
        <v>41</v>
      </c>
      <c r="Y2547" t="s">
        <v>19971</v>
      </c>
      <c r="Z2547" t="s">
        <v>25754</v>
      </c>
      <c r="AA2547">
        <v>0.81916373569110734</v>
      </c>
      <c r="AB2547" t="str">
        <f>HYPERLINK("Melting_Curves/meltCurve_P50990_CCT8.pdf", "Melting_Curves/meltCurve_P50990_CCT8.pdf")</f>
        <v>Melting_Curves/meltCurve_P50990_CCT8.pdf</v>
      </c>
    </row>
    <row r="2548" spans="1:28" x14ac:dyDescent="0.25">
      <c r="A2548" t="s">
        <v>2552</v>
      </c>
      <c r="B2548">
        <v>0.99334974765950101</v>
      </c>
      <c r="C2548">
        <v>0.97443947004171905</v>
      </c>
      <c r="D2548">
        <v>0.89505260576833601</v>
      </c>
      <c r="E2548">
        <v>0.79330505643688398</v>
      </c>
      <c r="F2548">
        <v>0.83005924006780296</v>
      </c>
      <c r="G2548">
        <v>0.81775455133020902</v>
      </c>
      <c r="H2548">
        <v>0.331680997628579</v>
      </c>
      <c r="I2548">
        <v>0.18731799857676301</v>
      </c>
      <c r="J2548">
        <v>0.163364934699229</v>
      </c>
      <c r="K2548">
        <v>0.142638465858383</v>
      </c>
      <c r="L2548">
        <v>877.22776822023297</v>
      </c>
      <c r="M2548">
        <v>14.771832131521499</v>
      </c>
      <c r="N2548">
        <v>59.385170668329799</v>
      </c>
      <c r="O2548">
        <v>58.328698900944197</v>
      </c>
      <c r="P2548">
        <v>-6.3319674259253E-2</v>
      </c>
      <c r="Q2548">
        <v>0</v>
      </c>
      <c r="R2548">
        <v>0.93815852880966299</v>
      </c>
      <c r="S2548" t="s">
        <v>8409</v>
      </c>
      <c r="T2548" t="s">
        <v>11720</v>
      </c>
      <c r="U2548" t="s">
        <v>11720</v>
      </c>
      <c r="V2548" t="s">
        <v>11720</v>
      </c>
      <c r="W2548" t="s">
        <v>14224</v>
      </c>
      <c r="X2548">
        <v>25</v>
      </c>
      <c r="Y2548" t="s">
        <v>19972</v>
      </c>
      <c r="Z2548" t="s">
        <v>25755</v>
      </c>
      <c r="AA2548">
        <v>0.65522220204748782</v>
      </c>
      <c r="AB2548" t="str">
        <f>HYPERLINK("Melting_Curves/meltCurve_P50991_CCT4.pdf", "Melting_Curves/meltCurve_P50991_CCT4.pdf")</f>
        <v>Melting_Curves/meltCurve_P50991_CCT4.pdf</v>
      </c>
    </row>
    <row r="2549" spans="1:28" x14ac:dyDescent="0.25">
      <c r="A2549" t="s">
        <v>2553</v>
      </c>
      <c r="B2549">
        <v>0.99334974765950101</v>
      </c>
      <c r="C2549">
        <v>1.03305225174449</v>
      </c>
      <c r="D2549">
        <v>0.84456633360629796</v>
      </c>
      <c r="E2549">
        <v>0.51048247117284795</v>
      </c>
      <c r="F2549">
        <v>0.44824030412636201</v>
      </c>
      <c r="G2549">
        <v>0.28430701754731003</v>
      </c>
      <c r="H2549">
        <v>0.19201344605086099</v>
      </c>
      <c r="I2549">
        <v>0.171461443636861</v>
      </c>
      <c r="J2549">
        <v>0.21846951962317401</v>
      </c>
      <c r="K2549">
        <v>0.15092024476023599</v>
      </c>
      <c r="L2549">
        <v>867.02849926062095</v>
      </c>
      <c r="M2549">
        <v>17.393152502250501</v>
      </c>
      <c r="N2549">
        <v>51.122067735639803</v>
      </c>
      <c r="O2549">
        <v>49.203896284648202</v>
      </c>
      <c r="P2549">
        <v>-7.2842918093699596E-2</v>
      </c>
      <c r="Q2549">
        <v>0.175778406635966</v>
      </c>
      <c r="R2549">
        <v>0.98419852053895895</v>
      </c>
      <c r="S2549" t="s">
        <v>8410</v>
      </c>
      <c r="T2549" t="s">
        <v>11720</v>
      </c>
      <c r="U2549" t="s">
        <v>11720</v>
      </c>
      <c r="V2549" t="s">
        <v>11720</v>
      </c>
      <c r="W2549" t="s">
        <v>14225</v>
      </c>
      <c r="X2549">
        <v>3</v>
      </c>
      <c r="Y2549" t="s">
        <v>19973</v>
      </c>
      <c r="Z2549" t="s">
        <v>25756</v>
      </c>
      <c r="AA2549">
        <v>0.46140036425965419</v>
      </c>
      <c r="AB2549" t="str">
        <f>HYPERLINK("Melting_Curves/meltCurve_P51116_FXR2.pdf", "Melting_Curves/meltCurve_P51116_FXR2.pdf")</f>
        <v>Melting_Curves/meltCurve_P51116_FXR2.pdf</v>
      </c>
    </row>
    <row r="2550" spans="1:28" x14ac:dyDescent="0.25">
      <c r="A2550" t="s">
        <v>2554</v>
      </c>
      <c r="B2550">
        <v>0.99334974765950101</v>
      </c>
      <c r="C2550">
        <v>0.95895271675155302</v>
      </c>
      <c r="D2550">
        <v>0.92353548770836302</v>
      </c>
      <c r="E2550">
        <v>0.83829760789956198</v>
      </c>
      <c r="F2550">
        <v>0.85075907480535795</v>
      </c>
      <c r="G2550">
        <v>0.59179745676008</v>
      </c>
      <c r="H2550">
        <v>0.51255778577376598</v>
      </c>
      <c r="I2550">
        <v>0.46714386023389498</v>
      </c>
      <c r="J2550">
        <v>0.249316013152106</v>
      </c>
      <c r="K2550">
        <v>9.5036399093097204E-2</v>
      </c>
      <c r="L2550">
        <v>606.88627170403299</v>
      </c>
      <c r="M2550">
        <v>10.045503851601399</v>
      </c>
      <c r="N2550">
        <v>60.413746085654402</v>
      </c>
      <c r="O2550">
        <v>58.1660835457945</v>
      </c>
      <c r="P2550">
        <v>-4.3196589852562098E-2</v>
      </c>
      <c r="Q2550">
        <v>0</v>
      </c>
      <c r="R2550">
        <v>0.96188599039232003</v>
      </c>
      <c r="S2550" t="s">
        <v>8411</v>
      </c>
      <c r="T2550" t="s">
        <v>11720</v>
      </c>
      <c r="U2550" t="s">
        <v>11720</v>
      </c>
      <c r="V2550" t="s">
        <v>11720</v>
      </c>
      <c r="W2550" t="s">
        <v>14226</v>
      </c>
      <c r="X2550">
        <v>14</v>
      </c>
      <c r="Y2550" t="s">
        <v>19974</v>
      </c>
      <c r="Z2550" t="s">
        <v>25757</v>
      </c>
      <c r="AA2550">
        <v>0.67340221639941311</v>
      </c>
      <c r="AB2550" t="str">
        <f>HYPERLINK("Melting_Curves/meltCurve_P51148_RAB5C.pdf", "Melting_Curves/meltCurve_P51148_RAB5C.pdf")</f>
        <v>Melting_Curves/meltCurve_P51148_RAB5C.pdf</v>
      </c>
    </row>
    <row r="2551" spans="1:28" x14ac:dyDescent="0.25">
      <c r="A2551" t="s">
        <v>2555</v>
      </c>
      <c r="B2551">
        <v>0.99334974765950101</v>
      </c>
      <c r="C2551">
        <v>0.93636919424638998</v>
      </c>
      <c r="D2551">
        <v>0.86513389527602702</v>
      </c>
      <c r="E2551">
        <v>0.78379564338976804</v>
      </c>
      <c r="F2551">
        <v>0.62228765420591803</v>
      </c>
      <c r="G2551">
        <v>0.48166441498156498</v>
      </c>
      <c r="H2551">
        <v>0.405216437850976</v>
      </c>
      <c r="I2551">
        <v>0.37670189591270697</v>
      </c>
      <c r="J2551">
        <v>0.27607402544109499</v>
      </c>
      <c r="K2551">
        <v>0.144104763416012</v>
      </c>
      <c r="L2551">
        <v>437.87943290265702</v>
      </c>
      <c r="M2551">
        <v>7.6160986723115203</v>
      </c>
      <c r="N2551">
        <v>57.493949991769199</v>
      </c>
      <c r="O2551">
        <v>53.931981961194197</v>
      </c>
      <c r="P2551">
        <v>-3.5352147110733902E-2</v>
      </c>
      <c r="Q2551">
        <v>0</v>
      </c>
      <c r="R2551">
        <v>0.98487415039274495</v>
      </c>
      <c r="S2551" t="s">
        <v>8412</v>
      </c>
      <c r="T2551" t="s">
        <v>11720</v>
      </c>
      <c r="U2551" t="s">
        <v>11720</v>
      </c>
      <c r="V2551" t="s">
        <v>11720</v>
      </c>
      <c r="W2551" t="s">
        <v>14227</v>
      </c>
      <c r="X2551">
        <v>27</v>
      </c>
      <c r="Y2551" t="s">
        <v>19975</v>
      </c>
      <c r="Z2551" t="s">
        <v>25758</v>
      </c>
      <c r="AA2551">
        <v>0.58954125573348004</v>
      </c>
      <c r="AB2551" t="str">
        <f>HYPERLINK("Melting_Curves/meltCurve_P51149_RAB7A.pdf", "Melting_Curves/meltCurve_P51149_RAB7A.pdf")</f>
        <v>Melting_Curves/meltCurve_P51149_RAB7A.pdf</v>
      </c>
    </row>
    <row r="2552" spans="1:28" x14ac:dyDescent="0.25">
      <c r="A2552" t="s">
        <v>2556</v>
      </c>
      <c r="B2552">
        <v>0.99334974765950101</v>
      </c>
      <c r="C2552">
        <v>0.895541227882232</v>
      </c>
      <c r="D2552">
        <v>0.84842649949201099</v>
      </c>
      <c r="E2552">
        <v>0.66633341342938202</v>
      </c>
      <c r="F2552">
        <v>0.54067620225660196</v>
      </c>
      <c r="G2552">
        <v>0.230361350322596</v>
      </c>
      <c r="H2552">
        <v>0.13342331076224401</v>
      </c>
      <c r="I2552">
        <v>0.121945916828091</v>
      </c>
      <c r="J2552">
        <v>0.117573707212524</v>
      </c>
      <c r="K2552">
        <v>0.110825936654914</v>
      </c>
      <c r="L2552">
        <v>705.36041079861002</v>
      </c>
      <c r="M2552">
        <v>13.523264763698</v>
      </c>
      <c r="N2552">
        <v>52.605982125417199</v>
      </c>
      <c r="O2552">
        <v>51.058105202086601</v>
      </c>
      <c r="P2552">
        <v>-6.2631032988170396E-2</v>
      </c>
      <c r="Q2552">
        <v>5.42705302546896E-2</v>
      </c>
      <c r="R2552">
        <v>0.98915927423035499</v>
      </c>
      <c r="S2552" t="s">
        <v>8413</v>
      </c>
      <c r="T2552" t="s">
        <v>11720</v>
      </c>
      <c r="U2552" t="s">
        <v>11720</v>
      </c>
      <c r="V2552" t="s">
        <v>11720</v>
      </c>
      <c r="W2552" t="s">
        <v>14228</v>
      </c>
      <c r="X2552">
        <v>7</v>
      </c>
      <c r="Y2552" t="s">
        <v>19976</v>
      </c>
      <c r="Z2552" t="s">
        <v>25759</v>
      </c>
      <c r="AA2552">
        <v>0.46201163291787922</v>
      </c>
      <c r="AB2552" t="str">
        <f>HYPERLINK("Melting_Curves/meltCurve_P51151_RAB9A.pdf", "Melting_Curves/meltCurve_P51151_RAB9A.pdf")</f>
        <v>Melting_Curves/meltCurve_P51151_RAB9A.pdf</v>
      </c>
    </row>
    <row r="2553" spans="1:28" x14ac:dyDescent="0.25">
      <c r="A2553" t="s">
        <v>2557</v>
      </c>
      <c r="B2553">
        <v>0.99334974765950101</v>
      </c>
      <c r="C2553">
        <v>0.87502533196236398</v>
      </c>
      <c r="D2553">
        <v>0.78069339265118198</v>
      </c>
      <c r="E2553">
        <v>0.60183080359623498</v>
      </c>
      <c r="F2553">
        <v>0.34069919385126601</v>
      </c>
      <c r="G2553">
        <v>0.14998004425968101</v>
      </c>
      <c r="H2553">
        <v>0.100215277441336</v>
      </c>
      <c r="I2553">
        <v>6.7865861845834499E-2</v>
      </c>
      <c r="J2553">
        <v>5.5519154720998998E-2</v>
      </c>
      <c r="K2553">
        <v>4.3481101357738201E-2</v>
      </c>
      <c r="L2553">
        <v>691.28779218181103</v>
      </c>
      <c r="M2553">
        <v>13.667467899906001</v>
      </c>
      <c r="N2553">
        <v>50.671535096936601</v>
      </c>
      <c r="O2553">
        <v>49.533130134226703</v>
      </c>
      <c r="P2553">
        <v>-6.8141940995969694E-2</v>
      </c>
      <c r="Q2553">
        <v>1.2313508802061101E-2</v>
      </c>
      <c r="R2553">
        <v>0.99385809971823202</v>
      </c>
      <c r="S2553" t="s">
        <v>8414</v>
      </c>
      <c r="T2553" t="s">
        <v>11720</v>
      </c>
      <c r="U2553" t="s">
        <v>11720</v>
      </c>
      <c r="V2553" t="s">
        <v>11720</v>
      </c>
      <c r="W2553" t="s">
        <v>14229</v>
      </c>
      <c r="X2553">
        <v>11</v>
      </c>
      <c r="Y2553" t="s">
        <v>19977</v>
      </c>
      <c r="Z2553" t="s">
        <v>25760</v>
      </c>
      <c r="AA2553">
        <v>0.38759777094706388</v>
      </c>
      <c r="AB2553" t="str">
        <f>HYPERLINK("Melting_Curves/meltCurve_P51153_RAB13.pdf", "Melting_Curves/meltCurve_P51153_RAB13.pdf")</f>
        <v>Melting_Curves/meltCurve_P51153_RAB13.pdf</v>
      </c>
    </row>
    <row r="2554" spans="1:28" x14ac:dyDescent="0.25">
      <c r="A2554" t="s">
        <v>2558</v>
      </c>
      <c r="B2554">
        <v>0.99334974765950101</v>
      </c>
      <c r="C2554">
        <v>0.95575293567448905</v>
      </c>
      <c r="D2554">
        <v>0.66847413193948002</v>
      </c>
      <c r="E2554">
        <v>0.28142239775274702</v>
      </c>
      <c r="F2554">
        <v>0.14634767653261199</v>
      </c>
      <c r="G2554">
        <v>0.108235002538355</v>
      </c>
      <c r="H2554">
        <v>7.73141468066504E-2</v>
      </c>
      <c r="I2554">
        <v>6.1467041999000403E-2</v>
      </c>
      <c r="J2554">
        <v>5.26267982412656E-2</v>
      </c>
      <c r="K2554">
        <v>4.5130503217113399E-2</v>
      </c>
      <c r="L2554">
        <v>1091.0859826190199</v>
      </c>
      <c r="M2554">
        <v>23.032129146802099</v>
      </c>
      <c r="N2554">
        <v>47.657096033668999</v>
      </c>
      <c r="O2554">
        <v>47.019552470296098</v>
      </c>
      <c r="P2554">
        <v>-0.114590181188457</v>
      </c>
      <c r="Q2554">
        <v>6.4284452081732599E-2</v>
      </c>
      <c r="R2554">
        <v>0.99786054724627804</v>
      </c>
      <c r="S2554" t="s">
        <v>8415</v>
      </c>
      <c r="T2554" t="s">
        <v>11720</v>
      </c>
      <c r="U2554" t="s">
        <v>11720</v>
      </c>
      <c r="V2554" t="s">
        <v>11720</v>
      </c>
      <c r="W2554" t="s">
        <v>14230</v>
      </c>
      <c r="X2554">
        <v>8</v>
      </c>
      <c r="Y2554" t="s">
        <v>19978</v>
      </c>
      <c r="Z2554" t="s">
        <v>25761</v>
      </c>
      <c r="AA2554">
        <v>0.3041623377528484</v>
      </c>
      <c r="AB2554" t="str">
        <f>HYPERLINK("Melting_Curves/meltCurve_P51157_RAB28.pdf", "Melting_Curves/meltCurve_P51157_RAB28.pdf")</f>
        <v>Melting_Curves/meltCurve_P51157_RAB28.pdf</v>
      </c>
    </row>
    <row r="2555" spans="1:28" x14ac:dyDescent="0.25">
      <c r="A2555" t="s">
        <v>2559</v>
      </c>
      <c r="B2555">
        <v>0.99334974765950101</v>
      </c>
      <c r="C2555">
        <v>0.94131943277410501</v>
      </c>
      <c r="D2555">
        <v>0.89533661897149297</v>
      </c>
      <c r="E2555">
        <v>0.72619000715924098</v>
      </c>
      <c r="F2555">
        <v>0.71504322805119802</v>
      </c>
      <c r="G2555">
        <v>0.51923629296815998</v>
      </c>
      <c r="H2555">
        <v>0.486573644831995</v>
      </c>
      <c r="I2555">
        <v>0.518868825315842</v>
      </c>
      <c r="J2555">
        <v>0.551172652349325</v>
      </c>
      <c r="K2555">
        <v>0.42992073002435999</v>
      </c>
      <c r="L2555">
        <v>664.65645301546101</v>
      </c>
      <c r="M2555">
        <v>13.1222896247242</v>
      </c>
      <c r="N2555">
        <v>63.335036202256902</v>
      </c>
      <c r="O2555">
        <v>49.517966019491098</v>
      </c>
      <c r="P2555">
        <v>-3.5523511223297902E-2</v>
      </c>
      <c r="Q2555">
        <v>0.46388854653899703</v>
      </c>
      <c r="R2555">
        <v>0.96167153226742597</v>
      </c>
      <c r="S2555" t="s">
        <v>8416</v>
      </c>
      <c r="T2555" t="s">
        <v>11720</v>
      </c>
      <c r="U2555" t="s">
        <v>11720</v>
      </c>
      <c r="V2555" t="s">
        <v>11720</v>
      </c>
      <c r="W2555" t="s">
        <v>14231</v>
      </c>
      <c r="X2555">
        <v>5</v>
      </c>
      <c r="Y2555" t="s">
        <v>19979</v>
      </c>
      <c r="Z2555" t="s">
        <v>25762</v>
      </c>
      <c r="AA2555">
        <v>0.66980698518550141</v>
      </c>
      <c r="AB2555" t="str">
        <f>HYPERLINK("Melting_Curves/meltCurve_P51159_2_RAB27A.pdf", "Melting_Curves/meltCurve_P51159_2_RAB27A.pdf")</f>
        <v>Melting_Curves/meltCurve_P51159_2_RAB27A.pdf</v>
      </c>
    </row>
    <row r="2556" spans="1:28" x14ac:dyDescent="0.25">
      <c r="A2556" t="s">
        <v>2560</v>
      </c>
      <c r="B2556">
        <v>0.99334974765950101</v>
      </c>
      <c r="C2556">
        <v>0.95084732885407597</v>
      </c>
      <c r="D2556">
        <v>0.93571198433830605</v>
      </c>
      <c r="E2556">
        <v>0.60306302759705799</v>
      </c>
      <c r="F2556">
        <v>0.19290084655946901</v>
      </c>
      <c r="G2556">
        <v>0.126579009555427</v>
      </c>
      <c r="H2556">
        <v>9.5102654698496797E-2</v>
      </c>
      <c r="I2556">
        <v>8.9232351092736403E-2</v>
      </c>
      <c r="J2556">
        <v>9.0864669285206298E-2</v>
      </c>
      <c r="K2556">
        <v>8.2214382267704805E-2</v>
      </c>
      <c r="L2556">
        <v>1790.8412236715101</v>
      </c>
      <c r="M2556">
        <v>35.625926393628099</v>
      </c>
      <c r="N2556">
        <v>50.551998876388602</v>
      </c>
      <c r="O2556">
        <v>50.110324562060597</v>
      </c>
      <c r="P2556">
        <v>-0.16161311860632299</v>
      </c>
      <c r="Q2556">
        <v>9.0722968070170398E-2</v>
      </c>
      <c r="R2556">
        <v>0.99688995907764499</v>
      </c>
      <c r="S2556" t="s">
        <v>8417</v>
      </c>
      <c r="T2556" t="s">
        <v>11720</v>
      </c>
      <c r="U2556" t="s">
        <v>11720</v>
      </c>
      <c r="V2556" t="s">
        <v>11720</v>
      </c>
      <c r="W2556" t="s">
        <v>14232</v>
      </c>
      <c r="X2556">
        <v>21</v>
      </c>
      <c r="Y2556" t="s">
        <v>19980</v>
      </c>
      <c r="Z2556" t="s">
        <v>25763</v>
      </c>
      <c r="AA2556">
        <v>0.40592793511868719</v>
      </c>
      <c r="AB2556" t="str">
        <f>HYPERLINK("Melting_Curves/meltCurve_P51178_PLCD1.pdf", "Melting_Curves/meltCurve_P51178_PLCD1.pdf")</f>
        <v>Melting_Curves/meltCurve_P51178_PLCD1.pdf</v>
      </c>
    </row>
    <row r="2557" spans="1:28" x14ac:dyDescent="0.25">
      <c r="A2557" t="s">
        <v>2561</v>
      </c>
      <c r="B2557">
        <v>0.99334974765950101</v>
      </c>
      <c r="C2557">
        <v>1.05884620122855</v>
      </c>
      <c r="D2557">
        <v>0.94007468002845596</v>
      </c>
      <c r="E2557">
        <v>0.81465507761968503</v>
      </c>
      <c r="F2557">
        <v>0.95874051777303204</v>
      </c>
      <c r="G2557">
        <v>0.87602914931793996</v>
      </c>
      <c r="H2557">
        <v>0.88099037107748202</v>
      </c>
      <c r="I2557">
        <v>0.70317352610567996</v>
      </c>
      <c r="J2557">
        <v>1.3431923876418199</v>
      </c>
      <c r="K2557">
        <v>1.22263383527265</v>
      </c>
      <c r="L2557">
        <v>11117.113607887901</v>
      </c>
      <c r="M2557">
        <v>250</v>
      </c>
      <c r="O2557">
        <v>44.465588825324502</v>
      </c>
      <c r="P2557">
        <v>-4.57701823454391E-2</v>
      </c>
      <c r="Q2557">
        <v>0.96743681560989303</v>
      </c>
      <c r="R2557">
        <v>1.27946053828802E-2</v>
      </c>
      <c r="S2557" t="s">
        <v>8418</v>
      </c>
      <c r="T2557" t="s">
        <v>11720</v>
      </c>
      <c r="U2557" t="s">
        <v>11720</v>
      </c>
      <c r="V2557" t="s">
        <v>11720</v>
      </c>
      <c r="W2557" t="s">
        <v>14233</v>
      </c>
      <c r="X2557">
        <v>2</v>
      </c>
      <c r="Y2557" t="s">
        <v>19981</v>
      </c>
      <c r="Z2557" t="s">
        <v>25764</v>
      </c>
      <c r="AA2557">
        <v>0.97228959374098478</v>
      </c>
      <c r="AB2557" t="str">
        <f>HYPERLINK("Melting_Curves/meltCurve_P51397_DAP.pdf", "Melting_Curves/meltCurve_P51397_DAP.pdf")</f>
        <v>Melting_Curves/meltCurve_P51397_DAP.pdf</v>
      </c>
    </row>
    <row r="2558" spans="1:28" x14ac:dyDescent="0.25">
      <c r="A2558" t="s">
        <v>2562</v>
      </c>
      <c r="B2558">
        <v>0.99334974765950101</v>
      </c>
      <c r="C2558">
        <v>0.98752186515693496</v>
      </c>
      <c r="D2558">
        <v>0.95821369366261</v>
      </c>
      <c r="E2558">
        <v>0.69556672231858396</v>
      </c>
      <c r="F2558">
        <v>0.226933463433482</v>
      </c>
      <c r="G2558">
        <v>0.17794523332076201</v>
      </c>
      <c r="H2558">
        <v>0.187614010685065</v>
      </c>
      <c r="I2558">
        <v>0.13167165183368501</v>
      </c>
      <c r="J2558">
        <v>5.1459924835944297E-2</v>
      </c>
      <c r="K2558">
        <v>0</v>
      </c>
      <c r="L2558">
        <v>2003.2162687919099</v>
      </c>
      <c r="M2558">
        <v>39.450573452794799</v>
      </c>
      <c r="N2558">
        <v>51.079726893660897</v>
      </c>
      <c r="O2558">
        <v>50.647931094361503</v>
      </c>
      <c r="P2558">
        <v>-0.174482500104857</v>
      </c>
      <c r="Q2558">
        <v>0.103976792217447</v>
      </c>
      <c r="R2558">
        <v>0.98302040682761604</v>
      </c>
      <c r="S2558" t="s">
        <v>8419</v>
      </c>
      <c r="T2558" t="s">
        <v>11720</v>
      </c>
      <c r="U2558" t="s">
        <v>11720</v>
      </c>
      <c r="V2558" t="s">
        <v>11720</v>
      </c>
      <c r="W2558" t="s">
        <v>14234</v>
      </c>
      <c r="X2558">
        <v>1</v>
      </c>
      <c r="Y2558" t="s">
        <v>19982</v>
      </c>
      <c r="Z2558" t="s">
        <v>25765</v>
      </c>
      <c r="AA2558">
        <v>0.42911822982837639</v>
      </c>
      <c r="AB2558" t="str">
        <f>HYPERLINK("Melting_Curves/meltCurve_P51398_2_DAP3.pdf", "Melting_Curves/meltCurve_P51398_2_DAP3.pdf")</f>
        <v>Melting_Curves/meltCurve_P51398_2_DAP3.pdf</v>
      </c>
    </row>
    <row r="2559" spans="1:28" x14ac:dyDescent="0.25">
      <c r="A2559" t="s">
        <v>2563</v>
      </c>
      <c r="B2559">
        <v>0.99334974765950101</v>
      </c>
      <c r="C2559">
        <v>0.95694671580469803</v>
      </c>
      <c r="D2559">
        <v>0.90626324851658302</v>
      </c>
      <c r="E2559">
        <v>0.63193791369780805</v>
      </c>
      <c r="F2559">
        <v>0.19130588663182699</v>
      </c>
      <c r="G2559">
        <v>0.10938268532271</v>
      </c>
      <c r="H2559">
        <v>6.24499367323171E-2</v>
      </c>
      <c r="I2559">
        <v>5.1931937509653997E-2</v>
      </c>
      <c r="J2559">
        <v>3.8628930545066498E-2</v>
      </c>
      <c r="K2559">
        <v>3.0913781796618099E-2</v>
      </c>
      <c r="L2559">
        <v>1557.6250563199301</v>
      </c>
      <c r="M2559">
        <v>30.822971651623401</v>
      </c>
      <c r="N2559">
        <v>50.697581815949697</v>
      </c>
      <c r="O2559">
        <v>50.323272431335802</v>
      </c>
      <c r="P2559">
        <v>-0.14590115831996101</v>
      </c>
      <c r="Q2559">
        <v>4.7180751872356097E-2</v>
      </c>
      <c r="R2559">
        <v>0.994877887256992</v>
      </c>
      <c r="S2559" t="s">
        <v>8420</v>
      </c>
      <c r="T2559" t="s">
        <v>11720</v>
      </c>
      <c r="U2559" t="s">
        <v>11720</v>
      </c>
      <c r="V2559" t="s">
        <v>11720</v>
      </c>
      <c r="W2559" t="s">
        <v>14235</v>
      </c>
      <c r="X2559">
        <v>11</v>
      </c>
      <c r="Y2559" t="s">
        <v>19983</v>
      </c>
      <c r="Z2559" t="s">
        <v>25766</v>
      </c>
      <c r="AA2559">
        <v>0.38739474145799291</v>
      </c>
      <c r="AB2559" t="str">
        <f>HYPERLINK("Melting_Curves/meltCurve_P51452_DUSP3.pdf", "Melting_Curves/meltCurve_P51452_DUSP3.pdf")</f>
        <v>Melting_Curves/meltCurve_P51452_DUSP3.pdf</v>
      </c>
    </row>
    <row r="2560" spans="1:28" x14ac:dyDescent="0.25">
      <c r="A2560" t="s">
        <v>2564</v>
      </c>
      <c r="B2560">
        <v>0.99334974765950101</v>
      </c>
      <c r="C2560">
        <v>0.97955923894006802</v>
      </c>
      <c r="D2560">
        <v>0.86748731112935396</v>
      </c>
      <c r="E2560">
        <v>0.91260476457098805</v>
      </c>
      <c r="F2560">
        <v>0.59349671421300199</v>
      </c>
      <c r="G2560">
        <v>0.46176294845953603</v>
      </c>
      <c r="H2560">
        <v>0.362894798594875</v>
      </c>
      <c r="I2560">
        <v>0.40954423926134698</v>
      </c>
      <c r="J2560">
        <v>0.36348368604253301</v>
      </c>
      <c r="K2560">
        <v>0.31613260300148699</v>
      </c>
      <c r="L2560">
        <v>1168.7901092250299</v>
      </c>
      <c r="M2560">
        <v>22.2730506839791</v>
      </c>
      <c r="N2560">
        <v>55.503420532317499</v>
      </c>
      <c r="O2560">
        <v>52.058014058838303</v>
      </c>
      <c r="P2560">
        <v>-6.9350162844334706E-2</v>
      </c>
      <c r="Q2560">
        <v>0.35165504652343299</v>
      </c>
      <c r="R2560">
        <v>0.96721945690201105</v>
      </c>
      <c r="S2560" t="s">
        <v>8421</v>
      </c>
      <c r="T2560" t="s">
        <v>11720</v>
      </c>
      <c r="U2560" t="s">
        <v>11720</v>
      </c>
      <c r="V2560" t="s">
        <v>11720</v>
      </c>
      <c r="W2560" t="s">
        <v>14236</v>
      </c>
      <c r="X2560">
        <v>3</v>
      </c>
      <c r="Y2560" t="s">
        <v>19984</v>
      </c>
      <c r="Z2560" t="s">
        <v>25767</v>
      </c>
      <c r="AA2560">
        <v>0.62864826399613227</v>
      </c>
      <c r="AB2560" t="str">
        <f>HYPERLINK("Melting_Curves/meltCurve_P51531_2_SMARCA2.pdf", "Melting_Curves/meltCurve_P51531_2_SMARCA2.pdf")</f>
        <v>Melting_Curves/meltCurve_P51531_2_SMARCA2.pdf</v>
      </c>
    </row>
    <row r="2561" spans="1:28" x14ac:dyDescent="0.25">
      <c r="A2561" t="s">
        <v>2565</v>
      </c>
      <c r="B2561">
        <v>0.99334974765950101</v>
      </c>
      <c r="C2561">
        <v>0.95946176356624402</v>
      </c>
      <c r="D2561">
        <v>1.0073461511789801</v>
      </c>
      <c r="E2561">
        <v>0.92870436050730598</v>
      </c>
      <c r="F2561">
        <v>0.76447487802663106</v>
      </c>
      <c r="G2561">
        <v>0.37464796126060701</v>
      </c>
      <c r="H2561">
        <v>0.157777637786884</v>
      </c>
      <c r="I2561">
        <v>7.63599041369485E-2</v>
      </c>
      <c r="J2561">
        <v>5.3741592679456697E-2</v>
      </c>
      <c r="K2561">
        <v>4.1136837301791303E-2</v>
      </c>
      <c r="L2561">
        <v>1274.1391230101999</v>
      </c>
      <c r="M2561">
        <v>22.931519554959198</v>
      </c>
      <c r="N2561">
        <v>55.741023380841597</v>
      </c>
      <c r="O2561">
        <v>55.145434452060201</v>
      </c>
      <c r="P2561">
        <v>-0.100286159671823</v>
      </c>
      <c r="Q2561">
        <v>3.5350860316161303E-2</v>
      </c>
      <c r="R2561">
        <v>0.99876492016442397</v>
      </c>
      <c r="S2561" t="s">
        <v>8422</v>
      </c>
      <c r="T2561" t="s">
        <v>11720</v>
      </c>
      <c r="U2561" t="s">
        <v>11720</v>
      </c>
      <c r="V2561" t="s">
        <v>11720</v>
      </c>
      <c r="W2561" t="s">
        <v>14237</v>
      </c>
      <c r="X2561">
        <v>9</v>
      </c>
      <c r="Y2561" t="s">
        <v>19985</v>
      </c>
      <c r="Z2561" t="s">
        <v>25768</v>
      </c>
      <c r="AA2561">
        <v>0.5460349667632356</v>
      </c>
      <c r="AB2561" t="str">
        <f>HYPERLINK("Melting_Curves/meltCurve_P51553_IDH3G.pdf", "Melting_Curves/meltCurve_P51553_IDH3G.pdf")</f>
        <v>Melting_Curves/meltCurve_P51553_IDH3G.pdf</v>
      </c>
    </row>
    <row r="2562" spans="1:28" x14ac:dyDescent="0.25">
      <c r="A2562" t="s">
        <v>2566</v>
      </c>
      <c r="B2562">
        <v>0.99334974765950101</v>
      </c>
      <c r="C2562">
        <v>0.98295391028941403</v>
      </c>
      <c r="D2562">
        <v>0.87972834153365298</v>
      </c>
      <c r="E2562">
        <v>0.66213491268060998</v>
      </c>
      <c r="F2562">
        <v>0.30940830504706301</v>
      </c>
      <c r="G2562">
        <v>0.16299192431882301</v>
      </c>
      <c r="H2562">
        <v>0.12653868428526399</v>
      </c>
      <c r="I2562">
        <v>0.111938167003301</v>
      </c>
      <c r="J2562">
        <v>0.102276204356091</v>
      </c>
      <c r="K2562">
        <v>8.6358981111212305E-2</v>
      </c>
      <c r="L2562">
        <v>1168.75512077905</v>
      </c>
      <c r="M2562">
        <v>23.039862643349899</v>
      </c>
      <c r="N2562">
        <v>51.203267636325997</v>
      </c>
      <c r="O2562">
        <v>50.350000588608097</v>
      </c>
      <c r="P2562">
        <v>-0.10337765330656901</v>
      </c>
      <c r="Q2562">
        <v>9.63542027626869E-2</v>
      </c>
      <c r="R2562">
        <v>0.99655001161926204</v>
      </c>
      <c r="S2562" t="s">
        <v>8423</v>
      </c>
      <c r="T2562" t="s">
        <v>11720</v>
      </c>
      <c r="U2562" t="s">
        <v>11720</v>
      </c>
      <c r="V2562" t="s">
        <v>11720</v>
      </c>
      <c r="W2562" t="s">
        <v>14238</v>
      </c>
      <c r="X2562">
        <v>22</v>
      </c>
      <c r="Y2562" t="s">
        <v>19986</v>
      </c>
      <c r="Z2562" t="s">
        <v>25769</v>
      </c>
      <c r="AA2562">
        <v>0.42904129810161817</v>
      </c>
      <c r="AB2562" t="str">
        <f>HYPERLINK("Melting_Curves/meltCurve_P51570_GALK1.pdf", "Melting_Curves/meltCurve_P51570_GALK1.pdf")</f>
        <v>Melting_Curves/meltCurve_P51570_GALK1.pdf</v>
      </c>
    </row>
    <row r="2563" spans="1:28" x14ac:dyDescent="0.25">
      <c r="A2563" t="s">
        <v>2567</v>
      </c>
      <c r="B2563">
        <v>0.99334974765950101</v>
      </c>
      <c r="C2563">
        <v>0.97017773655868</v>
      </c>
      <c r="D2563">
        <v>0.99844725966724401</v>
      </c>
      <c r="E2563">
        <v>1.09378172687343</v>
      </c>
      <c r="F2563">
        <v>1.07765450638868</v>
      </c>
      <c r="G2563">
        <v>1.1543931867805299</v>
      </c>
      <c r="H2563">
        <v>0.56729304353005705</v>
      </c>
      <c r="I2563">
        <v>0.16470442789279399</v>
      </c>
      <c r="J2563">
        <v>0.13667390286943601</v>
      </c>
      <c r="K2563">
        <v>0.10586103907748801</v>
      </c>
      <c r="L2563">
        <v>5981.0148206332397</v>
      </c>
      <c r="M2563">
        <v>98.037351174993802</v>
      </c>
      <c r="N2563">
        <v>61.199690651908497</v>
      </c>
      <c r="O2563">
        <v>60.982139168840298</v>
      </c>
      <c r="P2563">
        <v>-0.34866104332060399</v>
      </c>
      <c r="Q2563">
        <v>0.13249002420207101</v>
      </c>
      <c r="R2563">
        <v>0.97607480438912597</v>
      </c>
      <c r="S2563" t="s">
        <v>8424</v>
      </c>
      <c r="T2563" t="s">
        <v>11720</v>
      </c>
      <c r="U2563" t="s">
        <v>11720</v>
      </c>
      <c r="V2563" t="s">
        <v>11720</v>
      </c>
      <c r="W2563" t="s">
        <v>14239</v>
      </c>
      <c r="X2563">
        <v>9</v>
      </c>
      <c r="Y2563" t="s">
        <v>19987</v>
      </c>
      <c r="Z2563" t="s">
        <v>25770</v>
      </c>
      <c r="AA2563">
        <v>0.74056885733395872</v>
      </c>
      <c r="AB2563" t="str">
        <f>HYPERLINK("Melting_Curves/meltCurve_P51571_SSR4.pdf", "Melting_Curves/meltCurve_P51571_SSR4.pdf")</f>
        <v>Melting_Curves/meltCurve_P51571_SSR4.pdf</v>
      </c>
    </row>
    <row r="2564" spans="1:28" x14ac:dyDescent="0.25">
      <c r="A2564" t="s">
        <v>2568</v>
      </c>
      <c r="B2564">
        <v>0.99334974765950101</v>
      </c>
      <c r="C2564">
        <v>1.0644119534982099</v>
      </c>
      <c r="D2564">
        <v>1.0640299093882299</v>
      </c>
      <c r="E2564">
        <v>1.80156363322897</v>
      </c>
      <c r="F2564">
        <v>1.5183524735381499</v>
      </c>
      <c r="G2564">
        <v>1.38743251481999</v>
      </c>
      <c r="H2564">
        <v>1.36345388173441</v>
      </c>
      <c r="I2564">
        <v>2.03907743068523</v>
      </c>
      <c r="J2564">
        <v>1.5572131365408199</v>
      </c>
      <c r="K2564">
        <v>1.1320333866375301</v>
      </c>
      <c r="L2564">
        <v>11588.238247782099</v>
      </c>
      <c r="M2564">
        <v>250</v>
      </c>
      <c r="O2564">
        <v>46.349978091783498</v>
      </c>
      <c r="P2564">
        <v>0.67421810097837898</v>
      </c>
      <c r="Q2564">
        <v>1.5</v>
      </c>
      <c r="R2564">
        <v>0.48124987508901002</v>
      </c>
      <c r="S2564" t="s">
        <v>8425</v>
      </c>
      <c r="T2564" t="s">
        <v>11720</v>
      </c>
      <c r="U2564" t="s">
        <v>11720</v>
      </c>
      <c r="V2564" t="s">
        <v>11720</v>
      </c>
      <c r="W2564" t="s">
        <v>14240</v>
      </c>
      <c r="X2564">
        <v>23</v>
      </c>
      <c r="Y2564" t="s">
        <v>19988</v>
      </c>
      <c r="Z2564" t="s">
        <v>25771</v>
      </c>
      <c r="AA2564">
        <v>1.394076775792316</v>
      </c>
      <c r="AB2564" t="str">
        <f>HYPERLINK("Melting_Curves/meltCurve_P51572_BCAP31.pdf", "Melting_Curves/meltCurve_P51572_BCAP31.pdf")</f>
        <v>Melting_Curves/meltCurve_P51572_BCAP31.pdf</v>
      </c>
    </row>
    <row r="2565" spans="1:28" x14ac:dyDescent="0.25">
      <c r="A2565" t="s">
        <v>2569</v>
      </c>
      <c r="B2565">
        <v>0.99334974765950101</v>
      </c>
      <c r="C2565">
        <v>0.97380902914554002</v>
      </c>
      <c r="D2565">
        <v>0.85924095704979397</v>
      </c>
      <c r="E2565">
        <v>0.72104501383883102</v>
      </c>
      <c r="F2565">
        <v>0.49285982245229099</v>
      </c>
      <c r="G2565">
        <v>0.20662586597620899</v>
      </c>
      <c r="H2565">
        <v>0.104446643637815</v>
      </c>
      <c r="I2565">
        <v>8.1212764259033496E-2</v>
      </c>
      <c r="J2565">
        <v>7.2447640104076894E-2</v>
      </c>
      <c r="K2565">
        <v>5.4363208177953599E-2</v>
      </c>
      <c r="L2565">
        <v>859.90604204635804</v>
      </c>
      <c r="M2565">
        <v>16.403907306877699</v>
      </c>
      <c r="N2565">
        <v>52.629912276083402</v>
      </c>
      <c r="O2565">
        <v>51.660340703973901</v>
      </c>
      <c r="P2565">
        <v>-7.6884291174222102E-2</v>
      </c>
      <c r="Q2565">
        <v>3.1551161414792098E-2</v>
      </c>
      <c r="R2565">
        <v>0.99653169153907195</v>
      </c>
      <c r="S2565" t="s">
        <v>8426</v>
      </c>
      <c r="T2565" t="s">
        <v>11720</v>
      </c>
      <c r="U2565" t="s">
        <v>11720</v>
      </c>
      <c r="V2565" t="s">
        <v>11720</v>
      </c>
      <c r="W2565" t="s">
        <v>14241</v>
      </c>
      <c r="X2565">
        <v>17</v>
      </c>
      <c r="Y2565" t="s">
        <v>19989</v>
      </c>
      <c r="Z2565" t="s">
        <v>25772</v>
      </c>
      <c r="AA2565">
        <v>0.45112599384074581</v>
      </c>
      <c r="AB2565" t="str">
        <f>HYPERLINK("Melting_Curves/meltCurve_P51580_TPMT.pdf", "Melting_Curves/meltCurve_P51580_TPMT.pdf")</f>
        <v>Melting_Curves/meltCurve_P51580_TPMT.pdf</v>
      </c>
    </row>
    <row r="2566" spans="1:28" x14ac:dyDescent="0.25">
      <c r="A2566" t="s">
        <v>2570</v>
      </c>
      <c r="B2566">
        <v>0.99334974765950101</v>
      </c>
      <c r="C2566">
        <v>1.0626573623870099</v>
      </c>
      <c r="D2566">
        <v>0.79511707549082999</v>
      </c>
      <c r="E2566">
        <v>0.709343984700331</v>
      </c>
      <c r="F2566">
        <v>0.85153437789247999</v>
      </c>
      <c r="G2566">
        <v>0.63295635151341001</v>
      </c>
      <c r="H2566">
        <v>0.53962884956769597</v>
      </c>
      <c r="I2566">
        <v>0.74788780250196596</v>
      </c>
      <c r="J2566">
        <v>0.57315821314369197</v>
      </c>
      <c r="K2566">
        <v>0.45099492164892102</v>
      </c>
      <c r="L2566">
        <v>431.66885832923901</v>
      </c>
      <c r="M2566">
        <v>8.1028067171801208</v>
      </c>
      <c r="O2566">
        <v>50.323611066395998</v>
      </c>
      <c r="P2566">
        <v>-2.11256532362014E-2</v>
      </c>
      <c r="Q2566">
        <v>0.47575007539465403</v>
      </c>
      <c r="R2566">
        <v>0.74457601681379804</v>
      </c>
      <c r="S2566" t="s">
        <v>8427</v>
      </c>
      <c r="T2566" t="s">
        <v>11720</v>
      </c>
      <c r="U2566" t="s">
        <v>11720</v>
      </c>
      <c r="V2566" t="s">
        <v>11720</v>
      </c>
      <c r="W2566" t="s">
        <v>14242</v>
      </c>
      <c r="X2566">
        <v>1</v>
      </c>
      <c r="Y2566" t="s">
        <v>19990</v>
      </c>
      <c r="Z2566" t="s">
        <v>25773</v>
      </c>
      <c r="AA2566">
        <v>0.72796504135873774</v>
      </c>
      <c r="AB2566" t="str">
        <f>HYPERLINK("Melting_Curves/meltCurve_P51608_MECP2.pdf", "Melting_Curves/meltCurve_P51608_MECP2.pdf")</f>
        <v>Melting_Curves/meltCurve_P51608_MECP2.pdf</v>
      </c>
    </row>
    <row r="2567" spans="1:28" x14ac:dyDescent="0.25">
      <c r="A2567" t="s">
        <v>2571</v>
      </c>
      <c r="B2567">
        <v>0.99334974765950101</v>
      </c>
      <c r="C2567">
        <v>1.2518238572629401</v>
      </c>
      <c r="D2567">
        <v>1.02576491538857</v>
      </c>
      <c r="E2567">
        <v>0.78126101457379604</v>
      </c>
      <c r="F2567">
        <v>0.72578645475786696</v>
      </c>
      <c r="G2567">
        <v>0.35978158034109098</v>
      </c>
      <c r="H2567">
        <v>0.13711845205555401</v>
      </c>
      <c r="I2567">
        <v>0.118395504780652</v>
      </c>
      <c r="J2567">
        <v>0.12286086925954701</v>
      </c>
      <c r="K2567">
        <v>0.214080027814152</v>
      </c>
      <c r="L2567">
        <v>1211.2501740000901</v>
      </c>
      <c r="M2567">
        <v>22.340929241419499</v>
      </c>
      <c r="N2567">
        <v>54.9289401566501</v>
      </c>
      <c r="O2567">
        <v>53.787858501102697</v>
      </c>
      <c r="P2567">
        <v>-9.0781463467526594E-2</v>
      </c>
      <c r="Q2567">
        <v>0.12575921249306399</v>
      </c>
      <c r="R2567">
        <v>0.94558979433746704</v>
      </c>
      <c r="S2567" t="s">
        <v>8428</v>
      </c>
      <c r="T2567" t="s">
        <v>11720</v>
      </c>
      <c r="U2567" t="s">
        <v>11720</v>
      </c>
      <c r="V2567" t="s">
        <v>11720</v>
      </c>
      <c r="W2567" t="s">
        <v>14243</v>
      </c>
      <c r="X2567">
        <v>26</v>
      </c>
      <c r="Y2567" t="s">
        <v>17542</v>
      </c>
      <c r="Z2567" t="s">
        <v>25774</v>
      </c>
      <c r="AA2567">
        <v>0.54991574114716513</v>
      </c>
      <c r="AB2567" t="str">
        <f>HYPERLINK("Melting_Curves/meltCurve_P51610_2_HCFC1.pdf", "Melting_Curves/meltCurve_P51610_2_HCFC1.pdf")</f>
        <v>Melting_Curves/meltCurve_P51610_2_HCFC1.pdf</v>
      </c>
    </row>
    <row r="2568" spans="1:28" x14ac:dyDescent="0.25">
      <c r="A2568" t="s">
        <v>2572</v>
      </c>
      <c r="B2568">
        <v>0.99334974765950101</v>
      </c>
      <c r="C2568">
        <v>1.01481838284937</v>
      </c>
      <c r="D2568">
        <v>1.08557874840879</v>
      </c>
      <c r="E2568">
        <v>1.08055344276514</v>
      </c>
      <c r="F2568">
        <v>0.78578037115632204</v>
      </c>
      <c r="G2568">
        <v>0.28805383632491599</v>
      </c>
      <c r="H2568">
        <v>0.16091993103793201</v>
      </c>
      <c r="I2568">
        <v>0.14487106770094299</v>
      </c>
      <c r="J2568">
        <v>0.123882279694256</v>
      </c>
      <c r="K2568">
        <v>0.107329569242981</v>
      </c>
      <c r="L2568">
        <v>2173.2215358933399</v>
      </c>
      <c r="M2568">
        <v>39.729857942523502</v>
      </c>
      <c r="N2568">
        <v>55.122925272299497</v>
      </c>
      <c r="O2568">
        <v>54.561925037522002</v>
      </c>
      <c r="P2568">
        <v>-0.15812386854214999</v>
      </c>
      <c r="Q2568">
        <v>0.131381323065104</v>
      </c>
      <c r="R2568">
        <v>0.98907391070933703</v>
      </c>
      <c r="S2568" t="s">
        <v>8429</v>
      </c>
      <c r="T2568" t="s">
        <v>11720</v>
      </c>
      <c r="U2568" t="s">
        <v>11720</v>
      </c>
      <c r="V2568" t="s">
        <v>11720</v>
      </c>
      <c r="W2568" t="s">
        <v>14244</v>
      </c>
      <c r="X2568">
        <v>27</v>
      </c>
      <c r="Y2568" t="s">
        <v>19991</v>
      </c>
      <c r="Z2568" t="s">
        <v>25775</v>
      </c>
      <c r="AA2568">
        <v>0.56032184916532968</v>
      </c>
      <c r="AB2568" t="str">
        <f>HYPERLINK("Melting_Curves/meltCurve_P51659_HSD17B4.pdf", "Melting_Curves/meltCurve_P51659_HSD17B4.pdf")</f>
        <v>Melting_Curves/meltCurve_P51659_HSD17B4.pdf</v>
      </c>
    </row>
    <row r="2569" spans="1:28" x14ac:dyDescent="0.25">
      <c r="A2569" t="s">
        <v>2573</v>
      </c>
      <c r="B2569">
        <v>0.99334974765950101</v>
      </c>
      <c r="C2569">
        <v>1.1032721738234801</v>
      </c>
      <c r="D2569">
        <v>1.02164657636338</v>
      </c>
      <c r="E2569">
        <v>1.1196704342767001</v>
      </c>
      <c r="F2569">
        <v>0.72899246731545198</v>
      </c>
      <c r="G2569">
        <v>0.71693067230609797</v>
      </c>
      <c r="H2569">
        <v>0.34489022689187299</v>
      </c>
      <c r="I2569">
        <v>0.28965088588052401</v>
      </c>
      <c r="J2569">
        <v>0.22851871695928699</v>
      </c>
      <c r="K2569">
        <v>0.17919680425881401</v>
      </c>
      <c r="L2569">
        <v>1109.80042880622</v>
      </c>
      <c r="M2569">
        <v>19.161844120248499</v>
      </c>
      <c r="N2569">
        <v>59.088706351135301</v>
      </c>
      <c r="O2569">
        <v>57.297478049758503</v>
      </c>
      <c r="P2569">
        <v>-7.0396566609021605E-2</v>
      </c>
      <c r="Q2569">
        <v>0.15803714607112401</v>
      </c>
      <c r="R2569">
        <v>0.94895091408584498</v>
      </c>
      <c r="S2569" t="s">
        <v>8430</v>
      </c>
      <c r="T2569" t="s">
        <v>11720</v>
      </c>
      <c r="U2569" t="s">
        <v>11720</v>
      </c>
      <c r="V2569" t="s">
        <v>11720</v>
      </c>
      <c r="W2569" t="s">
        <v>14245</v>
      </c>
      <c r="X2569">
        <v>4</v>
      </c>
      <c r="Y2569" t="s">
        <v>19992</v>
      </c>
      <c r="Z2569" t="s">
        <v>25776</v>
      </c>
      <c r="AA2569">
        <v>0.67089489548647974</v>
      </c>
      <c r="AB2569" t="str">
        <f>HYPERLINK("Melting_Curves/meltCurve_P51665_PSMD7.pdf", "Melting_Curves/meltCurve_P51665_PSMD7.pdf")</f>
        <v>Melting_Curves/meltCurve_P51665_PSMD7.pdf</v>
      </c>
    </row>
    <row r="2570" spans="1:28" x14ac:dyDescent="0.25">
      <c r="A2570" t="s">
        <v>2574</v>
      </c>
      <c r="B2570">
        <v>0.99334974765950101</v>
      </c>
      <c r="C2570">
        <v>1.0166270643437301</v>
      </c>
      <c r="D2570">
        <v>0.75593097729611602</v>
      </c>
      <c r="E2570">
        <v>0.52842530601034399</v>
      </c>
      <c r="F2570">
        <v>0.14616956818892299</v>
      </c>
      <c r="G2570">
        <v>8.3951252219060801E-2</v>
      </c>
      <c r="H2570">
        <v>5.17311513717751E-2</v>
      </c>
      <c r="I2570">
        <v>5.8442431902899897E-2</v>
      </c>
      <c r="J2570">
        <v>4.8306792593189402E-2</v>
      </c>
      <c r="K2570">
        <v>3.5383318917613198E-2</v>
      </c>
      <c r="L2570">
        <v>1046.8501832655099</v>
      </c>
      <c r="M2570">
        <v>21.217547936244099</v>
      </c>
      <c r="N2570">
        <v>49.506377430359798</v>
      </c>
      <c r="O2570">
        <v>48.906880825385798</v>
      </c>
      <c r="P2570">
        <v>-0.104705252060562</v>
      </c>
      <c r="Q2570">
        <v>3.4633899572541198E-2</v>
      </c>
      <c r="R2570">
        <v>0.98701776698126098</v>
      </c>
      <c r="S2570" t="s">
        <v>8431</v>
      </c>
      <c r="T2570" t="s">
        <v>11720</v>
      </c>
      <c r="U2570" t="s">
        <v>11720</v>
      </c>
      <c r="V2570" t="s">
        <v>11720</v>
      </c>
      <c r="W2570" t="s">
        <v>14246</v>
      </c>
      <c r="X2570">
        <v>3</v>
      </c>
      <c r="Y2570" t="s">
        <v>19993</v>
      </c>
      <c r="Z2570" t="s">
        <v>25777</v>
      </c>
      <c r="AA2570">
        <v>0.34712172311070583</v>
      </c>
      <c r="AB2570" t="str">
        <f>HYPERLINK("Melting_Curves/meltCurve_P51668_UBE2D1.pdf", "Melting_Curves/meltCurve_P51668_UBE2D1.pdf")</f>
        <v>Melting_Curves/meltCurve_P51668_UBE2D1.pdf</v>
      </c>
    </row>
    <row r="2571" spans="1:28" x14ac:dyDescent="0.25">
      <c r="A2571" t="s">
        <v>2575</v>
      </c>
      <c r="B2571">
        <v>0.99334974765950101</v>
      </c>
      <c r="C2571">
        <v>0.98574919733519695</v>
      </c>
      <c r="D2571">
        <v>0.99471867823640003</v>
      </c>
      <c r="E2571">
        <v>0.813401033402541</v>
      </c>
      <c r="F2571">
        <v>0.84945853239778701</v>
      </c>
      <c r="G2571">
        <v>0.50705471767491805</v>
      </c>
      <c r="H2571">
        <v>0.2249984360367</v>
      </c>
      <c r="I2571">
        <v>0.143668287978126</v>
      </c>
      <c r="J2571">
        <v>8.4327097400582196E-2</v>
      </c>
      <c r="K2571">
        <v>6.5500822747180498E-2</v>
      </c>
      <c r="L2571">
        <v>973.13451474317799</v>
      </c>
      <c r="M2571">
        <v>17.090888351324399</v>
      </c>
      <c r="N2571">
        <v>57.030425548504297</v>
      </c>
      <c r="O2571">
        <v>56.176392951405298</v>
      </c>
      <c r="P2571">
        <v>-7.5033425322359196E-2</v>
      </c>
      <c r="Q2571">
        <v>1.3543736168068801E-2</v>
      </c>
      <c r="R2571">
        <v>0.98903891423004597</v>
      </c>
      <c r="S2571" t="s">
        <v>8432</v>
      </c>
      <c r="T2571" t="s">
        <v>11720</v>
      </c>
      <c r="U2571" t="s">
        <v>11720</v>
      </c>
      <c r="V2571" t="s">
        <v>11720</v>
      </c>
      <c r="W2571" t="s">
        <v>14247</v>
      </c>
      <c r="X2571">
        <v>10</v>
      </c>
      <c r="Y2571" t="s">
        <v>19994</v>
      </c>
      <c r="Z2571" t="s">
        <v>25778</v>
      </c>
      <c r="AA2571">
        <v>0.58480811873044092</v>
      </c>
      <c r="AB2571" t="str">
        <f>HYPERLINK("Melting_Curves/meltCurve_P51687_SUOX.pdf", "Melting_Curves/meltCurve_P51687_SUOX.pdf")</f>
        <v>Melting_Curves/meltCurve_P51687_SUOX.pdf</v>
      </c>
    </row>
    <row r="2572" spans="1:28" x14ac:dyDescent="0.25">
      <c r="A2572" t="s">
        <v>2576</v>
      </c>
      <c r="B2572">
        <v>0.99334974765950101</v>
      </c>
      <c r="C2572">
        <v>1.01826225047067</v>
      </c>
      <c r="D2572">
        <v>0.96848449044845097</v>
      </c>
      <c r="E2572">
        <v>0.88835255702663996</v>
      </c>
      <c r="F2572">
        <v>0.72541493852434302</v>
      </c>
      <c r="G2572">
        <v>0.66209530898535296</v>
      </c>
      <c r="H2572">
        <v>0.56562814598203404</v>
      </c>
      <c r="I2572">
        <v>0.82584332153050999</v>
      </c>
      <c r="J2572">
        <v>0.63081362193014201</v>
      </c>
      <c r="K2572">
        <v>0.61689994874735399</v>
      </c>
      <c r="L2572">
        <v>1831.30689718912</v>
      </c>
      <c r="M2572">
        <v>35.952952762426499</v>
      </c>
      <c r="O2572">
        <v>50.779393441815799</v>
      </c>
      <c r="P2572">
        <v>-6.0424018784521201E-2</v>
      </c>
      <c r="Q2572">
        <v>0.65863332079216697</v>
      </c>
      <c r="R2572">
        <v>0.84665747960024496</v>
      </c>
      <c r="S2572" t="s">
        <v>8433</v>
      </c>
      <c r="T2572" t="s">
        <v>11720</v>
      </c>
      <c r="U2572" t="s">
        <v>11720</v>
      </c>
      <c r="V2572" t="s">
        <v>11720</v>
      </c>
      <c r="W2572" t="s">
        <v>14248</v>
      </c>
      <c r="X2572">
        <v>7</v>
      </c>
      <c r="Y2572" t="s">
        <v>19995</v>
      </c>
      <c r="Z2572" t="s">
        <v>25779</v>
      </c>
      <c r="AA2572">
        <v>0.78456514176215764</v>
      </c>
      <c r="AB2572" t="str">
        <f>HYPERLINK("Melting_Curves/meltCurve_P51688_SGSH.pdf", "Melting_Curves/meltCurve_P51688_SGSH.pdf")</f>
        <v>Melting_Curves/meltCurve_P51688_SGSH.pdf</v>
      </c>
    </row>
    <row r="2573" spans="1:28" x14ac:dyDescent="0.25">
      <c r="A2573" t="s">
        <v>2577</v>
      </c>
      <c r="B2573">
        <v>0.99334974765950101</v>
      </c>
      <c r="C2573">
        <v>0.93436524302269797</v>
      </c>
      <c r="D2573">
        <v>0.96731056320881403</v>
      </c>
      <c r="E2573">
        <v>0.92417535715209898</v>
      </c>
      <c r="F2573">
        <v>1.0291592675365999</v>
      </c>
      <c r="G2573">
        <v>0.75188253407903505</v>
      </c>
      <c r="H2573">
        <v>0.55247202151996</v>
      </c>
      <c r="I2573">
        <v>0.384314450555857</v>
      </c>
      <c r="J2573">
        <v>0.36603281998869402</v>
      </c>
      <c r="K2573">
        <v>0.25794687678323303</v>
      </c>
      <c r="L2573">
        <v>1222.6538649578699</v>
      </c>
      <c r="M2573">
        <v>20.525110508503801</v>
      </c>
      <c r="N2573">
        <v>61.707272309273797</v>
      </c>
      <c r="O2573">
        <v>59.011873920655802</v>
      </c>
      <c r="P2573">
        <v>-6.4825021480320599E-2</v>
      </c>
      <c r="Q2573">
        <v>0.25450652811563301</v>
      </c>
      <c r="R2573">
        <v>0.974453203591088</v>
      </c>
      <c r="S2573" t="s">
        <v>8434</v>
      </c>
      <c r="T2573" t="s">
        <v>11720</v>
      </c>
      <c r="U2573" t="s">
        <v>11720</v>
      </c>
      <c r="V2573" t="s">
        <v>11720</v>
      </c>
      <c r="W2573" t="s">
        <v>14249</v>
      </c>
      <c r="X2573">
        <v>3</v>
      </c>
      <c r="Y2573" t="s">
        <v>19996</v>
      </c>
      <c r="Z2573" t="s">
        <v>25780</v>
      </c>
      <c r="AA2573">
        <v>0.7475364665132872</v>
      </c>
      <c r="AB2573" t="str">
        <f>HYPERLINK("Melting_Curves/meltCurve_P51689_3_ARSD.pdf", "Melting_Curves/meltCurve_P51689_3_ARSD.pdf")</f>
        <v>Melting_Curves/meltCurve_P51689_3_ARSD.pdf</v>
      </c>
    </row>
    <row r="2574" spans="1:28" x14ac:dyDescent="0.25">
      <c r="A2574" t="s">
        <v>2578</v>
      </c>
      <c r="B2574">
        <v>0.99334974765950101</v>
      </c>
      <c r="C2574">
        <v>0.88093625063068803</v>
      </c>
      <c r="D2574">
        <v>0.71185978907119196</v>
      </c>
      <c r="E2574">
        <v>0.23110408158610099</v>
      </c>
      <c r="F2574">
        <v>0.122376169664143</v>
      </c>
      <c r="G2574">
        <v>4.9978174932416797E-2</v>
      </c>
      <c r="H2574">
        <v>4.87640566101364E-2</v>
      </c>
      <c r="I2574">
        <v>4.5148968020795197E-2</v>
      </c>
      <c r="J2574">
        <v>5.96354429997882E-2</v>
      </c>
      <c r="K2574">
        <v>3.2426261404665702E-2</v>
      </c>
      <c r="L2574">
        <v>1133.8943385075499</v>
      </c>
      <c r="M2574">
        <v>23.944112755282301</v>
      </c>
      <c r="N2574">
        <v>47.530957345699598</v>
      </c>
      <c r="O2574">
        <v>47.029266037244902</v>
      </c>
      <c r="P2574">
        <v>-0.121912140495006</v>
      </c>
      <c r="Q2574">
        <v>4.2211829454758501E-2</v>
      </c>
      <c r="R2574">
        <v>0.997052369861817</v>
      </c>
      <c r="S2574" t="s">
        <v>8435</v>
      </c>
      <c r="T2574" t="s">
        <v>11720</v>
      </c>
      <c r="U2574" t="s">
        <v>11720</v>
      </c>
      <c r="V2574" t="s">
        <v>11720</v>
      </c>
      <c r="W2574" t="s">
        <v>14250</v>
      </c>
      <c r="X2574">
        <v>10</v>
      </c>
      <c r="Y2574" t="s">
        <v>19997</v>
      </c>
      <c r="Z2574" t="s">
        <v>25781</v>
      </c>
      <c r="AA2574">
        <v>0.28639878141537528</v>
      </c>
      <c r="AB2574" t="str">
        <f>HYPERLINK("Melting_Curves/meltCurve_P51692_STAT5B.pdf", "Melting_Curves/meltCurve_P51692_STAT5B.pdf")</f>
        <v>Melting_Curves/meltCurve_P51692_STAT5B.pdf</v>
      </c>
    </row>
    <row r="2575" spans="1:28" x14ac:dyDescent="0.25">
      <c r="A2575" t="s">
        <v>2579</v>
      </c>
      <c r="B2575">
        <v>0.99334974765950101</v>
      </c>
      <c r="C2575">
        <v>0.98804718699685701</v>
      </c>
      <c r="D2575">
        <v>0.95133883212780801</v>
      </c>
      <c r="E2575">
        <v>0.95492634174028301</v>
      </c>
      <c r="F2575">
        <v>0.83115959635340098</v>
      </c>
      <c r="G2575">
        <v>0.50328077302612795</v>
      </c>
      <c r="H2575">
        <v>0.36849692399837602</v>
      </c>
      <c r="I2575">
        <v>0.20950903971194501</v>
      </c>
      <c r="J2575">
        <v>0.16199480353396201</v>
      </c>
      <c r="K2575">
        <v>0</v>
      </c>
      <c r="L2575">
        <v>868.90603996771904</v>
      </c>
      <c r="M2575">
        <v>14.9645632095982</v>
      </c>
      <c r="N2575">
        <v>58.064243569244603</v>
      </c>
      <c r="O2575">
        <v>57.0569498625241</v>
      </c>
      <c r="P2575">
        <v>-6.5575224077776995E-2</v>
      </c>
      <c r="Q2575">
        <v>0</v>
      </c>
      <c r="R2575">
        <v>0.98830510038813901</v>
      </c>
      <c r="S2575" t="s">
        <v>8436</v>
      </c>
      <c r="T2575" t="s">
        <v>11720</v>
      </c>
      <c r="U2575" t="s">
        <v>11720</v>
      </c>
      <c r="V2575" t="s">
        <v>11720</v>
      </c>
      <c r="W2575" t="s">
        <v>14251</v>
      </c>
      <c r="X2575">
        <v>4</v>
      </c>
      <c r="Y2575" t="s">
        <v>19998</v>
      </c>
      <c r="Z2575" t="s">
        <v>25782</v>
      </c>
      <c r="AA2575">
        <v>0.61540574972585438</v>
      </c>
      <c r="AB2575" t="str">
        <f>HYPERLINK("Melting_Curves/meltCurve_P51790_4_CLCN3.pdf", "Melting_Curves/meltCurve_P51790_4_CLCN3.pdf")</f>
        <v>Melting_Curves/meltCurve_P51790_4_CLCN3.pdf</v>
      </c>
    </row>
    <row r="2576" spans="1:28" x14ac:dyDescent="0.25">
      <c r="A2576" t="s">
        <v>2580</v>
      </c>
      <c r="B2576">
        <v>0.99334974765950101</v>
      </c>
      <c r="C2576">
        <v>0.91441692043078404</v>
      </c>
      <c r="D2576">
        <v>0.69668908874066404</v>
      </c>
      <c r="E2576">
        <v>0.16306765048803301</v>
      </c>
      <c r="F2576">
        <v>9.5001442766417393E-2</v>
      </c>
      <c r="G2576">
        <v>4.0207313587816401E-2</v>
      </c>
      <c r="H2576">
        <v>2.2991094554909001E-2</v>
      </c>
      <c r="I2576">
        <v>1.36605765626958E-2</v>
      </c>
      <c r="J2576">
        <v>7.5522632898415796E-3</v>
      </c>
      <c r="K2576">
        <v>0</v>
      </c>
      <c r="L2576">
        <v>1299.3341060523401</v>
      </c>
      <c r="M2576">
        <v>27.524535352186401</v>
      </c>
      <c r="N2576">
        <v>47.2654252372621</v>
      </c>
      <c r="O2576">
        <v>46.959310239557503</v>
      </c>
      <c r="P2576">
        <v>-0.14405902754788399</v>
      </c>
      <c r="Q2576">
        <v>1.68985519114574E-2</v>
      </c>
      <c r="R2576">
        <v>0.99764206561084201</v>
      </c>
      <c r="S2576" t="s">
        <v>8437</v>
      </c>
      <c r="T2576" t="s">
        <v>11720</v>
      </c>
      <c r="U2576" t="s">
        <v>11720</v>
      </c>
      <c r="V2576" t="s">
        <v>11720</v>
      </c>
      <c r="W2576" t="s">
        <v>14252</v>
      </c>
      <c r="X2576">
        <v>2</v>
      </c>
      <c r="Y2576" t="s">
        <v>19999</v>
      </c>
      <c r="Z2576" t="s">
        <v>25783</v>
      </c>
      <c r="AA2576">
        <v>0.2601465859925885</v>
      </c>
      <c r="AB2576" t="str">
        <f>HYPERLINK("Melting_Curves/meltCurve_P51795_CLCN5.pdf", "Melting_Curves/meltCurve_P51795_CLCN5.pdf")</f>
        <v>Melting_Curves/meltCurve_P51795_CLCN5.pdf</v>
      </c>
    </row>
    <row r="2577" spans="1:28" x14ac:dyDescent="0.25">
      <c r="A2577" t="s">
        <v>2581</v>
      </c>
      <c r="B2577">
        <v>0.99334974765950101</v>
      </c>
      <c r="C2577">
        <v>1.00461203643386</v>
      </c>
      <c r="D2577">
        <v>1.4167556114754101</v>
      </c>
      <c r="E2577">
        <v>1.54813052111696</v>
      </c>
      <c r="F2577">
        <v>0.51704049416624598</v>
      </c>
      <c r="G2577">
        <v>0.37383053825562701</v>
      </c>
      <c r="H2577">
        <v>0.24393663508350499</v>
      </c>
      <c r="I2577">
        <v>0.26849658295123202</v>
      </c>
      <c r="J2577">
        <v>0.208039628954477</v>
      </c>
      <c r="K2577">
        <v>0.167221240995887</v>
      </c>
      <c r="L2577">
        <v>13218.136812557899</v>
      </c>
      <c r="M2577">
        <v>250</v>
      </c>
      <c r="N2577">
        <v>53.021494897782702</v>
      </c>
      <c r="O2577">
        <v>52.869151621405898</v>
      </c>
      <c r="P2577">
        <v>-0.88389803987591398</v>
      </c>
      <c r="Q2577">
        <v>0.252304796811812</v>
      </c>
      <c r="R2577">
        <v>0.797781856423042</v>
      </c>
      <c r="S2577" t="s">
        <v>8438</v>
      </c>
      <c r="T2577" t="s">
        <v>11720</v>
      </c>
      <c r="U2577" t="s">
        <v>11720</v>
      </c>
      <c r="V2577" t="s">
        <v>11720</v>
      </c>
      <c r="W2577" t="s">
        <v>14253</v>
      </c>
      <c r="X2577">
        <v>9</v>
      </c>
      <c r="Y2577" t="s">
        <v>20000</v>
      </c>
      <c r="Z2577" t="s">
        <v>25784</v>
      </c>
      <c r="AA2577">
        <v>0.57319890354877601</v>
      </c>
      <c r="AB2577" t="str">
        <f>HYPERLINK("Melting_Curves/meltCurve_P51805_PLXNA3.pdf", "Melting_Curves/meltCurve_P51805_PLXNA3.pdf")</f>
        <v>Melting_Curves/meltCurve_P51805_PLXNA3.pdf</v>
      </c>
    </row>
    <row r="2578" spans="1:28" x14ac:dyDescent="0.25">
      <c r="A2578" t="s">
        <v>2582</v>
      </c>
      <c r="B2578">
        <v>0.99334974765950101</v>
      </c>
      <c r="C2578">
        <v>0.92279923164463695</v>
      </c>
      <c r="D2578">
        <v>0.82983899942949402</v>
      </c>
      <c r="E2578">
        <v>0.71609151004266103</v>
      </c>
      <c r="F2578">
        <v>0.47821906551151599</v>
      </c>
      <c r="G2578">
        <v>0.204712380044134</v>
      </c>
      <c r="H2578">
        <v>0.10577333137028</v>
      </c>
      <c r="I2578">
        <v>8.2651010031738595E-2</v>
      </c>
      <c r="J2578">
        <v>7.8014965986703905E-2</v>
      </c>
      <c r="K2578">
        <v>5.6133284314817199E-2</v>
      </c>
      <c r="L2578">
        <v>767.34296901561902</v>
      </c>
      <c r="M2578">
        <v>14.6793080162828</v>
      </c>
      <c r="N2578">
        <v>52.422360942727003</v>
      </c>
      <c r="O2578">
        <v>51.332414508739198</v>
      </c>
      <c r="P2578">
        <v>-7.0042340595802097E-2</v>
      </c>
      <c r="Q2578">
        <v>2.03769368519694E-2</v>
      </c>
      <c r="R2578">
        <v>0.99282836912301897</v>
      </c>
      <c r="S2578" t="s">
        <v>8439</v>
      </c>
      <c r="T2578" t="s">
        <v>11720</v>
      </c>
      <c r="U2578" t="s">
        <v>11720</v>
      </c>
      <c r="V2578" t="s">
        <v>11720</v>
      </c>
      <c r="W2578" t="s">
        <v>14254</v>
      </c>
      <c r="X2578">
        <v>10</v>
      </c>
      <c r="Y2578" t="s">
        <v>20001</v>
      </c>
      <c r="Z2578" t="s">
        <v>25785</v>
      </c>
      <c r="AA2578">
        <v>0.44355951591909221</v>
      </c>
      <c r="AB2578" t="str">
        <f>HYPERLINK("Melting_Curves/meltCurve_P51809_VAMP7.pdf", "Melting_Curves/meltCurve_P51809_VAMP7.pdf")</f>
        <v>Melting_Curves/meltCurve_P51809_VAMP7.pdf</v>
      </c>
    </row>
    <row r="2579" spans="1:28" x14ac:dyDescent="0.25">
      <c r="A2579" t="s">
        <v>2583</v>
      </c>
      <c r="B2579">
        <v>0.99334974765950101</v>
      </c>
      <c r="C2579">
        <v>0.98728283993204402</v>
      </c>
      <c r="D2579">
        <v>0.964701030764473</v>
      </c>
      <c r="E2579">
        <v>0.60568078038491802</v>
      </c>
      <c r="F2579">
        <v>0.17038956761512</v>
      </c>
      <c r="G2579">
        <v>0.11995302137173799</v>
      </c>
      <c r="H2579">
        <v>8.8560227446017006E-2</v>
      </c>
      <c r="I2579">
        <v>7.7492255938555105E-2</v>
      </c>
      <c r="J2579">
        <v>8.3269559417080197E-2</v>
      </c>
      <c r="K2579">
        <v>6.1130333701910997E-2</v>
      </c>
      <c r="L2579">
        <v>2104.9869641693899</v>
      </c>
      <c r="M2579">
        <v>41.838499278316498</v>
      </c>
      <c r="N2579">
        <v>50.531354721011098</v>
      </c>
      <c r="O2579">
        <v>50.1976681749234</v>
      </c>
      <c r="P2579">
        <v>-0.19108166205997301</v>
      </c>
      <c r="Q2579">
        <v>8.2965472415094402E-2</v>
      </c>
      <c r="R2579">
        <v>0.99870199958644201</v>
      </c>
      <c r="S2579" t="s">
        <v>8440</v>
      </c>
      <c r="T2579" t="s">
        <v>11720</v>
      </c>
      <c r="U2579" t="s">
        <v>11720</v>
      </c>
      <c r="V2579" t="s">
        <v>11720</v>
      </c>
      <c r="W2579" t="s">
        <v>14255</v>
      </c>
      <c r="X2579">
        <v>23</v>
      </c>
      <c r="Y2579" t="s">
        <v>20002</v>
      </c>
      <c r="Z2579" t="s">
        <v>25786</v>
      </c>
      <c r="AA2579">
        <v>0.40110048404023491</v>
      </c>
      <c r="AB2579" t="str">
        <f>HYPERLINK("Melting_Curves/meltCurve_P51812_RPS6KA3.pdf", "Melting_Curves/meltCurve_P51812_RPS6KA3.pdf")</f>
        <v>Melting_Curves/meltCurve_P51812_RPS6KA3.pdf</v>
      </c>
    </row>
    <row r="2580" spans="1:28" x14ac:dyDescent="0.25">
      <c r="A2580" t="s">
        <v>2584</v>
      </c>
      <c r="B2580">
        <v>0.99334974765950101</v>
      </c>
      <c r="C2580">
        <v>0.87480130314539595</v>
      </c>
      <c r="D2580">
        <v>0.56291651474432403</v>
      </c>
      <c r="E2580">
        <v>0.29045193234028499</v>
      </c>
      <c r="F2580">
        <v>0.140009559458904</v>
      </c>
      <c r="G2580">
        <v>7.9429787192017098E-2</v>
      </c>
      <c r="H2580">
        <v>5.9027948205613003E-2</v>
      </c>
      <c r="I2580">
        <v>6.9553389359288398E-2</v>
      </c>
      <c r="J2580">
        <v>6.04338193972992E-2</v>
      </c>
      <c r="K2580">
        <v>6.8490602908355597E-2</v>
      </c>
      <c r="L2580">
        <v>914.91240364867497</v>
      </c>
      <c r="M2580">
        <v>19.612090313776299</v>
      </c>
      <c r="N2580">
        <v>46.9620771249269</v>
      </c>
      <c r="O2580">
        <v>46.173531251396398</v>
      </c>
      <c r="P2580">
        <v>-9.97110671186099E-2</v>
      </c>
      <c r="Q2580">
        <v>6.1017957529618201E-2</v>
      </c>
      <c r="R2580">
        <v>0.99715404228788296</v>
      </c>
      <c r="S2580" t="s">
        <v>8441</v>
      </c>
      <c r="T2580" t="s">
        <v>11720</v>
      </c>
      <c r="U2580" t="s">
        <v>11720</v>
      </c>
      <c r="V2580" t="s">
        <v>11720</v>
      </c>
      <c r="W2580" t="s">
        <v>14256</v>
      </c>
      <c r="X2580">
        <v>2</v>
      </c>
      <c r="Y2580" t="s">
        <v>20003</v>
      </c>
      <c r="Z2580" t="s">
        <v>25787</v>
      </c>
      <c r="AA2580">
        <v>0.28376114391597218</v>
      </c>
      <c r="AB2580" t="str">
        <f>HYPERLINK("Melting_Curves/meltCurve_P51857_2_AKR1D1.pdf", "Melting_Curves/meltCurve_P51857_2_AKR1D1.pdf")</f>
        <v>Melting_Curves/meltCurve_P51857_2_AKR1D1.pdf</v>
      </c>
    </row>
    <row r="2581" spans="1:28" x14ac:dyDescent="0.25">
      <c r="A2581" t="s">
        <v>2585</v>
      </c>
      <c r="B2581">
        <v>0.99334974765950101</v>
      </c>
      <c r="C2581">
        <v>1.00604938256784</v>
      </c>
      <c r="D2581">
        <v>0.89779424746661596</v>
      </c>
      <c r="E2581">
        <v>0.77829598258654897</v>
      </c>
      <c r="F2581">
        <v>0.61578032137488503</v>
      </c>
      <c r="G2581">
        <v>0.419303966383404</v>
      </c>
      <c r="H2581">
        <v>0.356993730234408</v>
      </c>
      <c r="I2581">
        <v>0.43043061648474001</v>
      </c>
      <c r="J2581">
        <v>0.45278452510412098</v>
      </c>
      <c r="K2581">
        <v>0.44596018945425803</v>
      </c>
      <c r="L2581">
        <v>1116.0883005744899</v>
      </c>
      <c r="M2581">
        <v>21.899518056435198</v>
      </c>
      <c r="N2581">
        <v>55.299359479185703</v>
      </c>
      <c r="O2581">
        <v>50.5448075491975</v>
      </c>
      <c r="P2581">
        <v>-6.3888645924878404E-2</v>
      </c>
      <c r="Q2581">
        <v>0.41018501343501501</v>
      </c>
      <c r="R2581">
        <v>0.97730624807182898</v>
      </c>
      <c r="S2581" t="s">
        <v>8442</v>
      </c>
      <c r="T2581" t="s">
        <v>11720</v>
      </c>
      <c r="U2581" t="s">
        <v>11720</v>
      </c>
      <c r="V2581" t="s">
        <v>11720</v>
      </c>
      <c r="W2581" t="s">
        <v>14257</v>
      </c>
      <c r="X2581">
        <v>16</v>
      </c>
      <c r="Y2581" t="s">
        <v>20004</v>
      </c>
      <c r="Z2581" t="s">
        <v>25788</v>
      </c>
      <c r="AA2581">
        <v>0.63263633727394164</v>
      </c>
      <c r="AB2581" t="str">
        <f>HYPERLINK("Melting_Curves/meltCurve_P51858_HDGF.pdf", "Melting_Curves/meltCurve_P51858_HDGF.pdf")</f>
        <v>Melting_Curves/meltCurve_P51858_HDGF.pdf</v>
      </c>
    </row>
    <row r="2582" spans="1:28" x14ac:dyDescent="0.25">
      <c r="A2582" t="s">
        <v>2586</v>
      </c>
      <c r="B2582">
        <v>0.99334974765950101</v>
      </c>
      <c r="C2582">
        <v>0.97887178051972301</v>
      </c>
      <c r="D2582">
        <v>0.89461381081514202</v>
      </c>
      <c r="E2582">
        <v>0.54643783037067795</v>
      </c>
      <c r="F2582">
        <v>0.245043832137677</v>
      </c>
      <c r="G2582">
        <v>0.19363867661308701</v>
      </c>
      <c r="H2582">
        <v>0.155841873995747</v>
      </c>
      <c r="I2582">
        <v>0.16341551220698999</v>
      </c>
      <c r="J2582">
        <v>0.13921032990333501</v>
      </c>
      <c r="K2582">
        <v>0.13873229545479601</v>
      </c>
      <c r="L2582">
        <v>1343.85805418112</v>
      </c>
      <c r="M2582">
        <v>27.096661645974699</v>
      </c>
      <c r="N2582">
        <v>50.246434059793302</v>
      </c>
      <c r="O2582">
        <v>49.327194371350402</v>
      </c>
      <c r="P2582">
        <v>-0.11699076686931099</v>
      </c>
      <c r="Q2582">
        <v>0.14812067331221199</v>
      </c>
      <c r="R2582">
        <v>0.99809401780373397</v>
      </c>
      <c r="S2582" t="s">
        <v>8443</v>
      </c>
      <c r="T2582" t="s">
        <v>11720</v>
      </c>
      <c r="U2582" t="s">
        <v>11720</v>
      </c>
      <c r="V2582" t="s">
        <v>11720</v>
      </c>
      <c r="W2582" t="s">
        <v>14258</v>
      </c>
      <c r="X2582">
        <v>7</v>
      </c>
      <c r="Y2582" t="s">
        <v>20005</v>
      </c>
      <c r="Z2582" t="s">
        <v>25789</v>
      </c>
      <c r="AA2582">
        <v>0.42701835650232561</v>
      </c>
      <c r="AB2582" t="str">
        <f>HYPERLINK("Melting_Curves/meltCurve_P51884_LUM.pdf", "Melting_Curves/meltCurve_P51884_LUM.pdf")</f>
        <v>Melting_Curves/meltCurve_P51884_LUM.pdf</v>
      </c>
    </row>
    <row r="2583" spans="1:28" x14ac:dyDescent="0.25">
      <c r="A2583" t="s">
        <v>2587</v>
      </c>
      <c r="B2583">
        <v>0.99334974765950101</v>
      </c>
      <c r="C2583">
        <v>1.0002265637641199</v>
      </c>
      <c r="D2583">
        <v>0.84438116587991696</v>
      </c>
      <c r="E2583">
        <v>0.56613181289821302</v>
      </c>
      <c r="F2583">
        <v>0.39421607009215298</v>
      </c>
      <c r="G2583">
        <v>0.28824419981340099</v>
      </c>
      <c r="H2583">
        <v>0.24882255806241099</v>
      </c>
      <c r="I2583">
        <v>0.32078429609474601</v>
      </c>
      <c r="J2583">
        <v>0.35358106144760498</v>
      </c>
      <c r="K2583">
        <v>0.37198776391292199</v>
      </c>
      <c r="L2583">
        <v>1206.20486777254</v>
      </c>
      <c r="M2583">
        <v>24.787620702132202</v>
      </c>
      <c r="N2583">
        <v>50.681459974635601</v>
      </c>
      <c r="O2583">
        <v>48.348172789012303</v>
      </c>
      <c r="P2583">
        <v>-8.7950585659171798E-2</v>
      </c>
      <c r="Q2583">
        <v>0.31382006551844799</v>
      </c>
      <c r="R2583">
        <v>0.98343025119055505</v>
      </c>
      <c r="S2583" t="s">
        <v>8444</v>
      </c>
      <c r="T2583" t="s">
        <v>11720</v>
      </c>
      <c r="U2583" t="s">
        <v>11720</v>
      </c>
      <c r="V2583" t="s">
        <v>11720</v>
      </c>
      <c r="W2583" t="s">
        <v>14259</v>
      </c>
      <c r="X2583">
        <v>16</v>
      </c>
      <c r="Y2583" t="s">
        <v>20006</v>
      </c>
      <c r="Z2583" t="s">
        <v>25790</v>
      </c>
      <c r="AA2583">
        <v>0.51811180877335605</v>
      </c>
      <c r="AB2583" t="str">
        <f>HYPERLINK("Melting_Curves/meltCurve_P51911_CNN1.pdf", "Melting_Curves/meltCurve_P51911_CNN1.pdf")</f>
        <v>Melting_Curves/meltCurve_P51911_CNN1.pdf</v>
      </c>
    </row>
    <row r="2584" spans="1:28" x14ac:dyDescent="0.25">
      <c r="A2584" t="s">
        <v>2588</v>
      </c>
      <c r="B2584">
        <v>0.99334974765950101</v>
      </c>
      <c r="C2584">
        <v>1.0642817065372501</v>
      </c>
      <c r="D2584">
        <v>1.10027498670436</v>
      </c>
      <c r="E2584">
        <v>1.25401003850292</v>
      </c>
      <c r="F2584">
        <v>0.97319848624553495</v>
      </c>
      <c r="G2584">
        <v>0.42218824310060898</v>
      </c>
      <c r="H2584">
        <v>0.260947849605912</v>
      </c>
      <c r="I2584">
        <v>0.23370002703836901</v>
      </c>
      <c r="J2584">
        <v>0.21199196793991801</v>
      </c>
      <c r="K2584">
        <v>0.19988257890621</v>
      </c>
      <c r="L2584">
        <v>3443.9139796531199</v>
      </c>
      <c r="M2584">
        <v>61.485782000117801</v>
      </c>
      <c r="N2584">
        <v>56.561473748804403</v>
      </c>
      <c r="O2584">
        <v>55.952393896379498</v>
      </c>
      <c r="P2584">
        <v>-0.21291400103724101</v>
      </c>
      <c r="Q2584">
        <v>0.22498876082282099</v>
      </c>
      <c r="R2584">
        <v>0.953218594398755</v>
      </c>
      <c r="S2584" t="s">
        <v>8445</v>
      </c>
      <c r="T2584" t="s">
        <v>11720</v>
      </c>
      <c r="U2584" t="s">
        <v>11720</v>
      </c>
      <c r="V2584" t="s">
        <v>11720</v>
      </c>
      <c r="W2584" t="s">
        <v>14260</v>
      </c>
      <c r="X2584">
        <v>2</v>
      </c>
      <c r="Y2584" t="s">
        <v>20007</v>
      </c>
      <c r="Z2584" t="s">
        <v>25791</v>
      </c>
      <c r="AA2584">
        <v>0.63989013928688943</v>
      </c>
      <c r="AB2584" t="str">
        <f>HYPERLINK("Melting_Curves/meltCurve_P51948_2_MNAT1.pdf", "Melting_Curves/meltCurve_P51948_2_MNAT1.pdf")</f>
        <v>Melting_Curves/meltCurve_P51948_2_MNAT1.pdf</v>
      </c>
    </row>
    <row r="2585" spans="1:28" x14ac:dyDescent="0.25">
      <c r="A2585" t="s">
        <v>2589</v>
      </c>
      <c r="B2585">
        <v>0.99334974765950101</v>
      </c>
      <c r="C2585">
        <v>0.91374649299106103</v>
      </c>
      <c r="D2585">
        <v>0.88690317724962497</v>
      </c>
      <c r="E2585">
        <v>0.70381244781926999</v>
      </c>
      <c r="F2585">
        <v>0.81349269688715597</v>
      </c>
      <c r="G2585">
        <v>0.32057615666856598</v>
      </c>
      <c r="H2585">
        <v>0.28875630593726298</v>
      </c>
      <c r="I2585">
        <v>0.25345490012927702</v>
      </c>
      <c r="J2585">
        <v>0.241311178709153</v>
      </c>
      <c r="K2585">
        <v>0.212124548018574</v>
      </c>
      <c r="L2585">
        <v>697.77059850319904</v>
      </c>
      <c r="M2585">
        <v>12.9251610802981</v>
      </c>
      <c r="N2585">
        <v>55.568954157669602</v>
      </c>
      <c r="O2585">
        <v>52.7421679680848</v>
      </c>
      <c r="P2585">
        <v>-5.1837055695774299E-2</v>
      </c>
      <c r="Q2585">
        <v>0.154051621312428</v>
      </c>
      <c r="R2585">
        <v>0.93768872668860204</v>
      </c>
      <c r="S2585" t="s">
        <v>8446</v>
      </c>
      <c r="T2585" t="s">
        <v>11720</v>
      </c>
      <c r="U2585" t="s">
        <v>11720</v>
      </c>
      <c r="V2585" t="s">
        <v>11720</v>
      </c>
      <c r="W2585" t="s">
        <v>14261</v>
      </c>
      <c r="X2585">
        <v>5</v>
      </c>
      <c r="Y2585" t="s">
        <v>20008</v>
      </c>
      <c r="Z2585" t="s">
        <v>25792</v>
      </c>
      <c r="AA2585">
        <v>0.56899079974102773</v>
      </c>
      <c r="AB2585" t="str">
        <f>HYPERLINK("Melting_Curves/meltCurve_P51970_NDUFA8.pdf", "Melting_Curves/meltCurve_P51970_NDUFA8.pdf")</f>
        <v>Melting_Curves/meltCurve_P51970_NDUFA8.pdf</v>
      </c>
    </row>
    <row r="2586" spans="1:28" x14ac:dyDescent="0.25">
      <c r="A2586" t="s">
        <v>2590</v>
      </c>
      <c r="B2586">
        <v>0.99334974765950101</v>
      </c>
      <c r="C2586">
        <v>1.0608091444543499</v>
      </c>
      <c r="D2586">
        <v>0.96532615704452096</v>
      </c>
      <c r="E2586">
        <v>0.81160830060082201</v>
      </c>
      <c r="F2586">
        <v>0.46087040808409502</v>
      </c>
      <c r="G2586">
        <v>0.270770226976423</v>
      </c>
      <c r="H2586">
        <v>0.20581937298473699</v>
      </c>
      <c r="I2586">
        <v>0.199307055177979</v>
      </c>
      <c r="J2586">
        <v>0.234121247366785</v>
      </c>
      <c r="K2586">
        <v>0.23150782601566</v>
      </c>
      <c r="L2586">
        <v>1657.8986082679401</v>
      </c>
      <c r="M2586">
        <v>32.0472525241006</v>
      </c>
      <c r="N2586">
        <v>52.676004327666</v>
      </c>
      <c r="O2586">
        <v>51.532774733216201</v>
      </c>
      <c r="P2586">
        <v>-0.121532373582874</v>
      </c>
      <c r="Q2586">
        <v>0.218296003800481</v>
      </c>
      <c r="R2586">
        <v>0.99533821765493502</v>
      </c>
      <c r="S2586" t="s">
        <v>8447</v>
      </c>
      <c r="T2586" t="s">
        <v>11720</v>
      </c>
      <c r="U2586" t="s">
        <v>11720</v>
      </c>
      <c r="V2586" t="s">
        <v>11720</v>
      </c>
      <c r="W2586" t="s">
        <v>14262</v>
      </c>
      <c r="X2586">
        <v>2</v>
      </c>
      <c r="Y2586" t="s">
        <v>20009</v>
      </c>
      <c r="Z2586" t="s">
        <v>25793</v>
      </c>
      <c r="AA2586">
        <v>0.52837914462784397</v>
      </c>
      <c r="AB2586" t="str">
        <f>HYPERLINK("Melting_Curves/meltCurve_P51991_HNRNPA3.pdf", "Melting_Curves/meltCurve_P51991_HNRNPA3.pdf")</f>
        <v>Melting_Curves/meltCurve_P51991_HNRNPA3.pdf</v>
      </c>
    </row>
    <row r="2587" spans="1:28" x14ac:dyDescent="0.25">
      <c r="A2587" t="s">
        <v>2591</v>
      </c>
      <c r="B2587">
        <v>0.99334974765950101</v>
      </c>
      <c r="C2587">
        <v>0.94654664917562603</v>
      </c>
      <c r="D2587">
        <v>0.59884479481582298</v>
      </c>
      <c r="E2587">
        <v>0.30002720661330301</v>
      </c>
      <c r="F2587">
        <v>0.18251070022539201</v>
      </c>
      <c r="G2587">
        <v>0.13566402930073301</v>
      </c>
      <c r="H2587">
        <v>0.106810292414103</v>
      </c>
      <c r="I2587">
        <v>9.6848123644403802E-2</v>
      </c>
      <c r="J2587">
        <v>0.104299602269961</v>
      </c>
      <c r="K2587">
        <v>0.112066656355491</v>
      </c>
      <c r="L2587">
        <v>1059.9903334062701</v>
      </c>
      <c r="M2587">
        <v>22.665512969781801</v>
      </c>
      <c r="N2587">
        <v>47.289125292104899</v>
      </c>
      <c r="O2587">
        <v>46.407183260400998</v>
      </c>
      <c r="P2587">
        <v>-0.108579453977667</v>
      </c>
      <c r="Q2587">
        <v>0.110760716959332</v>
      </c>
      <c r="R2587">
        <v>0.99542651485225597</v>
      </c>
      <c r="S2587" t="s">
        <v>8448</v>
      </c>
      <c r="T2587" t="s">
        <v>11720</v>
      </c>
      <c r="U2587" t="s">
        <v>11720</v>
      </c>
      <c r="V2587" t="s">
        <v>11720</v>
      </c>
      <c r="W2587" t="s">
        <v>14263</v>
      </c>
      <c r="X2587">
        <v>20</v>
      </c>
      <c r="Y2587" t="s">
        <v>20010</v>
      </c>
      <c r="Z2587" t="s">
        <v>25794</v>
      </c>
      <c r="AA2587">
        <v>0.32127084978331361</v>
      </c>
      <c r="AB2587" t="str">
        <f>HYPERLINK("Melting_Curves/meltCurve_P52272_2_HNRNPM.pdf", "Melting_Curves/meltCurve_P52272_2_HNRNPM.pdf")</f>
        <v>Melting_Curves/meltCurve_P52272_2_HNRNPM.pdf</v>
      </c>
    </row>
    <row r="2588" spans="1:28" x14ac:dyDescent="0.25">
      <c r="A2588" t="s">
        <v>2592</v>
      </c>
      <c r="B2588">
        <v>0.99334974765950101</v>
      </c>
      <c r="C2588">
        <v>0.79896253001360595</v>
      </c>
      <c r="D2588">
        <v>0.39940558905408402</v>
      </c>
      <c r="E2588">
        <v>0.172321480037398</v>
      </c>
      <c r="F2588">
        <v>0.122926522156989</v>
      </c>
      <c r="G2588">
        <v>0.10670691478200001</v>
      </c>
      <c r="H2588">
        <v>6.8879973767576694E-2</v>
      </c>
      <c r="I2588">
        <v>4.6200213545149603E-2</v>
      </c>
      <c r="J2588">
        <v>3.1368257476242903E-2</v>
      </c>
      <c r="K2588">
        <v>2.7715961732545799E-2</v>
      </c>
      <c r="L2588">
        <v>1083.32805077648</v>
      </c>
      <c r="M2588">
        <v>24.009994152430401</v>
      </c>
      <c r="N2588">
        <v>45.375485224480201</v>
      </c>
      <c r="O2588">
        <v>44.810359927880597</v>
      </c>
      <c r="P2588">
        <v>-0.12548206864466799</v>
      </c>
      <c r="Q2588">
        <v>6.3254989589973498E-2</v>
      </c>
      <c r="R2588">
        <v>0.99269858737017103</v>
      </c>
      <c r="S2588" t="s">
        <v>8449</v>
      </c>
      <c r="T2588" t="s">
        <v>11720</v>
      </c>
      <c r="U2588" t="s">
        <v>11720</v>
      </c>
      <c r="V2588" t="s">
        <v>11720</v>
      </c>
      <c r="W2588" t="s">
        <v>14264</v>
      </c>
      <c r="X2588">
        <v>6</v>
      </c>
      <c r="Y2588" t="s">
        <v>20011</v>
      </c>
      <c r="Z2588" t="s">
        <v>25795</v>
      </c>
      <c r="AA2588">
        <v>0.2332799722257039</v>
      </c>
      <c r="AB2588" t="str">
        <f>HYPERLINK("Melting_Curves/meltCurve_P52292_KPNA2.pdf", "Melting_Curves/meltCurve_P52292_KPNA2.pdf")</f>
        <v>Melting_Curves/meltCurve_P52292_KPNA2.pdf</v>
      </c>
    </row>
    <row r="2589" spans="1:28" x14ac:dyDescent="0.25">
      <c r="A2589" t="s">
        <v>2593</v>
      </c>
      <c r="B2589">
        <v>0.99334974765950101</v>
      </c>
      <c r="C2589">
        <v>0.998277766753636</v>
      </c>
      <c r="D2589">
        <v>0.80249333999904804</v>
      </c>
      <c r="E2589">
        <v>0.43994203255932801</v>
      </c>
      <c r="F2589">
        <v>0.31893837883444898</v>
      </c>
      <c r="G2589">
        <v>0.22528723500343201</v>
      </c>
      <c r="H2589">
        <v>0.20419027437652801</v>
      </c>
      <c r="I2589">
        <v>0.135467591907067</v>
      </c>
      <c r="J2589">
        <v>0.18063701097340401</v>
      </c>
      <c r="K2589">
        <v>0.118093868083917</v>
      </c>
      <c r="L2589">
        <v>1009.15045044356</v>
      </c>
      <c r="M2589">
        <v>20.7313224125554</v>
      </c>
      <c r="N2589">
        <v>49.610537246075403</v>
      </c>
      <c r="O2589">
        <v>48.2314176483738</v>
      </c>
      <c r="P2589">
        <v>-9.0113517059795395E-2</v>
      </c>
      <c r="Q2589">
        <v>0.16142700111331201</v>
      </c>
      <c r="R2589">
        <v>0.99239718219730899</v>
      </c>
      <c r="S2589" t="s">
        <v>8450</v>
      </c>
      <c r="T2589" t="s">
        <v>11720</v>
      </c>
      <c r="U2589" t="s">
        <v>11720</v>
      </c>
      <c r="V2589" t="s">
        <v>11720</v>
      </c>
      <c r="W2589" t="s">
        <v>14265</v>
      </c>
      <c r="X2589">
        <v>10</v>
      </c>
      <c r="Y2589" t="s">
        <v>20012</v>
      </c>
      <c r="Z2589" t="s">
        <v>25796</v>
      </c>
      <c r="AA2589">
        <v>0.41493115133348502</v>
      </c>
      <c r="AB2589" t="str">
        <f>HYPERLINK("Melting_Curves/meltCurve_P52294_KPNA1.pdf", "Melting_Curves/meltCurve_P52294_KPNA1.pdf")</f>
        <v>Melting_Curves/meltCurve_P52294_KPNA1.pdf</v>
      </c>
    </row>
    <row r="2590" spans="1:28" x14ac:dyDescent="0.25">
      <c r="A2590" t="s">
        <v>2594</v>
      </c>
      <c r="B2590">
        <v>0.99334974765950101</v>
      </c>
      <c r="C2590">
        <v>0.98863317537398598</v>
      </c>
      <c r="D2590">
        <v>0.87204094302485302</v>
      </c>
      <c r="E2590">
        <v>0.62122785914586198</v>
      </c>
      <c r="F2590">
        <v>0.22490191573433699</v>
      </c>
      <c r="G2590">
        <v>0.13115332720644801</v>
      </c>
      <c r="H2590">
        <v>7.8424650390417794E-2</v>
      </c>
      <c r="I2590">
        <v>5.6863490231551198E-2</v>
      </c>
      <c r="J2590">
        <v>4.3004586092470702E-2</v>
      </c>
      <c r="K2590">
        <v>3.0844391568469898E-2</v>
      </c>
      <c r="L2590">
        <v>1211.0801350966999</v>
      </c>
      <c r="M2590">
        <v>23.9988163956764</v>
      </c>
      <c r="N2590">
        <v>50.671526570967302</v>
      </c>
      <c r="O2590">
        <v>50.117685589888403</v>
      </c>
      <c r="P2590">
        <v>-0.114115012389751</v>
      </c>
      <c r="Q2590">
        <v>4.6771366907968202E-2</v>
      </c>
      <c r="R2590">
        <v>0.99489950128885196</v>
      </c>
      <c r="S2590" t="s">
        <v>8451</v>
      </c>
      <c r="T2590" t="s">
        <v>11720</v>
      </c>
      <c r="U2590" t="s">
        <v>11720</v>
      </c>
      <c r="V2590" t="s">
        <v>11720</v>
      </c>
      <c r="W2590" t="s">
        <v>14266</v>
      </c>
      <c r="X2590">
        <v>26</v>
      </c>
      <c r="Y2590" t="s">
        <v>20013</v>
      </c>
      <c r="Z2590" t="s">
        <v>25797</v>
      </c>
      <c r="AA2590">
        <v>0.38854776358218063</v>
      </c>
      <c r="AB2590" t="str">
        <f>HYPERLINK("Melting_Curves/meltCurve_P52306_RAP1GDS1.pdf", "Melting_Curves/meltCurve_P52306_RAP1GDS1.pdf")</f>
        <v>Melting_Curves/meltCurve_P52306_RAP1GDS1.pdf</v>
      </c>
    </row>
    <row r="2591" spans="1:28" x14ac:dyDescent="0.25">
      <c r="A2591" t="s">
        <v>2595</v>
      </c>
      <c r="B2591">
        <v>0.99334974765950101</v>
      </c>
      <c r="C2591">
        <v>0.95893931123367104</v>
      </c>
      <c r="D2591">
        <v>0.95696676387397706</v>
      </c>
      <c r="E2591">
        <v>0.43038148804098098</v>
      </c>
      <c r="F2591">
        <v>0.24043275970807401</v>
      </c>
      <c r="G2591">
        <v>0.14456228424405099</v>
      </c>
      <c r="H2591">
        <v>0.11534787339505199</v>
      </c>
      <c r="I2591">
        <v>0.12302209643718</v>
      </c>
      <c r="J2591">
        <v>9.4926111506720895E-2</v>
      </c>
      <c r="K2591">
        <v>9.0133295234258795E-2</v>
      </c>
      <c r="L2591">
        <v>1584.78846410596</v>
      </c>
      <c r="M2591">
        <v>32.153855576177499</v>
      </c>
      <c r="N2591">
        <v>49.6931909881895</v>
      </c>
      <c r="O2591">
        <v>49.098213329831701</v>
      </c>
      <c r="P2591">
        <v>-0.14482928500438999</v>
      </c>
      <c r="Q2591">
        <v>0.115400499232508</v>
      </c>
      <c r="R2591">
        <v>0.99540701673128695</v>
      </c>
      <c r="S2591" t="s">
        <v>8452</v>
      </c>
      <c r="T2591" t="s">
        <v>11720</v>
      </c>
      <c r="U2591" t="s">
        <v>11720</v>
      </c>
      <c r="V2591" t="s">
        <v>11720</v>
      </c>
      <c r="W2591" t="s">
        <v>14267</v>
      </c>
      <c r="X2591">
        <v>26</v>
      </c>
      <c r="Y2591" t="s">
        <v>20013</v>
      </c>
      <c r="Z2591" t="s">
        <v>25798</v>
      </c>
      <c r="AA2591">
        <v>0.39395984560146308</v>
      </c>
      <c r="AB2591" t="str">
        <f>HYPERLINK("Melting_Curves/meltCurve_P52306_4_RAP1GDS1.pdf", "Melting_Curves/meltCurve_P52306_4_RAP1GDS1.pdf")</f>
        <v>Melting_Curves/meltCurve_P52306_4_RAP1GDS1.pdf</v>
      </c>
    </row>
    <row r="2592" spans="1:28" x14ac:dyDescent="0.25">
      <c r="A2592" t="s">
        <v>2596</v>
      </c>
      <c r="B2592">
        <v>0.99334974765950101</v>
      </c>
      <c r="C2592">
        <v>0.957746809916455</v>
      </c>
      <c r="D2592">
        <v>0.84698025407622402</v>
      </c>
      <c r="E2592">
        <v>0.68752581548636305</v>
      </c>
      <c r="F2592">
        <v>0.29747162316659398</v>
      </c>
      <c r="G2592">
        <v>0.113074417070701</v>
      </c>
      <c r="H2592">
        <v>7.6017733784605093E-2</v>
      </c>
      <c r="I2592">
        <v>6.5470259588986099E-2</v>
      </c>
      <c r="J2592">
        <v>6.9438306748179704E-2</v>
      </c>
      <c r="K2592">
        <v>5.6140964213498998E-2</v>
      </c>
      <c r="L2592">
        <v>1138.5635112365301</v>
      </c>
      <c r="M2592">
        <v>22.342294164366098</v>
      </c>
      <c r="N2592">
        <v>51.204711071006699</v>
      </c>
      <c r="O2592">
        <v>50.557025546355199</v>
      </c>
      <c r="P2592">
        <v>-0.104888729457194</v>
      </c>
      <c r="Q2592">
        <v>5.0634439036088802E-2</v>
      </c>
      <c r="R2592">
        <v>0.99183092311458698</v>
      </c>
      <c r="S2592" t="s">
        <v>8453</v>
      </c>
      <c r="T2592" t="s">
        <v>11720</v>
      </c>
      <c r="U2592" t="s">
        <v>11720</v>
      </c>
      <c r="V2592" t="s">
        <v>11720</v>
      </c>
      <c r="W2592" t="s">
        <v>14268</v>
      </c>
      <c r="X2592">
        <v>19</v>
      </c>
      <c r="Y2592" t="s">
        <v>20014</v>
      </c>
      <c r="Z2592" t="s">
        <v>25799</v>
      </c>
      <c r="AA2592">
        <v>0.40814408735212432</v>
      </c>
      <c r="AB2592" t="str">
        <f>HYPERLINK("Melting_Curves/meltCurve_P52565_ARHGDIA.pdf", "Melting_Curves/meltCurve_P52565_ARHGDIA.pdf")</f>
        <v>Melting_Curves/meltCurve_P52565_ARHGDIA.pdf</v>
      </c>
    </row>
    <row r="2593" spans="1:28" x14ac:dyDescent="0.25">
      <c r="A2593" t="s">
        <v>2597</v>
      </c>
      <c r="B2593">
        <v>0.99334974765950101</v>
      </c>
      <c r="C2593">
        <v>0.92760273494730405</v>
      </c>
      <c r="D2593">
        <v>0.82773695611883702</v>
      </c>
      <c r="E2593">
        <v>0.47747936184956202</v>
      </c>
      <c r="F2593">
        <v>0.22252524695516099</v>
      </c>
      <c r="G2593">
        <v>0.14361939098891899</v>
      </c>
      <c r="H2593">
        <v>0.111690098394295</v>
      </c>
      <c r="I2593">
        <v>9.2534390177896206E-2</v>
      </c>
      <c r="J2593">
        <v>7.9921995038934796E-2</v>
      </c>
      <c r="K2593">
        <v>4.9998662765373701E-2</v>
      </c>
      <c r="L2593">
        <v>995.657361654699</v>
      </c>
      <c r="M2593">
        <v>20.230082349701402</v>
      </c>
      <c r="N2593">
        <v>49.612736769053903</v>
      </c>
      <c r="O2593">
        <v>48.743318095740797</v>
      </c>
      <c r="P2593">
        <v>-9.6024358123555295E-2</v>
      </c>
      <c r="Q2593">
        <v>7.4566026097597701E-2</v>
      </c>
      <c r="R2593">
        <v>0.99757432187823103</v>
      </c>
      <c r="S2593" t="s">
        <v>8454</v>
      </c>
      <c r="T2593" t="s">
        <v>11720</v>
      </c>
      <c r="U2593" t="s">
        <v>11720</v>
      </c>
      <c r="V2593" t="s">
        <v>11720</v>
      </c>
      <c r="W2593" t="s">
        <v>14269</v>
      </c>
      <c r="X2593">
        <v>11</v>
      </c>
      <c r="Y2593" t="s">
        <v>20015</v>
      </c>
      <c r="Z2593" t="s">
        <v>25800</v>
      </c>
      <c r="AA2593">
        <v>0.37152444171297699</v>
      </c>
      <c r="AB2593" t="str">
        <f>HYPERLINK("Melting_Curves/meltCurve_P52597_HNRNPF.pdf", "Melting_Curves/meltCurve_P52597_HNRNPF.pdf")</f>
        <v>Melting_Curves/meltCurve_P52597_HNRNPF.pdf</v>
      </c>
    </row>
    <row r="2594" spans="1:28" x14ac:dyDescent="0.25">
      <c r="A2594" t="s">
        <v>2598</v>
      </c>
      <c r="B2594">
        <v>0.99334974765950101</v>
      </c>
      <c r="C2594">
        <v>0.91122766261219301</v>
      </c>
      <c r="D2594">
        <v>0.77148379866179395</v>
      </c>
      <c r="E2594">
        <v>0.356682800368266</v>
      </c>
      <c r="F2594">
        <v>0.272528993809946</v>
      </c>
      <c r="G2594">
        <v>0.18158709787385</v>
      </c>
      <c r="H2594">
        <v>0.14491589847318201</v>
      </c>
      <c r="I2594">
        <v>0.114723374672405</v>
      </c>
      <c r="J2594">
        <v>0.12488283533541</v>
      </c>
      <c r="K2594">
        <v>9.4802495965945893E-2</v>
      </c>
      <c r="L2594">
        <v>954.90178397438899</v>
      </c>
      <c r="M2594">
        <v>19.865221537549399</v>
      </c>
      <c r="N2594">
        <v>48.747135223914</v>
      </c>
      <c r="O2594">
        <v>47.589872150967601</v>
      </c>
      <c r="P2594">
        <v>-9.1761091715802295E-2</v>
      </c>
      <c r="Q2594">
        <v>0.120724290784521</v>
      </c>
      <c r="R2594">
        <v>0.995148533572355</v>
      </c>
      <c r="S2594" t="s">
        <v>8455</v>
      </c>
      <c r="T2594" t="s">
        <v>11720</v>
      </c>
      <c r="U2594" t="s">
        <v>11720</v>
      </c>
      <c r="V2594" t="s">
        <v>11720</v>
      </c>
      <c r="W2594" t="s">
        <v>14270</v>
      </c>
      <c r="X2594">
        <v>20</v>
      </c>
      <c r="Y2594" t="s">
        <v>20016</v>
      </c>
      <c r="Z2594" t="s">
        <v>25801</v>
      </c>
      <c r="AA2594">
        <v>0.36987874075415328</v>
      </c>
      <c r="AB2594" t="str">
        <f>HYPERLINK("Melting_Curves/meltCurve_P52630_4_STAT2.pdf", "Melting_Curves/meltCurve_P52630_4_STAT2.pdf")</f>
        <v>Melting_Curves/meltCurve_P52630_4_STAT2.pdf</v>
      </c>
    </row>
    <row r="2595" spans="1:28" x14ac:dyDescent="0.25">
      <c r="A2595" t="s">
        <v>2599</v>
      </c>
      <c r="B2595">
        <v>0.99334974765950101</v>
      </c>
      <c r="C2595">
        <v>0.97288590534704</v>
      </c>
      <c r="D2595">
        <v>1.0330634844805</v>
      </c>
      <c r="E2595">
        <v>0.89249341779506097</v>
      </c>
      <c r="F2595">
        <v>0.84059371105288405</v>
      </c>
      <c r="G2595">
        <v>0.79901216691334798</v>
      </c>
      <c r="H2595">
        <v>0.72686102360513305</v>
      </c>
      <c r="I2595">
        <v>0.70349897427221997</v>
      </c>
      <c r="J2595">
        <v>0.754385599592304</v>
      </c>
      <c r="K2595">
        <v>0.65777592628356696</v>
      </c>
      <c r="L2595">
        <v>795.03741470983402</v>
      </c>
      <c r="M2595">
        <v>14.8916001788518</v>
      </c>
      <c r="O2595">
        <v>52.453323118828301</v>
      </c>
      <c r="P2595">
        <v>-2.1981211564891801E-2</v>
      </c>
      <c r="Q2595">
        <v>0.69033084397210598</v>
      </c>
      <c r="R2595">
        <v>0.938851072153989</v>
      </c>
      <c r="S2595" t="s">
        <v>8456</v>
      </c>
      <c r="T2595" t="s">
        <v>11720</v>
      </c>
      <c r="U2595" t="s">
        <v>11720</v>
      </c>
      <c r="V2595" t="s">
        <v>11720</v>
      </c>
      <c r="W2595" t="s">
        <v>14271</v>
      </c>
      <c r="X2595">
        <v>5</v>
      </c>
      <c r="Y2595" t="s">
        <v>20017</v>
      </c>
      <c r="Z2595" t="s">
        <v>25802</v>
      </c>
      <c r="AA2595">
        <v>0.8351431164940839</v>
      </c>
      <c r="AB2595" t="str">
        <f>HYPERLINK("Melting_Curves/meltCurve_P52655_GTF2A1.pdf", "Melting_Curves/meltCurve_P52655_GTF2A1.pdf")</f>
        <v>Melting_Curves/meltCurve_P52655_GTF2A1.pdf</v>
      </c>
    </row>
    <row r="2596" spans="1:28" x14ac:dyDescent="0.25">
      <c r="A2596" t="s">
        <v>2600</v>
      </c>
      <c r="B2596">
        <v>0.99334974765950101</v>
      </c>
      <c r="C2596">
        <v>1.04004085625927</v>
      </c>
      <c r="D2596">
        <v>0.81650653110103499</v>
      </c>
      <c r="E2596">
        <v>0.86312925165432697</v>
      </c>
      <c r="F2596">
        <v>0.75603589625224799</v>
      </c>
      <c r="G2596">
        <v>0.65307186266252004</v>
      </c>
      <c r="H2596">
        <v>0.60243245269506296</v>
      </c>
      <c r="I2596">
        <v>0.74332424632906402</v>
      </c>
      <c r="J2596">
        <v>0.67790172151758898</v>
      </c>
      <c r="K2596">
        <v>0.30817907832657898</v>
      </c>
      <c r="L2596">
        <v>307.36674675766699</v>
      </c>
      <c r="M2596">
        <v>4.4433109446496601</v>
      </c>
      <c r="N2596">
        <v>69.175171469280897</v>
      </c>
      <c r="O2596">
        <v>58.587470198801697</v>
      </c>
      <c r="P2596">
        <v>-1.9133119358244501E-2</v>
      </c>
      <c r="Q2596">
        <v>0</v>
      </c>
      <c r="R2596">
        <v>0.73711063397775101</v>
      </c>
      <c r="S2596" t="s">
        <v>8457</v>
      </c>
      <c r="T2596" t="s">
        <v>11720</v>
      </c>
      <c r="U2596" t="s">
        <v>11720</v>
      </c>
      <c r="V2596" t="s">
        <v>11720</v>
      </c>
      <c r="W2596" t="s">
        <v>14272</v>
      </c>
      <c r="X2596">
        <v>4</v>
      </c>
      <c r="Y2596" t="s">
        <v>20018</v>
      </c>
      <c r="Z2596" t="s">
        <v>25803</v>
      </c>
      <c r="AA2596">
        <v>0.74721357620353723</v>
      </c>
      <c r="AB2596" t="str">
        <f>HYPERLINK("Melting_Curves/meltCurve_P52657_GTF2A2.pdf", "Melting_Curves/meltCurve_P52657_GTF2A2.pdf")</f>
        <v>Melting_Curves/meltCurve_P52657_GTF2A2.pdf</v>
      </c>
    </row>
    <row r="2597" spans="1:28" x14ac:dyDescent="0.25">
      <c r="A2597" t="s">
        <v>2601</v>
      </c>
      <c r="B2597">
        <v>0.99334974765950101</v>
      </c>
      <c r="C2597">
        <v>0.94788261428572995</v>
      </c>
      <c r="D2597">
        <v>0.86405491224618103</v>
      </c>
      <c r="E2597">
        <v>0.35038473215584498</v>
      </c>
      <c r="F2597">
        <v>0.17408743578959801</v>
      </c>
      <c r="G2597">
        <v>0.104135229721615</v>
      </c>
      <c r="H2597">
        <v>8.26686227635402E-2</v>
      </c>
      <c r="I2597">
        <v>7.5160937482206994E-2</v>
      </c>
      <c r="J2597">
        <v>7.6595386792176298E-2</v>
      </c>
      <c r="K2597">
        <v>5.93719987738427E-2</v>
      </c>
      <c r="L2597">
        <v>1379.2783183859699</v>
      </c>
      <c r="M2597">
        <v>28.374017741208199</v>
      </c>
      <c r="N2597">
        <v>48.899791516479702</v>
      </c>
      <c r="O2597">
        <v>48.371083904982399</v>
      </c>
      <c r="P2597">
        <v>-0.13532207986435901</v>
      </c>
      <c r="Q2597">
        <v>7.7237338573786493E-2</v>
      </c>
      <c r="R2597">
        <v>0.99836196635973595</v>
      </c>
      <c r="S2597" t="s">
        <v>8458</v>
      </c>
      <c r="T2597" t="s">
        <v>11720</v>
      </c>
      <c r="U2597" t="s">
        <v>11720</v>
      </c>
      <c r="V2597" t="s">
        <v>11720</v>
      </c>
      <c r="W2597" t="s">
        <v>14273</v>
      </c>
      <c r="X2597">
        <v>15</v>
      </c>
      <c r="Y2597" t="s">
        <v>20019</v>
      </c>
      <c r="Z2597" t="s">
        <v>25804</v>
      </c>
      <c r="AA2597">
        <v>0.34836221793260169</v>
      </c>
      <c r="AB2597" t="str">
        <f>HYPERLINK("Melting_Curves/meltCurve_P52735_3_VAV2.pdf", "Melting_Curves/meltCurve_P52735_3_VAV2.pdf")</f>
        <v>Melting_Curves/meltCurve_P52735_3_VAV2.pdf</v>
      </c>
    </row>
    <row r="2598" spans="1:28" x14ac:dyDescent="0.25">
      <c r="A2598" t="s">
        <v>2602</v>
      </c>
      <c r="B2598">
        <v>0.99334974765950101</v>
      </c>
      <c r="C2598">
        <v>0.93851575382768904</v>
      </c>
      <c r="D2598">
        <v>0.82602558431419004</v>
      </c>
      <c r="E2598">
        <v>0.77002438040935695</v>
      </c>
      <c r="F2598">
        <v>0.58322305849880196</v>
      </c>
      <c r="G2598">
        <v>0.64527072918470196</v>
      </c>
      <c r="H2598">
        <v>0.58358808015605501</v>
      </c>
      <c r="I2598">
        <v>0.68176050197493099</v>
      </c>
      <c r="J2598">
        <v>0.74607705782465905</v>
      </c>
      <c r="K2598">
        <v>0.69251311578810304</v>
      </c>
      <c r="L2598">
        <v>1045.5929067714301</v>
      </c>
      <c r="M2598">
        <v>22.695282779813098</v>
      </c>
      <c r="O2598">
        <v>45.717716130670297</v>
      </c>
      <c r="P2598">
        <v>-4.2162377788842097E-2</v>
      </c>
      <c r="Q2598">
        <v>0.66027659677601402</v>
      </c>
      <c r="R2598">
        <v>0.84108860093320004</v>
      </c>
      <c r="S2598" t="s">
        <v>8459</v>
      </c>
      <c r="T2598" t="s">
        <v>11720</v>
      </c>
      <c r="U2598" t="s">
        <v>11720</v>
      </c>
      <c r="V2598" t="s">
        <v>11720</v>
      </c>
      <c r="W2598" t="s">
        <v>14274</v>
      </c>
      <c r="X2598">
        <v>8</v>
      </c>
      <c r="Y2598" t="s">
        <v>20020</v>
      </c>
      <c r="Z2598" t="s">
        <v>25805</v>
      </c>
      <c r="AA2598">
        <v>0.73293249121759085</v>
      </c>
      <c r="AB2598" t="str">
        <f>HYPERLINK("Melting_Curves/meltCurve_P52758_HRSP12.pdf", "Melting_Curves/meltCurve_P52758_HRSP12.pdf")</f>
        <v>Melting_Curves/meltCurve_P52758_HRSP12.pdf</v>
      </c>
    </row>
    <row r="2599" spans="1:28" x14ac:dyDescent="0.25">
      <c r="A2599" t="s">
        <v>2603</v>
      </c>
      <c r="B2599">
        <v>0.99334974765950101</v>
      </c>
      <c r="C2599">
        <v>1.0378358800162499</v>
      </c>
      <c r="D2599">
        <v>0.97431100415576699</v>
      </c>
      <c r="E2599">
        <v>0.99958342330385597</v>
      </c>
      <c r="F2599">
        <v>0.778855231490586</v>
      </c>
      <c r="G2599">
        <v>0.48552521296616002</v>
      </c>
      <c r="H2599">
        <v>0.28510537672282099</v>
      </c>
      <c r="I2599">
        <v>0.38332364748028203</v>
      </c>
      <c r="J2599">
        <v>0.31725649757892699</v>
      </c>
      <c r="K2599">
        <v>0.21759473763536499</v>
      </c>
      <c r="L2599">
        <v>1529.87638136804</v>
      </c>
      <c r="M2599">
        <v>27.910455537371401</v>
      </c>
      <c r="N2599">
        <v>56.556121258232999</v>
      </c>
      <c r="O2599">
        <v>54.534663808986203</v>
      </c>
      <c r="P2599">
        <v>-9.1050004764272705E-2</v>
      </c>
      <c r="Q2599">
        <v>0.28839022378503298</v>
      </c>
      <c r="R2599">
        <v>0.981508984190268</v>
      </c>
      <c r="S2599" t="s">
        <v>8460</v>
      </c>
      <c r="T2599" t="s">
        <v>11720</v>
      </c>
      <c r="U2599" t="s">
        <v>11720</v>
      </c>
      <c r="V2599" t="s">
        <v>11720</v>
      </c>
      <c r="W2599" t="s">
        <v>14275</v>
      </c>
      <c r="X2599">
        <v>22</v>
      </c>
      <c r="Y2599" t="s">
        <v>20021</v>
      </c>
      <c r="Z2599" t="s">
        <v>25806</v>
      </c>
      <c r="AA2599">
        <v>0.64517323566928664</v>
      </c>
      <c r="AB2599" t="str">
        <f>HYPERLINK("Melting_Curves/meltCurve_P52788_SMS.pdf", "Melting_Curves/meltCurve_P52788_SMS.pdf")</f>
        <v>Melting_Curves/meltCurve_P52788_SMS.pdf</v>
      </c>
    </row>
    <row r="2600" spans="1:28" x14ac:dyDescent="0.25">
      <c r="A2600" t="s">
        <v>2604</v>
      </c>
      <c r="B2600">
        <v>0.99334974765950101</v>
      </c>
      <c r="C2600">
        <v>0.69191248216670098</v>
      </c>
      <c r="D2600">
        <v>0.33498020822461899</v>
      </c>
      <c r="E2600">
        <v>0.14766703878745199</v>
      </c>
      <c r="F2600">
        <v>0.11097318503850299</v>
      </c>
      <c r="G2600">
        <v>7.1478974665314193E-2</v>
      </c>
      <c r="H2600">
        <v>5.6387603519707397E-2</v>
      </c>
      <c r="I2600">
        <v>5.4820393396903498E-2</v>
      </c>
      <c r="J2600">
        <v>5.23987406614774E-2</v>
      </c>
      <c r="K2600">
        <v>4.203841817804E-2</v>
      </c>
      <c r="L2600">
        <v>1076.2979082243901</v>
      </c>
      <c r="M2600">
        <v>24.270216832103099</v>
      </c>
      <c r="N2600">
        <v>44.597442890563698</v>
      </c>
      <c r="O2600">
        <v>44.048669074712102</v>
      </c>
      <c r="P2600">
        <v>-0.12895457313533701</v>
      </c>
      <c r="Q2600">
        <v>6.3841645267031899E-2</v>
      </c>
      <c r="R2600">
        <v>0.99381437316388699</v>
      </c>
      <c r="S2600" t="s">
        <v>8461</v>
      </c>
      <c r="T2600" t="s">
        <v>11720</v>
      </c>
      <c r="U2600" t="s">
        <v>11720</v>
      </c>
      <c r="V2600" t="s">
        <v>11720</v>
      </c>
      <c r="W2600" t="s">
        <v>14276</v>
      </c>
      <c r="X2600">
        <v>24</v>
      </c>
      <c r="Y2600" t="s">
        <v>20022</v>
      </c>
      <c r="Z2600" t="s">
        <v>25807</v>
      </c>
      <c r="AA2600">
        <v>0.2103595096818906</v>
      </c>
      <c r="AB2600" t="str">
        <f>HYPERLINK("Melting_Curves/meltCurve_P52789_HK2.pdf", "Melting_Curves/meltCurve_P52789_HK2.pdf")</f>
        <v>Melting_Curves/meltCurve_P52789_HK2.pdf</v>
      </c>
    </row>
    <row r="2601" spans="1:28" x14ac:dyDescent="0.25">
      <c r="A2601" t="s">
        <v>2605</v>
      </c>
      <c r="B2601">
        <v>0.99334974765950101</v>
      </c>
      <c r="C2601">
        <v>0.937448527005596</v>
      </c>
      <c r="D2601">
        <v>0.86158363811032301</v>
      </c>
      <c r="E2601">
        <v>0.84112054346333598</v>
      </c>
      <c r="F2601">
        <v>0.82285128202569202</v>
      </c>
      <c r="G2601">
        <v>0.60344866635556904</v>
      </c>
      <c r="H2601">
        <v>0.55639237691282195</v>
      </c>
      <c r="I2601">
        <v>0.64303557518738397</v>
      </c>
      <c r="J2601">
        <v>0.68300913647160699</v>
      </c>
      <c r="K2601">
        <v>0.54298557862922803</v>
      </c>
      <c r="L2601">
        <v>552.56213100332297</v>
      </c>
      <c r="M2601">
        <v>10.731982353320101</v>
      </c>
      <c r="O2601">
        <v>49.796344972855401</v>
      </c>
      <c r="P2601">
        <v>-2.3660609805199601E-2</v>
      </c>
      <c r="Q2601">
        <v>0.56102240758050703</v>
      </c>
      <c r="R2601">
        <v>0.873515792151355</v>
      </c>
      <c r="S2601" t="s">
        <v>8462</v>
      </c>
      <c r="T2601" t="s">
        <v>11720</v>
      </c>
      <c r="U2601" t="s">
        <v>11720</v>
      </c>
      <c r="V2601" t="s">
        <v>11720</v>
      </c>
      <c r="W2601" t="s">
        <v>14277</v>
      </c>
      <c r="X2601">
        <v>4</v>
      </c>
      <c r="Y2601" t="s">
        <v>20023</v>
      </c>
      <c r="Z2601" t="s">
        <v>25808</v>
      </c>
      <c r="AA2601">
        <v>0.74517544067935471</v>
      </c>
      <c r="AB2601" t="str">
        <f>HYPERLINK("Melting_Curves/meltCurve_P52799_EFNB2.pdf", "Melting_Curves/meltCurve_P52799_EFNB2.pdf")</f>
        <v>Melting_Curves/meltCurve_P52799_EFNB2.pdf</v>
      </c>
    </row>
    <row r="2602" spans="1:28" x14ac:dyDescent="0.25">
      <c r="A2602" t="s">
        <v>2606</v>
      </c>
      <c r="B2602">
        <v>0.99334974765950101</v>
      </c>
      <c r="C2602">
        <v>0.91213647162827904</v>
      </c>
      <c r="D2602">
        <v>0.94392353050754596</v>
      </c>
      <c r="E2602">
        <v>0.82348284993735699</v>
      </c>
      <c r="F2602">
        <v>0.28000748314289498</v>
      </c>
      <c r="G2602">
        <v>0.16473576176995799</v>
      </c>
      <c r="H2602">
        <v>0.11031688327676401</v>
      </c>
      <c r="I2602">
        <v>8.4610605713307002E-2</v>
      </c>
      <c r="J2602">
        <v>7.8893528330085796E-2</v>
      </c>
      <c r="K2602">
        <v>7.2900980121743494E-2</v>
      </c>
      <c r="L2602">
        <v>2348.3155942079102</v>
      </c>
      <c r="M2602">
        <v>45.612352829793899</v>
      </c>
      <c r="N2602">
        <v>51.7328091059154</v>
      </c>
      <c r="O2602">
        <v>51.385533272470802</v>
      </c>
      <c r="P2602">
        <v>-0.200071154131407</v>
      </c>
      <c r="Q2602">
        <v>9.8424027835526201E-2</v>
      </c>
      <c r="R2602">
        <v>0.99014225662979305</v>
      </c>
      <c r="S2602" t="s">
        <v>8463</v>
      </c>
      <c r="T2602" t="s">
        <v>11720</v>
      </c>
      <c r="U2602" t="s">
        <v>11720</v>
      </c>
      <c r="V2602" t="s">
        <v>11720</v>
      </c>
      <c r="W2602" t="s">
        <v>14278</v>
      </c>
      <c r="X2602">
        <v>11</v>
      </c>
      <c r="Y2602" t="s">
        <v>20024</v>
      </c>
      <c r="Z2602" t="s">
        <v>25809</v>
      </c>
      <c r="AA2602">
        <v>0.44601617309490271</v>
      </c>
      <c r="AB2602" t="str">
        <f>HYPERLINK("Melting_Curves/meltCurve_P52848_NDST1.pdf", "Melting_Curves/meltCurve_P52848_NDST1.pdf")</f>
        <v>Melting_Curves/meltCurve_P52848_NDST1.pdf</v>
      </c>
    </row>
    <row r="2603" spans="1:28" x14ac:dyDescent="0.25">
      <c r="A2603" t="s">
        <v>2607</v>
      </c>
      <c r="B2603">
        <v>0.99334974765950101</v>
      </c>
      <c r="C2603">
        <v>0.97837511409779199</v>
      </c>
      <c r="D2603">
        <v>0.95065450316348998</v>
      </c>
      <c r="E2603">
        <v>0.78520396648575796</v>
      </c>
      <c r="F2603">
        <v>0.634954163364436</v>
      </c>
      <c r="G2603">
        <v>0.48218968961060099</v>
      </c>
      <c r="H2603">
        <v>0.33492818278893899</v>
      </c>
      <c r="I2603">
        <v>0.15020765987255799</v>
      </c>
      <c r="J2603">
        <v>9.6400643957209806E-2</v>
      </c>
      <c r="K2603">
        <v>7.5068467233608605E-2</v>
      </c>
      <c r="L2603">
        <v>660.83761479075804</v>
      </c>
      <c r="M2603">
        <v>11.7855545087045</v>
      </c>
      <c r="N2603">
        <v>56.071832751666904</v>
      </c>
      <c r="O2603">
        <v>54.530537990294597</v>
      </c>
      <c r="P2603">
        <v>-5.40458679686752E-2</v>
      </c>
      <c r="Q2603">
        <v>0</v>
      </c>
      <c r="R2603">
        <v>0.99317506390049504</v>
      </c>
      <c r="S2603" t="s">
        <v>8464</v>
      </c>
      <c r="T2603" t="s">
        <v>11720</v>
      </c>
      <c r="U2603" t="s">
        <v>11720</v>
      </c>
      <c r="V2603" t="s">
        <v>11720</v>
      </c>
      <c r="W2603" t="s">
        <v>14279</v>
      </c>
      <c r="X2603">
        <v>37</v>
      </c>
      <c r="Y2603" t="s">
        <v>20025</v>
      </c>
      <c r="Z2603" t="s">
        <v>25810</v>
      </c>
      <c r="AA2603">
        <v>0.55599948434815916</v>
      </c>
      <c r="AB2603" t="str">
        <f>HYPERLINK("Melting_Curves/meltCurve_P52888_THOP1.pdf", "Melting_Curves/meltCurve_P52888_THOP1.pdf")</f>
        <v>Melting_Curves/meltCurve_P52888_THOP1.pdf</v>
      </c>
    </row>
    <row r="2604" spans="1:28" x14ac:dyDescent="0.25">
      <c r="A2604" t="s">
        <v>2608</v>
      </c>
      <c r="B2604">
        <v>0.99334974765950101</v>
      </c>
      <c r="C2604">
        <v>1.00505761034244</v>
      </c>
      <c r="D2604">
        <v>1.0039595310890601</v>
      </c>
      <c r="E2604">
        <v>0.90612488503076905</v>
      </c>
      <c r="F2604">
        <v>1.09261554091775</v>
      </c>
      <c r="G2604">
        <v>0.39318156015701999</v>
      </c>
      <c r="H2604">
        <v>0.26249601325048</v>
      </c>
      <c r="I2604">
        <v>0.19847444327407601</v>
      </c>
      <c r="J2604">
        <v>0.193335380520119</v>
      </c>
      <c r="K2604">
        <v>0.141049733149268</v>
      </c>
      <c r="L2604">
        <v>14185.0994281107</v>
      </c>
      <c r="M2604">
        <v>250</v>
      </c>
      <c r="N2604">
        <v>56.8556925013445</v>
      </c>
      <c r="O2604">
        <v>56.736766731920802</v>
      </c>
      <c r="P2604">
        <v>-0.88254182826725502</v>
      </c>
      <c r="Q2604">
        <v>0.198838883877658</v>
      </c>
      <c r="R2604">
        <v>0.98349692251300802</v>
      </c>
      <c r="S2604" t="s">
        <v>8465</v>
      </c>
      <c r="T2604" t="s">
        <v>11720</v>
      </c>
      <c r="U2604" t="s">
        <v>11720</v>
      </c>
      <c r="V2604" t="s">
        <v>11720</v>
      </c>
      <c r="W2604" t="s">
        <v>14280</v>
      </c>
      <c r="X2604">
        <v>20</v>
      </c>
      <c r="Y2604" t="s">
        <v>20026</v>
      </c>
      <c r="Z2604" t="s">
        <v>25811</v>
      </c>
      <c r="AA2604">
        <v>0.64597718616622402</v>
      </c>
      <c r="AB2604" t="str">
        <f>HYPERLINK("Melting_Curves/meltCurve_P52907_CAPZA1.pdf", "Melting_Curves/meltCurve_P52907_CAPZA1.pdf")</f>
        <v>Melting_Curves/meltCurve_P52907_CAPZA1.pdf</v>
      </c>
    </row>
    <row r="2605" spans="1:28" x14ac:dyDescent="0.25">
      <c r="A2605" t="s">
        <v>2609</v>
      </c>
      <c r="B2605">
        <v>0.99334974765950101</v>
      </c>
      <c r="C2605">
        <v>1.0163999430802999</v>
      </c>
      <c r="D2605">
        <v>0.87585570900566001</v>
      </c>
      <c r="E2605">
        <v>0.82578060420685095</v>
      </c>
      <c r="F2605">
        <v>0.71384467984474798</v>
      </c>
      <c r="G2605">
        <v>0.566551060446009</v>
      </c>
      <c r="H2605">
        <v>0.46224640945388501</v>
      </c>
      <c r="I2605">
        <v>0.50028455957548101</v>
      </c>
      <c r="J2605">
        <v>0.50526125182408899</v>
      </c>
      <c r="K2605">
        <v>0.53932438432381402</v>
      </c>
      <c r="L2605">
        <v>846.48130237508701</v>
      </c>
      <c r="M2605">
        <v>16.409340730117801</v>
      </c>
      <c r="N2605">
        <v>65.910769875423696</v>
      </c>
      <c r="O2605">
        <v>50.837446674338899</v>
      </c>
      <c r="P2605">
        <v>-4.14904990361077E-2</v>
      </c>
      <c r="Q2605">
        <v>0.48587276059025702</v>
      </c>
      <c r="R2605">
        <v>0.97029647431229005</v>
      </c>
      <c r="S2605" t="s">
        <v>8466</v>
      </c>
      <c r="T2605" t="s">
        <v>11720</v>
      </c>
      <c r="U2605" t="s">
        <v>11720</v>
      </c>
      <c r="V2605" t="s">
        <v>11720</v>
      </c>
      <c r="W2605" t="s">
        <v>14281</v>
      </c>
      <c r="X2605">
        <v>9</v>
      </c>
      <c r="Y2605" t="s">
        <v>20027</v>
      </c>
      <c r="Z2605" t="s">
        <v>25812</v>
      </c>
      <c r="AA2605">
        <v>0.69449175672792207</v>
      </c>
      <c r="AB2605" t="str">
        <f>HYPERLINK("Melting_Curves/meltCurve_P52943_CRIP2.pdf", "Melting_Curves/meltCurve_P52943_CRIP2.pdf")</f>
        <v>Melting_Curves/meltCurve_P52943_CRIP2.pdf</v>
      </c>
    </row>
    <row r="2606" spans="1:28" x14ac:dyDescent="0.25">
      <c r="A2606" t="s">
        <v>2610</v>
      </c>
      <c r="B2606">
        <v>0.99334974765950101</v>
      </c>
      <c r="C2606">
        <v>0.95818615192621603</v>
      </c>
      <c r="D2606">
        <v>0.87032888195729097</v>
      </c>
      <c r="E2606">
        <v>0.70675278193859403</v>
      </c>
      <c r="F2606">
        <v>0.42090607034337801</v>
      </c>
      <c r="G2606">
        <v>0.12891458202376699</v>
      </c>
      <c r="H2606">
        <v>8.2685700398759096E-2</v>
      </c>
      <c r="I2606">
        <v>6.6828691858091802E-2</v>
      </c>
      <c r="J2606">
        <v>6.2149430227452999E-2</v>
      </c>
      <c r="K2606">
        <v>4.9239885312510098E-2</v>
      </c>
      <c r="L2606">
        <v>1017.72934335626</v>
      </c>
      <c r="M2606">
        <v>19.6683396429288</v>
      </c>
      <c r="N2606">
        <v>51.951803038420003</v>
      </c>
      <c r="O2606">
        <v>51.2185456376004</v>
      </c>
      <c r="P2606">
        <v>-9.2382863290638995E-2</v>
      </c>
      <c r="Q2606">
        <v>3.773242603871E-2</v>
      </c>
      <c r="R2606">
        <v>0.99549312474262297</v>
      </c>
      <c r="S2606" t="s">
        <v>8467</v>
      </c>
      <c r="T2606" t="s">
        <v>11720</v>
      </c>
      <c r="U2606" t="s">
        <v>11720</v>
      </c>
      <c r="V2606" t="s">
        <v>11720</v>
      </c>
      <c r="W2606" t="s">
        <v>14282</v>
      </c>
      <c r="X2606">
        <v>18</v>
      </c>
      <c r="Y2606" t="s">
        <v>20028</v>
      </c>
      <c r="Z2606" t="s">
        <v>25813</v>
      </c>
      <c r="AA2606">
        <v>0.42818412969165143</v>
      </c>
      <c r="AB2606" t="str">
        <f>HYPERLINK("Melting_Curves/meltCurve_P53004_BLVRA.pdf", "Melting_Curves/meltCurve_P53004_BLVRA.pdf")</f>
        <v>Melting_Curves/meltCurve_P53004_BLVRA.pdf</v>
      </c>
    </row>
    <row r="2607" spans="1:28" x14ac:dyDescent="0.25">
      <c r="A2607" t="s">
        <v>2611</v>
      </c>
      <c r="B2607">
        <v>0.99334974765950101</v>
      </c>
      <c r="C2607">
        <v>0.92008122384082902</v>
      </c>
      <c r="D2607">
        <v>0.89731471789186101</v>
      </c>
      <c r="E2607">
        <v>1.0784109482411699</v>
      </c>
      <c r="F2607">
        <v>0.98987490516015897</v>
      </c>
      <c r="G2607">
        <v>0.99829474346939595</v>
      </c>
      <c r="H2607">
        <v>0.964722365926315</v>
      </c>
      <c r="I2607">
        <v>1.1819504201728299</v>
      </c>
      <c r="J2607">
        <v>0.93857810581951395</v>
      </c>
      <c r="K2607">
        <v>0.71373065239231104</v>
      </c>
      <c r="L2607">
        <v>15000</v>
      </c>
      <c r="M2607">
        <v>222.58245286755701</v>
      </c>
      <c r="O2607">
        <v>67.385317463672607</v>
      </c>
      <c r="P2607">
        <v>-0.236455458552562</v>
      </c>
      <c r="Q2607">
        <v>0.71365890284370503</v>
      </c>
      <c r="R2607">
        <v>0.566493146642846</v>
      </c>
      <c r="S2607" t="s">
        <v>8468</v>
      </c>
      <c r="T2607" t="s">
        <v>11720</v>
      </c>
      <c r="U2607" t="s">
        <v>11720</v>
      </c>
      <c r="V2607" t="s">
        <v>11720</v>
      </c>
      <c r="W2607" t="s">
        <v>14283</v>
      </c>
      <c r="X2607">
        <v>14</v>
      </c>
      <c r="Y2607" t="s">
        <v>20029</v>
      </c>
      <c r="Z2607" t="s">
        <v>25814</v>
      </c>
      <c r="AA2607">
        <v>0.97513749036118613</v>
      </c>
      <c r="AB2607" t="str">
        <f>HYPERLINK("Melting_Curves/meltCurve_P53007_SLC25A1.pdf", "Melting_Curves/meltCurve_P53007_SLC25A1.pdf")</f>
        <v>Melting_Curves/meltCurve_P53007_SLC25A1.pdf</v>
      </c>
    </row>
    <row r="2608" spans="1:28" x14ac:dyDescent="0.25">
      <c r="A2608" t="s">
        <v>2612</v>
      </c>
      <c r="B2608">
        <v>0.99334974765950101</v>
      </c>
      <c r="C2608">
        <v>0.99903263145659105</v>
      </c>
      <c r="D2608">
        <v>0.87326345846806896</v>
      </c>
      <c r="E2608">
        <v>0.590620321828358</v>
      </c>
      <c r="F2608">
        <v>0.25454881529359902</v>
      </c>
      <c r="G2608">
        <v>0.18592473392783401</v>
      </c>
      <c r="H2608">
        <v>0.13701239301677801</v>
      </c>
      <c r="I2608">
        <v>0.108413149430771</v>
      </c>
      <c r="J2608">
        <v>0.113960469862527</v>
      </c>
      <c r="K2608">
        <v>0.107100849475672</v>
      </c>
      <c r="L2608">
        <v>1198.9418484734799</v>
      </c>
      <c r="M2608">
        <v>23.969904069122101</v>
      </c>
      <c r="N2608">
        <v>50.560980088452602</v>
      </c>
      <c r="O2608">
        <v>49.674396363324803</v>
      </c>
      <c r="P2608">
        <v>-0.10696190934029599</v>
      </c>
      <c r="Q2608">
        <v>0.113357509927177</v>
      </c>
      <c r="R2608">
        <v>0.99633052170324499</v>
      </c>
      <c r="S2608" t="s">
        <v>8469</v>
      </c>
      <c r="T2608" t="s">
        <v>11720</v>
      </c>
      <c r="U2608" t="s">
        <v>11720</v>
      </c>
      <c r="V2608" t="s">
        <v>11720</v>
      </c>
      <c r="W2608" t="s">
        <v>14284</v>
      </c>
      <c r="X2608">
        <v>14</v>
      </c>
      <c r="Y2608" t="s">
        <v>20030</v>
      </c>
      <c r="Z2608" t="s">
        <v>25815</v>
      </c>
      <c r="AA2608">
        <v>0.41808009100226667</v>
      </c>
      <c r="AB2608" t="str">
        <f>HYPERLINK("Melting_Curves/meltCurve_P53365_ARFIP2.pdf", "Melting_Curves/meltCurve_P53365_ARFIP2.pdf")</f>
        <v>Melting_Curves/meltCurve_P53365_ARFIP2.pdf</v>
      </c>
    </row>
    <row r="2609" spans="1:28" x14ac:dyDescent="0.25">
      <c r="A2609" t="s">
        <v>2613</v>
      </c>
      <c r="B2609">
        <v>0.99334974765950101</v>
      </c>
      <c r="C2609">
        <v>0.86551640796434204</v>
      </c>
      <c r="D2609">
        <v>0.81552177031906903</v>
      </c>
      <c r="E2609">
        <v>0.47129724978274101</v>
      </c>
      <c r="F2609">
        <v>0.233703845349232</v>
      </c>
      <c r="G2609">
        <v>0.18209615600471499</v>
      </c>
      <c r="H2609">
        <v>0.110084480695624</v>
      </c>
      <c r="I2609">
        <v>7.2352234229481893E-2</v>
      </c>
      <c r="J2609">
        <v>8.4175577513808594E-2</v>
      </c>
      <c r="K2609">
        <v>7.8468899862989605E-2</v>
      </c>
      <c r="L2609">
        <v>849.87861183240204</v>
      </c>
      <c r="M2609">
        <v>17.317203371418699</v>
      </c>
      <c r="N2609">
        <v>49.527898712139901</v>
      </c>
      <c r="O2609">
        <v>48.436717510300497</v>
      </c>
      <c r="P2609">
        <v>-8.2868739685193496E-2</v>
      </c>
      <c r="Q2609">
        <v>7.2908458069741097E-2</v>
      </c>
      <c r="R2609">
        <v>0.99286738615324099</v>
      </c>
      <c r="S2609" t="s">
        <v>8470</v>
      </c>
      <c r="T2609" t="s">
        <v>11720</v>
      </c>
      <c r="U2609" t="s">
        <v>11720</v>
      </c>
      <c r="V2609" t="s">
        <v>11720</v>
      </c>
      <c r="W2609" t="s">
        <v>14285</v>
      </c>
      <c r="X2609">
        <v>17</v>
      </c>
      <c r="Y2609" t="s">
        <v>20031</v>
      </c>
      <c r="Z2609" t="s">
        <v>25816</v>
      </c>
      <c r="AA2609">
        <v>0.37072853373475773</v>
      </c>
      <c r="AB2609" t="str">
        <f>HYPERLINK("Melting_Curves/meltCurve_P53367_ARFIP1.pdf", "Melting_Curves/meltCurve_P53367_ARFIP1.pdf")</f>
        <v>Melting_Curves/meltCurve_P53367_ARFIP1.pdf</v>
      </c>
    </row>
    <row r="2610" spans="1:28" x14ac:dyDescent="0.25">
      <c r="A2610" t="s">
        <v>2614</v>
      </c>
      <c r="B2610">
        <v>0.99334974765950101</v>
      </c>
      <c r="C2610">
        <v>1.006217830435</v>
      </c>
      <c r="D2610">
        <v>0.85580395585619695</v>
      </c>
      <c r="E2610">
        <v>0.49513662316276602</v>
      </c>
      <c r="F2610">
        <v>0.16395894689156501</v>
      </c>
      <c r="G2610">
        <v>0.100497653062987</v>
      </c>
      <c r="H2610">
        <v>8.6188936066156893E-2</v>
      </c>
      <c r="I2610">
        <v>8.8322358871676998E-2</v>
      </c>
      <c r="J2610">
        <v>7.0927557498774205E-2</v>
      </c>
      <c r="K2610">
        <v>7.1295782010936504E-2</v>
      </c>
      <c r="L2610">
        <v>1324.57267909504</v>
      </c>
      <c r="M2610">
        <v>26.806854512537299</v>
      </c>
      <c r="N2610">
        <v>49.703502275855499</v>
      </c>
      <c r="O2610">
        <v>49.139200244351997</v>
      </c>
      <c r="P2610">
        <v>-0.126454169633749</v>
      </c>
      <c r="Q2610">
        <v>7.28053109418378E-2</v>
      </c>
      <c r="R2610">
        <v>0.99712871321310803</v>
      </c>
      <c r="S2610" t="s">
        <v>8471</v>
      </c>
      <c r="T2610" t="s">
        <v>11720</v>
      </c>
      <c r="U2610" t="s">
        <v>11720</v>
      </c>
      <c r="V2610" t="s">
        <v>11720</v>
      </c>
      <c r="W2610" t="s">
        <v>14286</v>
      </c>
      <c r="X2610">
        <v>17</v>
      </c>
      <c r="Y2610" t="s">
        <v>20031</v>
      </c>
      <c r="Z2610" t="s">
        <v>25817</v>
      </c>
      <c r="AA2610">
        <v>0.3708363271568364</v>
      </c>
      <c r="AB2610" t="str">
        <f>HYPERLINK("Melting_Curves/meltCurve_P53367_2_ARFIP1.pdf", "Melting_Curves/meltCurve_P53367_2_ARFIP1.pdf")</f>
        <v>Melting_Curves/meltCurve_P53367_2_ARFIP1.pdf</v>
      </c>
    </row>
    <row r="2611" spans="1:28" x14ac:dyDescent="0.25">
      <c r="A2611" t="s">
        <v>2615</v>
      </c>
      <c r="B2611">
        <v>0.99334974765950101</v>
      </c>
      <c r="C2611">
        <v>0.96620462173042698</v>
      </c>
      <c r="D2611">
        <v>0.98219672344676101</v>
      </c>
      <c r="E2611">
        <v>0.79737886913065004</v>
      </c>
      <c r="F2611">
        <v>0.43955680041689998</v>
      </c>
      <c r="G2611">
        <v>0.33598815039194602</v>
      </c>
      <c r="H2611">
        <v>0.17683375031531401</v>
      </c>
      <c r="I2611">
        <v>0.12563813040087499</v>
      </c>
      <c r="J2611">
        <v>5.7737892263064701E-2</v>
      </c>
      <c r="K2611">
        <v>6.5783242658078195E-2</v>
      </c>
      <c r="L2611">
        <v>923.39042437877902</v>
      </c>
      <c r="M2611">
        <v>17.440942330346701</v>
      </c>
      <c r="N2611">
        <v>53.393990482734502</v>
      </c>
      <c r="O2611">
        <v>52.262518679704897</v>
      </c>
      <c r="P2611">
        <v>-7.7729691041393503E-2</v>
      </c>
      <c r="Q2611">
        <v>6.8370873727580606E-2</v>
      </c>
      <c r="R2611">
        <v>0.98753369872183205</v>
      </c>
      <c r="S2611" t="s">
        <v>8472</v>
      </c>
      <c r="T2611" t="s">
        <v>11720</v>
      </c>
      <c r="U2611" t="s">
        <v>11720</v>
      </c>
      <c r="V2611" t="s">
        <v>11720</v>
      </c>
      <c r="W2611" t="s">
        <v>14287</v>
      </c>
      <c r="X2611">
        <v>1</v>
      </c>
      <c r="Y2611" t="s">
        <v>20032</v>
      </c>
      <c r="Z2611" t="s">
        <v>25818</v>
      </c>
      <c r="AA2611">
        <v>0.48638917622546052</v>
      </c>
      <c r="AB2611" t="str">
        <f>HYPERLINK("Melting_Curves/meltCurve_P53370_NUDT6.pdf", "Melting_Curves/meltCurve_P53370_NUDT6.pdf")</f>
        <v>Melting_Curves/meltCurve_P53370_NUDT6.pdf</v>
      </c>
    </row>
    <row r="2612" spans="1:28" x14ac:dyDescent="0.25">
      <c r="A2612" t="s">
        <v>2616</v>
      </c>
      <c r="B2612">
        <v>0.99334974765950101</v>
      </c>
      <c r="C2612">
        <v>0.98080727668933898</v>
      </c>
      <c r="D2612">
        <v>0.87293127040961704</v>
      </c>
      <c r="E2612">
        <v>0.68275880829007296</v>
      </c>
      <c r="F2612">
        <v>0.33414091904860299</v>
      </c>
      <c r="G2612">
        <v>0.15233206462736701</v>
      </c>
      <c r="H2612">
        <v>0.101907796361633</v>
      </c>
      <c r="I2612">
        <v>9.8252711438353096E-2</v>
      </c>
      <c r="J2612">
        <v>9.7983072131658994E-2</v>
      </c>
      <c r="K2612">
        <v>8.5280950661834998E-2</v>
      </c>
      <c r="L2612">
        <v>1143.8861283393001</v>
      </c>
      <c r="M2612">
        <v>22.431622052291601</v>
      </c>
      <c r="N2612">
        <v>51.409515216872997</v>
      </c>
      <c r="O2612">
        <v>50.594260494242597</v>
      </c>
      <c r="P2612">
        <v>-0.10166037265309</v>
      </c>
      <c r="Q2612">
        <v>8.2843706761939404E-2</v>
      </c>
      <c r="R2612">
        <v>0.99620790216430499</v>
      </c>
      <c r="S2612" t="s">
        <v>8473</v>
      </c>
      <c r="T2612" t="s">
        <v>11720</v>
      </c>
      <c r="U2612" t="s">
        <v>11720</v>
      </c>
      <c r="V2612" t="s">
        <v>11720</v>
      </c>
      <c r="W2612" t="s">
        <v>14288</v>
      </c>
      <c r="X2612">
        <v>6</v>
      </c>
      <c r="Y2612" t="s">
        <v>20033</v>
      </c>
      <c r="Z2612" t="s">
        <v>25819</v>
      </c>
      <c r="AA2612">
        <v>0.42919690821697981</v>
      </c>
      <c r="AB2612" t="str">
        <f>HYPERLINK("Melting_Curves/meltCurve_P53384_2_NUBP1.pdf", "Melting_Curves/meltCurve_P53384_2_NUBP1.pdf")</f>
        <v>Melting_Curves/meltCurve_P53384_2_NUBP1.pdf</v>
      </c>
    </row>
    <row r="2613" spans="1:28" x14ac:dyDescent="0.25">
      <c r="A2613" t="s">
        <v>2617</v>
      </c>
      <c r="B2613">
        <v>0.99334974765950101</v>
      </c>
      <c r="C2613">
        <v>1.24390751622798</v>
      </c>
      <c r="D2613">
        <v>1.3979913541234501</v>
      </c>
      <c r="E2613">
        <v>2.6152946671589099</v>
      </c>
      <c r="F2613">
        <v>0.49172299011804199</v>
      </c>
      <c r="G2613">
        <v>0.28457142623760801</v>
      </c>
      <c r="H2613">
        <v>0.18172936968668699</v>
      </c>
      <c r="I2613">
        <v>0.15295946754367501</v>
      </c>
      <c r="J2613">
        <v>0.15406036581097099</v>
      </c>
      <c r="K2613">
        <v>0.11808354253636399</v>
      </c>
      <c r="L2613">
        <v>13224.380241988199</v>
      </c>
      <c r="M2613">
        <v>250</v>
      </c>
      <c r="N2613">
        <v>52.990984688952999</v>
      </c>
      <c r="O2613">
        <v>52.8941556682515</v>
      </c>
      <c r="P2613">
        <v>-0.97094821013916599</v>
      </c>
      <c r="Q2613">
        <v>0.17828053425391799</v>
      </c>
      <c r="R2613">
        <v>0.51953715461825101</v>
      </c>
      <c r="S2613" t="s">
        <v>8474</v>
      </c>
      <c r="T2613" t="s">
        <v>11720</v>
      </c>
      <c r="U2613" t="s">
        <v>11720</v>
      </c>
      <c r="V2613" t="s">
        <v>11720</v>
      </c>
      <c r="W2613" t="s">
        <v>14289</v>
      </c>
      <c r="X2613">
        <v>39</v>
      </c>
      <c r="Y2613" t="s">
        <v>20034</v>
      </c>
      <c r="Z2613" t="s">
        <v>25820</v>
      </c>
      <c r="AA2613">
        <v>0.53162828600121037</v>
      </c>
      <c r="AB2613" t="str">
        <f>HYPERLINK("Melting_Curves/meltCurve_P53396_ACLY.pdf", "Melting_Curves/meltCurve_P53396_ACLY.pdf")</f>
        <v>Melting_Curves/meltCurve_P53396_ACLY.pdf</v>
      </c>
    </row>
    <row r="2614" spans="1:28" x14ac:dyDescent="0.25">
      <c r="A2614" t="s">
        <v>2618</v>
      </c>
      <c r="B2614">
        <v>0.99334974765950101</v>
      </c>
      <c r="C2614">
        <v>0.86763478719185205</v>
      </c>
      <c r="D2614">
        <v>0.48785690186323499</v>
      </c>
      <c r="E2614">
        <v>0.30861260079442798</v>
      </c>
      <c r="F2614">
        <v>0.23384988869362999</v>
      </c>
      <c r="G2614">
        <v>0.11677082574797901</v>
      </c>
      <c r="H2614">
        <v>8.2014000744486407E-2</v>
      </c>
      <c r="I2614">
        <v>9.1641702744387099E-2</v>
      </c>
      <c r="J2614">
        <v>8.2040779530913793E-2</v>
      </c>
      <c r="K2614">
        <v>6.8148678465376297E-2</v>
      </c>
      <c r="L2614">
        <v>818.34265981509304</v>
      </c>
      <c r="M2614">
        <v>17.682873752981799</v>
      </c>
      <c r="N2614">
        <v>46.784128262132903</v>
      </c>
      <c r="O2614">
        <v>45.699127199286302</v>
      </c>
      <c r="P2614">
        <v>-8.8330913834265307E-2</v>
      </c>
      <c r="Q2614">
        <v>8.6928492831282997E-2</v>
      </c>
      <c r="R2614">
        <v>0.98467634425195905</v>
      </c>
      <c r="S2614" t="s">
        <v>8475</v>
      </c>
      <c r="T2614" t="s">
        <v>11720</v>
      </c>
      <c r="U2614" t="s">
        <v>11720</v>
      </c>
      <c r="V2614" t="s">
        <v>11720</v>
      </c>
      <c r="W2614" t="s">
        <v>14290</v>
      </c>
      <c r="X2614">
        <v>7</v>
      </c>
      <c r="Y2614" t="s">
        <v>20035</v>
      </c>
      <c r="Z2614" t="s">
        <v>25821</v>
      </c>
      <c r="AA2614">
        <v>0.29630505446461819</v>
      </c>
      <c r="AB2614" t="str">
        <f>HYPERLINK("Melting_Curves/meltCurve_P53582_METAP1.pdf", "Melting_Curves/meltCurve_P53582_METAP1.pdf")</f>
        <v>Melting_Curves/meltCurve_P53582_METAP1.pdf</v>
      </c>
    </row>
    <row r="2615" spans="1:28" x14ac:dyDescent="0.25">
      <c r="A2615" t="s">
        <v>2619</v>
      </c>
      <c r="B2615">
        <v>0.99334974765950101</v>
      </c>
      <c r="C2615">
        <v>0.88754293068394496</v>
      </c>
      <c r="D2615">
        <v>0.83152274022588601</v>
      </c>
      <c r="E2615">
        <v>0.838019107608999</v>
      </c>
      <c r="F2615">
        <v>0.16159886643148599</v>
      </c>
      <c r="G2615">
        <v>8.91498028753933E-2</v>
      </c>
      <c r="H2615">
        <v>5.9769058792176401E-2</v>
      </c>
      <c r="I2615">
        <v>7.9418542305362799E-2</v>
      </c>
      <c r="J2615">
        <v>7.4596619477857104E-2</v>
      </c>
      <c r="K2615">
        <v>5.2447808897883599E-2</v>
      </c>
      <c r="L2615">
        <v>3291.57520506231</v>
      </c>
      <c r="M2615">
        <v>64.292444621871397</v>
      </c>
      <c r="N2615">
        <v>51.318016149868399</v>
      </c>
      <c r="O2615">
        <v>51.147457160440503</v>
      </c>
      <c r="P2615">
        <v>-0.29213084037753501</v>
      </c>
      <c r="Q2615">
        <v>7.0388741141007904E-2</v>
      </c>
      <c r="R2615">
        <v>0.973368905273572</v>
      </c>
      <c r="S2615" t="s">
        <v>8476</v>
      </c>
      <c r="T2615" t="s">
        <v>11720</v>
      </c>
      <c r="U2615" t="s">
        <v>11720</v>
      </c>
      <c r="V2615" t="s">
        <v>11720</v>
      </c>
      <c r="W2615" t="s">
        <v>14291</v>
      </c>
      <c r="X2615">
        <v>11</v>
      </c>
      <c r="Y2615" t="s">
        <v>20036</v>
      </c>
      <c r="Z2615" t="s">
        <v>25822</v>
      </c>
      <c r="AA2615">
        <v>0.41861510109623512</v>
      </c>
      <c r="AB2615" t="str">
        <f>HYPERLINK("Melting_Curves/meltCurve_P53597_SUCLG1.pdf", "Melting_Curves/meltCurve_P53597_SUCLG1.pdf")</f>
        <v>Melting_Curves/meltCurve_P53597_SUCLG1.pdf</v>
      </c>
    </row>
    <row r="2616" spans="1:28" x14ac:dyDescent="0.25">
      <c r="A2616" t="s">
        <v>2620</v>
      </c>
      <c r="B2616">
        <v>0.99334974765950101</v>
      </c>
      <c r="C2616">
        <v>1.01468673997216</v>
      </c>
      <c r="D2616">
        <v>0.96451415778180305</v>
      </c>
      <c r="E2616">
        <v>0.88838611655470501</v>
      </c>
      <c r="F2616">
        <v>0.41484088614369902</v>
      </c>
      <c r="G2616">
        <v>0.16171559372789299</v>
      </c>
      <c r="H2616">
        <v>0.124963561586431</v>
      </c>
      <c r="I2616">
        <v>9.9076359930667907E-2</v>
      </c>
      <c r="J2616">
        <v>9.5278671724366604E-2</v>
      </c>
      <c r="K2616">
        <v>7.2937700161240196E-2</v>
      </c>
      <c r="L2616">
        <v>2127.0959225390502</v>
      </c>
      <c r="M2616">
        <v>40.713848923355897</v>
      </c>
      <c r="N2616">
        <v>52.543182576537802</v>
      </c>
      <c r="O2616">
        <v>52.119453930617098</v>
      </c>
      <c r="P2616">
        <v>-0.17514829836179699</v>
      </c>
      <c r="Q2616">
        <v>0.10314388981542599</v>
      </c>
      <c r="R2616">
        <v>0.99769389349267201</v>
      </c>
      <c r="S2616" t="s">
        <v>8477</v>
      </c>
      <c r="T2616" t="s">
        <v>11720</v>
      </c>
      <c r="U2616" t="s">
        <v>11720</v>
      </c>
      <c r="V2616" t="s">
        <v>11720</v>
      </c>
      <c r="W2616" t="s">
        <v>14292</v>
      </c>
      <c r="X2616">
        <v>20</v>
      </c>
      <c r="Y2616" t="s">
        <v>20037</v>
      </c>
      <c r="Z2616" t="s">
        <v>25823</v>
      </c>
      <c r="AA2616">
        <v>0.4723351656417491</v>
      </c>
      <c r="AB2616" t="str">
        <f>HYPERLINK("Melting_Curves/meltCurve_P53602_MVD.pdf", "Melting_Curves/meltCurve_P53602_MVD.pdf")</f>
        <v>Melting_Curves/meltCurve_P53602_MVD.pdf</v>
      </c>
    </row>
    <row r="2617" spans="1:28" x14ac:dyDescent="0.25">
      <c r="A2617" t="s">
        <v>2621</v>
      </c>
      <c r="B2617">
        <v>0.99334974765950101</v>
      </c>
      <c r="C2617">
        <v>0.99237725688980905</v>
      </c>
      <c r="D2617">
        <v>0.92625205408737898</v>
      </c>
      <c r="E2617">
        <v>0.771380961486134</v>
      </c>
      <c r="F2617">
        <v>0.45993106662632499</v>
      </c>
      <c r="G2617">
        <v>0.19568656371370499</v>
      </c>
      <c r="H2617">
        <v>0.13328286144242499</v>
      </c>
      <c r="I2617">
        <v>8.8574417479096099E-2</v>
      </c>
      <c r="J2617">
        <v>7.0029297891640599E-2</v>
      </c>
      <c r="K2617">
        <v>6.0776241534158698E-2</v>
      </c>
      <c r="L2617">
        <v>1127.0165675016201</v>
      </c>
      <c r="M2617">
        <v>21.534616095590401</v>
      </c>
      <c r="N2617">
        <v>52.690133813200497</v>
      </c>
      <c r="O2617">
        <v>51.890063325093898</v>
      </c>
      <c r="P2617">
        <v>-9.6747037798005101E-2</v>
      </c>
      <c r="Q2617">
        <v>6.7531190399349406E-2</v>
      </c>
      <c r="R2617">
        <v>0.99854508689953603</v>
      </c>
      <c r="S2617" t="s">
        <v>8478</v>
      </c>
      <c r="T2617" t="s">
        <v>11720</v>
      </c>
      <c r="U2617" t="s">
        <v>11720</v>
      </c>
      <c r="V2617" t="s">
        <v>11720</v>
      </c>
      <c r="W2617" t="s">
        <v>14293</v>
      </c>
      <c r="X2617">
        <v>11</v>
      </c>
      <c r="Y2617" t="s">
        <v>20038</v>
      </c>
      <c r="Z2617" t="s">
        <v>25824</v>
      </c>
      <c r="AA2617">
        <v>0.46221895186991241</v>
      </c>
      <c r="AB2617" t="str">
        <f>HYPERLINK("Melting_Curves/meltCurve_P53609_PGGT1B.pdf", "Melting_Curves/meltCurve_P53609_PGGT1B.pdf")</f>
        <v>Melting_Curves/meltCurve_P53609_PGGT1B.pdf</v>
      </c>
    </row>
    <row r="2618" spans="1:28" x14ac:dyDescent="0.25">
      <c r="A2618" t="s">
        <v>2622</v>
      </c>
      <c r="B2618">
        <v>0.99334974765950101</v>
      </c>
      <c r="C2618">
        <v>0.98567264073737604</v>
      </c>
      <c r="D2618">
        <v>0.93555575764788301</v>
      </c>
      <c r="E2618">
        <v>0.77907245728959895</v>
      </c>
      <c r="F2618">
        <v>0.51615000248250698</v>
      </c>
      <c r="G2618">
        <v>0.248548437377728</v>
      </c>
      <c r="H2618">
        <v>0.16547658538844601</v>
      </c>
      <c r="I2618">
        <v>0.13285852225912401</v>
      </c>
      <c r="J2618">
        <v>0.142495724325651</v>
      </c>
      <c r="K2618">
        <v>0.13736807371387899</v>
      </c>
      <c r="L2618">
        <v>1129.7142499025099</v>
      </c>
      <c r="M2618">
        <v>21.551217441180601</v>
      </c>
      <c r="N2618">
        <v>53.136460356728598</v>
      </c>
      <c r="O2618">
        <v>51.974894688084099</v>
      </c>
      <c r="P2618">
        <v>-9.0592837226227602E-2</v>
      </c>
      <c r="Q2618">
        <v>0.12609315148271</v>
      </c>
      <c r="R2618">
        <v>0.99923397963153704</v>
      </c>
      <c r="S2618" t="s">
        <v>8479</v>
      </c>
      <c r="T2618" t="s">
        <v>11720</v>
      </c>
      <c r="U2618" t="s">
        <v>11720</v>
      </c>
      <c r="V2618" t="s">
        <v>11720</v>
      </c>
      <c r="W2618" t="s">
        <v>14294</v>
      </c>
      <c r="X2618">
        <v>6</v>
      </c>
      <c r="Y2618" t="s">
        <v>20039</v>
      </c>
      <c r="Z2618" t="s">
        <v>25825</v>
      </c>
      <c r="AA2618">
        <v>0.49845069860451863</v>
      </c>
      <c r="AB2618" t="str">
        <f>HYPERLINK("Melting_Curves/meltCurve_P53611_RABGGTB.pdf", "Melting_Curves/meltCurve_P53611_RABGGTB.pdf")</f>
        <v>Melting_Curves/meltCurve_P53611_RABGGTB.pdf</v>
      </c>
    </row>
    <row r="2619" spans="1:28" x14ac:dyDescent="0.25">
      <c r="A2619" t="s">
        <v>2623</v>
      </c>
      <c r="B2619">
        <v>0.99334974765950101</v>
      </c>
      <c r="C2619">
        <v>0.99474758196927204</v>
      </c>
      <c r="D2619">
        <v>1.09497391559257</v>
      </c>
      <c r="E2619">
        <v>1.28964654970612</v>
      </c>
      <c r="F2619">
        <v>0.71721515505367595</v>
      </c>
      <c r="G2619">
        <v>0.28997839352529398</v>
      </c>
      <c r="H2619">
        <v>0.17795641508196899</v>
      </c>
      <c r="I2619">
        <v>0.12646350381978799</v>
      </c>
      <c r="J2619">
        <v>0.120546331660476</v>
      </c>
      <c r="K2619">
        <v>9.8250771561434802E-2</v>
      </c>
      <c r="L2619">
        <v>2371.5465097177498</v>
      </c>
      <c r="M2619">
        <v>43.654162213414601</v>
      </c>
      <c r="N2619">
        <v>54.730707748586802</v>
      </c>
      <c r="O2619">
        <v>54.212150771748597</v>
      </c>
      <c r="P2619">
        <v>-0.17353009122305799</v>
      </c>
      <c r="Q2619">
        <v>0.13800423748726801</v>
      </c>
      <c r="R2619">
        <v>0.94319616889639601</v>
      </c>
      <c r="S2619" t="s">
        <v>8480</v>
      </c>
      <c r="T2619" t="s">
        <v>11720</v>
      </c>
      <c r="U2619" t="s">
        <v>11720</v>
      </c>
      <c r="V2619" t="s">
        <v>11720</v>
      </c>
      <c r="W2619" t="s">
        <v>13977</v>
      </c>
      <c r="X2619">
        <v>31</v>
      </c>
      <c r="Y2619" t="s">
        <v>20040</v>
      </c>
      <c r="Z2619" t="s">
        <v>25826</v>
      </c>
      <c r="AA2619">
        <v>0.55234070787713585</v>
      </c>
      <c r="AB2619" t="str">
        <f>HYPERLINK("Melting_Curves/meltCurve_P53618_COPB1.pdf", "Melting_Curves/meltCurve_P53618_COPB1.pdf")</f>
        <v>Melting_Curves/meltCurve_P53618_COPB1.pdf</v>
      </c>
    </row>
    <row r="2620" spans="1:28" x14ac:dyDescent="0.25">
      <c r="A2620" t="s">
        <v>2624</v>
      </c>
      <c r="B2620">
        <v>0.99334974765950101</v>
      </c>
      <c r="C2620">
        <v>1.09669424308103</v>
      </c>
      <c r="D2620">
        <v>1.1727569280247501</v>
      </c>
      <c r="E2620">
        <v>1.5635240240794801</v>
      </c>
      <c r="F2620">
        <v>0.63594310297832901</v>
      </c>
      <c r="G2620">
        <v>0.29229471741692498</v>
      </c>
      <c r="H2620">
        <v>0.20939057447818299</v>
      </c>
      <c r="I2620">
        <v>0.17045120556606899</v>
      </c>
      <c r="J2620">
        <v>0.13828372507054701</v>
      </c>
      <c r="K2620">
        <v>0.109480055943263</v>
      </c>
      <c r="L2620">
        <v>13261.4635628867</v>
      </c>
      <c r="M2620">
        <v>250</v>
      </c>
      <c r="N2620">
        <v>53.143387207912703</v>
      </c>
      <c r="O2620">
        <v>53.042460091976999</v>
      </c>
      <c r="P2620">
        <v>-0.96151740787373297</v>
      </c>
      <c r="Q2620">
        <v>0.18398002770907601</v>
      </c>
      <c r="R2620">
        <v>0.85099535687872996</v>
      </c>
      <c r="S2620" t="s">
        <v>8481</v>
      </c>
      <c r="T2620" t="s">
        <v>11720</v>
      </c>
      <c r="U2620" t="s">
        <v>11720</v>
      </c>
      <c r="V2620" t="s">
        <v>11720</v>
      </c>
      <c r="W2620" t="s">
        <v>14295</v>
      </c>
      <c r="X2620">
        <v>21</v>
      </c>
      <c r="Y2620" t="s">
        <v>20041</v>
      </c>
      <c r="Z2620" t="s">
        <v>25827</v>
      </c>
      <c r="AA2620">
        <v>0.5389119156302975</v>
      </c>
      <c r="AB2620" t="str">
        <f>HYPERLINK("Melting_Curves/meltCurve_P53621_COPA.pdf", "Melting_Curves/meltCurve_P53621_COPA.pdf")</f>
        <v>Melting_Curves/meltCurve_P53621_COPA.pdf</v>
      </c>
    </row>
    <row r="2621" spans="1:28" x14ac:dyDescent="0.25">
      <c r="A2621" t="s">
        <v>2625</v>
      </c>
      <c r="B2621">
        <v>0.99334974765950101</v>
      </c>
      <c r="C2621">
        <v>1.04747378159291</v>
      </c>
      <c r="D2621">
        <v>1.08589132726022</v>
      </c>
      <c r="E2621">
        <v>1.2432468079216099</v>
      </c>
      <c r="F2621">
        <v>1.23940254105026</v>
      </c>
      <c r="G2621">
        <v>1.43904783867178</v>
      </c>
      <c r="H2621">
        <v>1.3507531197695699</v>
      </c>
      <c r="I2621">
        <v>1.7736904127987401</v>
      </c>
      <c r="J2621">
        <v>1.0513552879838199</v>
      </c>
      <c r="K2621">
        <v>0.77458621763785196</v>
      </c>
      <c r="L2621">
        <v>1465.45107943118</v>
      </c>
      <c r="M2621">
        <v>31.2374728919064</v>
      </c>
      <c r="O2621">
        <v>46.722233881067702</v>
      </c>
      <c r="P2621">
        <v>4.5681354256952703E-2</v>
      </c>
      <c r="Q2621">
        <v>1.2733029094724699</v>
      </c>
      <c r="R2621">
        <v>0.15867570585732099</v>
      </c>
      <c r="S2621" t="s">
        <v>8482</v>
      </c>
      <c r="T2621" t="s">
        <v>11720</v>
      </c>
      <c r="U2621" t="s">
        <v>11720</v>
      </c>
      <c r="V2621" t="s">
        <v>11720</v>
      </c>
      <c r="W2621" t="s">
        <v>14296</v>
      </c>
      <c r="X2621">
        <v>17</v>
      </c>
      <c r="Y2621" t="s">
        <v>20042</v>
      </c>
      <c r="Z2621" t="s">
        <v>25828</v>
      </c>
      <c r="AA2621">
        <v>1.2088191127316861</v>
      </c>
      <c r="AB2621" t="str">
        <f>HYPERLINK("Melting_Curves/meltCurve_P53634_CTSC.pdf", "Melting_Curves/meltCurve_P53634_CTSC.pdf")</f>
        <v>Melting_Curves/meltCurve_P53634_CTSC.pdf</v>
      </c>
    </row>
    <row r="2622" spans="1:28" x14ac:dyDescent="0.25">
      <c r="A2622" t="s">
        <v>2626</v>
      </c>
      <c r="B2622">
        <v>0.99334974765950101</v>
      </c>
      <c r="C2622">
        <v>0.91642009976139904</v>
      </c>
      <c r="D2622">
        <v>0.850785016883437</v>
      </c>
      <c r="E2622">
        <v>0.84747493244889205</v>
      </c>
      <c r="F2622">
        <v>1.0033999254816699</v>
      </c>
      <c r="G2622">
        <v>0.68604437348664704</v>
      </c>
      <c r="H2622">
        <v>0.48631637753814699</v>
      </c>
      <c r="I2622">
        <v>0.327905230769449</v>
      </c>
      <c r="J2622">
        <v>0.239497171269755</v>
      </c>
      <c r="K2622">
        <v>0.149535756361272</v>
      </c>
      <c r="L2622">
        <v>798.37312619939598</v>
      </c>
      <c r="M2622">
        <v>13.1275534209427</v>
      </c>
      <c r="N2622">
        <v>60.816597103558401</v>
      </c>
      <c r="O2622">
        <v>59.457272485836299</v>
      </c>
      <c r="P2622">
        <v>-5.5206813111852299E-2</v>
      </c>
      <c r="Q2622">
        <v>0</v>
      </c>
      <c r="R2622">
        <v>0.94542523187307304</v>
      </c>
      <c r="S2622" t="s">
        <v>8483</v>
      </c>
      <c r="T2622" t="s">
        <v>11720</v>
      </c>
      <c r="U2622" t="s">
        <v>11720</v>
      </c>
      <c r="V2622" t="s">
        <v>11720</v>
      </c>
      <c r="W2622" t="s">
        <v>14297</v>
      </c>
      <c r="X2622">
        <v>15</v>
      </c>
      <c r="Y2622" t="s">
        <v>20043</v>
      </c>
      <c r="Z2622" t="s">
        <v>25829</v>
      </c>
      <c r="AA2622">
        <v>0.69401191696361619</v>
      </c>
      <c r="AB2622" t="str">
        <f>HYPERLINK("Melting_Curves/meltCurve_P53701_HCCS.pdf", "Melting_Curves/meltCurve_P53701_HCCS.pdf")</f>
        <v>Melting_Curves/meltCurve_P53701_HCCS.pdf</v>
      </c>
    </row>
    <row r="2623" spans="1:28" x14ac:dyDescent="0.25">
      <c r="A2623" t="s">
        <v>2627</v>
      </c>
      <c r="B2623">
        <v>0.99334974765950101</v>
      </c>
      <c r="C2623">
        <v>0.97418187212101404</v>
      </c>
      <c r="D2623">
        <v>0.85093473607080194</v>
      </c>
      <c r="E2623">
        <v>0.74921184065540603</v>
      </c>
      <c r="F2623">
        <v>0.35893066890039199</v>
      </c>
      <c r="G2623">
        <v>0.123050864714668</v>
      </c>
      <c r="H2623">
        <v>9.6693654795027603E-2</v>
      </c>
      <c r="I2623">
        <v>6.1241690181135601E-2</v>
      </c>
      <c r="J2623">
        <v>6.5819059074579897E-2</v>
      </c>
      <c r="K2623">
        <v>5.0076694839798999E-2</v>
      </c>
      <c r="L2623">
        <v>1196.6377391746701</v>
      </c>
      <c r="M2623">
        <v>23.197165324859899</v>
      </c>
      <c r="N2623">
        <v>51.829117940253099</v>
      </c>
      <c r="O2623">
        <v>51.206742504818997</v>
      </c>
      <c r="P2623">
        <v>-0.107405272987689</v>
      </c>
      <c r="Q2623">
        <v>5.1647136241800298E-2</v>
      </c>
      <c r="R2623">
        <v>0.99059558186921404</v>
      </c>
      <c r="S2623" t="s">
        <v>8484</v>
      </c>
      <c r="T2623" t="s">
        <v>11720</v>
      </c>
      <c r="U2623" t="s">
        <v>11720</v>
      </c>
      <c r="V2623" t="s">
        <v>11720</v>
      </c>
      <c r="W2623" t="s">
        <v>14298</v>
      </c>
      <c r="X2623">
        <v>7</v>
      </c>
      <c r="Y2623" t="s">
        <v>20044</v>
      </c>
      <c r="Z2623" t="s">
        <v>25830</v>
      </c>
      <c r="AA2623">
        <v>0.42784497782585967</v>
      </c>
      <c r="AB2623" t="str">
        <f>HYPERLINK("Melting_Curves/meltCurve_P53778_MAPK12.pdf", "Melting_Curves/meltCurve_P53778_MAPK12.pdf")</f>
        <v>Melting_Curves/meltCurve_P53778_MAPK12.pdf</v>
      </c>
    </row>
    <row r="2624" spans="1:28" x14ac:dyDescent="0.25">
      <c r="A2624" t="s">
        <v>2628</v>
      </c>
      <c r="B2624">
        <v>0.99334974765950101</v>
      </c>
      <c r="C2624">
        <v>1.0368934571797499</v>
      </c>
      <c r="D2624">
        <v>1.0977014161996199</v>
      </c>
      <c r="E2624">
        <v>0.88949304349358305</v>
      </c>
      <c r="F2624">
        <v>0.86738470736912199</v>
      </c>
      <c r="G2624">
        <v>0.54769281980993501</v>
      </c>
      <c r="H2624">
        <v>0.53121360480251301</v>
      </c>
      <c r="I2624">
        <v>0.56896727351767895</v>
      </c>
      <c r="J2624">
        <v>0.62283976405808905</v>
      </c>
      <c r="K2624">
        <v>0.41572721594052398</v>
      </c>
      <c r="L2624">
        <v>1964.1848148552599</v>
      </c>
      <c r="M2624">
        <v>36.452679151876701</v>
      </c>
      <c r="O2624">
        <v>53.721751695246802</v>
      </c>
      <c r="P2624">
        <v>-8.0312718534911606E-2</v>
      </c>
      <c r="Q2624">
        <v>0.52656136293415301</v>
      </c>
      <c r="R2624">
        <v>0.91949001372021799</v>
      </c>
      <c r="S2624" t="s">
        <v>8485</v>
      </c>
      <c r="T2624" t="s">
        <v>11720</v>
      </c>
      <c r="U2624" t="s">
        <v>11720</v>
      </c>
      <c r="V2624" t="s">
        <v>11720</v>
      </c>
      <c r="W2624" t="s">
        <v>14299</v>
      </c>
      <c r="X2624">
        <v>1</v>
      </c>
      <c r="Y2624" t="s">
        <v>20045</v>
      </c>
      <c r="Z2624" t="s">
        <v>25831</v>
      </c>
      <c r="AA2624">
        <v>0.74777333626109299</v>
      </c>
      <c r="AB2624" t="str">
        <f>HYPERLINK("Melting_Curves/meltCurve_P53794_SLC5A3.pdf", "Melting_Curves/meltCurve_P53794_SLC5A3.pdf")</f>
        <v>Melting_Curves/meltCurve_P53794_SLC5A3.pdf</v>
      </c>
    </row>
    <row r="2625" spans="1:28" x14ac:dyDescent="0.25">
      <c r="A2625" t="s">
        <v>2629</v>
      </c>
      <c r="B2625">
        <v>0.99334974765950101</v>
      </c>
      <c r="C2625">
        <v>0.87213987939758897</v>
      </c>
      <c r="D2625">
        <v>0.89582419255763102</v>
      </c>
      <c r="E2625">
        <v>0.76917791903252697</v>
      </c>
      <c r="F2625">
        <v>0.63147373232635096</v>
      </c>
      <c r="G2625">
        <v>0.71111111855240805</v>
      </c>
      <c r="H2625">
        <v>0.58836815678641097</v>
      </c>
      <c r="I2625">
        <v>0.50293308078847498</v>
      </c>
      <c r="J2625">
        <v>0.53813671002782903</v>
      </c>
      <c r="K2625">
        <v>0.41128660496723002</v>
      </c>
      <c r="L2625">
        <v>319.90403957401099</v>
      </c>
      <c r="M2625">
        <v>5.4754352010971603</v>
      </c>
      <c r="N2625">
        <v>65.987262318536807</v>
      </c>
      <c r="O2625">
        <v>52.014311127290803</v>
      </c>
      <c r="P2625">
        <v>-2.0274661771438902E-2</v>
      </c>
      <c r="Q2625">
        <v>0.233029018737966</v>
      </c>
      <c r="R2625">
        <v>0.927963376425187</v>
      </c>
      <c r="S2625" t="s">
        <v>8486</v>
      </c>
      <c r="T2625" t="s">
        <v>11720</v>
      </c>
      <c r="U2625" t="s">
        <v>11720</v>
      </c>
      <c r="V2625" t="s">
        <v>11720</v>
      </c>
      <c r="W2625" t="s">
        <v>14300</v>
      </c>
      <c r="X2625">
        <v>5</v>
      </c>
      <c r="Y2625" t="s">
        <v>20046</v>
      </c>
      <c r="Z2625" t="s">
        <v>25832</v>
      </c>
      <c r="AA2625">
        <v>0.68968855038176535</v>
      </c>
      <c r="AB2625" t="str">
        <f>HYPERLINK("Melting_Curves/meltCurve_P53801_PTTG1IP.pdf", "Melting_Curves/meltCurve_P53801_PTTG1IP.pdf")</f>
        <v>Melting_Curves/meltCurve_P53801_PTTG1IP.pdf</v>
      </c>
    </row>
    <row r="2626" spans="1:28" x14ac:dyDescent="0.25">
      <c r="A2626" t="s">
        <v>2630</v>
      </c>
      <c r="B2626">
        <v>0.99334974765950101</v>
      </c>
      <c r="C2626">
        <v>1.0456727744102301</v>
      </c>
      <c r="D2626">
        <v>1.1193459691479399</v>
      </c>
      <c r="E2626">
        <v>0.77131617323260204</v>
      </c>
      <c r="F2626">
        <v>0.35663693630528398</v>
      </c>
      <c r="G2626">
        <v>0.283743027517116</v>
      </c>
      <c r="H2626">
        <v>0.175308447009938</v>
      </c>
      <c r="I2626">
        <v>0.116355002080922</v>
      </c>
      <c r="J2626">
        <v>7.3014766921118399E-2</v>
      </c>
      <c r="K2626">
        <v>7.2137772899457595E-2</v>
      </c>
      <c r="L2626">
        <v>1668.78604942171</v>
      </c>
      <c r="M2626">
        <v>32.3286009972282</v>
      </c>
      <c r="N2626">
        <v>52.100635286604501</v>
      </c>
      <c r="O2626">
        <v>51.423185576272999</v>
      </c>
      <c r="P2626">
        <v>-0.136887669015057</v>
      </c>
      <c r="Q2626">
        <v>0.12904787703302101</v>
      </c>
      <c r="R2626">
        <v>0.97416971255047702</v>
      </c>
      <c r="S2626" t="s">
        <v>8487</v>
      </c>
      <c r="T2626" t="s">
        <v>11720</v>
      </c>
      <c r="U2626" t="s">
        <v>11720</v>
      </c>
      <c r="V2626" t="s">
        <v>11720</v>
      </c>
      <c r="W2626" t="s">
        <v>14301</v>
      </c>
      <c r="X2626">
        <v>4</v>
      </c>
      <c r="Y2626" t="s">
        <v>20047</v>
      </c>
      <c r="Z2626" t="s">
        <v>25833</v>
      </c>
      <c r="AA2626">
        <v>0.47114659942913723</v>
      </c>
      <c r="AB2626" t="str">
        <f>HYPERLINK("Melting_Curves/meltCurve_P53805_RCAN1.pdf", "Melting_Curves/meltCurve_P53805_RCAN1.pdf")</f>
        <v>Melting_Curves/meltCurve_P53805_RCAN1.pdf</v>
      </c>
    </row>
    <row r="2627" spans="1:28" x14ac:dyDescent="0.25">
      <c r="A2627" t="s">
        <v>2631</v>
      </c>
      <c r="B2627">
        <v>0.99334974765950101</v>
      </c>
      <c r="C2627">
        <v>0.93949311214299003</v>
      </c>
      <c r="D2627">
        <v>0.70275033059736103</v>
      </c>
      <c r="E2627">
        <v>0.51248928884435796</v>
      </c>
      <c r="F2627">
        <v>0.36457629563355898</v>
      </c>
      <c r="G2627">
        <v>0.24968548084914599</v>
      </c>
      <c r="H2627">
        <v>0.20288576342727099</v>
      </c>
      <c r="I2627">
        <v>0.200999388659022</v>
      </c>
      <c r="J2627">
        <v>0.21922865774421799</v>
      </c>
      <c r="K2627">
        <v>0.19818083314092599</v>
      </c>
      <c r="L2627">
        <v>763.34322227189705</v>
      </c>
      <c r="M2627">
        <v>15.791720604216399</v>
      </c>
      <c r="N2627">
        <v>49.860060556060802</v>
      </c>
      <c r="O2627">
        <v>47.5829856584227</v>
      </c>
      <c r="P2627">
        <v>-6.7108809822489998E-2</v>
      </c>
      <c r="Q2627">
        <v>0.191228770183237</v>
      </c>
      <c r="R2627">
        <v>0.99401362650855396</v>
      </c>
      <c r="S2627" t="s">
        <v>8488</v>
      </c>
      <c r="T2627" t="s">
        <v>11720</v>
      </c>
      <c r="U2627" t="s">
        <v>11720</v>
      </c>
      <c r="V2627" t="s">
        <v>11720</v>
      </c>
      <c r="W2627" t="s">
        <v>14302</v>
      </c>
      <c r="X2627">
        <v>38</v>
      </c>
      <c r="Y2627" t="s">
        <v>20048</v>
      </c>
      <c r="Z2627" t="s">
        <v>25834</v>
      </c>
      <c r="AA2627">
        <v>0.43454362953571518</v>
      </c>
      <c r="AB2627" t="str">
        <f>HYPERLINK("Melting_Curves/meltCurve_P53814_5_SMTN.pdf", "Melting_Curves/meltCurve_P53814_5_SMTN.pdf")</f>
        <v>Melting_Curves/meltCurve_P53814_5_SMTN.pdf</v>
      </c>
    </row>
    <row r="2628" spans="1:28" x14ac:dyDescent="0.25">
      <c r="A2628" t="s">
        <v>2632</v>
      </c>
      <c r="B2628">
        <v>0.99334974765950101</v>
      </c>
      <c r="C2628">
        <v>1.17077628727532</v>
      </c>
      <c r="D2628">
        <v>1.3109724037580499</v>
      </c>
      <c r="E2628">
        <v>1.6419590034028</v>
      </c>
      <c r="F2628">
        <v>3.0513583734671501</v>
      </c>
      <c r="G2628">
        <v>2.1801383155637999</v>
      </c>
      <c r="H2628">
        <v>2.5060344776701702</v>
      </c>
      <c r="I2628">
        <v>2.72451746458347</v>
      </c>
      <c r="J2628">
        <v>4.08495345985484</v>
      </c>
      <c r="K2628">
        <v>2.79064158844555</v>
      </c>
      <c r="L2628">
        <v>1649.92769827303</v>
      </c>
      <c r="M2628">
        <v>37.3019131701897</v>
      </c>
      <c r="O2628">
        <v>44.105169108115703</v>
      </c>
      <c r="P2628">
        <v>0.10571894360907599</v>
      </c>
      <c r="Q2628">
        <v>1.5</v>
      </c>
      <c r="R2628">
        <v>-0.60208902088960203</v>
      </c>
      <c r="S2628" t="s">
        <v>8489</v>
      </c>
      <c r="T2628" t="s">
        <v>11720</v>
      </c>
      <c r="U2628" t="s">
        <v>11720</v>
      </c>
      <c r="V2628" t="s">
        <v>11720</v>
      </c>
      <c r="W2628" t="s">
        <v>14303</v>
      </c>
      <c r="X2628">
        <v>6</v>
      </c>
      <c r="Y2628" t="s">
        <v>20049</v>
      </c>
      <c r="Z2628" t="s">
        <v>25835</v>
      </c>
      <c r="AA2628">
        <v>1.427415397277018</v>
      </c>
      <c r="AB2628" t="str">
        <f>HYPERLINK("Melting_Curves/meltCurve_P53985_SLC16A1.pdf", "Melting_Curves/meltCurve_P53985_SLC16A1.pdf")</f>
        <v>Melting_Curves/meltCurve_P53985_SLC16A1.pdf</v>
      </c>
    </row>
    <row r="2629" spans="1:28" x14ac:dyDescent="0.25">
      <c r="A2629" t="s">
        <v>2633</v>
      </c>
      <c r="B2629">
        <v>0.99334974765950101</v>
      </c>
      <c r="C2629">
        <v>0.96557934874586404</v>
      </c>
      <c r="D2629">
        <v>0.89602925024591396</v>
      </c>
      <c r="E2629">
        <v>0.69915549073949601</v>
      </c>
      <c r="F2629">
        <v>0.27548157599247503</v>
      </c>
      <c r="G2629">
        <v>0.19288744036865599</v>
      </c>
      <c r="H2629">
        <v>0.143185461488581</v>
      </c>
      <c r="I2629">
        <v>0.12490475307834301</v>
      </c>
      <c r="J2629">
        <v>0.12613909561730799</v>
      </c>
      <c r="K2629">
        <v>8.9894469518936898E-2</v>
      </c>
      <c r="L2629">
        <v>1483.9940395748299</v>
      </c>
      <c r="M2629">
        <v>29.223741292325599</v>
      </c>
      <c r="N2629">
        <v>51.269359615008398</v>
      </c>
      <c r="O2629">
        <v>50.544417100393702</v>
      </c>
      <c r="P2629">
        <v>-0.12696650231631601</v>
      </c>
      <c r="Q2629">
        <v>0.12161792454681</v>
      </c>
      <c r="R2629">
        <v>0.99164204477989104</v>
      </c>
      <c r="S2629" t="s">
        <v>8490</v>
      </c>
      <c r="T2629" t="s">
        <v>11720</v>
      </c>
      <c r="U2629" t="s">
        <v>11720</v>
      </c>
      <c r="V2629" t="s">
        <v>11720</v>
      </c>
      <c r="W2629" t="s">
        <v>14304</v>
      </c>
      <c r="X2629">
        <v>10</v>
      </c>
      <c r="Y2629" t="s">
        <v>20050</v>
      </c>
      <c r="Z2629" t="s">
        <v>25836</v>
      </c>
      <c r="AA2629">
        <v>0.44306238077801191</v>
      </c>
      <c r="AB2629" t="str">
        <f>HYPERLINK("Melting_Curves/meltCurve_P53990_2_IST1.pdf", "Melting_Curves/meltCurve_P53990_2_IST1.pdf")</f>
        <v>Melting_Curves/meltCurve_P53990_2_IST1.pdf</v>
      </c>
    </row>
    <row r="2630" spans="1:28" x14ac:dyDescent="0.25">
      <c r="A2630" t="s">
        <v>2634</v>
      </c>
      <c r="B2630">
        <v>0.99334974765950101</v>
      </c>
      <c r="C2630">
        <v>0.97990665066773197</v>
      </c>
      <c r="D2630">
        <v>1.18733738983938</v>
      </c>
      <c r="E2630">
        <v>0.80502166389452001</v>
      </c>
      <c r="F2630">
        <v>0.158773849511231</v>
      </c>
      <c r="G2630">
        <v>9.8281227802095805E-2</v>
      </c>
      <c r="H2630">
        <v>7.4097407298523293E-2</v>
      </c>
      <c r="I2630">
        <v>6.0867870108836902E-2</v>
      </c>
      <c r="J2630">
        <v>5.3812194779054801E-2</v>
      </c>
      <c r="K2630">
        <v>4.3181463906283697E-2</v>
      </c>
      <c r="L2630">
        <v>3164.4635202444301</v>
      </c>
      <c r="M2630">
        <v>61.9392222009918</v>
      </c>
      <c r="N2630">
        <v>51.206946719257701</v>
      </c>
      <c r="O2630">
        <v>51.036642221655903</v>
      </c>
      <c r="P2630">
        <v>-0.28336346809302998</v>
      </c>
      <c r="Q2630">
        <v>6.6057722365587795E-2</v>
      </c>
      <c r="R2630">
        <v>0.98181332249109798</v>
      </c>
      <c r="S2630" t="s">
        <v>8491</v>
      </c>
      <c r="T2630" t="s">
        <v>11720</v>
      </c>
      <c r="U2630" t="s">
        <v>11720</v>
      </c>
      <c r="V2630" t="s">
        <v>11720</v>
      </c>
      <c r="W2630" t="s">
        <v>14305</v>
      </c>
      <c r="X2630">
        <v>22</v>
      </c>
      <c r="Y2630" t="s">
        <v>20051</v>
      </c>
      <c r="Z2630" t="s">
        <v>25837</v>
      </c>
      <c r="AA2630">
        <v>0.41266819339617222</v>
      </c>
      <c r="AB2630" t="str">
        <f>HYPERLINK("Melting_Curves/meltCurve_P53992_SEC24C.pdf", "Melting_Curves/meltCurve_P53992_SEC24C.pdf")</f>
        <v>Melting_Curves/meltCurve_P53992_SEC24C.pdf</v>
      </c>
    </row>
    <row r="2631" spans="1:28" x14ac:dyDescent="0.25">
      <c r="A2631" t="s">
        <v>2635</v>
      </c>
      <c r="B2631">
        <v>0.99334974765950101</v>
      </c>
      <c r="C2631">
        <v>1.07568028871462</v>
      </c>
      <c r="D2631">
        <v>0.94285491154108303</v>
      </c>
      <c r="E2631">
        <v>0.80838822962661905</v>
      </c>
      <c r="F2631">
        <v>0.65958621656485805</v>
      </c>
      <c r="G2631">
        <v>0.40641924069561902</v>
      </c>
      <c r="H2631">
        <v>0.29745768502976</v>
      </c>
      <c r="I2631">
        <v>0.29210128297806998</v>
      </c>
      <c r="J2631">
        <v>0.32585071361589701</v>
      </c>
      <c r="K2631">
        <v>0.36950940725736098</v>
      </c>
      <c r="L2631">
        <v>1171.1295140944601</v>
      </c>
      <c r="M2631">
        <v>22.2694037318456</v>
      </c>
      <c r="N2631">
        <v>54.978397026616598</v>
      </c>
      <c r="O2631">
        <v>52.170618213892297</v>
      </c>
      <c r="P2631">
        <v>-7.3630602373700602E-2</v>
      </c>
      <c r="Q2631">
        <v>0.31003588716328001</v>
      </c>
      <c r="R2631">
        <v>0.98277919875591102</v>
      </c>
      <c r="S2631" t="s">
        <v>8492</v>
      </c>
      <c r="T2631" t="s">
        <v>11720</v>
      </c>
      <c r="U2631" t="s">
        <v>11720</v>
      </c>
      <c r="V2631" t="s">
        <v>11720</v>
      </c>
      <c r="W2631" t="s">
        <v>14306</v>
      </c>
      <c r="X2631">
        <v>8</v>
      </c>
      <c r="Y2631" t="s">
        <v>20052</v>
      </c>
      <c r="Z2631" t="s">
        <v>25838</v>
      </c>
      <c r="AA2631">
        <v>0.60742788638768419</v>
      </c>
      <c r="AB2631" t="str">
        <f>HYPERLINK("Melting_Curves/meltCurve_P53999_SUB1.pdf", "Melting_Curves/meltCurve_P53999_SUB1.pdf")</f>
        <v>Melting_Curves/meltCurve_P53999_SUB1.pdf</v>
      </c>
    </row>
    <row r="2632" spans="1:28" x14ac:dyDescent="0.25">
      <c r="A2632" t="s">
        <v>2636</v>
      </c>
      <c r="B2632">
        <v>0.99334974765950101</v>
      </c>
      <c r="C2632">
        <v>0.96769250301157606</v>
      </c>
      <c r="D2632">
        <v>0.58643110805244603</v>
      </c>
      <c r="E2632">
        <v>0.16543758564390601</v>
      </c>
      <c r="F2632">
        <v>0.123686176463481</v>
      </c>
      <c r="G2632">
        <v>7.5152913063211604E-2</v>
      </c>
      <c r="H2632">
        <v>6.4571854658791297E-2</v>
      </c>
      <c r="I2632">
        <v>5.5683804712571401E-2</v>
      </c>
      <c r="J2632">
        <v>5.2632552442450603E-2</v>
      </c>
      <c r="K2632">
        <v>4.1228969380551497E-2</v>
      </c>
      <c r="L2632">
        <v>1443.4872688509899</v>
      </c>
      <c r="M2632">
        <v>31.0814633181093</v>
      </c>
      <c r="N2632">
        <v>46.652095112648901</v>
      </c>
      <c r="O2632">
        <v>46.251083653093801</v>
      </c>
      <c r="P2632">
        <v>-0.15703574032955001</v>
      </c>
      <c r="Q2632">
        <v>6.5290839497851805E-2</v>
      </c>
      <c r="R2632">
        <v>0.99712562934381199</v>
      </c>
      <c r="S2632" t="s">
        <v>8493</v>
      </c>
      <c r="T2632" t="s">
        <v>11720</v>
      </c>
      <c r="U2632" t="s">
        <v>11720</v>
      </c>
      <c r="V2632" t="s">
        <v>11720</v>
      </c>
      <c r="W2632" t="s">
        <v>14307</v>
      </c>
      <c r="X2632">
        <v>41</v>
      </c>
      <c r="Y2632" t="s">
        <v>20053</v>
      </c>
      <c r="Z2632" t="s">
        <v>25839</v>
      </c>
      <c r="AA2632">
        <v>0.27122197068402859</v>
      </c>
      <c r="AB2632" t="str">
        <f>HYPERLINK("Melting_Curves/meltCurve_P54136_RARS.pdf", "Melting_Curves/meltCurve_P54136_RARS.pdf")</f>
        <v>Melting_Curves/meltCurve_P54136_RARS.pdf</v>
      </c>
    </row>
    <row r="2633" spans="1:28" x14ac:dyDescent="0.25">
      <c r="A2633" t="s">
        <v>2637</v>
      </c>
      <c r="B2633">
        <v>0.99334974765950101</v>
      </c>
      <c r="C2633">
        <v>0.93004359597029496</v>
      </c>
      <c r="D2633">
        <v>1.0124540015082499</v>
      </c>
      <c r="E2633">
        <v>0.78552333198415702</v>
      </c>
      <c r="F2633">
        <v>0.59900974128496298</v>
      </c>
      <c r="G2633">
        <v>0.39249700319476</v>
      </c>
      <c r="H2633">
        <v>0.224516150541306</v>
      </c>
      <c r="I2633">
        <v>0.20836871175855201</v>
      </c>
      <c r="J2633">
        <v>0.16539377505508299</v>
      </c>
      <c r="K2633">
        <v>0.13195624106692699</v>
      </c>
      <c r="L2633">
        <v>872.59165257004895</v>
      </c>
      <c r="M2633">
        <v>16.240427785174301</v>
      </c>
      <c r="N2633">
        <v>54.7313358451228</v>
      </c>
      <c r="O2633">
        <v>52.934760722553101</v>
      </c>
      <c r="P2633">
        <v>-6.6843861580823602E-2</v>
      </c>
      <c r="Q2633">
        <v>0.12856923325855199</v>
      </c>
      <c r="R2633">
        <v>0.99236155144538496</v>
      </c>
      <c r="S2633" t="s">
        <v>8494</v>
      </c>
      <c r="T2633" t="s">
        <v>11720</v>
      </c>
      <c r="U2633" t="s">
        <v>11720</v>
      </c>
      <c r="V2633" t="s">
        <v>11720</v>
      </c>
      <c r="W2633" t="s">
        <v>14308</v>
      </c>
      <c r="X2633">
        <v>5</v>
      </c>
      <c r="Y2633" t="s">
        <v>20054</v>
      </c>
      <c r="Z2633" t="s">
        <v>25840</v>
      </c>
      <c r="AA2633">
        <v>0.54368963454738573</v>
      </c>
      <c r="AB2633" t="str">
        <f>HYPERLINK("Melting_Curves/meltCurve_P54253_ATXN1.pdf", "Melting_Curves/meltCurve_P54253_ATXN1.pdf")</f>
        <v>Melting_Curves/meltCurve_P54253_ATXN1.pdf</v>
      </c>
    </row>
    <row r="2634" spans="1:28" x14ac:dyDescent="0.25">
      <c r="A2634" t="s">
        <v>2638</v>
      </c>
      <c r="B2634">
        <v>0.99334974765950101</v>
      </c>
      <c r="C2634">
        <v>1.07494127895879</v>
      </c>
      <c r="D2634">
        <v>0.80793915450144305</v>
      </c>
      <c r="E2634">
        <v>0.66108804797160703</v>
      </c>
      <c r="F2634">
        <v>0.60200992343861004</v>
      </c>
      <c r="G2634">
        <v>0.47333774390544597</v>
      </c>
      <c r="H2634">
        <v>0.42451447734000802</v>
      </c>
      <c r="I2634">
        <v>0.53087813718236398</v>
      </c>
      <c r="J2634">
        <v>0.77743199037078203</v>
      </c>
      <c r="K2634">
        <v>0.86488000631690398</v>
      </c>
      <c r="L2634">
        <v>11499.206513052701</v>
      </c>
      <c r="M2634">
        <v>250</v>
      </c>
      <c r="O2634">
        <v>45.993882579739697</v>
      </c>
      <c r="P2634">
        <v>-0.51751053047272599</v>
      </c>
      <c r="Q2634">
        <v>0.61916290344878899</v>
      </c>
      <c r="R2634">
        <v>0.63116300044721596</v>
      </c>
      <c r="S2634" t="s">
        <v>8495</v>
      </c>
      <c r="T2634" t="s">
        <v>11720</v>
      </c>
      <c r="U2634" t="s">
        <v>11720</v>
      </c>
      <c r="V2634" t="s">
        <v>11720</v>
      </c>
      <c r="W2634" t="s">
        <v>14309</v>
      </c>
      <c r="X2634">
        <v>6</v>
      </c>
      <c r="Y2634" t="s">
        <v>20055</v>
      </c>
      <c r="Z2634" t="s">
        <v>25841</v>
      </c>
      <c r="AA2634">
        <v>0.6953207734418162</v>
      </c>
      <c r="AB2634" t="str">
        <f>HYPERLINK("Melting_Curves/meltCurve_P54259_ATN1.pdf", "Melting_Curves/meltCurve_P54259_ATN1.pdf")</f>
        <v>Melting_Curves/meltCurve_P54259_ATN1.pdf</v>
      </c>
    </row>
    <row r="2635" spans="1:28" x14ac:dyDescent="0.25">
      <c r="A2635" t="s">
        <v>2639</v>
      </c>
      <c r="B2635">
        <v>0.99334974765950101</v>
      </c>
      <c r="C2635">
        <v>0.94081342827396996</v>
      </c>
      <c r="D2635">
        <v>0.95882801527784101</v>
      </c>
      <c r="E2635">
        <v>0.71773971463813002</v>
      </c>
      <c r="F2635">
        <v>1.01093469445661</v>
      </c>
      <c r="G2635">
        <v>0.57805532529683001</v>
      </c>
      <c r="H2635">
        <v>0.38844752345455102</v>
      </c>
      <c r="I2635">
        <v>0.57282436193971298</v>
      </c>
      <c r="J2635">
        <v>0.81453900982155003</v>
      </c>
      <c r="K2635">
        <v>0.73009321966882701</v>
      </c>
      <c r="L2635">
        <v>890.87738026267505</v>
      </c>
      <c r="M2635">
        <v>17.3842051319921</v>
      </c>
      <c r="O2635">
        <v>50.582691984823001</v>
      </c>
      <c r="P2635">
        <v>-3.2301189509653203E-2</v>
      </c>
      <c r="Q2635">
        <v>0.62407528755966901</v>
      </c>
      <c r="R2635">
        <v>0.47905036121832201</v>
      </c>
      <c r="S2635" t="s">
        <v>8496</v>
      </c>
      <c r="T2635" t="s">
        <v>11720</v>
      </c>
      <c r="U2635" t="s">
        <v>11720</v>
      </c>
      <c r="V2635" t="s">
        <v>11720</v>
      </c>
      <c r="W2635" t="s">
        <v>14310</v>
      </c>
      <c r="X2635">
        <v>1</v>
      </c>
      <c r="Y2635" t="s">
        <v>20056</v>
      </c>
      <c r="Z2635" t="s">
        <v>25842</v>
      </c>
      <c r="AA2635">
        <v>0.77171787807728143</v>
      </c>
      <c r="AB2635" t="str">
        <f>HYPERLINK("Melting_Curves/meltCurve_P54284_5_CACNB3.pdf", "Melting_Curves/meltCurve_P54284_5_CACNB3.pdf")</f>
        <v>Melting_Curves/meltCurve_P54284_5_CACNB3.pdf</v>
      </c>
    </row>
    <row r="2636" spans="1:28" x14ac:dyDescent="0.25">
      <c r="A2636" t="s">
        <v>2640</v>
      </c>
      <c r="B2636">
        <v>0.99334974765950101</v>
      </c>
      <c r="C2636">
        <v>0.93838362100689099</v>
      </c>
      <c r="D2636">
        <v>0.77035710206223096</v>
      </c>
      <c r="E2636">
        <v>0.22101145372429401</v>
      </c>
      <c r="F2636">
        <v>0.128828185588856</v>
      </c>
      <c r="G2636">
        <v>7.9524257828856207E-2</v>
      </c>
      <c r="H2636">
        <v>6.14370328367356E-2</v>
      </c>
      <c r="I2636">
        <v>5.7888669657524899E-2</v>
      </c>
      <c r="J2636">
        <v>5.5397735148079302E-2</v>
      </c>
      <c r="K2636">
        <v>4.6028036467887799E-2</v>
      </c>
      <c r="L2636">
        <v>1433.9648412465499</v>
      </c>
      <c r="M2636">
        <v>30.124721647662899</v>
      </c>
      <c r="N2636">
        <v>47.806856485671403</v>
      </c>
      <c r="O2636">
        <v>47.392649371932102</v>
      </c>
      <c r="P2636">
        <v>-0.14924199886348999</v>
      </c>
      <c r="Q2636">
        <v>6.0847303200906699E-2</v>
      </c>
      <c r="R2636">
        <v>0.99826116667490805</v>
      </c>
      <c r="S2636" t="s">
        <v>8497</v>
      </c>
      <c r="T2636" t="s">
        <v>11720</v>
      </c>
      <c r="U2636" t="s">
        <v>11720</v>
      </c>
      <c r="V2636" t="s">
        <v>11720</v>
      </c>
      <c r="W2636" t="s">
        <v>14311</v>
      </c>
      <c r="X2636">
        <v>37</v>
      </c>
      <c r="Y2636" t="s">
        <v>20057</v>
      </c>
      <c r="Z2636" t="s">
        <v>25843</v>
      </c>
      <c r="AA2636">
        <v>0.30438278193254559</v>
      </c>
      <c r="AB2636" t="str">
        <f>HYPERLINK("Melting_Curves/meltCurve_P54577_YARS.pdf", "Melting_Curves/meltCurve_P54577_YARS.pdf")</f>
        <v>Melting_Curves/meltCurve_P54577_YARS.pdf</v>
      </c>
    </row>
    <row r="2637" spans="1:28" x14ac:dyDescent="0.25">
      <c r="A2637" t="s">
        <v>2641</v>
      </c>
      <c r="B2637">
        <v>0.99334974765950101</v>
      </c>
      <c r="C2637">
        <v>1.03476033341378</v>
      </c>
      <c r="D2637">
        <v>0.97327809867714299</v>
      </c>
      <c r="E2637">
        <v>0.76150251122773105</v>
      </c>
      <c r="F2637">
        <v>0.19541084968355699</v>
      </c>
      <c r="G2637">
        <v>0.116882551030348</v>
      </c>
      <c r="H2637">
        <v>8.7005652671439698E-2</v>
      </c>
      <c r="I2637">
        <v>6.7486827432661906E-2</v>
      </c>
      <c r="J2637">
        <v>7.0604901038834406E-2</v>
      </c>
      <c r="K2637">
        <v>5.6724628035924402E-2</v>
      </c>
      <c r="L2637">
        <v>2582.3513041585602</v>
      </c>
      <c r="M2637">
        <v>50.606587493831903</v>
      </c>
      <c r="N2637">
        <v>51.199731413079299</v>
      </c>
      <c r="O2637">
        <v>50.948475344063603</v>
      </c>
      <c r="P2637">
        <v>-0.22893581500634899</v>
      </c>
      <c r="Q2637">
        <v>7.8070914356651602E-2</v>
      </c>
      <c r="R2637">
        <v>0.99790360200309403</v>
      </c>
      <c r="S2637" t="s">
        <v>8498</v>
      </c>
      <c r="T2637" t="s">
        <v>11720</v>
      </c>
      <c r="U2637" t="s">
        <v>11720</v>
      </c>
      <c r="V2637" t="s">
        <v>11720</v>
      </c>
      <c r="W2637" t="s">
        <v>14312</v>
      </c>
      <c r="X2637">
        <v>28</v>
      </c>
      <c r="Y2637" t="s">
        <v>20058</v>
      </c>
      <c r="Z2637" t="s">
        <v>25844</v>
      </c>
      <c r="AA2637">
        <v>0.41899641543848221</v>
      </c>
      <c r="AB2637" t="str">
        <f>HYPERLINK("Melting_Curves/meltCurve_P54578_USP14.pdf", "Melting_Curves/meltCurve_P54578_USP14.pdf")</f>
        <v>Melting_Curves/meltCurve_P54578_USP14.pdf</v>
      </c>
    </row>
    <row r="2638" spans="1:28" x14ac:dyDescent="0.25">
      <c r="A2638" t="s">
        <v>2642</v>
      </c>
      <c r="B2638">
        <v>0.99334974765950101</v>
      </c>
      <c r="C2638">
        <v>0.99442283616175198</v>
      </c>
      <c r="D2638">
        <v>1.0467073578177399</v>
      </c>
      <c r="E2638">
        <v>0.95163701843159698</v>
      </c>
      <c r="F2638">
        <v>0.45316343009482901</v>
      </c>
      <c r="G2638">
        <v>0.24778890483643901</v>
      </c>
      <c r="H2638">
        <v>0.17283643200094601</v>
      </c>
      <c r="I2638">
        <v>0.12759298078339101</v>
      </c>
      <c r="J2638">
        <v>0.113443449937326</v>
      </c>
      <c r="K2638">
        <v>8.8615273893580607E-2</v>
      </c>
      <c r="L2638">
        <v>2515.1266935602398</v>
      </c>
      <c r="M2638">
        <v>47.943309432554003</v>
      </c>
      <c r="N2638">
        <v>52.835280451266101</v>
      </c>
      <c r="O2638">
        <v>52.369407134228403</v>
      </c>
      <c r="P2638">
        <v>-0.19587575072348601</v>
      </c>
      <c r="Q2638">
        <v>0.144165402024548</v>
      </c>
      <c r="R2638">
        <v>0.99034449702455196</v>
      </c>
      <c r="S2638" t="s">
        <v>8499</v>
      </c>
      <c r="T2638" t="s">
        <v>11720</v>
      </c>
      <c r="U2638" t="s">
        <v>11720</v>
      </c>
      <c r="V2638" t="s">
        <v>11720</v>
      </c>
      <c r="W2638" t="s">
        <v>14313</v>
      </c>
      <c r="X2638">
        <v>10</v>
      </c>
      <c r="Y2638" t="s">
        <v>20059</v>
      </c>
      <c r="Z2638" t="s">
        <v>25845</v>
      </c>
      <c r="AA2638">
        <v>0.50178906499054654</v>
      </c>
      <c r="AB2638" t="str">
        <f>HYPERLINK("Melting_Curves/meltCurve_P54619_2_PRKAG1.pdf", "Melting_Curves/meltCurve_P54619_2_PRKAG1.pdf")</f>
        <v>Melting_Curves/meltCurve_P54619_2_PRKAG1.pdf</v>
      </c>
    </row>
    <row r="2639" spans="1:28" x14ac:dyDescent="0.25">
      <c r="A2639" t="s">
        <v>2643</v>
      </c>
      <c r="B2639">
        <v>0.99334974765950101</v>
      </c>
      <c r="C2639">
        <v>0.94227365725458601</v>
      </c>
      <c r="D2639">
        <v>0.91471793955786596</v>
      </c>
      <c r="E2639">
        <v>0.81967950927325495</v>
      </c>
      <c r="F2639">
        <v>0.60523368030722202</v>
      </c>
      <c r="G2639">
        <v>0.294818019706865</v>
      </c>
      <c r="H2639">
        <v>0.26105135842162103</v>
      </c>
      <c r="I2639">
        <v>0.22670985908754401</v>
      </c>
      <c r="J2639">
        <v>0.28423735888270601</v>
      </c>
      <c r="K2639">
        <v>0.24001017389766299</v>
      </c>
      <c r="L2639">
        <v>1234.00257989125</v>
      </c>
      <c r="M2639">
        <v>23.5075423572749</v>
      </c>
      <c r="N2639">
        <v>53.957507403413601</v>
      </c>
      <c r="O2639">
        <v>52.1184467636633</v>
      </c>
      <c r="P2639">
        <v>-8.6180418499391398E-2</v>
      </c>
      <c r="Q2639">
        <v>0.235732532908209</v>
      </c>
      <c r="R2639">
        <v>0.98821150814085301</v>
      </c>
      <c r="S2639" t="s">
        <v>8500</v>
      </c>
      <c r="T2639" t="s">
        <v>11720</v>
      </c>
      <c r="U2639" t="s">
        <v>11720</v>
      </c>
      <c r="V2639" t="s">
        <v>11720</v>
      </c>
      <c r="W2639" t="s">
        <v>14314</v>
      </c>
      <c r="X2639">
        <v>4</v>
      </c>
      <c r="Y2639" t="s">
        <v>20060</v>
      </c>
      <c r="Z2639" t="s">
        <v>25846</v>
      </c>
      <c r="AA2639">
        <v>0.56189331244508189</v>
      </c>
      <c r="AB2639" t="str">
        <f>HYPERLINK("Melting_Curves/meltCurve_P54646_PRKAA2.pdf", "Melting_Curves/meltCurve_P54646_PRKAA2.pdf")</f>
        <v>Melting_Curves/meltCurve_P54646_PRKAA2.pdf</v>
      </c>
    </row>
    <row r="2640" spans="1:28" x14ac:dyDescent="0.25">
      <c r="A2640" t="s">
        <v>2644</v>
      </c>
      <c r="B2640">
        <v>0.99334974765950101</v>
      </c>
      <c r="C2640">
        <v>1.0007336164238301</v>
      </c>
      <c r="D2640">
        <v>0.95819503570258402</v>
      </c>
      <c r="E2640">
        <v>0.84665516313349798</v>
      </c>
      <c r="F2640">
        <v>0.46789946632260399</v>
      </c>
      <c r="G2640">
        <v>0.25732715897067499</v>
      </c>
      <c r="H2640">
        <v>0.18656667174046099</v>
      </c>
      <c r="I2640">
        <v>0.144958364331988</v>
      </c>
      <c r="J2640">
        <v>0.13957095036213801</v>
      </c>
      <c r="K2640">
        <v>0.108372171858534</v>
      </c>
      <c r="L2640">
        <v>1427.0178742051401</v>
      </c>
      <c r="M2640">
        <v>27.2511804726939</v>
      </c>
      <c r="N2640">
        <v>53.014026733253701</v>
      </c>
      <c r="O2640">
        <v>52.0858127925449</v>
      </c>
      <c r="P2640">
        <v>-0.11225679545478499</v>
      </c>
      <c r="Q2640">
        <v>0.14177215899404499</v>
      </c>
      <c r="R2640">
        <v>0.99596255820674195</v>
      </c>
      <c r="S2640" t="s">
        <v>8501</v>
      </c>
      <c r="T2640" t="s">
        <v>11720</v>
      </c>
      <c r="U2640" t="s">
        <v>11720</v>
      </c>
      <c r="V2640" t="s">
        <v>11720</v>
      </c>
      <c r="W2640" t="s">
        <v>14315</v>
      </c>
      <c r="X2640">
        <v>29</v>
      </c>
      <c r="Y2640" t="s">
        <v>20061</v>
      </c>
      <c r="Z2640" t="s">
        <v>25847</v>
      </c>
      <c r="AA2640">
        <v>0.50217319983518638</v>
      </c>
      <c r="AB2640" t="str">
        <f>HYPERLINK("Melting_Curves/meltCurve_P54652_HSPA2.pdf", "Melting_Curves/meltCurve_P54652_HSPA2.pdf")</f>
        <v>Melting_Curves/meltCurve_P54652_HSPA2.pdf</v>
      </c>
    </row>
    <row r="2641" spans="1:28" x14ac:dyDescent="0.25">
      <c r="A2641" t="s">
        <v>2645</v>
      </c>
      <c r="B2641">
        <v>0.99334974765950101</v>
      </c>
      <c r="C2641">
        <v>0.96436921891279903</v>
      </c>
      <c r="D2641">
        <v>0.91533576224249902</v>
      </c>
      <c r="E2641">
        <v>0.87258851566431195</v>
      </c>
      <c r="F2641">
        <v>1.1636697232798301</v>
      </c>
      <c r="G2641">
        <v>0.79629817797947899</v>
      </c>
      <c r="H2641">
        <v>0.70354190170133402</v>
      </c>
      <c r="I2641">
        <v>0.484005194583494</v>
      </c>
      <c r="J2641">
        <v>0.27720636710184199</v>
      </c>
      <c r="K2641">
        <v>0.138442859939577</v>
      </c>
      <c r="L2641">
        <v>1167.3619837829001</v>
      </c>
      <c r="M2641">
        <v>18.367724011913101</v>
      </c>
      <c r="N2641">
        <v>63.555072009683698</v>
      </c>
      <c r="O2641">
        <v>62.816088788322197</v>
      </c>
      <c r="P2641">
        <v>-7.3104508860039594E-2</v>
      </c>
      <c r="Q2641">
        <v>0</v>
      </c>
      <c r="R2641">
        <v>0.93049206171251997</v>
      </c>
      <c r="S2641" t="s">
        <v>8502</v>
      </c>
      <c r="T2641" t="s">
        <v>11720</v>
      </c>
      <c r="U2641" t="s">
        <v>11720</v>
      </c>
      <c r="V2641" t="s">
        <v>11720</v>
      </c>
      <c r="W2641" t="s">
        <v>14316</v>
      </c>
      <c r="X2641">
        <v>12</v>
      </c>
      <c r="Y2641" t="s">
        <v>20062</v>
      </c>
      <c r="Z2641" t="s">
        <v>25848</v>
      </c>
      <c r="AA2641">
        <v>0.77939884444713026</v>
      </c>
      <c r="AB2641" t="str">
        <f>HYPERLINK("Melting_Curves/meltCurve_P54687_BCAT1.pdf", "Melting_Curves/meltCurve_P54687_BCAT1.pdf")</f>
        <v>Melting_Curves/meltCurve_P54687_BCAT1.pdf</v>
      </c>
    </row>
    <row r="2642" spans="1:28" x14ac:dyDescent="0.25">
      <c r="A2642" t="s">
        <v>2646</v>
      </c>
      <c r="B2642">
        <v>0.99334974765950101</v>
      </c>
      <c r="C2642">
        <v>1.0460019534360501</v>
      </c>
      <c r="D2642">
        <v>0.79581654728523199</v>
      </c>
      <c r="E2642">
        <v>0.83005959976952803</v>
      </c>
      <c r="F2642">
        <v>1.2965340718679399</v>
      </c>
      <c r="G2642">
        <v>0.81878817247288205</v>
      </c>
      <c r="H2642">
        <v>0.84096065007535603</v>
      </c>
      <c r="I2642">
        <v>0.52243750047341198</v>
      </c>
      <c r="J2642">
        <v>0.54085915147721397</v>
      </c>
      <c r="K2642">
        <v>0.207913303209633</v>
      </c>
      <c r="L2642">
        <v>1114.4506651740101</v>
      </c>
      <c r="M2642">
        <v>16.937267958207599</v>
      </c>
      <c r="N2642">
        <v>65.798717439720605</v>
      </c>
      <c r="O2642">
        <v>64.902026123312794</v>
      </c>
      <c r="P2642">
        <v>-6.5245768221685901E-2</v>
      </c>
      <c r="Q2642">
        <v>0</v>
      </c>
      <c r="R2642">
        <v>0.75049258760470094</v>
      </c>
      <c r="S2642" t="s">
        <v>8503</v>
      </c>
      <c r="T2642" t="s">
        <v>11720</v>
      </c>
      <c r="U2642" t="s">
        <v>11720</v>
      </c>
      <c r="V2642" t="s">
        <v>11720</v>
      </c>
      <c r="W2642" t="s">
        <v>14317</v>
      </c>
      <c r="X2642">
        <v>11</v>
      </c>
      <c r="Y2642" t="s">
        <v>20062</v>
      </c>
      <c r="Z2642" t="s">
        <v>25849</v>
      </c>
      <c r="AA2642">
        <v>0.83340626224046255</v>
      </c>
      <c r="AB2642" t="str">
        <f>HYPERLINK("Melting_Curves/meltCurve_P54687_5_BCAT1.pdf", "Melting_Curves/meltCurve_P54687_5_BCAT1.pdf")</f>
        <v>Melting_Curves/meltCurve_P54687_5_BCAT1.pdf</v>
      </c>
    </row>
    <row r="2643" spans="1:28" x14ac:dyDescent="0.25">
      <c r="A2643" t="s">
        <v>2647</v>
      </c>
      <c r="B2643">
        <v>0.99334974765950101</v>
      </c>
      <c r="C2643">
        <v>0.91499384570020104</v>
      </c>
      <c r="D2643">
        <v>0.86741047221712997</v>
      </c>
      <c r="E2643">
        <v>1.0154015549267601</v>
      </c>
      <c r="F2643">
        <v>0.97292699469397104</v>
      </c>
      <c r="G2643">
        <v>0.77942504154623304</v>
      </c>
      <c r="H2643">
        <v>0.45645049771518897</v>
      </c>
      <c r="I2643">
        <v>0.46867388473701699</v>
      </c>
      <c r="J2643">
        <v>0.44348125121757798</v>
      </c>
      <c r="K2643">
        <v>0.28952709255575498</v>
      </c>
      <c r="L2643">
        <v>1727.0599011555601</v>
      </c>
      <c r="M2643">
        <v>29.733446362026999</v>
      </c>
      <c r="N2643">
        <v>60.877403633920302</v>
      </c>
      <c r="O2643">
        <v>57.823915113455101</v>
      </c>
      <c r="P2643">
        <v>-8.07080489660391E-2</v>
      </c>
      <c r="Q2643">
        <v>0.37217855593437799</v>
      </c>
      <c r="R2643">
        <v>0.93970575894067199</v>
      </c>
      <c r="S2643" t="s">
        <v>8504</v>
      </c>
      <c r="T2643" t="s">
        <v>11720</v>
      </c>
      <c r="U2643" t="s">
        <v>11720</v>
      </c>
      <c r="V2643" t="s">
        <v>11720</v>
      </c>
      <c r="W2643" t="s">
        <v>14318</v>
      </c>
      <c r="X2643">
        <v>8</v>
      </c>
      <c r="Y2643" t="s">
        <v>20063</v>
      </c>
      <c r="Z2643" t="s">
        <v>25850</v>
      </c>
      <c r="AA2643">
        <v>0.75483181813831768</v>
      </c>
      <c r="AB2643" t="str">
        <f>HYPERLINK("Melting_Curves/meltCurve_P54709_ATP1B3.pdf", "Melting_Curves/meltCurve_P54709_ATP1B3.pdf")</f>
        <v>Melting_Curves/meltCurve_P54709_ATP1B3.pdf</v>
      </c>
    </row>
    <row r="2644" spans="1:28" x14ac:dyDescent="0.25">
      <c r="A2644" t="s">
        <v>2648</v>
      </c>
      <c r="B2644">
        <v>0.99334974765950101</v>
      </c>
      <c r="C2644">
        <v>0.94032309851339502</v>
      </c>
      <c r="D2644">
        <v>0.82007463586877805</v>
      </c>
      <c r="E2644">
        <v>0.77002846122248303</v>
      </c>
      <c r="F2644">
        <v>0.78622156399614196</v>
      </c>
      <c r="G2644">
        <v>0.61618709145989303</v>
      </c>
      <c r="H2644">
        <v>0.57950315267393404</v>
      </c>
      <c r="I2644">
        <v>0.67701201883734696</v>
      </c>
      <c r="J2644">
        <v>0.468976466082688</v>
      </c>
      <c r="K2644">
        <v>0.32150052918787297</v>
      </c>
      <c r="L2644">
        <v>306.80335394838301</v>
      </c>
      <c r="M2644">
        <v>4.6972787619437302</v>
      </c>
      <c r="N2644">
        <v>65.315125969555098</v>
      </c>
      <c r="O2644">
        <v>56.141536542724197</v>
      </c>
      <c r="P2644">
        <v>-2.1075594179917001E-2</v>
      </c>
      <c r="Q2644">
        <v>0</v>
      </c>
      <c r="R2644">
        <v>0.88636019225675799</v>
      </c>
      <c r="S2644" t="s">
        <v>8505</v>
      </c>
      <c r="T2644" t="s">
        <v>11720</v>
      </c>
      <c r="U2644" t="s">
        <v>11720</v>
      </c>
      <c r="V2644" t="s">
        <v>11720</v>
      </c>
      <c r="W2644" t="s">
        <v>14319</v>
      </c>
      <c r="X2644">
        <v>11</v>
      </c>
      <c r="Y2644" t="s">
        <v>20064</v>
      </c>
      <c r="Z2644" t="s">
        <v>25851</v>
      </c>
      <c r="AA2644">
        <v>0.70096337618361448</v>
      </c>
      <c r="AB2644" t="str">
        <f>HYPERLINK("Melting_Curves/meltCurve_P54725_RAD23A.pdf", "Melting_Curves/meltCurve_P54725_RAD23A.pdf")</f>
        <v>Melting_Curves/meltCurve_P54725_RAD23A.pdf</v>
      </c>
    </row>
    <row r="2645" spans="1:28" x14ac:dyDescent="0.25">
      <c r="A2645" t="s">
        <v>2649</v>
      </c>
      <c r="B2645">
        <v>0.99334974765950101</v>
      </c>
      <c r="C2645">
        <v>1.0077898035749699</v>
      </c>
      <c r="D2645">
        <v>0.86370682528229503</v>
      </c>
      <c r="E2645">
        <v>0.82439571569884695</v>
      </c>
      <c r="F2645">
        <v>0.77138782815295404</v>
      </c>
      <c r="G2645">
        <v>0.68057111369921897</v>
      </c>
      <c r="H2645">
        <v>0.67600345197382095</v>
      </c>
      <c r="I2645">
        <v>1.34949068375255</v>
      </c>
      <c r="J2645">
        <v>0.95419493460376004</v>
      </c>
      <c r="K2645">
        <v>0.82530544828496</v>
      </c>
      <c r="L2645">
        <v>11113.0045668066</v>
      </c>
      <c r="M2645">
        <v>250</v>
      </c>
      <c r="O2645">
        <v>44.4491736069482</v>
      </c>
      <c r="P2645">
        <v>-0.18542467311675701</v>
      </c>
      <c r="Q2645">
        <v>0.86812842429551995</v>
      </c>
      <c r="R2645">
        <v>7.9609994159644995E-2</v>
      </c>
      <c r="S2645" t="s">
        <v>8506</v>
      </c>
      <c r="T2645" t="s">
        <v>11720</v>
      </c>
      <c r="U2645" t="s">
        <v>11720</v>
      </c>
      <c r="V2645" t="s">
        <v>11720</v>
      </c>
      <c r="W2645" t="s">
        <v>14320</v>
      </c>
      <c r="X2645">
        <v>19</v>
      </c>
      <c r="Y2645" t="s">
        <v>20065</v>
      </c>
      <c r="Z2645" t="s">
        <v>25852</v>
      </c>
      <c r="AA2645">
        <v>0.88770853407218042</v>
      </c>
      <c r="AB2645" t="str">
        <f>HYPERLINK("Melting_Curves/meltCurve_P54727_RAD23B.pdf", "Melting_Curves/meltCurve_P54727_RAD23B.pdf")</f>
        <v>Melting_Curves/meltCurve_P54727_RAD23B.pdf</v>
      </c>
    </row>
    <row r="2646" spans="1:28" x14ac:dyDescent="0.25">
      <c r="A2646" t="s">
        <v>2650</v>
      </c>
      <c r="B2646">
        <v>0.99334974765950101</v>
      </c>
      <c r="C2646">
        <v>0.96160380824928604</v>
      </c>
      <c r="D2646">
        <v>1.0156002760405001</v>
      </c>
      <c r="E2646">
        <v>0.98776226807874901</v>
      </c>
      <c r="F2646">
        <v>1.0104829292539099</v>
      </c>
      <c r="G2646">
        <v>0.90227441496343996</v>
      </c>
      <c r="H2646">
        <v>0.66375053748677804</v>
      </c>
      <c r="I2646">
        <v>0.46421092162687999</v>
      </c>
      <c r="J2646">
        <v>0.25121347412649903</v>
      </c>
      <c r="K2646">
        <v>0.21687160441426501</v>
      </c>
      <c r="L2646">
        <v>1442.21828321215</v>
      </c>
      <c r="M2646">
        <v>23.160647055994701</v>
      </c>
      <c r="N2646">
        <v>63.174004097532901</v>
      </c>
      <c r="O2646">
        <v>61.811553451848603</v>
      </c>
      <c r="P2646">
        <v>-8.0465722361644607E-2</v>
      </c>
      <c r="Q2646">
        <v>0.141022145359987</v>
      </c>
      <c r="R2646">
        <v>0.995467305294641</v>
      </c>
      <c r="S2646" t="s">
        <v>8507</v>
      </c>
      <c r="T2646" t="s">
        <v>11720</v>
      </c>
      <c r="U2646" t="s">
        <v>11720</v>
      </c>
      <c r="V2646" t="s">
        <v>11720</v>
      </c>
      <c r="W2646" t="s">
        <v>14321</v>
      </c>
      <c r="X2646">
        <v>13</v>
      </c>
      <c r="Y2646" t="s">
        <v>20066</v>
      </c>
      <c r="Z2646" t="s">
        <v>25853</v>
      </c>
      <c r="AA2646">
        <v>0.78179863622467705</v>
      </c>
      <c r="AB2646" t="str">
        <f>HYPERLINK("Melting_Curves/meltCurve_P54802_NAGLU.pdf", "Melting_Curves/meltCurve_P54802_NAGLU.pdf")</f>
        <v>Melting_Curves/meltCurve_P54802_NAGLU.pdf</v>
      </c>
    </row>
    <row r="2647" spans="1:28" x14ac:dyDescent="0.25">
      <c r="A2647" t="s">
        <v>2651</v>
      </c>
      <c r="B2647">
        <v>0.99334974765950101</v>
      </c>
      <c r="C2647">
        <v>0.96732500102595997</v>
      </c>
      <c r="D2647">
        <v>0.89393967116347495</v>
      </c>
      <c r="E2647">
        <v>0.79037038662023795</v>
      </c>
      <c r="F2647">
        <v>0.71674789071353895</v>
      </c>
      <c r="G2647">
        <v>0.58439955972385305</v>
      </c>
      <c r="H2647">
        <v>0.40002551791519703</v>
      </c>
      <c r="I2647">
        <v>0.179207001249686</v>
      </c>
      <c r="J2647">
        <v>0.11236484244038</v>
      </c>
      <c r="K2647">
        <v>9.2063488610770197E-2</v>
      </c>
      <c r="L2647">
        <v>651.22032788102399</v>
      </c>
      <c r="M2647">
        <v>11.3470101403929</v>
      </c>
      <c r="N2647">
        <v>57.391356645588502</v>
      </c>
      <c r="O2647">
        <v>55.6955236862917</v>
      </c>
      <c r="P2647">
        <v>-5.09484603325231E-2</v>
      </c>
      <c r="Q2647">
        <v>0</v>
      </c>
      <c r="R2647">
        <v>0.98249325816264899</v>
      </c>
      <c r="S2647" t="s">
        <v>8508</v>
      </c>
      <c r="T2647" t="s">
        <v>11720</v>
      </c>
      <c r="U2647" t="s">
        <v>11720</v>
      </c>
      <c r="V2647" t="s">
        <v>11720</v>
      </c>
      <c r="W2647" t="s">
        <v>14322</v>
      </c>
      <c r="X2647">
        <v>22</v>
      </c>
      <c r="Y2647" t="s">
        <v>20067</v>
      </c>
      <c r="Z2647" t="s">
        <v>25854</v>
      </c>
      <c r="AA2647">
        <v>0.59468354577365667</v>
      </c>
      <c r="AB2647" t="str">
        <f>HYPERLINK("Melting_Curves/meltCurve_P54819_AK2.pdf", "Melting_Curves/meltCurve_P54819_AK2.pdf")</f>
        <v>Melting_Curves/meltCurve_P54819_AK2.pdf</v>
      </c>
    </row>
    <row r="2648" spans="1:28" x14ac:dyDescent="0.25">
      <c r="A2648" t="s">
        <v>2652</v>
      </c>
      <c r="B2648">
        <v>0.99334974765950101</v>
      </c>
      <c r="C2648">
        <v>0.75695580604125201</v>
      </c>
      <c r="D2648">
        <v>0.95250931092187996</v>
      </c>
      <c r="E2648">
        <v>1.0550202210291399</v>
      </c>
      <c r="F2648">
        <v>0.28082367655961499</v>
      </c>
      <c r="G2648">
        <v>0.15762054617587901</v>
      </c>
      <c r="H2648">
        <v>0.108024043028563</v>
      </c>
      <c r="I2648">
        <v>8.8412176126899306E-2</v>
      </c>
      <c r="J2648">
        <v>8.1360234879381002E-2</v>
      </c>
      <c r="K2648">
        <v>6.8819636853070104E-2</v>
      </c>
      <c r="L2648">
        <v>13176.580298934699</v>
      </c>
      <c r="M2648">
        <v>250</v>
      </c>
      <c r="N2648">
        <v>52.753858486598197</v>
      </c>
      <c r="O2648">
        <v>52.702948478438103</v>
      </c>
      <c r="P2648">
        <v>-1.06629795672079</v>
      </c>
      <c r="Q2648">
        <v>0.100847262990958</v>
      </c>
      <c r="R2648">
        <v>0.95806201740630903</v>
      </c>
      <c r="S2648" t="s">
        <v>8509</v>
      </c>
      <c r="T2648" t="s">
        <v>11720</v>
      </c>
      <c r="U2648" t="s">
        <v>11720</v>
      </c>
      <c r="V2648" t="s">
        <v>11720</v>
      </c>
      <c r="W2648" t="s">
        <v>14323</v>
      </c>
      <c r="X2648">
        <v>25</v>
      </c>
      <c r="Y2648" t="s">
        <v>20068</v>
      </c>
      <c r="Z2648" t="s">
        <v>25855</v>
      </c>
      <c r="AA2648">
        <v>0.48176121619840079</v>
      </c>
      <c r="AB2648" t="str">
        <f>HYPERLINK("Melting_Curves/meltCurve_P54886_2_ALDH18A1.pdf", "Melting_Curves/meltCurve_P54886_2_ALDH18A1.pdf")</f>
        <v>Melting_Curves/meltCurve_P54886_2_ALDH18A1.pdf</v>
      </c>
    </row>
    <row r="2649" spans="1:28" x14ac:dyDescent="0.25">
      <c r="A2649" t="s">
        <v>2653</v>
      </c>
      <c r="B2649">
        <v>0.99334974765950101</v>
      </c>
      <c r="C2649">
        <v>0.87508058629303498</v>
      </c>
      <c r="D2649">
        <v>0.83291064436635398</v>
      </c>
      <c r="E2649">
        <v>0.67630155330644404</v>
      </c>
      <c r="F2649">
        <v>0.52851889556756804</v>
      </c>
      <c r="G2649">
        <v>0.26121587347615899</v>
      </c>
      <c r="H2649">
        <v>0.15825856728333701</v>
      </c>
      <c r="I2649">
        <v>0.12832406777237801</v>
      </c>
      <c r="J2649">
        <v>0.108113445378894</v>
      </c>
      <c r="K2649">
        <v>8.6673383134598006E-2</v>
      </c>
      <c r="L2649">
        <v>614.87357425937705</v>
      </c>
      <c r="M2649">
        <v>11.693700046528599</v>
      </c>
      <c r="N2649">
        <v>52.774182171897998</v>
      </c>
      <c r="O2649">
        <v>51.114505816195503</v>
      </c>
      <c r="P2649">
        <v>-5.6014150943921003E-2</v>
      </c>
      <c r="Q2649">
        <v>2.0883737441990399E-2</v>
      </c>
      <c r="R2649">
        <v>0.99222350926138703</v>
      </c>
      <c r="S2649" t="s">
        <v>8510</v>
      </c>
      <c r="T2649" t="s">
        <v>11720</v>
      </c>
      <c r="U2649" t="s">
        <v>11720</v>
      </c>
      <c r="V2649" t="s">
        <v>11720</v>
      </c>
      <c r="W2649" t="s">
        <v>14324</v>
      </c>
      <c r="X2649">
        <v>23</v>
      </c>
      <c r="Y2649" t="s">
        <v>20069</v>
      </c>
      <c r="Z2649" t="s">
        <v>25856</v>
      </c>
      <c r="AA2649">
        <v>0.46117005587443638</v>
      </c>
      <c r="AB2649" t="str">
        <f>HYPERLINK("Melting_Curves/meltCurve_P54920_NAPA.pdf", "Melting_Curves/meltCurve_P54920_NAPA.pdf")</f>
        <v>Melting_Curves/meltCurve_P54920_NAPA.pdf</v>
      </c>
    </row>
    <row r="2650" spans="1:28" x14ac:dyDescent="0.25">
      <c r="A2650" t="s">
        <v>2654</v>
      </c>
      <c r="B2650">
        <v>0.99334974765950101</v>
      </c>
      <c r="C2650">
        <v>0.92433489252159595</v>
      </c>
      <c r="D2650">
        <v>0.885473840813081</v>
      </c>
      <c r="E2650">
        <v>0.65432224461037702</v>
      </c>
      <c r="F2650">
        <v>0.49854175257432198</v>
      </c>
      <c r="G2650">
        <v>0.14426801201254499</v>
      </c>
      <c r="H2650">
        <v>0.110524211997307</v>
      </c>
      <c r="I2650">
        <v>0.104221662796467</v>
      </c>
      <c r="J2650">
        <v>9.6930140798240805E-2</v>
      </c>
      <c r="K2650">
        <v>7.2337193013739601E-2</v>
      </c>
      <c r="L2650">
        <v>879.093569470121</v>
      </c>
      <c r="M2650">
        <v>16.986538691498801</v>
      </c>
      <c r="N2650">
        <v>52.112396628001903</v>
      </c>
      <c r="O2650">
        <v>51.051081636672301</v>
      </c>
      <c r="P2650">
        <v>-7.8583386813094194E-2</v>
      </c>
      <c r="Q2650">
        <v>5.5365360665946099E-2</v>
      </c>
      <c r="R2650">
        <v>0.99027939204146898</v>
      </c>
      <c r="S2650" t="s">
        <v>8511</v>
      </c>
      <c r="T2650" t="s">
        <v>11720</v>
      </c>
      <c r="U2650" t="s">
        <v>11720</v>
      </c>
      <c r="V2650" t="s">
        <v>11720</v>
      </c>
      <c r="W2650" t="s">
        <v>14325</v>
      </c>
      <c r="X2650">
        <v>6</v>
      </c>
      <c r="Y2650" t="s">
        <v>20070</v>
      </c>
      <c r="Z2650" t="s">
        <v>25857</v>
      </c>
      <c r="AA2650">
        <v>0.44283172694360312</v>
      </c>
      <c r="AB2650" t="str">
        <f>HYPERLINK("Melting_Curves/meltCurve_P54922_ADPRH.pdf", "Melting_Curves/meltCurve_P54922_ADPRH.pdf")</f>
        <v>Melting_Curves/meltCurve_P54922_ADPRH.pdf</v>
      </c>
    </row>
    <row r="2651" spans="1:28" x14ac:dyDescent="0.25">
      <c r="A2651" t="s">
        <v>2655</v>
      </c>
      <c r="B2651">
        <v>0.99334974765950101</v>
      </c>
      <c r="C2651">
        <v>0.98431342275341205</v>
      </c>
      <c r="D2651">
        <v>0.91541518320459103</v>
      </c>
      <c r="E2651">
        <v>0.59319285302301406</v>
      </c>
      <c r="F2651">
        <v>0.183255447107982</v>
      </c>
      <c r="G2651">
        <v>0.117804540314909</v>
      </c>
      <c r="H2651">
        <v>8.5246919973383406E-2</v>
      </c>
      <c r="I2651">
        <v>9.0383558651101203E-2</v>
      </c>
      <c r="J2651">
        <v>8.2560064781049103E-2</v>
      </c>
      <c r="K2651">
        <v>7.5618212475676502E-2</v>
      </c>
      <c r="L2651">
        <v>1704.0111367115201</v>
      </c>
      <c r="M2651">
        <v>33.946597117937401</v>
      </c>
      <c r="N2651">
        <v>50.466303476460297</v>
      </c>
      <c r="O2651">
        <v>50.023580672074303</v>
      </c>
      <c r="P2651">
        <v>-0.155590595448827</v>
      </c>
      <c r="Q2651">
        <v>8.2892740770608306E-2</v>
      </c>
      <c r="R2651">
        <v>0.99733321884505699</v>
      </c>
      <c r="S2651" t="s">
        <v>8512</v>
      </c>
      <c r="T2651" t="s">
        <v>11720</v>
      </c>
      <c r="U2651" t="s">
        <v>11720</v>
      </c>
      <c r="V2651" t="s">
        <v>11720</v>
      </c>
      <c r="W2651" t="s">
        <v>14326</v>
      </c>
      <c r="X2651">
        <v>16</v>
      </c>
      <c r="Y2651" t="s">
        <v>20071</v>
      </c>
      <c r="Z2651" t="s">
        <v>25858</v>
      </c>
      <c r="AA2651">
        <v>0.39904511638368251</v>
      </c>
      <c r="AB2651" t="str">
        <f>HYPERLINK("Melting_Curves/meltCurve_P55010_EIF5.pdf", "Melting_Curves/meltCurve_P55010_EIF5.pdf")</f>
        <v>Melting_Curves/meltCurve_P55010_EIF5.pdf</v>
      </c>
    </row>
    <row r="2652" spans="1:28" x14ac:dyDescent="0.25">
      <c r="A2652" t="s">
        <v>2656</v>
      </c>
      <c r="B2652">
        <v>0.99334974765950101</v>
      </c>
      <c r="C2652">
        <v>0.92835640947967901</v>
      </c>
      <c r="D2652">
        <v>0.80120092300686996</v>
      </c>
      <c r="E2652">
        <v>0.87659866009595799</v>
      </c>
      <c r="F2652">
        <v>0.697343461822582</v>
      </c>
      <c r="G2652">
        <v>0.41108480165842798</v>
      </c>
      <c r="H2652">
        <v>0.336457559472293</v>
      </c>
      <c r="I2652">
        <v>0.38474122481983702</v>
      </c>
      <c r="J2652">
        <v>0.38084422569402898</v>
      </c>
      <c r="K2652">
        <v>0.32536210658421</v>
      </c>
      <c r="L2652">
        <v>782.38344740195203</v>
      </c>
      <c r="M2652">
        <v>14.7895124955127</v>
      </c>
      <c r="N2652">
        <v>56.540113803642903</v>
      </c>
      <c r="O2652">
        <v>51.9622948106434</v>
      </c>
      <c r="P2652">
        <v>-4.9316732948473802E-2</v>
      </c>
      <c r="Q2652">
        <v>0.30698540366339999</v>
      </c>
      <c r="R2652">
        <v>0.93927474232852803</v>
      </c>
      <c r="S2652" t="s">
        <v>8513</v>
      </c>
      <c r="T2652" t="s">
        <v>11720</v>
      </c>
      <c r="U2652" t="s">
        <v>11720</v>
      </c>
      <c r="V2652" t="s">
        <v>11720</v>
      </c>
      <c r="W2652" t="s">
        <v>14327</v>
      </c>
      <c r="X2652">
        <v>7</v>
      </c>
      <c r="Y2652" t="s">
        <v>20072</v>
      </c>
      <c r="Z2652" t="s">
        <v>25859</v>
      </c>
      <c r="AA2652">
        <v>0.62028320237549062</v>
      </c>
      <c r="AB2652" t="str">
        <f>HYPERLINK("Melting_Curves/meltCurve_P55011_3_SLC12A2.pdf", "Melting_Curves/meltCurve_P55011_3_SLC12A2.pdf")</f>
        <v>Melting_Curves/meltCurve_P55011_3_SLC12A2.pdf</v>
      </c>
    </row>
    <row r="2653" spans="1:28" x14ac:dyDescent="0.25">
      <c r="A2653" t="s">
        <v>2657</v>
      </c>
      <c r="B2653">
        <v>0.99334974765950101</v>
      </c>
      <c r="C2653">
        <v>1.0818438913622801</v>
      </c>
      <c r="D2653">
        <v>0.99703146383099295</v>
      </c>
      <c r="E2653">
        <v>0.92153577498069705</v>
      </c>
      <c r="F2653">
        <v>1.50316337107627</v>
      </c>
      <c r="G2653">
        <v>0.70555529361940095</v>
      </c>
      <c r="H2653">
        <v>0.451296054238016</v>
      </c>
      <c r="I2653">
        <v>0.43322424381681002</v>
      </c>
      <c r="J2653">
        <v>0.54594925662388605</v>
      </c>
      <c r="K2653">
        <v>0.61272877891254396</v>
      </c>
      <c r="L2653">
        <v>14226.4393287654</v>
      </c>
      <c r="M2653">
        <v>250</v>
      </c>
      <c r="O2653">
        <v>56.902115496515101</v>
      </c>
      <c r="P2653">
        <v>-0.53732670607532995</v>
      </c>
      <c r="Q2653">
        <v>0.51079957800181597</v>
      </c>
      <c r="R2653">
        <v>0.71932137238634897</v>
      </c>
      <c r="S2653" t="s">
        <v>8514</v>
      </c>
      <c r="T2653" t="s">
        <v>11720</v>
      </c>
      <c r="U2653" t="s">
        <v>11720</v>
      </c>
      <c r="V2653" t="s">
        <v>11720</v>
      </c>
      <c r="W2653" t="s">
        <v>14328</v>
      </c>
      <c r="X2653">
        <v>12</v>
      </c>
      <c r="Y2653" t="s">
        <v>20073</v>
      </c>
      <c r="Z2653" t="s">
        <v>25860</v>
      </c>
      <c r="AA2653">
        <v>0.78652522091192123</v>
      </c>
      <c r="AB2653" t="str">
        <f>HYPERLINK("Melting_Curves/meltCurve_P55036_PSMD4.pdf", "Melting_Curves/meltCurve_P55036_PSMD4.pdf")</f>
        <v>Melting_Curves/meltCurve_P55036_PSMD4.pdf</v>
      </c>
    </row>
    <row r="2654" spans="1:28" x14ac:dyDescent="0.25">
      <c r="A2654" t="s">
        <v>2658</v>
      </c>
      <c r="B2654">
        <v>0.99334974765950101</v>
      </c>
      <c r="C2654">
        <v>0.95435084947143001</v>
      </c>
      <c r="D2654">
        <v>0.871217310010729</v>
      </c>
      <c r="E2654">
        <v>0.68178406783481504</v>
      </c>
      <c r="F2654">
        <v>0.27507096757873301</v>
      </c>
      <c r="G2654">
        <v>0.103149938187707</v>
      </c>
      <c r="H2654">
        <v>6.65680730371217E-2</v>
      </c>
      <c r="I2654">
        <v>5.05010864547858E-2</v>
      </c>
      <c r="J2654">
        <v>4.7402636651204998E-2</v>
      </c>
      <c r="K2654">
        <v>4.1728906584647701E-2</v>
      </c>
      <c r="L2654">
        <v>1246.68912044647</v>
      </c>
      <c r="M2654">
        <v>24.459136772285099</v>
      </c>
      <c r="N2654">
        <v>51.147949664730099</v>
      </c>
      <c r="O2654">
        <v>50.633238517773897</v>
      </c>
      <c r="P2654">
        <v>-0.115849625959782</v>
      </c>
      <c r="Q2654">
        <v>4.07256789773216E-2</v>
      </c>
      <c r="R2654">
        <v>0.99390838289163996</v>
      </c>
      <c r="S2654" t="s">
        <v>8515</v>
      </c>
      <c r="T2654" t="s">
        <v>11720</v>
      </c>
      <c r="U2654" t="s">
        <v>11720</v>
      </c>
      <c r="V2654" t="s">
        <v>11720</v>
      </c>
      <c r="W2654" t="s">
        <v>14329</v>
      </c>
      <c r="X2654">
        <v>19</v>
      </c>
      <c r="Y2654" t="s">
        <v>20074</v>
      </c>
      <c r="Z2654" t="s">
        <v>25861</v>
      </c>
      <c r="AA2654">
        <v>0.40055316735155699</v>
      </c>
      <c r="AB2654" t="str">
        <f>HYPERLINK("Melting_Curves/meltCurve_P55039_DRG2.pdf", "Melting_Curves/meltCurve_P55039_DRG2.pdf")</f>
        <v>Melting_Curves/meltCurve_P55039_DRG2.pdf</v>
      </c>
    </row>
    <row r="2655" spans="1:28" x14ac:dyDescent="0.25">
      <c r="A2655" t="s">
        <v>2659</v>
      </c>
      <c r="B2655">
        <v>0.99334974765950101</v>
      </c>
      <c r="C2655">
        <v>1.02756604393676</v>
      </c>
      <c r="D2655">
        <v>0.90471220949305797</v>
      </c>
      <c r="E2655">
        <v>0.78794186822870604</v>
      </c>
      <c r="F2655">
        <v>0.82403143930476297</v>
      </c>
      <c r="G2655">
        <v>0.41097502086087301</v>
      </c>
      <c r="H2655">
        <v>0.31248166841827002</v>
      </c>
      <c r="I2655">
        <v>0.31705676939381</v>
      </c>
      <c r="J2655">
        <v>0.35465983366742498</v>
      </c>
      <c r="K2655">
        <v>0.24393870807808901</v>
      </c>
      <c r="L2655">
        <v>984.54933351288798</v>
      </c>
      <c r="M2655">
        <v>18.177270577349098</v>
      </c>
      <c r="N2655">
        <v>56.491237762242498</v>
      </c>
      <c r="O2655">
        <v>53.520981213437501</v>
      </c>
      <c r="P2655">
        <v>-6.2531996734547401E-2</v>
      </c>
      <c r="Q2655">
        <v>0.263560512246937</v>
      </c>
      <c r="R2655">
        <v>0.95805405014192102</v>
      </c>
      <c r="S2655" t="s">
        <v>8516</v>
      </c>
      <c r="T2655" t="s">
        <v>11720</v>
      </c>
      <c r="U2655" t="s">
        <v>11720</v>
      </c>
      <c r="V2655" t="s">
        <v>11720</v>
      </c>
      <c r="W2655" t="s">
        <v>14330</v>
      </c>
      <c r="X2655">
        <v>2</v>
      </c>
      <c r="Y2655" t="s">
        <v>20075</v>
      </c>
      <c r="Z2655" t="s">
        <v>25862</v>
      </c>
      <c r="AA2655">
        <v>0.62281243984541967</v>
      </c>
      <c r="AB2655" t="str">
        <f>HYPERLINK("Melting_Curves/meltCurve_P55042_RRAD.pdf", "Melting_Curves/meltCurve_P55042_RRAD.pdf")</f>
        <v>Melting_Curves/meltCurve_P55042_RRAD.pdf</v>
      </c>
    </row>
    <row r="2656" spans="1:28" x14ac:dyDescent="0.25">
      <c r="A2656" t="s">
        <v>2660</v>
      </c>
      <c r="B2656">
        <v>0.99334974765950101</v>
      </c>
      <c r="C2656">
        <v>1.02391133882921</v>
      </c>
      <c r="D2656">
        <v>1.0027884942307399</v>
      </c>
      <c r="E2656">
        <v>0.804556603223605</v>
      </c>
      <c r="F2656">
        <v>0.151615702819558</v>
      </c>
      <c r="G2656">
        <v>9.9959321574413104E-2</v>
      </c>
      <c r="H2656">
        <v>6.8134873993658002E-2</v>
      </c>
      <c r="I2656">
        <v>6.46677825713909E-2</v>
      </c>
      <c r="J2656">
        <v>7.1947163945580206E-2</v>
      </c>
      <c r="K2656">
        <v>5.4065292475379403E-2</v>
      </c>
      <c r="L2656">
        <v>3238.8276232973199</v>
      </c>
      <c r="M2656">
        <v>63.455643652088398</v>
      </c>
      <c r="N2656">
        <v>51.164920191114803</v>
      </c>
      <c r="O2656">
        <v>50.990197165275603</v>
      </c>
      <c r="P2656">
        <v>-0.288921249823056</v>
      </c>
      <c r="Q2656">
        <v>7.1342144661727405E-2</v>
      </c>
      <c r="R2656">
        <v>0.99906648417060095</v>
      </c>
      <c r="S2656" t="s">
        <v>8517</v>
      </c>
      <c r="T2656" t="s">
        <v>11720</v>
      </c>
      <c r="U2656" t="s">
        <v>11720</v>
      </c>
      <c r="V2656" t="s">
        <v>11720</v>
      </c>
      <c r="W2656" t="s">
        <v>14331</v>
      </c>
      <c r="X2656">
        <v>34</v>
      </c>
      <c r="Y2656" t="s">
        <v>20076</v>
      </c>
      <c r="Z2656" t="s">
        <v>25863</v>
      </c>
      <c r="AA2656">
        <v>0.41440874886662321</v>
      </c>
      <c r="AB2656" t="str">
        <f>HYPERLINK("Melting_Curves/meltCurve_P55060_3_CSE1L.pdf", "Melting_Curves/meltCurve_P55060_3_CSE1L.pdf")</f>
        <v>Melting_Curves/meltCurve_P55060_3_CSE1L.pdf</v>
      </c>
    </row>
    <row r="2657" spans="1:28" x14ac:dyDescent="0.25">
      <c r="A2657" t="s">
        <v>2661</v>
      </c>
      <c r="B2657">
        <v>0.99334974765950101</v>
      </c>
      <c r="C2657">
        <v>1.04737690921388</v>
      </c>
      <c r="D2657">
        <v>1.05625019094323</v>
      </c>
      <c r="E2657">
        <v>1.2822242022321799</v>
      </c>
      <c r="F2657">
        <v>1.7631116248571701</v>
      </c>
      <c r="G2657">
        <v>3.17921449823708</v>
      </c>
      <c r="H2657">
        <v>2.9532419440676798</v>
      </c>
      <c r="I2657">
        <v>3.3642276400832398</v>
      </c>
      <c r="J2657">
        <v>0.85601072958167101</v>
      </c>
      <c r="K2657">
        <v>0.39003693953242202</v>
      </c>
      <c r="L2657">
        <v>12487.037984258701</v>
      </c>
      <c r="M2657">
        <v>250</v>
      </c>
      <c r="O2657">
        <v>49.944956386059403</v>
      </c>
      <c r="P2657">
        <v>0.625688814205002</v>
      </c>
      <c r="Q2657">
        <v>1.5</v>
      </c>
      <c r="R2657">
        <v>3.2950631041679598E-2</v>
      </c>
      <c r="S2657" t="s">
        <v>8518</v>
      </c>
      <c r="T2657" t="s">
        <v>11720</v>
      </c>
      <c r="U2657" t="s">
        <v>11720</v>
      </c>
      <c r="V2657" t="s">
        <v>11720</v>
      </c>
      <c r="W2657" t="s">
        <v>14332</v>
      </c>
      <c r="X2657">
        <v>62</v>
      </c>
      <c r="Y2657" t="s">
        <v>20077</v>
      </c>
      <c r="Z2657" t="s">
        <v>25864</v>
      </c>
      <c r="AA2657">
        <v>1.334153638601445</v>
      </c>
      <c r="AB2657" t="str">
        <f>HYPERLINK("Melting_Curves/meltCurve_P55072_VCP.pdf", "Melting_Curves/meltCurve_P55072_VCP.pdf")</f>
        <v>Melting_Curves/meltCurve_P55072_VCP.pdf</v>
      </c>
    </row>
    <row r="2658" spans="1:28" x14ac:dyDescent="0.25">
      <c r="A2658" t="s">
        <v>2662</v>
      </c>
      <c r="B2658">
        <v>0.99334974765950101</v>
      </c>
      <c r="C2658">
        <v>0.98777156778998199</v>
      </c>
      <c r="D2658">
        <v>0.95261309885664003</v>
      </c>
      <c r="E2658">
        <v>1.17796277692563</v>
      </c>
      <c r="F2658">
        <v>1.4528921173848801</v>
      </c>
      <c r="G2658">
        <v>1.14882101754751</v>
      </c>
      <c r="H2658">
        <v>1.12116150637673</v>
      </c>
      <c r="I2658">
        <v>1.2428505428050001</v>
      </c>
      <c r="J2658">
        <v>1.4956015808374601</v>
      </c>
      <c r="K2658">
        <v>1.4100829012360401</v>
      </c>
      <c r="L2658">
        <v>389.54316785139599</v>
      </c>
      <c r="M2658">
        <v>6.7419539887885804</v>
      </c>
      <c r="O2658">
        <v>53.3332864874588</v>
      </c>
      <c r="P2658">
        <v>1.5835076449115301E-2</v>
      </c>
      <c r="Q2658">
        <v>1.5</v>
      </c>
      <c r="R2658">
        <v>0.54145168463335003</v>
      </c>
      <c r="S2658" t="s">
        <v>8519</v>
      </c>
      <c r="T2658" t="s">
        <v>11720</v>
      </c>
      <c r="U2658" t="s">
        <v>11720</v>
      </c>
      <c r="V2658" t="s">
        <v>11720</v>
      </c>
      <c r="W2658" t="s">
        <v>14333</v>
      </c>
      <c r="X2658">
        <v>11</v>
      </c>
      <c r="Y2658" t="s">
        <v>20078</v>
      </c>
      <c r="Z2658" t="s">
        <v>25865</v>
      </c>
      <c r="AA2658">
        <v>1.204099633915156</v>
      </c>
      <c r="AB2658" t="str">
        <f>HYPERLINK("Melting_Curves/meltCurve_P55081_MFAP1.pdf", "Melting_Curves/meltCurve_P55081_MFAP1.pdf")</f>
        <v>Melting_Curves/meltCurve_P55081_MFAP1.pdf</v>
      </c>
    </row>
    <row r="2659" spans="1:28" x14ac:dyDescent="0.25">
      <c r="A2659" t="s">
        <v>2663</v>
      </c>
      <c r="B2659">
        <v>0.99334974765950101</v>
      </c>
      <c r="C2659">
        <v>1.0080845377126599</v>
      </c>
      <c r="D2659">
        <v>0.86817720529041997</v>
      </c>
      <c r="E2659">
        <v>0.82616205080449501</v>
      </c>
      <c r="F2659">
        <v>0.75963415524685096</v>
      </c>
      <c r="G2659">
        <v>0.75622437992317604</v>
      </c>
      <c r="H2659">
        <v>0.74396098675436195</v>
      </c>
      <c r="I2659">
        <v>0.96296067854319201</v>
      </c>
      <c r="J2659">
        <v>0.95859332164454103</v>
      </c>
      <c r="K2659">
        <v>0.87237985913089899</v>
      </c>
      <c r="L2659">
        <v>11429.0442475236</v>
      </c>
      <c r="M2659">
        <v>250</v>
      </c>
      <c r="O2659">
        <v>45.713251495658298</v>
      </c>
      <c r="P2659">
        <v>-0.218771467613321</v>
      </c>
      <c r="Q2659">
        <v>0.83998791841407505</v>
      </c>
      <c r="R2659">
        <v>0.43047094820356802</v>
      </c>
      <c r="S2659" t="s">
        <v>8520</v>
      </c>
      <c r="T2659" t="s">
        <v>11720</v>
      </c>
      <c r="U2659" t="s">
        <v>11720</v>
      </c>
      <c r="V2659" t="s">
        <v>11720</v>
      </c>
      <c r="W2659" t="s">
        <v>14334</v>
      </c>
      <c r="X2659">
        <v>21</v>
      </c>
      <c r="Y2659" t="s">
        <v>20079</v>
      </c>
      <c r="Z2659" t="s">
        <v>25866</v>
      </c>
      <c r="AA2659">
        <v>0.87048933566867304</v>
      </c>
      <c r="AB2659" t="str">
        <f>HYPERLINK("Melting_Curves/meltCurve_P55145_MANF.pdf", "Melting_Curves/meltCurve_P55145_MANF.pdf")</f>
        <v>Melting_Curves/meltCurve_P55145_MANF.pdf</v>
      </c>
    </row>
    <row r="2660" spans="1:28" x14ac:dyDescent="0.25">
      <c r="A2660" t="s">
        <v>2664</v>
      </c>
      <c r="B2660">
        <v>0.99334974765950101</v>
      </c>
      <c r="C2660">
        <v>0.94946682600836496</v>
      </c>
      <c r="D2660">
        <v>0.85930054189877103</v>
      </c>
      <c r="E2660">
        <v>0.65638220068018305</v>
      </c>
      <c r="F2660">
        <v>0.51310950395792698</v>
      </c>
      <c r="G2660">
        <v>0.33973041300926898</v>
      </c>
      <c r="H2660">
        <v>0.22164811075775701</v>
      </c>
      <c r="I2660">
        <v>0.16714633522504199</v>
      </c>
      <c r="J2660">
        <v>0.12659939094102601</v>
      </c>
      <c r="K2660">
        <v>9.5592480798456697E-2</v>
      </c>
      <c r="L2660">
        <v>613.41486956265999</v>
      </c>
      <c r="M2660">
        <v>11.6314723013916</v>
      </c>
      <c r="N2660">
        <v>53.260918889067398</v>
      </c>
      <c r="O2660">
        <v>51.2509907168605</v>
      </c>
      <c r="P2660">
        <v>-5.3688120100929798E-2</v>
      </c>
      <c r="Q2660">
        <v>5.4007437246049297E-2</v>
      </c>
      <c r="R2660">
        <v>0.99923763833965695</v>
      </c>
      <c r="S2660" t="s">
        <v>8521</v>
      </c>
      <c r="T2660" t="s">
        <v>11720</v>
      </c>
      <c r="U2660" t="s">
        <v>11720</v>
      </c>
      <c r="V2660" t="s">
        <v>11720</v>
      </c>
      <c r="W2660" t="s">
        <v>14335</v>
      </c>
      <c r="X2660">
        <v>11</v>
      </c>
      <c r="Y2660" t="s">
        <v>20080</v>
      </c>
      <c r="Z2660" t="s">
        <v>25867</v>
      </c>
      <c r="AA2660">
        <v>0.48413818636340072</v>
      </c>
      <c r="AB2660" t="str">
        <f>HYPERLINK("Melting_Curves/meltCurve_P55210_CASP7.pdf", "Melting_Curves/meltCurve_P55210_CASP7.pdf")</f>
        <v>Melting_Curves/meltCurve_P55210_CASP7.pdf</v>
      </c>
    </row>
    <row r="2661" spans="1:28" x14ac:dyDescent="0.25">
      <c r="A2661" t="s">
        <v>2665</v>
      </c>
      <c r="B2661">
        <v>0.99334974765950101</v>
      </c>
      <c r="C2661">
        <v>1.01138721434225</v>
      </c>
      <c r="D2661">
        <v>0.970407204925125</v>
      </c>
      <c r="E2661">
        <v>0.808443736278597</v>
      </c>
      <c r="F2661">
        <v>0.783328149915821</v>
      </c>
      <c r="G2661">
        <v>0.71432337240782895</v>
      </c>
      <c r="H2661">
        <v>0.64272282296704897</v>
      </c>
      <c r="I2661">
        <v>0.73145229128066802</v>
      </c>
      <c r="J2661">
        <v>0.65672671548498895</v>
      </c>
      <c r="K2661">
        <v>0.51294764155655403</v>
      </c>
      <c r="L2661">
        <v>586.40715765156597</v>
      </c>
      <c r="M2661">
        <v>11.0709777350037</v>
      </c>
      <c r="O2661">
        <v>51.327841157951397</v>
      </c>
      <c r="P2661">
        <v>-2.2518680265637001E-2</v>
      </c>
      <c r="Q2661">
        <v>0.58252832583525704</v>
      </c>
      <c r="R2661">
        <v>0.89779295679435001</v>
      </c>
      <c r="S2661" t="s">
        <v>8522</v>
      </c>
      <c r="T2661" t="s">
        <v>11720</v>
      </c>
      <c r="U2661" t="s">
        <v>11720</v>
      </c>
      <c r="V2661" t="s">
        <v>11720</v>
      </c>
      <c r="W2661" t="s">
        <v>14336</v>
      </c>
      <c r="X2661">
        <v>18</v>
      </c>
      <c r="Y2661" t="s">
        <v>20081</v>
      </c>
      <c r="Z2661" t="s">
        <v>25868</v>
      </c>
      <c r="AA2661">
        <v>0.7759791304643584</v>
      </c>
      <c r="AB2661" t="str">
        <f>HYPERLINK("Melting_Curves/meltCurve_P55212_CASP6.pdf", "Melting_Curves/meltCurve_P55212_CASP6.pdf")</f>
        <v>Melting_Curves/meltCurve_P55212_CASP6.pdf</v>
      </c>
    </row>
    <row r="2662" spans="1:28" x14ac:dyDescent="0.25">
      <c r="A2662" t="s">
        <v>2666</v>
      </c>
      <c r="B2662">
        <v>0.99334974765950101</v>
      </c>
      <c r="C2662">
        <v>1.0072731710506</v>
      </c>
      <c r="D2662">
        <v>0.93167497222692497</v>
      </c>
      <c r="E2662">
        <v>0.76781664994662402</v>
      </c>
      <c r="F2662">
        <v>0.55730962001094797</v>
      </c>
      <c r="G2662">
        <v>0.27013942198796198</v>
      </c>
      <c r="H2662">
        <v>0.11069405694637501</v>
      </c>
      <c r="I2662">
        <v>7.97498774881744E-2</v>
      </c>
      <c r="J2662">
        <v>7.9487649289582102E-2</v>
      </c>
      <c r="K2662">
        <v>6.7555695404772798E-2</v>
      </c>
      <c r="L2662">
        <v>967.52862219077394</v>
      </c>
      <c r="M2662">
        <v>18.166690156268999</v>
      </c>
      <c r="N2662">
        <v>53.537600144887001</v>
      </c>
      <c r="O2662">
        <v>52.6256286651724</v>
      </c>
      <c r="P2662">
        <v>-8.2405027248687202E-2</v>
      </c>
      <c r="Q2662">
        <v>4.5195322998661899E-2</v>
      </c>
      <c r="R2662">
        <v>0.99887674820333205</v>
      </c>
      <c r="S2662" t="s">
        <v>8523</v>
      </c>
      <c r="T2662" t="s">
        <v>11720</v>
      </c>
      <c r="U2662" t="s">
        <v>11720</v>
      </c>
      <c r="V2662" t="s">
        <v>11720</v>
      </c>
      <c r="W2662" t="s">
        <v>14337</v>
      </c>
      <c r="X2662">
        <v>22</v>
      </c>
      <c r="Y2662" t="s">
        <v>20082</v>
      </c>
      <c r="Z2662" t="s">
        <v>25869</v>
      </c>
      <c r="AA2662">
        <v>0.48249640585021453</v>
      </c>
      <c r="AB2662" t="str">
        <f>HYPERLINK("Melting_Curves/meltCurve_P55263_ADK.pdf", "Melting_Curves/meltCurve_P55263_ADK.pdf")</f>
        <v>Melting_Curves/meltCurve_P55263_ADK.pdf</v>
      </c>
    </row>
    <row r="2663" spans="1:28" x14ac:dyDescent="0.25">
      <c r="A2663" t="s">
        <v>2667</v>
      </c>
      <c r="B2663">
        <v>0.99334974765950101</v>
      </c>
      <c r="C2663">
        <v>0.964682302017002</v>
      </c>
      <c r="D2663">
        <v>0.99964302489601797</v>
      </c>
      <c r="E2663">
        <v>0.78427218468030402</v>
      </c>
      <c r="F2663">
        <v>0.46909407334316</v>
      </c>
      <c r="G2663">
        <v>0.235794386690485</v>
      </c>
      <c r="H2663">
        <v>0.17584228162698701</v>
      </c>
      <c r="I2663">
        <v>0.177121474017993</v>
      </c>
      <c r="J2663">
        <v>0.15820324821607101</v>
      </c>
      <c r="K2663">
        <v>0.123188097838107</v>
      </c>
      <c r="L2663">
        <v>1387.1295302870301</v>
      </c>
      <c r="M2663">
        <v>26.664379701738799</v>
      </c>
      <c r="N2663">
        <v>52.745524903799797</v>
      </c>
      <c r="O2663">
        <v>51.731878117070302</v>
      </c>
      <c r="P2663">
        <v>-0.109118827289228</v>
      </c>
      <c r="Q2663">
        <v>0.15319819258648901</v>
      </c>
      <c r="R2663">
        <v>0.99765160241104101</v>
      </c>
      <c r="S2663" t="s">
        <v>8524</v>
      </c>
      <c r="T2663" t="s">
        <v>11720</v>
      </c>
      <c r="U2663" t="s">
        <v>11720</v>
      </c>
      <c r="V2663" t="s">
        <v>11720</v>
      </c>
      <c r="W2663" t="s">
        <v>14338</v>
      </c>
      <c r="X2663">
        <v>30</v>
      </c>
      <c r="Y2663" t="s">
        <v>20083</v>
      </c>
      <c r="Z2663" t="s">
        <v>25870</v>
      </c>
      <c r="AA2663">
        <v>0.49935941871929101</v>
      </c>
      <c r="AB2663" t="str">
        <f>HYPERLINK("Melting_Curves/meltCurve_P55268_LAMB2.pdf", "Melting_Curves/meltCurve_P55268_LAMB2.pdf")</f>
        <v>Melting_Curves/meltCurve_P55268_LAMB2.pdf</v>
      </c>
    </row>
    <row r="2664" spans="1:28" x14ac:dyDescent="0.25">
      <c r="A2664" t="s">
        <v>2668</v>
      </c>
      <c r="B2664">
        <v>0.99334974765950101</v>
      </c>
      <c r="C2664">
        <v>1.03175331399024</v>
      </c>
      <c r="D2664">
        <v>0.85604669277397805</v>
      </c>
      <c r="E2664">
        <v>1.0312749502843599</v>
      </c>
      <c r="F2664">
        <v>1.393611303833</v>
      </c>
      <c r="G2664">
        <v>0.98431077251404198</v>
      </c>
      <c r="H2664">
        <v>0.90790981593081199</v>
      </c>
      <c r="I2664">
        <v>1.2487440341635001</v>
      </c>
      <c r="J2664">
        <v>1.4072192653991</v>
      </c>
      <c r="K2664">
        <v>1.8616999500929601</v>
      </c>
      <c r="L2664">
        <v>5589.2453934699797</v>
      </c>
      <c r="M2664">
        <v>87.235386009875896</v>
      </c>
      <c r="O2664">
        <v>64.037203895379903</v>
      </c>
      <c r="P2664">
        <v>0.170282644075614</v>
      </c>
      <c r="Q2664">
        <v>1.5</v>
      </c>
      <c r="R2664">
        <v>0.62252048689361195</v>
      </c>
      <c r="S2664" t="s">
        <v>8525</v>
      </c>
      <c r="T2664" t="s">
        <v>11720</v>
      </c>
      <c r="U2664" t="s">
        <v>11720</v>
      </c>
      <c r="V2664" t="s">
        <v>11720</v>
      </c>
      <c r="W2664" t="s">
        <v>14339</v>
      </c>
      <c r="X2664">
        <v>2</v>
      </c>
      <c r="Y2664" t="s">
        <v>20084</v>
      </c>
      <c r="Z2664" t="s">
        <v>25871</v>
      </c>
      <c r="AA2664">
        <v>1.098365936495088</v>
      </c>
      <c r="AB2664" t="str">
        <f>HYPERLINK("Melting_Curves/meltCurve_P55273_CDKN2D.pdf", "Melting_Curves/meltCurve_P55273_CDKN2D.pdf")</f>
        <v>Melting_Curves/meltCurve_P55273_CDKN2D.pdf</v>
      </c>
    </row>
    <row r="2665" spans="1:28" x14ac:dyDescent="0.25">
      <c r="A2665" t="s">
        <v>2669</v>
      </c>
      <c r="B2665">
        <v>0.99334974765950101</v>
      </c>
      <c r="C2665">
        <v>0.95558179787364195</v>
      </c>
      <c r="D2665">
        <v>1.13199882219246</v>
      </c>
      <c r="E2665">
        <v>1.20316405540427</v>
      </c>
      <c r="F2665">
        <v>1.61553651053154</v>
      </c>
      <c r="G2665">
        <v>1.8406864800681599</v>
      </c>
      <c r="H2665">
        <v>1.9178443426354299</v>
      </c>
      <c r="I2665">
        <v>2.32837346911717</v>
      </c>
      <c r="J2665">
        <v>2.21766503303003</v>
      </c>
      <c r="K2665">
        <v>1.6048600997328399</v>
      </c>
      <c r="L2665">
        <v>12518.9580985802</v>
      </c>
      <c r="M2665">
        <v>250</v>
      </c>
      <c r="O2665">
        <v>50.072627911817698</v>
      </c>
      <c r="P2665">
        <v>0.62409346910588304</v>
      </c>
      <c r="Q2665">
        <v>1.5</v>
      </c>
      <c r="R2665">
        <v>0.310549713422964</v>
      </c>
      <c r="S2665" t="s">
        <v>8526</v>
      </c>
      <c r="T2665" t="s">
        <v>11720</v>
      </c>
      <c r="U2665" t="s">
        <v>11720</v>
      </c>
      <c r="V2665" t="s">
        <v>11720</v>
      </c>
      <c r="W2665" t="s">
        <v>14340</v>
      </c>
      <c r="X2665">
        <v>5</v>
      </c>
      <c r="Y2665" t="s">
        <v>20085</v>
      </c>
      <c r="Z2665" t="s">
        <v>25872</v>
      </c>
      <c r="AA2665">
        <v>1.332025518941403</v>
      </c>
      <c r="AB2665" t="str">
        <f>HYPERLINK("Melting_Curves/meltCurve_P55285_CDH6.pdf", "Melting_Curves/meltCurve_P55285_CDH6.pdf")</f>
        <v>Melting_Curves/meltCurve_P55285_CDH6.pdf</v>
      </c>
    </row>
    <row r="2666" spans="1:28" x14ac:dyDescent="0.25">
      <c r="A2666" t="s">
        <v>2670</v>
      </c>
      <c r="B2666">
        <v>0.99334974765950101</v>
      </c>
      <c r="C2666">
        <v>1.0683378867303099</v>
      </c>
      <c r="D2666">
        <v>0.86368322615639104</v>
      </c>
      <c r="E2666">
        <v>0.83189723636718604</v>
      </c>
      <c r="F2666">
        <v>0.90123818639060005</v>
      </c>
      <c r="G2666">
        <v>0.54478688108712103</v>
      </c>
      <c r="H2666">
        <v>0.68201893023885696</v>
      </c>
      <c r="I2666">
        <v>0.40396070602251</v>
      </c>
      <c r="J2666">
        <v>0.837836591842965</v>
      </c>
      <c r="K2666">
        <v>0.74688274653877496</v>
      </c>
      <c r="L2666">
        <v>952.28180241686096</v>
      </c>
      <c r="M2666">
        <v>18.6925645828893</v>
      </c>
      <c r="O2666">
        <v>50.3721077343966</v>
      </c>
      <c r="P2666">
        <v>-3.2688351656258899E-2</v>
      </c>
      <c r="Q2666">
        <v>0.647665032927359</v>
      </c>
      <c r="R2666">
        <v>0.54952929626147495</v>
      </c>
      <c r="S2666" t="s">
        <v>8527</v>
      </c>
      <c r="T2666" t="s">
        <v>11720</v>
      </c>
      <c r="U2666" t="s">
        <v>11720</v>
      </c>
      <c r="V2666" t="s">
        <v>11720</v>
      </c>
      <c r="W2666" t="s">
        <v>14341</v>
      </c>
      <c r="X2666">
        <v>2</v>
      </c>
      <c r="Y2666" t="s">
        <v>20086</v>
      </c>
      <c r="Z2666" t="s">
        <v>25873</v>
      </c>
      <c r="AA2666">
        <v>0.781747297464361</v>
      </c>
      <c r="AB2666" t="str">
        <f>HYPERLINK("Melting_Curves/meltCurve_P55290_CDH13.pdf", "Melting_Curves/meltCurve_P55290_CDH13.pdf")</f>
        <v>Melting_Curves/meltCurve_P55290_CDH13.pdf</v>
      </c>
    </row>
    <row r="2667" spans="1:28" x14ac:dyDescent="0.25">
      <c r="A2667" t="s">
        <v>2671</v>
      </c>
      <c r="B2667">
        <v>0.99334974765950101</v>
      </c>
      <c r="C2667">
        <v>1.01682816677737</v>
      </c>
      <c r="D2667">
        <v>1.03005707585623</v>
      </c>
      <c r="E2667">
        <v>0.83152143359620601</v>
      </c>
      <c r="F2667">
        <v>0.55602332212630901</v>
      </c>
      <c r="G2667">
        <v>0.28164247151888999</v>
      </c>
      <c r="H2667">
        <v>0.25236874986211399</v>
      </c>
      <c r="I2667">
        <v>0.19210018181547001</v>
      </c>
      <c r="J2667">
        <v>0.140217995837914</v>
      </c>
      <c r="K2667">
        <v>8.3160704363564597E-2</v>
      </c>
      <c r="L2667">
        <v>1202.1993401683601</v>
      </c>
      <c r="M2667">
        <v>22.6757601581639</v>
      </c>
      <c r="N2667">
        <v>53.831446252264598</v>
      </c>
      <c r="O2667">
        <v>52.609775165090497</v>
      </c>
      <c r="P2667">
        <v>-9.2108262331997898E-2</v>
      </c>
      <c r="Q2667">
        <v>0.14521957463590701</v>
      </c>
      <c r="R2667">
        <v>0.99022065156139405</v>
      </c>
      <c r="S2667" t="s">
        <v>8528</v>
      </c>
      <c r="T2667" t="s">
        <v>11720</v>
      </c>
      <c r="U2667" t="s">
        <v>11720</v>
      </c>
      <c r="V2667" t="s">
        <v>11720</v>
      </c>
      <c r="W2667" t="s">
        <v>14342</v>
      </c>
      <c r="X2667">
        <v>3</v>
      </c>
      <c r="Y2667" t="s">
        <v>20087</v>
      </c>
      <c r="Z2667" t="s">
        <v>25874</v>
      </c>
      <c r="AA2667">
        <v>0.52553087285639011</v>
      </c>
      <c r="AB2667" t="str">
        <f>HYPERLINK("Melting_Curves/meltCurve_P55345_PRMT2.pdf", "Melting_Curves/meltCurve_P55345_PRMT2.pdf")</f>
        <v>Melting_Curves/meltCurve_P55345_PRMT2.pdf</v>
      </c>
    </row>
    <row r="2668" spans="1:28" x14ac:dyDescent="0.25">
      <c r="A2668" t="s">
        <v>2672</v>
      </c>
      <c r="B2668">
        <v>0.99334974765950101</v>
      </c>
      <c r="C2668">
        <v>1.0107780149284999</v>
      </c>
      <c r="D2668">
        <v>0.99824715927108798</v>
      </c>
      <c r="E2668">
        <v>0.84511921095854303</v>
      </c>
      <c r="F2668">
        <v>0.52145505408335402</v>
      </c>
      <c r="G2668">
        <v>0.26273871349670702</v>
      </c>
      <c r="H2668">
        <v>0.14780501354436301</v>
      </c>
      <c r="I2668">
        <v>0.114070302348807</v>
      </c>
      <c r="J2668">
        <v>0.102089552694372</v>
      </c>
      <c r="K2668">
        <v>7.8424778338381504E-2</v>
      </c>
      <c r="L2668">
        <v>1266.3289061257899</v>
      </c>
      <c r="M2668">
        <v>23.890863702338098</v>
      </c>
      <c r="N2668">
        <v>53.490613920093203</v>
      </c>
      <c r="O2668">
        <v>52.6375582413065</v>
      </c>
      <c r="P2668">
        <v>-0.10240268313402399</v>
      </c>
      <c r="Q2668">
        <v>9.7539479372038496E-2</v>
      </c>
      <c r="R2668">
        <v>0.99806835099234503</v>
      </c>
      <c r="S2668" t="s">
        <v>8529</v>
      </c>
      <c r="T2668" t="s">
        <v>11720</v>
      </c>
      <c r="U2668" t="s">
        <v>11720</v>
      </c>
      <c r="V2668" t="s">
        <v>11720</v>
      </c>
      <c r="W2668" t="s">
        <v>14343</v>
      </c>
      <c r="X2668">
        <v>12</v>
      </c>
      <c r="Y2668" t="s">
        <v>20088</v>
      </c>
      <c r="Z2668" t="s">
        <v>25875</v>
      </c>
      <c r="AA2668">
        <v>0.49779072847486899</v>
      </c>
      <c r="AB2668" t="str">
        <f>HYPERLINK("Melting_Curves/meltCurve_P55735_SEC13.pdf", "Melting_Curves/meltCurve_P55735_SEC13.pdf")</f>
        <v>Melting_Curves/meltCurve_P55735_SEC13.pdf</v>
      </c>
    </row>
    <row r="2669" spans="1:28" x14ac:dyDescent="0.25">
      <c r="A2669" t="s">
        <v>2673</v>
      </c>
      <c r="B2669">
        <v>0.99334974765950101</v>
      </c>
      <c r="C2669">
        <v>0.96174530626741295</v>
      </c>
      <c r="D2669">
        <v>0.91564415281562195</v>
      </c>
      <c r="E2669">
        <v>0.77381289922195196</v>
      </c>
      <c r="F2669">
        <v>0.83140652928838898</v>
      </c>
      <c r="G2669">
        <v>0.72630753321681496</v>
      </c>
      <c r="H2669">
        <v>0.66860138731173901</v>
      </c>
      <c r="I2669">
        <v>0.70136624552690596</v>
      </c>
      <c r="J2669">
        <v>0.75045391259023697</v>
      </c>
      <c r="K2669">
        <v>0.66417528512090296</v>
      </c>
      <c r="L2669">
        <v>643.66178333348796</v>
      </c>
      <c r="M2669">
        <v>13.139536043597699</v>
      </c>
      <c r="O2669">
        <v>47.893633234917203</v>
      </c>
      <c r="P2669">
        <v>-2.1410770477342501E-2</v>
      </c>
      <c r="Q2669">
        <v>0.68788355108731403</v>
      </c>
      <c r="R2669">
        <v>0.91204914026704997</v>
      </c>
      <c r="S2669" t="s">
        <v>8530</v>
      </c>
      <c r="T2669" t="s">
        <v>11720</v>
      </c>
      <c r="U2669" t="s">
        <v>11720</v>
      </c>
      <c r="V2669" t="s">
        <v>11720</v>
      </c>
      <c r="W2669" t="s">
        <v>14344</v>
      </c>
      <c r="X2669">
        <v>6</v>
      </c>
      <c r="Y2669" t="s">
        <v>20089</v>
      </c>
      <c r="Z2669" t="s">
        <v>25876</v>
      </c>
      <c r="AA2669">
        <v>0.79119574695553063</v>
      </c>
      <c r="AB2669" t="str">
        <f>HYPERLINK("Melting_Curves/meltCurve_P55789_GFER.pdf", "Melting_Curves/meltCurve_P55789_GFER.pdf")</f>
        <v>Melting_Curves/meltCurve_P55789_GFER.pdf</v>
      </c>
    </row>
    <row r="2670" spans="1:28" x14ac:dyDescent="0.25">
      <c r="A2670" t="s">
        <v>2674</v>
      </c>
      <c r="B2670">
        <v>0.99334974765950101</v>
      </c>
      <c r="C2670">
        <v>0.80024596598136</v>
      </c>
      <c r="D2670">
        <v>0.37028774817295601</v>
      </c>
      <c r="E2670">
        <v>0.21622685953541401</v>
      </c>
      <c r="F2670">
        <v>0.21374347047547501</v>
      </c>
      <c r="G2670">
        <v>0.135775025731627</v>
      </c>
      <c r="H2670">
        <v>0.103482459907475</v>
      </c>
      <c r="I2670">
        <v>0.105143914803159</v>
      </c>
      <c r="J2670">
        <v>0.100448167968253</v>
      </c>
      <c r="K2670">
        <v>8.5463764872879502E-2</v>
      </c>
      <c r="L2670">
        <v>1225.54710116306</v>
      </c>
      <c r="M2670">
        <v>27.425577600177601</v>
      </c>
      <c r="N2670">
        <v>45.163517440970899</v>
      </c>
      <c r="O2670">
        <v>44.450725663352998</v>
      </c>
      <c r="P2670">
        <v>-0.13484499419600199</v>
      </c>
      <c r="Q2670">
        <v>0.125793866508216</v>
      </c>
      <c r="R2670">
        <v>0.98621219367478996</v>
      </c>
      <c r="S2670" t="s">
        <v>8531</v>
      </c>
      <c r="T2670" t="s">
        <v>11720</v>
      </c>
      <c r="U2670" t="s">
        <v>11720</v>
      </c>
      <c r="V2670" t="s">
        <v>11720</v>
      </c>
      <c r="W2670" t="s">
        <v>14345</v>
      </c>
      <c r="X2670">
        <v>8</v>
      </c>
      <c r="Y2670" t="s">
        <v>20090</v>
      </c>
      <c r="Z2670" t="s">
        <v>25877</v>
      </c>
      <c r="AA2670">
        <v>0.26956169905632449</v>
      </c>
      <c r="AB2670" t="str">
        <f>HYPERLINK("Melting_Curves/meltCurve_P55795_HNRNPH2.pdf", "Melting_Curves/meltCurve_P55795_HNRNPH2.pdf")</f>
        <v>Melting_Curves/meltCurve_P55795_HNRNPH2.pdf</v>
      </c>
    </row>
    <row r="2671" spans="1:28" x14ac:dyDescent="0.25">
      <c r="A2671" t="s">
        <v>2675</v>
      </c>
      <c r="B2671">
        <v>0.99334974765950101</v>
      </c>
      <c r="C2671">
        <v>0.99639614607832305</v>
      </c>
      <c r="D2671">
        <v>1.05417467222985</v>
      </c>
      <c r="E2671">
        <v>0.909674678685093</v>
      </c>
      <c r="F2671">
        <v>0.34031974532194498</v>
      </c>
      <c r="G2671">
        <v>0.15049568633653701</v>
      </c>
      <c r="H2671">
        <v>0.10576299740895</v>
      </c>
      <c r="I2671">
        <v>8.5600631627811299E-2</v>
      </c>
      <c r="J2671">
        <v>8.5370195093459902E-2</v>
      </c>
      <c r="K2671">
        <v>7.4419923719357295E-2</v>
      </c>
      <c r="L2671">
        <v>2762.000021375</v>
      </c>
      <c r="M2671">
        <v>53.0907794401095</v>
      </c>
      <c r="N2671">
        <v>52.238532982027699</v>
      </c>
      <c r="O2671">
        <v>51.950464338078802</v>
      </c>
      <c r="P2671">
        <v>-0.230473492925406</v>
      </c>
      <c r="Q2671">
        <v>9.7907945216207506E-2</v>
      </c>
      <c r="R2671">
        <v>0.99666478890679899</v>
      </c>
      <c r="S2671" t="s">
        <v>8532</v>
      </c>
      <c r="T2671" t="s">
        <v>11720</v>
      </c>
      <c r="U2671" t="s">
        <v>11720</v>
      </c>
      <c r="V2671" t="s">
        <v>11720</v>
      </c>
      <c r="W2671" t="s">
        <v>14346</v>
      </c>
      <c r="X2671">
        <v>24</v>
      </c>
      <c r="Y2671" t="s">
        <v>20091</v>
      </c>
      <c r="Z2671" t="s">
        <v>25878</v>
      </c>
      <c r="AA2671">
        <v>0.46130432520407749</v>
      </c>
      <c r="AB2671" t="str">
        <f>HYPERLINK("Melting_Curves/meltCurve_P55809_OXCT1.pdf", "Melting_Curves/meltCurve_P55809_OXCT1.pdf")</f>
        <v>Melting_Curves/meltCurve_P55809_OXCT1.pdf</v>
      </c>
    </row>
    <row r="2672" spans="1:28" x14ac:dyDescent="0.25">
      <c r="A2672" t="s">
        <v>2676</v>
      </c>
      <c r="B2672">
        <v>0.99334974765950101</v>
      </c>
      <c r="C2672">
        <v>0.92859775642509201</v>
      </c>
      <c r="D2672">
        <v>0.86832948427121603</v>
      </c>
      <c r="E2672">
        <v>0.44201940980252402</v>
      </c>
      <c r="F2672">
        <v>0.356403633585195</v>
      </c>
      <c r="G2672">
        <v>0.20623031848385101</v>
      </c>
      <c r="H2672">
        <v>0.165469455879868</v>
      </c>
      <c r="I2672">
        <v>0.156576939668325</v>
      </c>
      <c r="J2672">
        <v>9.6321586096498005E-2</v>
      </c>
      <c r="K2672">
        <v>7.5775440611355993E-2</v>
      </c>
      <c r="L2672">
        <v>879.93987410205398</v>
      </c>
      <c r="M2672">
        <v>17.805136693682002</v>
      </c>
      <c r="N2672">
        <v>50.1447403586455</v>
      </c>
      <c r="O2672">
        <v>48.809807562959101</v>
      </c>
      <c r="P2672">
        <v>-8.0861843340474096E-2</v>
      </c>
      <c r="Q2672">
        <v>0.113368729119635</v>
      </c>
      <c r="R2672">
        <v>0.98866946829989399</v>
      </c>
      <c r="S2672" t="s">
        <v>8533</v>
      </c>
      <c r="T2672" t="s">
        <v>11720</v>
      </c>
      <c r="U2672" t="s">
        <v>11720</v>
      </c>
      <c r="V2672" t="s">
        <v>11720</v>
      </c>
      <c r="W2672" t="s">
        <v>14347</v>
      </c>
      <c r="X2672">
        <v>20</v>
      </c>
      <c r="Y2672" t="s">
        <v>20092</v>
      </c>
      <c r="Z2672" t="s">
        <v>25879</v>
      </c>
      <c r="AA2672">
        <v>0.40736095119671339</v>
      </c>
      <c r="AB2672" t="str">
        <f>HYPERLINK("Melting_Curves/meltCurve_P55884_EIF3B.pdf", "Melting_Curves/meltCurve_P55884_EIF3B.pdf")</f>
        <v>Melting_Curves/meltCurve_P55884_EIF3B.pdf</v>
      </c>
    </row>
    <row r="2673" spans="1:28" x14ac:dyDescent="0.25">
      <c r="A2673" t="s">
        <v>2677</v>
      </c>
      <c r="B2673">
        <v>0.99334974765950101</v>
      </c>
      <c r="C2673">
        <v>1.0364255639770701</v>
      </c>
      <c r="D2673">
        <v>0.98225417744759902</v>
      </c>
      <c r="E2673">
        <v>0.92363973872566796</v>
      </c>
      <c r="F2673">
        <v>0.78875834336912498</v>
      </c>
      <c r="G2673">
        <v>0.54641353440546903</v>
      </c>
      <c r="H2673">
        <v>0.227889999686337</v>
      </c>
      <c r="I2673">
        <v>0.18752699787216101</v>
      </c>
      <c r="J2673">
        <v>0.126389599305819</v>
      </c>
      <c r="K2673">
        <v>9.9510202921091404E-2</v>
      </c>
      <c r="L2673">
        <v>1063.3340524861201</v>
      </c>
      <c r="M2673">
        <v>18.7504000399449</v>
      </c>
      <c r="N2673">
        <v>57.192454838737198</v>
      </c>
      <c r="O2673">
        <v>56.076707295549397</v>
      </c>
      <c r="P2673">
        <v>-7.7480522318560396E-2</v>
      </c>
      <c r="Q2673">
        <v>7.3156820005141704E-2</v>
      </c>
      <c r="R2673">
        <v>0.99660497624520505</v>
      </c>
      <c r="S2673" t="s">
        <v>8534</v>
      </c>
      <c r="T2673" t="s">
        <v>11720</v>
      </c>
      <c r="U2673" t="s">
        <v>11720</v>
      </c>
      <c r="V2673" t="s">
        <v>11720</v>
      </c>
      <c r="W2673" t="s">
        <v>14348</v>
      </c>
      <c r="X2673">
        <v>10</v>
      </c>
      <c r="Y2673" t="s">
        <v>20093</v>
      </c>
      <c r="Z2673" t="s">
        <v>25880</v>
      </c>
      <c r="AA2673">
        <v>0.60186190000414186</v>
      </c>
      <c r="AB2673" t="str">
        <f>HYPERLINK("Melting_Curves/meltCurve_P55899_FCGRT.pdf", "Melting_Curves/meltCurve_P55899_FCGRT.pdf")</f>
        <v>Melting_Curves/meltCurve_P55899_FCGRT.pdf</v>
      </c>
    </row>
    <row r="2674" spans="1:28" x14ac:dyDescent="0.25">
      <c r="A2674" t="s">
        <v>2678</v>
      </c>
      <c r="B2674">
        <v>0.99334974765950101</v>
      </c>
      <c r="C2674">
        <v>1.02836817582344</v>
      </c>
      <c r="D2674">
        <v>0.95912895268253895</v>
      </c>
      <c r="E2674">
        <v>0.81967288526022097</v>
      </c>
      <c r="F2674">
        <v>0.99962647436490804</v>
      </c>
      <c r="G2674">
        <v>0.64581278954492105</v>
      </c>
      <c r="H2674">
        <v>0.63536364009402901</v>
      </c>
      <c r="I2674">
        <v>0.67238658413222796</v>
      </c>
      <c r="J2674">
        <v>0.765509061949184</v>
      </c>
      <c r="K2674">
        <v>0.63833573552702905</v>
      </c>
      <c r="L2674">
        <v>13591.754143809399</v>
      </c>
      <c r="M2674">
        <v>250</v>
      </c>
      <c r="O2674">
        <v>54.363554960369299</v>
      </c>
      <c r="P2674">
        <v>-0.37768763731968102</v>
      </c>
      <c r="Q2674">
        <v>0.67148102361903805</v>
      </c>
      <c r="R2674">
        <v>0.81003232527954305</v>
      </c>
      <c r="S2674" t="s">
        <v>8535</v>
      </c>
      <c r="T2674" t="s">
        <v>11720</v>
      </c>
      <c r="U2674" t="s">
        <v>11720</v>
      </c>
      <c r="V2674" t="s">
        <v>11720</v>
      </c>
      <c r="W2674" t="s">
        <v>14349</v>
      </c>
      <c r="X2674">
        <v>7</v>
      </c>
      <c r="Y2674" t="s">
        <v>20094</v>
      </c>
      <c r="Z2674" t="s">
        <v>25881</v>
      </c>
      <c r="AA2674">
        <v>0.82884028798633769</v>
      </c>
      <c r="AB2674" t="str">
        <f>HYPERLINK("Melting_Curves/meltCurve_P55957_BID.pdf", "Melting_Curves/meltCurve_P55957_BID.pdf")</f>
        <v>Melting_Curves/meltCurve_P55957_BID.pdf</v>
      </c>
    </row>
    <row r="2675" spans="1:28" x14ac:dyDescent="0.25">
      <c r="A2675" t="s">
        <v>2679</v>
      </c>
      <c r="B2675">
        <v>0.99334974765950101</v>
      </c>
      <c r="C2675">
        <v>0.96814450610565705</v>
      </c>
      <c r="D2675">
        <v>0.85918120068065096</v>
      </c>
      <c r="E2675">
        <v>0.85832755918190795</v>
      </c>
      <c r="F2675">
        <v>1.27184457964719</v>
      </c>
      <c r="G2675">
        <v>0.87206275021907298</v>
      </c>
      <c r="H2675">
        <v>0.86163776783011903</v>
      </c>
      <c r="I2675">
        <v>1.12535490643797</v>
      </c>
      <c r="J2675">
        <v>1.3287535557152701</v>
      </c>
      <c r="K2675">
        <v>1.1162581132829099</v>
      </c>
      <c r="L2675">
        <v>15000</v>
      </c>
      <c r="M2675">
        <v>234.629924098831</v>
      </c>
      <c r="O2675">
        <v>63.925822385339302</v>
      </c>
      <c r="P2675">
        <v>0.20416818297825801</v>
      </c>
      <c r="Q2675">
        <v>1.2225056073748499</v>
      </c>
      <c r="R2675">
        <v>0.38491640109990599</v>
      </c>
      <c r="S2675" t="s">
        <v>8536</v>
      </c>
      <c r="T2675" t="s">
        <v>11720</v>
      </c>
      <c r="U2675" t="s">
        <v>11720</v>
      </c>
      <c r="V2675" t="s">
        <v>11720</v>
      </c>
      <c r="W2675" t="s">
        <v>14350</v>
      </c>
      <c r="X2675">
        <v>15</v>
      </c>
      <c r="Y2675" t="s">
        <v>20095</v>
      </c>
      <c r="Z2675" t="s">
        <v>25882</v>
      </c>
      <c r="AA2675">
        <v>1.0449885139887161</v>
      </c>
      <c r="AB2675" t="str">
        <f>HYPERLINK("Melting_Curves/meltCurve_P56181_2_NDUFV3.pdf", "Melting_Curves/meltCurve_P56181_2_NDUFV3.pdf")</f>
        <v>Melting_Curves/meltCurve_P56181_2_NDUFV3.pdf</v>
      </c>
    </row>
    <row r="2676" spans="1:28" x14ac:dyDescent="0.25">
      <c r="A2676" t="s">
        <v>2680</v>
      </c>
      <c r="B2676">
        <v>0.99334974765950101</v>
      </c>
      <c r="C2676">
        <v>0.88892771565978701</v>
      </c>
      <c r="D2676">
        <v>0.72531752709131003</v>
      </c>
      <c r="E2676">
        <v>0.44139757136991098</v>
      </c>
      <c r="F2676">
        <v>0.281432652470339</v>
      </c>
      <c r="G2676">
        <v>0.20577358143157601</v>
      </c>
      <c r="H2676">
        <v>0.16963893071775599</v>
      </c>
      <c r="I2676">
        <v>0.19176509562938901</v>
      </c>
      <c r="J2676">
        <v>0.15792027016011401</v>
      </c>
      <c r="K2676">
        <v>0.145949692684468</v>
      </c>
      <c r="L2676">
        <v>827.44536896889895</v>
      </c>
      <c r="M2676">
        <v>17.2607133831991</v>
      </c>
      <c r="N2676">
        <v>48.991578448358503</v>
      </c>
      <c r="O2676">
        <v>47.308504617565703</v>
      </c>
      <c r="P2676">
        <v>-7.7076569903055794E-2</v>
      </c>
      <c r="Q2676">
        <v>0.15503723071676301</v>
      </c>
      <c r="R2676">
        <v>0.99834553881547305</v>
      </c>
      <c r="S2676" t="s">
        <v>8537</v>
      </c>
      <c r="T2676" t="s">
        <v>11720</v>
      </c>
      <c r="U2676" t="s">
        <v>11720</v>
      </c>
      <c r="V2676" t="s">
        <v>11720</v>
      </c>
      <c r="W2676" t="s">
        <v>14351</v>
      </c>
      <c r="X2676">
        <v>8</v>
      </c>
      <c r="Y2676" t="s">
        <v>20096</v>
      </c>
      <c r="Z2676" t="s">
        <v>25883</v>
      </c>
      <c r="AA2676">
        <v>0.39500940718497851</v>
      </c>
      <c r="AB2676" t="str">
        <f>HYPERLINK("Melting_Curves/meltCurve_P56192_MARS.pdf", "Melting_Curves/meltCurve_P56192_MARS.pdf")</f>
        <v>Melting_Curves/meltCurve_P56192_MARS.pdf</v>
      </c>
    </row>
    <row r="2677" spans="1:28" x14ac:dyDescent="0.25">
      <c r="A2677" t="s">
        <v>2681</v>
      </c>
      <c r="B2677">
        <v>0.99334974765950101</v>
      </c>
      <c r="C2677">
        <v>0.98339639923972899</v>
      </c>
      <c r="D2677">
        <v>1.0026421096748199</v>
      </c>
      <c r="E2677">
        <v>1.3017225971891599</v>
      </c>
      <c r="F2677">
        <v>1.2345466614982601</v>
      </c>
      <c r="G2677">
        <v>1.2566160604027601</v>
      </c>
      <c r="H2677">
        <v>1.2885385681514601</v>
      </c>
      <c r="I2677">
        <v>1.77045974181819</v>
      </c>
      <c r="J2677">
        <v>1.6774272832169701</v>
      </c>
      <c r="K2677">
        <v>1.20046428025591</v>
      </c>
      <c r="L2677">
        <v>703.12267960464999</v>
      </c>
      <c r="M2677">
        <v>13.375500433198001</v>
      </c>
      <c r="O2677">
        <v>51.434637235829001</v>
      </c>
      <c r="P2677">
        <v>3.2511213876169898E-2</v>
      </c>
      <c r="Q2677">
        <v>1.5</v>
      </c>
      <c r="R2677">
        <v>0.57699143260525798</v>
      </c>
      <c r="S2677" t="s">
        <v>8538</v>
      </c>
      <c r="T2677" t="s">
        <v>11720</v>
      </c>
      <c r="U2677" t="s">
        <v>11720</v>
      </c>
      <c r="V2677" t="s">
        <v>11720</v>
      </c>
      <c r="W2677" t="s">
        <v>14352</v>
      </c>
      <c r="X2677">
        <v>18</v>
      </c>
      <c r="Y2677" t="s">
        <v>20097</v>
      </c>
      <c r="Z2677" t="s">
        <v>25884</v>
      </c>
      <c r="AA2677">
        <v>1.2777003832792819</v>
      </c>
      <c r="AB2677" t="str">
        <f>HYPERLINK("Melting_Curves/meltCurve_P56199_ITGA1.pdf", "Melting_Curves/meltCurve_P56199_ITGA1.pdf")</f>
        <v>Melting_Curves/meltCurve_P56199_ITGA1.pdf</v>
      </c>
    </row>
    <row r="2678" spans="1:28" x14ac:dyDescent="0.25">
      <c r="A2678" t="s">
        <v>2682</v>
      </c>
      <c r="B2678">
        <v>0.99334974765950101</v>
      </c>
      <c r="C2678">
        <v>0.98092432069553204</v>
      </c>
      <c r="D2678">
        <v>0.85088999304403701</v>
      </c>
      <c r="E2678">
        <v>0.784146697570135</v>
      </c>
      <c r="F2678">
        <v>0.66393146434218298</v>
      </c>
      <c r="G2678">
        <v>0.58824468561080101</v>
      </c>
      <c r="H2678">
        <v>0.52988723759810996</v>
      </c>
      <c r="I2678">
        <v>0.88144723050579399</v>
      </c>
      <c r="J2678">
        <v>0.75442256086581305</v>
      </c>
      <c r="K2678">
        <v>0.69787896921959802</v>
      </c>
      <c r="L2678">
        <v>1196.64660669862</v>
      </c>
      <c r="M2678">
        <v>25.6930480227883</v>
      </c>
      <c r="O2678">
        <v>46.2953267623516</v>
      </c>
      <c r="P2678">
        <v>-4.3088982713187403E-2</v>
      </c>
      <c r="Q2678">
        <v>0.689442146746444</v>
      </c>
      <c r="R2678">
        <v>0.62901244406753898</v>
      </c>
      <c r="S2678" t="s">
        <v>8539</v>
      </c>
      <c r="T2678" t="s">
        <v>11720</v>
      </c>
      <c r="U2678" t="s">
        <v>11720</v>
      </c>
      <c r="V2678" t="s">
        <v>11720</v>
      </c>
      <c r="W2678" t="s">
        <v>12602</v>
      </c>
      <c r="X2678">
        <v>5</v>
      </c>
      <c r="Y2678" t="s">
        <v>18396</v>
      </c>
      <c r="Z2678" t="s">
        <v>25885</v>
      </c>
      <c r="AA2678">
        <v>0.76013901772487635</v>
      </c>
      <c r="AB2678" t="str">
        <f>HYPERLINK("Melting_Curves/meltCurve_P56211_ARPP19.pdf", "Melting_Curves/meltCurve_P56211_ARPP19.pdf")</f>
        <v>Melting_Curves/meltCurve_P56211_ARPP19.pdf</v>
      </c>
    </row>
    <row r="2679" spans="1:28" x14ac:dyDescent="0.25">
      <c r="A2679" t="s">
        <v>2683</v>
      </c>
      <c r="B2679">
        <v>0.99334974765950101</v>
      </c>
      <c r="C2679">
        <v>0.95795138526595203</v>
      </c>
      <c r="D2679">
        <v>0.87991269364527602</v>
      </c>
      <c r="E2679">
        <v>0.80267956130304396</v>
      </c>
      <c r="F2679">
        <v>0.79455928582669</v>
      </c>
      <c r="G2679">
        <v>0.63606084418041697</v>
      </c>
      <c r="H2679">
        <v>0.68967625803181698</v>
      </c>
      <c r="I2679">
        <v>0.70059372660999097</v>
      </c>
      <c r="J2679">
        <v>1.0204595118424</v>
      </c>
      <c r="K2679">
        <v>0.90571507170549903</v>
      </c>
      <c r="L2679">
        <v>1326.57837537713</v>
      </c>
      <c r="M2679">
        <v>29.275591961415</v>
      </c>
      <c r="O2679">
        <v>45.103608171705801</v>
      </c>
      <c r="P2679">
        <v>-3.3919963722369502E-2</v>
      </c>
      <c r="Q2679">
        <v>0.79096555929871903</v>
      </c>
      <c r="R2679">
        <v>0.33377102727438701</v>
      </c>
      <c r="S2679" t="s">
        <v>8540</v>
      </c>
      <c r="T2679" t="s">
        <v>11720</v>
      </c>
      <c r="U2679" t="s">
        <v>11720</v>
      </c>
      <c r="V2679" t="s">
        <v>11720</v>
      </c>
      <c r="W2679" t="s">
        <v>14353</v>
      </c>
      <c r="X2679">
        <v>6</v>
      </c>
      <c r="Y2679" t="s">
        <v>20098</v>
      </c>
      <c r="Z2679" t="s">
        <v>25886</v>
      </c>
      <c r="AA2679">
        <v>0.82938088172851498</v>
      </c>
      <c r="AB2679" t="str">
        <f>HYPERLINK("Melting_Curves/meltCurve_P56277_CMC4.pdf", "Melting_Curves/meltCurve_P56277_CMC4.pdf")</f>
        <v>Melting_Curves/meltCurve_P56277_CMC4.pdf</v>
      </c>
    </row>
    <row r="2680" spans="1:28" x14ac:dyDescent="0.25">
      <c r="A2680" t="s">
        <v>2684</v>
      </c>
      <c r="B2680">
        <v>0.99334974765950101</v>
      </c>
      <c r="C2680">
        <v>0.93109892105389302</v>
      </c>
      <c r="D2680">
        <v>1.01972215241807</v>
      </c>
      <c r="E2680">
        <v>0.78601102679009904</v>
      </c>
      <c r="F2680">
        <v>0.431605736585634</v>
      </c>
      <c r="G2680">
        <v>0.25626055349159199</v>
      </c>
      <c r="H2680">
        <v>0.182666128149819</v>
      </c>
      <c r="I2680">
        <v>0.14630756360837599</v>
      </c>
      <c r="J2680">
        <v>0.111258829046117</v>
      </c>
      <c r="K2680">
        <v>6.8845941452223294E-2</v>
      </c>
      <c r="L2680">
        <v>1284.7255868647301</v>
      </c>
      <c r="M2680">
        <v>24.6579045401099</v>
      </c>
      <c r="N2680">
        <v>52.700386153962498</v>
      </c>
      <c r="O2680">
        <v>51.762939929107702</v>
      </c>
      <c r="P2680">
        <v>-0.104550652574074</v>
      </c>
      <c r="Q2680">
        <v>0.122103799545735</v>
      </c>
      <c r="R2680">
        <v>0.98927680607727897</v>
      </c>
      <c r="S2680" t="s">
        <v>8541</v>
      </c>
      <c r="T2680" t="s">
        <v>11720</v>
      </c>
      <c r="U2680" t="s">
        <v>11720</v>
      </c>
      <c r="V2680" t="s">
        <v>11720</v>
      </c>
      <c r="W2680" t="s">
        <v>14354</v>
      </c>
      <c r="X2680">
        <v>3</v>
      </c>
      <c r="Y2680" t="s">
        <v>20099</v>
      </c>
      <c r="Z2680" t="s">
        <v>25887</v>
      </c>
      <c r="AA2680">
        <v>0.48448340659692618</v>
      </c>
      <c r="AB2680" t="str">
        <f>HYPERLINK("Melting_Curves/meltCurve_P56377_AP1S2.pdf", "Melting_Curves/meltCurve_P56377_AP1S2.pdf")</f>
        <v>Melting_Curves/meltCurve_P56377_AP1S2.pdf</v>
      </c>
    </row>
    <row r="2681" spans="1:28" x14ac:dyDescent="0.25">
      <c r="A2681" t="s">
        <v>2685</v>
      </c>
      <c r="B2681">
        <v>0.99334974765950101</v>
      </c>
      <c r="C2681">
        <v>1.0261121879178201</v>
      </c>
      <c r="D2681">
        <v>0.83848092371472505</v>
      </c>
      <c r="E2681">
        <v>1.13493352170226</v>
      </c>
      <c r="F2681">
        <v>0.93140456035206898</v>
      </c>
      <c r="G2681">
        <v>1.5214419278733999</v>
      </c>
      <c r="H2681">
        <v>1.7672053581951801</v>
      </c>
      <c r="I2681">
        <v>3.8615167234357899</v>
      </c>
      <c r="J2681">
        <v>1.65539687325997</v>
      </c>
      <c r="K2681">
        <v>0.78330506581644599</v>
      </c>
      <c r="L2681">
        <v>7175.4186088511997</v>
      </c>
      <c r="M2681">
        <v>130.163661630901</v>
      </c>
      <c r="O2681">
        <v>55.113127804956299</v>
      </c>
      <c r="P2681">
        <v>0.29521933520370403</v>
      </c>
      <c r="Q2681">
        <v>1.5</v>
      </c>
      <c r="R2681">
        <v>0.17262832630326799</v>
      </c>
      <c r="S2681" t="s">
        <v>8542</v>
      </c>
      <c r="T2681" t="s">
        <v>11720</v>
      </c>
      <c r="U2681" t="s">
        <v>11720</v>
      </c>
      <c r="V2681" t="s">
        <v>11720</v>
      </c>
      <c r="W2681" t="s">
        <v>14355</v>
      </c>
      <c r="X2681">
        <v>2</v>
      </c>
      <c r="Y2681" t="s">
        <v>20100</v>
      </c>
      <c r="Z2681" t="s">
        <v>25888</v>
      </c>
      <c r="AA2681">
        <v>1.247719324732226</v>
      </c>
      <c r="AB2681" t="str">
        <f>HYPERLINK("Melting_Curves/meltCurve_P56381_ATP5E.pdf", "Melting_Curves/meltCurve_P56381_ATP5E.pdf")</f>
        <v>Melting_Curves/meltCurve_P56381_ATP5E.pdf</v>
      </c>
    </row>
    <row r="2682" spans="1:28" x14ac:dyDescent="0.25">
      <c r="A2682" t="s">
        <v>2686</v>
      </c>
      <c r="B2682">
        <v>0.99334974765950101</v>
      </c>
      <c r="C2682">
        <v>0.94046052440169603</v>
      </c>
      <c r="D2682">
        <v>0.82260511290671601</v>
      </c>
      <c r="E2682">
        <v>0.925157005389322</v>
      </c>
      <c r="F2682">
        <v>0.84382058251832803</v>
      </c>
      <c r="G2682">
        <v>0.87513661687482303</v>
      </c>
      <c r="H2682">
        <v>0.84008090482615805</v>
      </c>
      <c r="I2682">
        <v>0.80605780241330005</v>
      </c>
      <c r="J2682">
        <v>0.69343052395846105</v>
      </c>
      <c r="K2682">
        <v>0.53311614456194001</v>
      </c>
      <c r="L2682">
        <v>316.30769557494199</v>
      </c>
      <c r="M2682">
        <v>3.9483724798286399</v>
      </c>
      <c r="O2682">
        <v>65.494646972306796</v>
      </c>
      <c r="P2682">
        <v>-1.5273309813953501E-2</v>
      </c>
      <c r="Q2682">
        <v>0</v>
      </c>
      <c r="R2682">
        <v>0.73524337821063901</v>
      </c>
      <c r="S2682" t="s">
        <v>8543</v>
      </c>
      <c r="T2682" t="s">
        <v>11720</v>
      </c>
      <c r="U2682" t="s">
        <v>11720</v>
      </c>
      <c r="V2682" t="s">
        <v>11720</v>
      </c>
      <c r="W2682" t="s">
        <v>14356</v>
      </c>
      <c r="X2682">
        <v>6</v>
      </c>
      <c r="Y2682" t="s">
        <v>20101</v>
      </c>
      <c r="Z2682" t="s">
        <v>25889</v>
      </c>
      <c r="AA2682">
        <v>0.84146784159769372</v>
      </c>
      <c r="AB2682" t="str">
        <f>HYPERLINK("Melting_Curves/meltCurve_P56385_ATP5I.pdf", "Melting_Curves/meltCurve_P56385_ATP5I.pdf")</f>
        <v>Melting_Curves/meltCurve_P56385_ATP5I.pdf</v>
      </c>
    </row>
    <row r="2683" spans="1:28" x14ac:dyDescent="0.25">
      <c r="A2683" t="s">
        <v>2687</v>
      </c>
      <c r="B2683">
        <v>0.99334974765950101</v>
      </c>
      <c r="C2683">
        <v>1.0126289781804501</v>
      </c>
      <c r="D2683">
        <v>0.88531320155622695</v>
      </c>
      <c r="E2683">
        <v>0.84190750466688602</v>
      </c>
      <c r="F2683">
        <v>0.57306285059205198</v>
      </c>
      <c r="G2683">
        <v>0.38716851688943399</v>
      </c>
      <c r="H2683">
        <v>0.29740152828604599</v>
      </c>
      <c r="I2683">
        <v>0.25790807427708601</v>
      </c>
      <c r="J2683">
        <v>0.19903454798894901</v>
      </c>
      <c r="K2683">
        <v>0.21013843943837801</v>
      </c>
      <c r="L2683">
        <v>881.84796696179501</v>
      </c>
      <c r="M2683">
        <v>16.605945607137102</v>
      </c>
      <c r="N2683">
        <v>54.7494691107539</v>
      </c>
      <c r="O2683">
        <v>52.352164991007797</v>
      </c>
      <c r="P2683">
        <v>-6.3727249834471603E-2</v>
      </c>
      <c r="Q2683">
        <v>0.19642434461446501</v>
      </c>
      <c r="R2683">
        <v>0.991200378609572</v>
      </c>
      <c r="S2683" t="s">
        <v>8544</v>
      </c>
      <c r="T2683" t="s">
        <v>11720</v>
      </c>
      <c r="U2683" t="s">
        <v>11720</v>
      </c>
      <c r="V2683" t="s">
        <v>11720</v>
      </c>
      <c r="W2683" t="s">
        <v>14357</v>
      </c>
      <c r="X2683">
        <v>4</v>
      </c>
      <c r="Y2683" t="s">
        <v>20102</v>
      </c>
      <c r="Z2683" t="s">
        <v>25890</v>
      </c>
      <c r="AA2683">
        <v>0.56230777438593127</v>
      </c>
      <c r="AB2683" t="str">
        <f>HYPERLINK("Melting_Curves/meltCurve_P56524_HDAC4.pdf", "Melting_Curves/meltCurve_P56524_HDAC4.pdf")</f>
        <v>Melting_Curves/meltCurve_P56524_HDAC4.pdf</v>
      </c>
    </row>
    <row r="2684" spans="1:28" x14ac:dyDescent="0.25">
      <c r="A2684" t="s">
        <v>2688</v>
      </c>
      <c r="B2684">
        <v>0.99334974765950101</v>
      </c>
      <c r="C2684">
        <v>0.97194141661254596</v>
      </c>
      <c r="D2684">
        <v>0.89435005990752003</v>
      </c>
      <c r="E2684">
        <v>0.79833694096059205</v>
      </c>
      <c r="F2684">
        <v>0.83625099693461602</v>
      </c>
      <c r="G2684">
        <v>0.53706461230993296</v>
      </c>
      <c r="H2684">
        <v>0.29524250434407501</v>
      </c>
      <c r="I2684">
        <v>0.10228387608012</v>
      </c>
      <c r="J2684">
        <v>7.7933385343183004E-2</v>
      </c>
      <c r="K2684">
        <v>5.4988200689479801E-2</v>
      </c>
      <c r="L2684">
        <v>879.13821764588101</v>
      </c>
      <c r="M2684">
        <v>15.3712392195199</v>
      </c>
      <c r="N2684">
        <v>57.193711333036198</v>
      </c>
      <c r="O2684">
        <v>56.251915978872603</v>
      </c>
      <c r="P2684">
        <v>-6.8320562381906397E-2</v>
      </c>
      <c r="Q2684">
        <v>0</v>
      </c>
      <c r="R2684">
        <v>0.98025831992266499</v>
      </c>
      <c r="S2684" t="s">
        <v>8545</v>
      </c>
      <c r="T2684" t="s">
        <v>11720</v>
      </c>
      <c r="U2684" t="s">
        <v>11720</v>
      </c>
      <c r="V2684" t="s">
        <v>11720</v>
      </c>
      <c r="W2684" t="s">
        <v>14358</v>
      </c>
      <c r="X2684">
        <v>8</v>
      </c>
      <c r="Y2684" t="s">
        <v>20103</v>
      </c>
      <c r="Z2684" t="s">
        <v>25891</v>
      </c>
      <c r="AA2684">
        <v>0.58831944592462315</v>
      </c>
      <c r="AB2684" t="str">
        <f>HYPERLINK("Melting_Curves/meltCurve_P56537_EIF6.pdf", "Melting_Curves/meltCurve_P56537_EIF6.pdf")</f>
        <v>Melting_Curves/meltCurve_P56537_EIF6.pdf</v>
      </c>
    </row>
    <row r="2685" spans="1:28" x14ac:dyDescent="0.25">
      <c r="A2685" t="s">
        <v>2689</v>
      </c>
      <c r="B2685">
        <v>0.99334974765950101</v>
      </c>
      <c r="C2685">
        <v>0.93815880498827497</v>
      </c>
      <c r="D2685">
        <v>1.0784014036404199</v>
      </c>
      <c r="E2685">
        <v>0.84804036367946101</v>
      </c>
      <c r="F2685">
        <v>0.59815902932736997</v>
      </c>
      <c r="G2685">
        <v>0.27363078821298098</v>
      </c>
      <c r="H2685">
        <v>0.13155862038618199</v>
      </c>
      <c r="I2685">
        <v>0.12173739361099099</v>
      </c>
      <c r="J2685">
        <v>0.114318350759624</v>
      </c>
      <c r="K2685">
        <v>9.2256418398537807E-2</v>
      </c>
      <c r="L2685">
        <v>1324.64716101724</v>
      </c>
      <c r="M2685">
        <v>24.764590883790198</v>
      </c>
      <c r="N2685">
        <v>53.9803115109369</v>
      </c>
      <c r="O2685">
        <v>53.144436791417803</v>
      </c>
      <c r="P2685">
        <v>-0.104755453272908</v>
      </c>
      <c r="Q2685">
        <v>0.100798093645109</v>
      </c>
      <c r="R2685">
        <v>0.99143222771018402</v>
      </c>
      <c r="S2685" t="s">
        <v>8546</v>
      </c>
      <c r="T2685" t="s">
        <v>11720</v>
      </c>
      <c r="U2685" t="s">
        <v>11720</v>
      </c>
      <c r="V2685" t="s">
        <v>11720</v>
      </c>
      <c r="W2685" t="s">
        <v>14359</v>
      </c>
      <c r="X2685">
        <v>10</v>
      </c>
      <c r="Y2685" t="s">
        <v>20104</v>
      </c>
      <c r="Z2685" t="s">
        <v>25892</v>
      </c>
      <c r="AA2685">
        <v>0.51357664752813592</v>
      </c>
      <c r="AB2685" t="str">
        <f>HYPERLINK("Melting_Curves/meltCurve_P56545_2_CTBP2.pdf", "Melting_Curves/meltCurve_P56545_2_CTBP2.pdf")</f>
        <v>Melting_Curves/meltCurve_P56545_2_CTBP2.pdf</v>
      </c>
    </row>
    <row r="2686" spans="1:28" x14ac:dyDescent="0.25">
      <c r="A2686" t="s">
        <v>2690</v>
      </c>
      <c r="B2686">
        <v>0.99334974765950101</v>
      </c>
      <c r="C2686">
        <v>0.84676936387161195</v>
      </c>
      <c r="D2686">
        <v>0.64581942929913205</v>
      </c>
      <c r="E2686">
        <v>0.272563737535021</v>
      </c>
      <c r="F2686">
        <v>0.154463108791494</v>
      </c>
      <c r="G2686">
        <v>0.11514844080685301</v>
      </c>
      <c r="H2686">
        <v>0.101780025774176</v>
      </c>
      <c r="I2686">
        <v>0.11517551692193199</v>
      </c>
      <c r="J2686">
        <v>9.4807538831152297E-2</v>
      </c>
      <c r="K2686">
        <v>9.9475968431408393E-2</v>
      </c>
      <c r="L2686">
        <v>981.12956967690195</v>
      </c>
      <c r="M2686">
        <v>20.991127169328301</v>
      </c>
      <c r="N2686">
        <v>47.222614409642098</v>
      </c>
      <c r="O2686">
        <v>46.322207831831903</v>
      </c>
      <c r="P2686">
        <v>-0.102358787270835</v>
      </c>
      <c r="Q2686">
        <v>9.6502527572262603E-2</v>
      </c>
      <c r="R2686">
        <v>0.99778469958337002</v>
      </c>
      <c r="S2686" t="s">
        <v>8547</v>
      </c>
      <c r="T2686" t="s">
        <v>11720</v>
      </c>
      <c r="U2686" t="s">
        <v>11720</v>
      </c>
      <c r="V2686" t="s">
        <v>11720</v>
      </c>
      <c r="W2686" t="s">
        <v>14360</v>
      </c>
      <c r="X2686">
        <v>4</v>
      </c>
      <c r="Y2686" t="s">
        <v>20105</v>
      </c>
      <c r="Z2686" t="s">
        <v>25893</v>
      </c>
      <c r="AA2686">
        <v>0.31149956573139942</v>
      </c>
      <c r="AB2686" t="str">
        <f>HYPERLINK("Melting_Curves/meltCurve_P56589_PEX3.pdf", "Melting_Curves/meltCurve_P56589_PEX3.pdf")</f>
        <v>Melting_Curves/meltCurve_P56589_PEX3.pdf</v>
      </c>
    </row>
    <row r="2687" spans="1:28" x14ac:dyDescent="0.25">
      <c r="A2687" t="s">
        <v>2691</v>
      </c>
      <c r="B2687">
        <v>0.99334974765950101</v>
      </c>
      <c r="C2687">
        <v>1.05643496605346</v>
      </c>
      <c r="D2687">
        <v>0.956444178023373</v>
      </c>
      <c r="E2687">
        <v>0.57187841843933396</v>
      </c>
      <c r="F2687">
        <v>0.29145205114849698</v>
      </c>
      <c r="G2687">
        <v>0.215933147929771</v>
      </c>
      <c r="H2687">
        <v>0.15437897245669799</v>
      </c>
      <c r="I2687">
        <v>0.13923769431694299</v>
      </c>
      <c r="J2687">
        <v>0.112918633363816</v>
      </c>
      <c r="K2687">
        <v>9.6074641811707398E-2</v>
      </c>
      <c r="L2687">
        <v>1404.3082305990299</v>
      </c>
      <c r="M2687">
        <v>27.998733077728701</v>
      </c>
      <c r="N2687">
        <v>50.724577843752499</v>
      </c>
      <c r="O2687">
        <v>49.902364581293</v>
      </c>
      <c r="P2687">
        <v>-0.12138083367909699</v>
      </c>
      <c r="Q2687">
        <v>0.13465525465134201</v>
      </c>
      <c r="R2687">
        <v>0.99325087768509501</v>
      </c>
      <c r="S2687" t="s">
        <v>8548</v>
      </c>
      <c r="T2687" t="s">
        <v>11720</v>
      </c>
      <c r="U2687" t="s">
        <v>11720</v>
      </c>
      <c r="V2687" t="s">
        <v>11720</v>
      </c>
      <c r="W2687" t="s">
        <v>14361</v>
      </c>
      <c r="X2687">
        <v>5</v>
      </c>
      <c r="Y2687" t="s">
        <v>20106</v>
      </c>
      <c r="Z2687" t="s">
        <v>25894</v>
      </c>
      <c r="AA2687">
        <v>0.43377551859772179</v>
      </c>
      <c r="AB2687" t="str">
        <f>HYPERLINK("Melting_Curves/meltCurve_P56937_3_HSD17B7.pdf", "Melting_Curves/meltCurve_P56937_3_HSD17B7.pdf")</f>
        <v>Melting_Curves/meltCurve_P56937_3_HSD17B7.pdf</v>
      </c>
    </row>
    <row r="2688" spans="1:28" x14ac:dyDescent="0.25">
      <c r="A2688" t="s">
        <v>2692</v>
      </c>
      <c r="B2688">
        <v>0.99334974765950101</v>
      </c>
      <c r="C2688">
        <v>0.92378531725056401</v>
      </c>
      <c r="D2688">
        <v>0.71104804990276105</v>
      </c>
      <c r="E2688">
        <v>0.38387425513650603</v>
      </c>
      <c r="F2688">
        <v>0.24915988427327701</v>
      </c>
      <c r="G2688">
        <v>0.19597508646456599</v>
      </c>
      <c r="H2688">
        <v>0.15305259744594801</v>
      </c>
      <c r="I2688">
        <v>0.14395274278088999</v>
      </c>
      <c r="J2688">
        <v>0.123539906479569</v>
      </c>
      <c r="K2688">
        <v>0.13432270278549299</v>
      </c>
      <c r="L2688">
        <v>927.27061939375596</v>
      </c>
      <c r="M2688">
        <v>19.436898687969901</v>
      </c>
      <c r="N2688">
        <v>48.513076447553097</v>
      </c>
      <c r="O2688">
        <v>47.210343400176598</v>
      </c>
      <c r="P2688">
        <v>-8.8722452978227603E-2</v>
      </c>
      <c r="Q2688">
        <v>0.13803845139572499</v>
      </c>
      <c r="R2688">
        <v>0.99879885101705301</v>
      </c>
      <c r="S2688" t="s">
        <v>8549</v>
      </c>
      <c r="T2688" t="s">
        <v>11720</v>
      </c>
      <c r="U2688" t="s">
        <v>11720</v>
      </c>
      <c r="V2688" t="s">
        <v>11720</v>
      </c>
      <c r="W2688" t="s">
        <v>14362</v>
      </c>
      <c r="X2688">
        <v>8</v>
      </c>
      <c r="Y2688" t="s">
        <v>20107</v>
      </c>
      <c r="Z2688" t="s">
        <v>25895</v>
      </c>
      <c r="AA2688">
        <v>0.37257952849557741</v>
      </c>
      <c r="AB2688" t="str">
        <f>HYPERLINK("Melting_Curves/meltCurve_P56945_5_BCAR1.pdf", "Melting_Curves/meltCurve_P56945_5_BCAR1.pdf")</f>
        <v>Melting_Curves/meltCurve_P56945_5_BCAR1.pdf</v>
      </c>
    </row>
    <row r="2689" spans="1:28" x14ac:dyDescent="0.25">
      <c r="A2689" t="s">
        <v>2693</v>
      </c>
      <c r="B2689">
        <v>0.99334974765950101</v>
      </c>
      <c r="C2689">
        <v>0.97951603647515795</v>
      </c>
      <c r="D2689">
        <v>0.69727253412286405</v>
      </c>
      <c r="E2689">
        <v>0.46066801590935202</v>
      </c>
      <c r="F2689">
        <v>0.33903571973243302</v>
      </c>
      <c r="G2689">
        <v>0.26191121321908201</v>
      </c>
      <c r="H2689">
        <v>0.21800392457184001</v>
      </c>
      <c r="I2689">
        <v>0.20973103288116601</v>
      </c>
      <c r="J2689">
        <v>0.20535219986203199</v>
      </c>
      <c r="K2689">
        <v>0.163732348018615</v>
      </c>
      <c r="L2689">
        <v>858.32693620573298</v>
      </c>
      <c r="M2689">
        <v>17.892907563845899</v>
      </c>
      <c r="N2689">
        <v>49.355839167436997</v>
      </c>
      <c r="O2689">
        <v>47.383085199432998</v>
      </c>
      <c r="P2689">
        <v>-7.5770261070457104E-2</v>
      </c>
      <c r="Q2689">
        <v>0.197436778244545</v>
      </c>
      <c r="R2689">
        <v>0.99043367444466401</v>
      </c>
      <c r="S2689" t="s">
        <v>8550</v>
      </c>
      <c r="T2689" t="s">
        <v>11720</v>
      </c>
      <c r="U2689" t="s">
        <v>11720</v>
      </c>
      <c r="V2689" t="s">
        <v>11720</v>
      </c>
      <c r="W2689" t="s">
        <v>14363</v>
      </c>
      <c r="X2689">
        <v>3</v>
      </c>
      <c r="Y2689" t="s">
        <v>20108</v>
      </c>
      <c r="Z2689" t="s">
        <v>25896</v>
      </c>
      <c r="AA2689">
        <v>0.42508863573045169</v>
      </c>
      <c r="AB2689" t="str">
        <f>HYPERLINK("Melting_Curves/meltCurve_P56962_STX17.pdf", "Melting_Curves/meltCurve_P56962_STX17.pdf")</f>
        <v>Melting_Curves/meltCurve_P56962_STX17.pdf</v>
      </c>
    </row>
    <row r="2690" spans="1:28" x14ac:dyDescent="0.25">
      <c r="A2690" t="s">
        <v>2694</v>
      </c>
      <c r="B2690">
        <v>0.99334974765950101</v>
      </c>
      <c r="C2690">
        <v>1.04110658346079</v>
      </c>
      <c r="D2690">
        <v>0.900889555064884</v>
      </c>
      <c r="E2690">
        <v>0.53333007833313195</v>
      </c>
      <c r="F2690">
        <v>0.19716741150178099</v>
      </c>
      <c r="G2690">
        <v>0.105798880820209</v>
      </c>
      <c r="H2690">
        <v>8.5858620353148896E-2</v>
      </c>
      <c r="I2690">
        <v>7.9866810118245493E-2</v>
      </c>
      <c r="J2690">
        <v>8.3562913526792695E-2</v>
      </c>
      <c r="K2690">
        <v>6.5905328756110396E-2</v>
      </c>
      <c r="L2690">
        <v>1463.3628619614101</v>
      </c>
      <c r="M2690">
        <v>29.349934926292399</v>
      </c>
      <c r="N2690">
        <v>50.142896153783902</v>
      </c>
      <c r="O2690">
        <v>49.629428165896002</v>
      </c>
      <c r="P2690">
        <v>-0.136534781810698</v>
      </c>
      <c r="Q2690">
        <v>7.6510109374734597E-2</v>
      </c>
      <c r="R2690">
        <v>0.99753867131746898</v>
      </c>
      <c r="S2690" t="s">
        <v>8551</v>
      </c>
      <c r="T2690" t="s">
        <v>11720</v>
      </c>
      <c r="U2690" t="s">
        <v>11720</v>
      </c>
      <c r="V2690" t="s">
        <v>11720</v>
      </c>
      <c r="W2690" t="s">
        <v>14364</v>
      </c>
      <c r="X2690">
        <v>2</v>
      </c>
      <c r="Y2690" t="s">
        <v>20109</v>
      </c>
      <c r="Z2690" t="s">
        <v>25897</v>
      </c>
      <c r="AA2690">
        <v>0.38596206083881451</v>
      </c>
      <c r="AB2690" t="str">
        <f>HYPERLINK("Melting_Curves/meltCurve_P57060_RWDD2B.pdf", "Melting_Curves/meltCurve_P57060_RWDD2B.pdf")</f>
        <v>Melting_Curves/meltCurve_P57060_RWDD2B.pdf</v>
      </c>
    </row>
    <row r="2691" spans="1:28" x14ac:dyDescent="0.25">
      <c r="A2691" t="s">
        <v>2695</v>
      </c>
      <c r="B2691">
        <v>0.99334974765950101</v>
      </c>
      <c r="C2691">
        <v>0.91438083476211196</v>
      </c>
      <c r="D2691">
        <v>0.439182460139875</v>
      </c>
      <c r="E2691">
        <v>0.12680453467943201</v>
      </c>
      <c r="F2691">
        <v>0.132107537792644</v>
      </c>
      <c r="G2691">
        <v>6.6156933255620595E-2</v>
      </c>
      <c r="H2691">
        <v>6.6027410840476697E-2</v>
      </c>
      <c r="I2691">
        <v>7.5163833725407206E-2</v>
      </c>
      <c r="J2691">
        <v>6.6692193040469305E-2</v>
      </c>
      <c r="K2691">
        <v>6.6339517879326695E-2</v>
      </c>
      <c r="L2691">
        <v>1626.80282857475</v>
      </c>
      <c r="M2691">
        <v>35.775039746483003</v>
      </c>
      <c r="N2691">
        <v>45.693212208597302</v>
      </c>
      <c r="O2691">
        <v>45.331740424727201</v>
      </c>
      <c r="P2691">
        <v>-0.181681714453064</v>
      </c>
      <c r="Q2691">
        <v>7.9143251483407007E-2</v>
      </c>
      <c r="R2691">
        <v>0.99728549174040904</v>
      </c>
      <c r="S2691" t="s">
        <v>8552</v>
      </c>
      <c r="T2691" t="s">
        <v>11720</v>
      </c>
      <c r="U2691" t="s">
        <v>11720</v>
      </c>
      <c r="V2691" t="s">
        <v>11720</v>
      </c>
      <c r="W2691" t="s">
        <v>14365</v>
      </c>
      <c r="X2691">
        <v>3</v>
      </c>
      <c r="Y2691" t="s">
        <v>20110</v>
      </c>
      <c r="Z2691" t="s">
        <v>25898</v>
      </c>
      <c r="AA2691">
        <v>0.25098406601068107</v>
      </c>
      <c r="AB2691" t="str">
        <f>HYPERLINK("Melting_Curves/meltCurve_P57076_C21orf59.pdf", "Melting_Curves/meltCurve_P57076_C21orf59.pdf")</f>
        <v>Melting_Curves/meltCurve_P57076_C21orf59.pdf</v>
      </c>
    </row>
    <row r="2692" spans="1:28" x14ac:dyDescent="0.25">
      <c r="A2692" t="s">
        <v>2696</v>
      </c>
      <c r="B2692">
        <v>0.99334974765950101</v>
      </c>
      <c r="C2692">
        <v>1.01479579546854</v>
      </c>
      <c r="D2692">
        <v>0.88961788828282096</v>
      </c>
      <c r="E2692">
        <v>0.80654326958463596</v>
      </c>
      <c r="F2692">
        <v>0.72876421188706098</v>
      </c>
      <c r="G2692">
        <v>0.63201341492140695</v>
      </c>
      <c r="H2692">
        <v>0.62078778009940705</v>
      </c>
      <c r="I2692">
        <v>0.66408111412673299</v>
      </c>
      <c r="J2692">
        <v>0.72839642073678501</v>
      </c>
      <c r="K2692">
        <v>0.68089180545427297</v>
      </c>
      <c r="L2692">
        <v>1021.51863789921</v>
      </c>
      <c r="M2692">
        <v>21.0046983385628</v>
      </c>
      <c r="O2692">
        <v>48.198507150895203</v>
      </c>
      <c r="P2692">
        <v>-3.6505930303342697E-2</v>
      </c>
      <c r="Q2692">
        <v>0.664935204749178</v>
      </c>
      <c r="R2692">
        <v>0.93835903645420504</v>
      </c>
      <c r="S2692" t="s">
        <v>8553</v>
      </c>
      <c r="T2692" t="s">
        <v>11720</v>
      </c>
      <c r="U2692" t="s">
        <v>11720</v>
      </c>
      <c r="V2692" t="s">
        <v>11720</v>
      </c>
      <c r="W2692" t="s">
        <v>14366</v>
      </c>
      <c r="X2692">
        <v>11</v>
      </c>
      <c r="Y2692" t="s">
        <v>20111</v>
      </c>
      <c r="Z2692" t="s">
        <v>25899</v>
      </c>
      <c r="AA2692">
        <v>0.76561197986435559</v>
      </c>
      <c r="AB2692" t="str">
        <f>HYPERLINK("Melting_Curves/meltCurve_P57077_4_MAP3K7CL.pdf", "Melting_Curves/meltCurve_P57077_4_MAP3K7CL.pdf")</f>
        <v>Melting_Curves/meltCurve_P57077_4_MAP3K7CL.pdf</v>
      </c>
    </row>
    <row r="2693" spans="1:28" x14ac:dyDescent="0.25">
      <c r="A2693" t="s">
        <v>2697</v>
      </c>
      <c r="B2693">
        <v>0.99334974765950101</v>
      </c>
      <c r="C2693">
        <v>0.99512784371906304</v>
      </c>
      <c r="D2693">
        <v>1.0730051333545301</v>
      </c>
      <c r="E2693">
        <v>1.10473210320912</v>
      </c>
      <c r="F2693">
        <v>1.0931518369292701</v>
      </c>
      <c r="G2693">
        <v>0.36727525116982801</v>
      </c>
      <c r="H2693">
        <v>0.169312953577584</v>
      </c>
      <c r="I2693">
        <v>0.134962676260208</v>
      </c>
      <c r="J2693">
        <v>0.10341403987193699</v>
      </c>
      <c r="K2693">
        <v>8.7888574571271999E-2</v>
      </c>
      <c r="L2693">
        <v>14195.541714082001</v>
      </c>
      <c r="M2693">
        <v>250</v>
      </c>
      <c r="N2693">
        <v>56.846894454195599</v>
      </c>
      <c r="O2693">
        <v>56.778545865580597</v>
      </c>
      <c r="P2693">
        <v>-0.96438895878104502</v>
      </c>
      <c r="Q2693">
        <v>0.12389455251916701</v>
      </c>
      <c r="R2693">
        <v>0.98549711907536497</v>
      </c>
      <c r="S2693" t="s">
        <v>8554</v>
      </c>
      <c r="T2693" t="s">
        <v>11720</v>
      </c>
      <c r="U2693" t="s">
        <v>11720</v>
      </c>
      <c r="V2693" t="s">
        <v>11720</v>
      </c>
      <c r="W2693" t="s">
        <v>14367</v>
      </c>
      <c r="X2693">
        <v>3</v>
      </c>
      <c r="Y2693" t="s">
        <v>20112</v>
      </c>
      <c r="Z2693" t="s">
        <v>25900</v>
      </c>
      <c r="AA2693">
        <v>0.61408011813277963</v>
      </c>
      <c r="AB2693" t="str">
        <f>HYPERLINK("Melting_Curves/meltCurve_P57081_2_WDR4.pdf", "Melting_Curves/meltCurve_P57081_2_WDR4.pdf")</f>
        <v>Melting_Curves/meltCurve_P57081_2_WDR4.pdf</v>
      </c>
    </row>
    <row r="2694" spans="1:28" x14ac:dyDescent="0.25">
      <c r="A2694" t="s">
        <v>2698</v>
      </c>
      <c r="B2694">
        <v>0.99334974765950101</v>
      </c>
      <c r="C2694">
        <v>1.0128454614697699</v>
      </c>
      <c r="D2694">
        <v>1.04686184745355</v>
      </c>
      <c r="E2694">
        <v>1.03585335053761</v>
      </c>
      <c r="F2694">
        <v>0.89685336420066497</v>
      </c>
      <c r="G2694">
        <v>0.93488682399893097</v>
      </c>
      <c r="H2694">
        <v>0.55980263458649504</v>
      </c>
      <c r="I2694">
        <v>0.25646094820016202</v>
      </c>
      <c r="J2694">
        <v>0.109814833411708</v>
      </c>
      <c r="K2694">
        <v>7.6865909211672301E-2</v>
      </c>
      <c r="L2694">
        <v>1905.53760867235</v>
      </c>
      <c r="M2694">
        <v>31.0832344099537</v>
      </c>
      <c r="N2694">
        <v>61.525327299950099</v>
      </c>
      <c r="O2694">
        <v>61.052275488075097</v>
      </c>
      <c r="P2694">
        <v>-0.120559794085573</v>
      </c>
      <c r="Q2694">
        <v>5.2812915063339197E-2</v>
      </c>
      <c r="R2694">
        <v>0.99088523224071001</v>
      </c>
      <c r="S2694" t="s">
        <v>8555</v>
      </c>
      <c r="T2694" t="s">
        <v>11720</v>
      </c>
      <c r="U2694" t="s">
        <v>11720</v>
      </c>
      <c r="V2694" t="s">
        <v>11720</v>
      </c>
      <c r="W2694" t="s">
        <v>14368</v>
      </c>
      <c r="X2694">
        <v>5</v>
      </c>
      <c r="Y2694" t="s">
        <v>20113</v>
      </c>
      <c r="Z2694" t="s">
        <v>25901</v>
      </c>
      <c r="AA2694">
        <v>0.73030967594322049</v>
      </c>
      <c r="AB2694" t="str">
        <f>HYPERLINK("Melting_Curves/meltCurve_P57088_TMEM33.pdf", "Melting_Curves/meltCurve_P57088_TMEM33.pdf")</f>
        <v>Melting_Curves/meltCurve_P57088_TMEM33.pdf</v>
      </c>
    </row>
    <row r="2695" spans="1:28" x14ac:dyDescent="0.25">
      <c r="A2695" t="s">
        <v>2699</v>
      </c>
      <c r="B2695">
        <v>0.99334974765950101</v>
      </c>
      <c r="C2695">
        <v>0.86971380427366496</v>
      </c>
      <c r="D2695">
        <v>0.70735289716734995</v>
      </c>
      <c r="E2695">
        <v>0.60160951210060498</v>
      </c>
      <c r="F2695">
        <v>0.24235223819771501</v>
      </c>
      <c r="G2695">
        <v>0.181313024317482</v>
      </c>
      <c r="H2695">
        <v>0.15196811668267099</v>
      </c>
      <c r="I2695">
        <v>0.16120207750219301</v>
      </c>
      <c r="J2695">
        <v>0.17642612691276799</v>
      </c>
      <c r="K2695">
        <v>0.160434382594142</v>
      </c>
      <c r="L2695">
        <v>748.68658814489697</v>
      </c>
      <c r="M2695">
        <v>15.371111236291201</v>
      </c>
      <c r="N2695">
        <v>49.702931074110403</v>
      </c>
      <c r="O2695">
        <v>47.905310381124202</v>
      </c>
      <c r="P2695">
        <v>-6.9593908956544798E-2</v>
      </c>
      <c r="Q2695">
        <v>0.13249935905657401</v>
      </c>
      <c r="R2695">
        <v>0.97197057735435799</v>
      </c>
      <c r="S2695" t="s">
        <v>8556</v>
      </c>
      <c r="T2695" t="s">
        <v>11720</v>
      </c>
      <c r="U2695" t="s">
        <v>11720</v>
      </c>
      <c r="V2695" t="s">
        <v>11720</v>
      </c>
      <c r="W2695" t="s">
        <v>14369</v>
      </c>
      <c r="X2695">
        <v>3</v>
      </c>
      <c r="Y2695" t="s">
        <v>20114</v>
      </c>
      <c r="Z2695" t="s">
        <v>25902</v>
      </c>
      <c r="AA2695">
        <v>0.40494763938287159</v>
      </c>
      <c r="AB2695" t="str">
        <f>HYPERLINK("Melting_Curves/meltCurve_P57105_SYNJ2BP.pdf", "Melting_Curves/meltCurve_P57105_SYNJ2BP.pdf")</f>
        <v>Melting_Curves/meltCurve_P57105_SYNJ2BP.pdf</v>
      </c>
    </row>
    <row r="2696" spans="1:28" x14ac:dyDescent="0.25">
      <c r="A2696" t="s">
        <v>2700</v>
      </c>
      <c r="B2696">
        <v>0.99334974765950101</v>
      </c>
      <c r="C2696">
        <v>0.88971269476695003</v>
      </c>
      <c r="D2696">
        <v>0.59655369875297903</v>
      </c>
      <c r="E2696">
        <v>0.39162128021704401</v>
      </c>
      <c r="F2696">
        <v>0.29869794824128298</v>
      </c>
      <c r="G2696">
        <v>0.24010576367815301</v>
      </c>
      <c r="H2696">
        <v>0.20312562982563701</v>
      </c>
      <c r="I2696">
        <v>0.17509183167056599</v>
      </c>
      <c r="J2696">
        <v>0.162716213411426</v>
      </c>
      <c r="K2696">
        <v>0.112273151934088</v>
      </c>
      <c r="L2696">
        <v>763.27819711439702</v>
      </c>
      <c r="M2696">
        <v>16.2637772834298</v>
      </c>
      <c r="N2696">
        <v>48.098902960134602</v>
      </c>
      <c r="O2696">
        <v>46.238865631818797</v>
      </c>
      <c r="P2696">
        <v>-7.3596254885878995E-2</v>
      </c>
      <c r="Q2696">
        <v>0.163108025864179</v>
      </c>
      <c r="R2696">
        <v>0.98764727116078299</v>
      </c>
      <c r="S2696" t="s">
        <v>8557</v>
      </c>
      <c r="T2696" t="s">
        <v>11720</v>
      </c>
      <c r="U2696" t="s">
        <v>11720</v>
      </c>
      <c r="V2696" t="s">
        <v>11720</v>
      </c>
      <c r="W2696" t="s">
        <v>14370</v>
      </c>
      <c r="X2696">
        <v>24</v>
      </c>
      <c r="Y2696" t="s">
        <v>20115</v>
      </c>
      <c r="Z2696" t="s">
        <v>25903</v>
      </c>
      <c r="AA2696">
        <v>0.3757411188324174</v>
      </c>
      <c r="AB2696" t="str">
        <f>HYPERLINK("Melting_Curves/meltCurve_P57737_3_CORO7.pdf", "Melting_Curves/meltCurve_P57737_3_CORO7.pdf")</f>
        <v>Melting_Curves/meltCurve_P57737_3_CORO7.pdf</v>
      </c>
    </row>
    <row r="2697" spans="1:28" x14ac:dyDescent="0.25">
      <c r="A2697" t="s">
        <v>2701</v>
      </c>
      <c r="B2697">
        <v>0.99334974765950101</v>
      </c>
      <c r="C2697">
        <v>0.93973175466038805</v>
      </c>
      <c r="D2697">
        <v>0.83703048080619602</v>
      </c>
      <c r="E2697">
        <v>0.64389961161640796</v>
      </c>
      <c r="F2697">
        <v>0.50272988126798002</v>
      </c>
      <c r="G2697">
        <v>0.325251136549014</v>
      </c>
      <c r="H2697">
        <v>0.24188216702992901</v>
      </c>
      <c r="I2697">
        <v>0.21538884207439399</v>
      </c>
      <c r="J2697">
        <v>0.23989028877306801</v>
      </c>
      <c r="K2697">
        <v>0.221035769702632</v>
      </c>
      <c r="L2697">
        <v>717.320624020163</v>
      </c>
      <c r="M2697">
        <v>14.1158504568699</v>
      </c>
      <c r="N2697">
        <v>52.625094620818103</v>
      </c>
      <c r="O2697">
        <v>49.829422966060598</v>
      </c>
      <c r="P2697">
        <v>-5.7218269220055303E-2</v>
      </c>
      <c r="Q2697">
        <v>0.19217391819097501</v>
      </c>
      <c r="R2697">
        <v>0.99749028075163504</v>
      </c>
      <c r="S2697" t="s">
        <v>8558</v>
      </c>
      <c r="T2697" t="s">
        <v>11720</v>
      </c>
      <c r="U2697" t="s">
        <v>11720</v>
      </c>
      <c r="V2697" t="s">
        <v>11720</v>
      </c>
      <c r="W2697" t="s">
        <v>14371</v>
      </c>
      <c r="X2697">
        <v>3</v>
      </c>
      <c r="Y2697" t="s">
        <v>20116</v>
      </c>
      <c r="Z2697" t="s">
        <v>25904</v>
      </c>
      <c r="AA2697">
        <v>0.50418984561510238</v>
      </c>
      <c r="AB2697" t="str">
        <f>HYPERLINK("Melting_Curves/meltCurve_P57768_SNX16.pdf", "Melting_Curves/meltCurve_P57768_SNX16.pdf")</f>
        <v>Melting_Curves/meltCurve_P57768_SNX16.pdf</v>
      </c>
    </row>
    <row r="2698" spans="1:28" x14ac:dyDescent="0.25">
      <c r="A2698" t="s">
        <v>2702</v>
      </c>
      <c r="B2698">
        <v>0.99334974765950101</v>
      </c>
      <c r="C2698">
        <v>0.93080316025930798</v>
      </c>
      <c r="D2698">
        <v>0.58241669196621904</v>
      </c>
      <c r="E2698">
        <v>0.241781452513712</v>
      </c>
      <c r="F2698">
        <v>0.23322278734487001</v>
      </c>
      <c r="G2698">
        <v>0.16619991993766001</v>
      </c>
      <c r="H2698">
        <v>0.126340130156814</v>
      </c>
      <c r="I2698">
        <v>0.10501757735926399</v>
      </c>
      <c r="J2698">
        <v>0.13807514299610199</v>
      </c>
      <c r="K2698">
        <v>0.101656099137169</v>
      </c>
      <c r="L2698">
        <v>1177.2348994860099</v>
      </c>
      <c r="M2698">
        <v>25.4268433504994</v>
      </c>
      <c r="N2698">
        <v>46.880643181881098</v>
      </c>
      <c r="O2698">
        <v>46.015372079038997</v>
      </c>
      <c r="P2698">
        <v>-0.119454492162941</v>
      </c>
      <c r="Q2698">
        <v>0.135295922534938</v>
      </c>
      <c r="R2698">
        <v>0.99204411343468202</v>
      </c>
      <c r="S2698" t="s">
        <v>8559</v>
      </c>
      <c r="T2698" t="s">
        <v>11720</v>
      </c>
      <c r="U2698" t="s">
        <v>11720</v>
      </c>
      <c r="V2698" t="s">
        <v>11720</v>
      </c>
      <c r="W2698" t="s">
        <v>14372</v>
      </c>
      <c r="X2698">
        <v>7</v>
      </c>
      <c r="Y2698" t="s">
        <v>20117</v>
      </c>
      <c r="Z2698" t="s">
        <v>25905</v>
      </c>
      <c r="AA2698">
        <v>0.32443468143537252</v>
      </c>
      <c r="AB2698" t="str">
        <f>HYPERLINK("Melting_Curves/meltCurve_P58004_SESN2.pdf", "Melting_Curves/meltCurve_P58004_SESN2.pdf")</f>
        <v>Melting_Curves/meltCurve_P58004_SESN2.pdf</v>
      </c>
    </row>
    <row r="2699" spans="1:28" x14ac:dyDescent="0.25">
      <c r="A2699" t="s">
        <v>2703</v>
      </c>
      <c r="B2699">
        <v>0.99334974765950101</v>
      </c>
      <c r="C2699">
        <v>0.99574384444700603</v>
      </c>
      <c r="D2699">
        <v>0.87552110505575198</v>
      </c>
      <c r="E2699">
        <v>0.74933929341569505</v>
      </c>
      <c r="F2699">
        <v>0.44025944355930902</v>
      </c>
      <c r="G2699">
        <v>0.19454515152725499</v>
      </c>
      <c r="H2699">
        <v>0.14023688384584301</v>
      </c>
      <c r="I2699">
        <v>0.158855990116714</v>
      </c>
      <c r="J2699">
        <v>0.15242969647500601</v>
      </c>
      <c r="K2699">
        <v>0.189498243716343</v>
      </c>
      <c r="L2699">
        <v>1227.6239062489699</v>
      </c>
      <c r="M2699">
        <v>23.829548998330001</v>
      </c>
      <c r="N2699">
        <v>52.2801587185781</v>
      </c>
      <c r="O2699">
        <v>51.158188304063003</v>
      </c>
      <c r="P2699">
        <v>-9.9343263173434795E-2</v>
      </c>
      <c r="Q2699">
        <v>0.14691821661136101</v>
      </c>
      <c r="R2699">
        <v>0.99173811318305805</v>
      </c>
      <c r="S2699" t="s">
        <v>8560</v>
      </c>
      <c r="T2699" t="s">
        <v>11720</v>
      </c>
      <c r="U2699" t="s">
        <v>11720</v>
      </c>
      <c r="V2699" t="s">
        <v>11720</v>
      </c>
      <c r="W2699" t="s">
        <v>14373</v>
      </c>
      <c r="X2699">
        <v>6</v>
      </c>
      <c r="Y2699" t="s">
        <v>20118</v>
      </c>
      <c r="Z2699" t="s">
        <v>25906</v>
      </c>
      <c r="AA2699">
        <v>0.48291645025354241</v>
      </c>
      <c r="AB2699" t="str">
        <f>HYPERLINK("Melting_Curves/meltCurve_P58546_MTPN.pdf", "Melting_Curves/meltCurve_P58546_MTPN.pdf")</f>
        <v>Melting_Curves/meltCurve_P58546_MTPN.pdf</v>
      </c>
    </row>
    <row r="2700" spans="1:28" x14ac:dyDescent="0.25">
      <c r="A2700" t="s">
        <v>2704</v>
      </c>
      <c r="B2700">
        <v>0.99334974765950101</v>
      </c>
      <c r="C2700">
        <v>1.0003992563085999</v>
      </c>
      <c r="D2700">
        <v>0.99871539035775303</v>
      </c>
      <c r="E2700">
        <v>0.97001634861542196</v>
      </c>
      <c r="F2700">
        <v>1.1113643997752101</v>
      </c>
      <c r="G2700">
        <v>0.87205883271088402</v>
      </c>
      <c r="H2700">
        <v>0.78317688101466798</v>
      </c>
      <c r="I2700">
        <v>1.0911911750646399</v>
      </c>
      <c r="J2700">
        <v>0.74498026917968996</v>
      </c>
      <c r="K2700">
        <v>0.58433526201711095</v>
      </c>
      <c r="L2700">
        <v>1627.5740318641799</v>
      </c>
      <c r="M2700">
        <v>22.932065141159001</v>
      </c>
      <c r="Q2700">
        <v>0</v>
      </c>
      <c r="R2700">
        <v>0.61279274036081699</v>
      </c>
      <c r="S2700" t="s">
        <v>8561</v>
      </c>
      <c r="T2700" t="s">
        <v>11720</v>
      </c>
      <c r="U2700" t="s">
        <v>11720</v>
      </c>
      <c r="V2700" t="s">
        <v>11720</v>
      </c>
      <c r="W2700" t="s">
        <v>14374</v>
      </c>
      <c r="X2700">
        <v>6</v>
      </c>
      <c r="Y2700" t="s">
        <v>20119</v>
      </c>
      <c r="Z2700" t="s">
        <v>25907</v>
      </c>
      <c r="AA2700">
        <v>0.94993597115847739</v>
      </c>
      <c r="AB2700" t="str">
        <f>HYPERLINK("Melting_Curves/meltCurve_P59768_GNG2.pdf", "Melting_Curves/meltCurve_P59768_GNG2.pdf")</f>
        <v>Melting_Curves/meltCurve_P59768_GNG2.pdf</v>
      </c>
    </row>
    <row r="2701" spans="1:28" x14ac:dyDescent="0.25">
      <c r="A2701" t="s">
        <v>2705</v>
      </c>
      <c r="B2701">
        <v>0.99334974765950101</v>
      </c>
      <c r="C2701">
        <v>0.955038725482239</v>
      </c>
      <c r="D2701">
        <v>0.79620157741306397</v>
      </c>
      <c r="E2701">
        <v>0.74124016968206097</v>
      </c>
      <c r="F2701">
        <v>0.57000426375198399</v>
      </c>
      <c r="G2701">
        <v>0.517842326917617</v>
      </c>
      <c r="H2701">
        <v>0.55039485033193003</v>
      </c>
      <c r="I2701">
        <v>0.55577924219760499</v>
      </c>
      <c r="J2701">
        <v>0.93839567590326101</v>
      </c>
      <c r="K2701">
        <v>0.75142649085753199</v>
      </c>
      <c r="L2701">
        <v>1314.79813539214</v>
      </c>
      <c r="M2701">
        <v>28.830546138403701</v>
      </c>
      <c r="O2701">
        <v>45.386625638875799</v>
      </c>
      <c r="P2701">
        <v>-5.47959070663325E-2</v>
      </c>
      <c r="Q2701">
        <v>0.65495175736964895</v>
      </c>
      <c r="R2701">
        <v>0.52955419993857999</v>
      </c>
      <c r="S2701" t="s">
        <v>8562</v>
      </c>
      <c r="T2701" t="s">
        <v>11720</v>
      </c>
      <c r="U2701" t="s">
        <v>11720</v>
      </c>
      <c r="V2701" t="s">
        <v>11720</v>
      </c>
      <c r="W2701" t="s">
        <v>14375</v>
      </c>
      <c r="X2701">
        <v>2</v>
      </c>
      <c r="Y2701" t="s">
        <v>20120</v>
      </c>
      <c r="Z2701" t="s">
        <v>25908</v>
      </c>
      <c r="AA2701">
        <v>0.72175117964717683</v>
      </c>
      <c r="AB2701" t="str">
        <f>HYPERLINK("Melting_Curves/meltCurve_P60059_SEC61G.pdf", "Melting_Curves/meltCurve_P60059_SEC61G.pdf")</f>
        <v>Melting_Curves/meltCurve_P60059_SEC61G.pdf</v>
      </c>
    </row>
    <row r="2702" spans="1:28" x14ac:dyDescent="0.25">
      <c r="A2702" t="s">
        <v>2706</v>
      </c>
      <c r="B2702">
        <v>0.99334974765950101</v>
      </c>
      <c r="C2702">
        <v>0.97613370035915403</v>
      </c>
      <c r="D2702">
        <v>0.88555570042138398</v>
      </c>
      <c r="E2702">
        <v>0.78931094162422299</v>
      </c>
      <c r="F2702">
        <v>0.51608346475044498</v>
      </c>
      <c r="G2702">
        <v>0.37904285319967901</v>
      </c>
      <c r="H2702">
        <v>0.257393458761637</v>
      </c>
      <c r="I2702">
        <v>0.142251022391468</v>
      </c>
      <c r="J2702">
        <v>8.4014763104814399E-2</v>
      </c>
      <c r="K2702">
        <v>7.9218085783554895E-2</v>
      </c>
      <c r="L2702">
        <v>657.47877976600603</v>
      </c>
      <c r="M2702">
        <v>12.120090724799301</v>
      </c>
      <c r="N2702">
        <v>54.390696103590699</v>
      </c>
      <c r="O2702">
        <v>52.833588051458598</v>
      </c>
      <c r="P2702">
        <v>-5.6459868632509902E-2</v>
      </c>
      <c r="Q2702">
        <v>1.5754656946594999E-2</v>
      </c>
      <c r="R2702">
        <v>0.99313168553630304</v>
      </c>
      <c r="S2702" t="s">
        <v>8563</v>
      </c>
      <c r="T2702" t="s">
        <v>11720</v>
      </c>
      <c r="U2702" t="s">
        <v>11720</v>
      </c>
      <c r="V2702" t="s">
        <v>11720</v>
      </c>
      <c r="W2702" t="s">
        <v>14376</v>
      </c>
      <c r="X2702">
        <v>29</v>
      </c>
      <c r="Y2702" t="s">
        <v>20121</v>
      </c>
      <c r="Z2702" t="s">
        <v>25909</v>
      </c>
      <c r="AA2702">
        <v>0.50804494032666958</v>
      </c>
      <c r="AB2702" t="str">
        <f>HYPERLINK("Melting_Curves/meltCurve_P60174_1_TPI1.pdf", "Melting_Curves/meltCurve_P60174_1_TPI1.pdf")</f>
        <v>Melting_Curves/meltCurve_P60174_1_TPI1.pdf</v>
      </c>
    </row>
    <row r="2703" spans="1:28" x14ac:dyDescent="0.25">
      <c r="A2703" t="s">
        <v>2707</v>
      </c>
      <c r="B2703">
        <v>0.99334974765950101</v>
      </c>
      <c r="C2703">
        <v>0.99251076489587398</v>
      </c>
      <c r="D2703">
        <v>0.85946490554798605</v>
      </c>
      <c r="E2703">
        <v>0.83910817465159304</v>
      </c>
      <c r="F2703">
        <v>0.88392387642977999</v>
      </c>
      <c r="G2703">
        <v>0.60054416646221098</v>
      </c>
      <c r="H2703">
        <v>0.53309833086482605</v>
      </c>
      <c r="I2703">
        <v>0.19573353379921299</v>
      </c>
      <c r="J2703">
        <v>0.16312495266591201</v>
      </c>
      <c r="K2703">
        <v>0.16838469794122801</v>
      </c>
      <c r="L2703">
        <v>721.66654417087796</v>
      </c>
      <c r="M2703">
        <v>12.1465964628943</v>
      </c>
      <c r="N2703">
        <v>59.413066611155699</v>
      </c>
      <c r="O2703">
        <v>57.871493479793102</v>
      </c>
      <c r="P2703">
        <v>-5.2484346296891499E-2</v>
      </c>
      <c r="Q2703">
        <v>0</v>
      </c>
      <c r="R2703">
        <v>0.95465268555601701</v>
      </c>
      <c r="S2703" t="s">
        <v>8564</v>
      </c>
      <c r="T2703" t="s">
        <v>11720</v>
      </c>
      <c r="U2703" t="s">
        <v>11720</v>
      </c>
      <c r="V2703" t="s">
        <v>11720</v>
      </c>
      <c r="W2703" t="s">
        <v>14377</v>
      </c>
      <c r="X2703">
        <v>21</v>
      </c>
      <c r="Y2703" t="s">
        <v>20121</v>
      </c>
      <c r="Z2703" t="s">
        <v>25910</v>
      </c>
      <c r="AA2703">
        <v>0.65309118240908426</v>
      </c>
      <c r="AB2703" t="str">
        <f>HYPERLINK("Melting_Curves/meltCurve_P60174_4_TPI1.pdf", "Melting_Curves/meltCurve_P60174_4_TPI1.pdf")</f>
        <v>Melting_Curves/meltCurve_P60174_4_TPI1.pdf</v>
      </c>
    </row>
    <row r="2704" spans="1:28" x14ac:dyDescent="0.25">
      <c r="A2704" t="s">
        <v>2708</v>
      </c>
      <c r="B2704">
        <v>0.99334974765950101</v>
      </c>
      <c r="C2704">
        <v>0.93386084588905505</v>
      </c>
      <c r="D2704">
        <v>0.79442949717634803</v>
      </c>
      <c r="E2704">
        <v>0.65306115021372302</v>
      </c>
      <c r="F2704">
        <v>0.44693329281593802</v>
      </c>
      <c r="G2704">
        <v>0.28592208384257001</v>
      </c>
      <c r="H2704">
        <v>0.24710240942555001</v>
      </c>
      <c r="I2704">
        <v>0.24738371838782</v>
      </c>
      <c r="J2704">
        <v>0.23345153865853899</v>
      </c>
      <c r="K2704">
        <v>0.23325763902553001</v>
      </c>
      <c r="L2704">
        <v>740.92750233230504</v>
      </c>
      <c r="M2704">
        <v>14.797949189088101</v>
      </c>
      <c r="N2704">
        <v>51.955829567607601</v>
      </c>
      <c r="O2704">
        <v>49.181910674434398</v>
      </c>
      <c r="P2704">
        <v>-5.95945720916485E-2</v>
      </c>
      <c r="Q2704">
        <v>0.207819237362598</v>
      </c>
      <c r="R2704">
        <v>0.99388083738085997</v>
      </c>
      <c r="S2704" t="s">
        <v>8565</v>
      </c>
      <c r="T2704" t="s">
        <v>11720</v>
      </c>
      <c r="U2704" t="s">
        <v>11720</v>
      </c>
      <c r="V2704" t="s">
        <v>11720</v>
      </c>
      <c r="W2704" t="s">
        <v>14378</v>
      </c>
      <c r="X2704">
        <v>5</v>
      </c>
      <c r="Y2704" t="s">
        <v>20122</v>
      </c>
      <c r="Z2704" t="s">
        <v>25911</v>
      </c>
      <c r="AA2704">
        <v>0.49302051941150588</v>
      </c>
      <c r="AB2704" t="str">
        <f>HYPERLINK("Melting_Curves/meltCurve_P60228_EIF3E.pdf", "Melting_Curves/meltCurve_P60228_EIF3E.pdf")</f>
        <v>Melting_Curves/meltCurve_P60228_EIF3E.pdf</v>
      </c>
    </row>
    <row r="2705" spans="1:28" x14ac:dyDescent="0.25">
      <c r="A2705" t="s">
        <v>2709</v>
      </c>
      <c r="B2705">
        <v>0.99334974765950101</v>
      </c>
      <c r="C2705">
        <v>0.98705547066181099</v>
      </c>
      <c r="D2705">
        <v>0.83491305721220799</v>
      </c>
      <c r="E2705">
        <v>0.978386828921888</v>
      </c>
      <c r="F2705">
        <v>0.84932480174548097</v>
      </c>
      <c r="G2705">
        <v>0.760790875516131</v>
      </c>
      <c r="H2705">
        <v>0.67008356194483498</v>
      </c>
      <c r="I2705">
        <v>0.75799558881916895</v>
      </c>
      <c r="J2705">
        <v>0.96572175645815195</v>
      </c>
      <c r="K2705">
        <v>0.79058561805497896</v>
      </c>
      <c r="L2705">
        <v>632.96895178203704</v>
      </c>
      <c r="M2705">
        <v>13.155191123595101</v>
      </c>
      <c r="O2705">
        <v>47.0444328782879</v>
      </c>
      <c r="P2705">
        <v>-1.4653344385928E-2</v>
      </c>
      <c r="Q2705">
        <v>0.79042735803840802</v>
      </c>
      <c r="R2705">
        <v>0.40635225739317998</v>
      </c>
      <c r="S2705" t="s">
        <v>8566</v>
      </c>
      <c r="T2705" t="s">
        <v>11720</v>
      </c>
      <c r="U2705" t="s">
        <v>11720</v>
      </c>
      <c r="V2705" t="s">
        <v>11720</v>
      </c>
      <c r="W2705" t="s">
        <v>14379</v>
      </c>
      <c r="X2705">
        <v>4</v>
      </c>
      <c r="Y2705" t="s">
        <v>20123</v>
      </c>
      <c r="Z2705" t="s">
        <v>25912</v>
      </c>
      <c r="AA2705">
        <v>0.85401518916697561</v>
      </c>
      <c r="AB2705" t="str">
        <f>HYPERLINK("Melting_Curves/meltCurve_P60468_SEC61B.pdf", "Melting_Curves/meltCurve_P60468_SEC61B.pdf")</f>
        <v>Melting_Curves/meltCurve_P60468_SEC61B.pdf</v>
      </c>
    </row>
    <row r="2706" spans="1:28" x14ac:dyDescent="0.25">
      <c r="A2706" t="s">
        <v>2710</v>
      </c>
      <c r="B2706">
        <v>0.99334974765950101</v>
      </c>
      <c r="C2706">
        <v>0.92429778944644203</v>
      </c>
      <c r="D2706">
        <v>0.80204043044237505</v>
      </c>
      <c r="E2706">
        <v>0.41926804493026998</v>
      </c>
      <c r="F2706">
        <v>0.17009300020325699</v>
      </c>
      <c r="G2706">
        <v>0.145325144317444</v>
      </c>
      <c r="H2706">
        <v>0.107272790736636</v>
      </c>
      <c r="I2706">
        <v>6.8443473229483201E-2</v>
      </c>
      <c r="J2706">
        <v>4.8146120839121398E-2</v>
      </c>
      <c r="K2706">
        <v>4.0463617438682903E-2</v>
      </c>
      <c r="L2706">
        <v>1021.94354639575</v>
      </c>
      <c r="M2706">
        <v>20.971822644530601</v>
      </c>
      <c r="N2706">
        <v>49.044269525950099</v>
      </c>
      <c r="O2706">
        <v>48.292793323150399</v>
      </c>
      <c r="P2706">
        <v>-0.101729938434151</v>
      </c>
      <c r="Q2706">
        <v>6.2992330196061097E-2</v>
      </c>
      <c r="R2706">
        <v>0.99571946298501801</v>
      </c>
      <c r="S2706" t="s">
        <v>8567</v>
      </c>
      <c r="T2706" t="s">
        <v>11720</v>
      </c>
      <c r="U2706" t="s">
        <v>11720</v>
      </c>
      <c r="V2706" t="s">
        <v>11720</v>
      </c>
      <c r="W2706" t="s">
        <v>14380</v>
      </c>
      <c r="X2706">
        <v>4</v>
      </c>
      <c r="Y2706" t="s">
        <v>20124</v>
      </c>
      <c r="Z2706" t="s">
        <v>25913</v>
      </c>
      <c r="AA2706">
        <v>0.34757788799780331</v>
      </c>
      <c r="AB2706" t="str">
        <f>HYPERLINK("Melting_Curves/meltCurve_P60484_PTEN.pdf", "Melting_Curves/meltCurve_P60484_PTEN.pdf")</f>
        <v>Melting_Curves/meltCurve_P60484_PTEN.pdf</v>
      </c>
    </row>
    <row r="2707" spans="1:28" x14ac:dyDescent="0.25">
      <c r="A2707" t="s">
        <v>2711</v>
      </c>
      <c r="B2707">
        <v>0.99334974765950101</v>
      </c>
      <c r="C2707">
        <v>1.03395534044518</v>
      </c>
      <c r="D2707">
        <v>0.96833556824096201</v>
      </c>
      <c r="E2707">
        <v>0.89913360657855901</v>
      </c>
      <c r="F2707">
        <v>0.895290496376004</v>
      </c>
      <c r="G2707">
        <v>0.869175605201849</v>
      </c>
      <c r="H2707">
        <v>0.76912294080339705</v>
      </c>
      <c r="I2707">
        <v>0.81821468503635497</v>
      </c>
      <c r="J2707">
        <v>0.43837107155362398</v>
      </c>
      <c r="K2707">
        <v>0.26930893905786202</v>
      </c>
      <c r="L2707">
        <v>1116.8113079924301</v>
      </c>
      <c r="M2707">
        <v>16.7482968174725</v>
      </c>
      <c r="N2707">
        <v>66.682091467781902</v>
      </c>
      <c r="O2707">
        <v>65.753189184464006</v>
      </c>
      <c r="P2707">
        <v>-6.3682814965404497E-2</v>
      </c>
      <c r="Q2707">
        <v>0</v>
      </c>
      <c r="R2707">
        <v>0.90148846783847802</v>
      </c>
      <c r="S2707" t="s">
        <v>8568</v>
      </c>
      <c r="T2707" t="s">
        <v>11720</v>
      </c>
      <c r="U2707" t="s">
        <v>11720</v>
      </c>
      <c r="V2707" t="s">
        <v>11720</v>
      </c>
      <c r="W2707" t="s">
        <v>14381</v>
      </c>
      <c r="X2707">
        <v>17</v>
      </c>
      <c r="Y2707" t="s">
        <v>20125</v>
      </c>
      <c r="Z2707" t="s">
        <v>25914</v>
      </c>
      <c r="AA2707">
        <v>0.85281536673265412</v>
      </c>
      <c r="AB2707" t="str">
        <f>HYPERLINK("Melting_Curves/meltCurve_P60510_PPP4C.pdf", "Melting_Curves/meltCurve_P60510_PPP4C.pdf")</f>
        <v>Melting_Curves/meltCurve_P60510_PPP4C.pdf</v>
      </c>
    </row>
    <row r="2708" spans="1:28" x14ac:dyDescent="0.25">
      <c r="A2708" t="s">
        <v>2712</v>
      </c>
      <c r="B2708">
        <v>0.99334974765950101</v>
      </c>
      <c r="C2708">
        <v>1.1236282423008701</v>
      </c>
      <c r="D2708">
        <v>0.98747443417404002</v>
      </c>
      <c r="E2708">
        <v>0.76291750590599505</v>
      </c>
      <c r="F2708">
        <v>0.46888898861357098</v>
      </c>
      <c r="G2708">
        <v>0.281409553670526</v>
      </c>
      <c r="H2708">
        <v>0.151918388857161</v>
      </c>
      <c r="I2708">
        <v>9.4131828193380895E-2</v>
      </c>
      <c r="J2708">
        <v>6.7726806340025994E-2</v>
      </c>
      <c r="K2708">
        <v>5.10424095303951E-2</v>
      </c>
      <c r="L2708">
        <v>1054.1770365894899</v>
      </c>
      <c r="M2708">
        <v>19.9980524789211</v>
      </c>
      <c r="N2708">
        <v>53.108800907346399</v>
      </c>
      <c r="O2708">
        <v>52.1953718612424</v>
      </c>
      <c r="P2708">
        <v>-8.9171469491435604E-2</v>
      </c>
      <c r="Q2708">
        <v>6.9072162493477293E-2</v>
      </c>
      <c r="R2708">
        <v>0.98560285576627904</v>
      </c>
      <c r="S2708" t="s">
        <v>8569</v>
      </c>
      <c r="T2708" t="s">
        <v>11720</v>
      </c>
      <c r="U2708" t="s">
        <v>11720</v>
      </c>
      <c r="V2708" t="s">
        <v>11720</v>
      </c>
      <c r="W2708" t="s">
        <v>14382</v>
      </c>
      <c r="X2708">
        <v>6</v>
      </c>
      <c r="Y2708" t="s">
        <v>20126</v>
      </c>
      <c r="Z2708" t="s">
        <v>25915</v>
      </c>
      <c r="AA2708">
        <v>0.47643344890193362</v>
      </c>
      <c r="AB2708" t="str">
        <f>HYPERLINK("Melting_Curves/meltCurve_P60520_GABARAPL2.pdf", "Melting_Curves/meltCurve_P60520_GABARAPL2.pdf")</f>
        <v>Melting_Curves/meltCurve_P60520_GABARAPL2.pdf</v>
      </c>
    </row>
    <row r="2709" spans="1:28" x14ac:dyDescent="0.25">
      <c r="A2709" t="s">
        <v>2713</v>
      </c>
      <c r="B2709">
        <v>0.99334974765950101</v>
      </c>
      <c r="C2709">
        <v>0.96421670752228805</v>
      </c>
      <c r="D2709">
        <v>0.83757646886481996</v>
      </c>
      <c r="E2709">
        <v>1.1764137664530201</v>
      </c>
      <c r="F2709">
        <v>1.0673200661778699</v>
      </c>
      <c r="G2709">
        <v>1.6128500417726901</v>
      </c>
      <c r="H2709">
        <v>1.50711838861047</v>
      </c>
      <c r="I2709">
        <v>1.67185027048914</v>
      </c>
      <c r="J2709">
        <v>1.3825538555942001</v>
      </c>
      <c r="K2709">
        <v>0.74671363847916306</v>
      </c>
      <c r="L2709">
        <v>13332.1030903836</v>
      </c>
      <c r="M2709">
        <v>250</v>
      </c>
      <c r="O2709">
        <v>53.324978941699598</v>
      </c>
      <c r="P2709">
        <v>0.45032493957359299</v>
      </c>
      <c r="Q2709">
        <v>1.3842172367201599</v>
      </c>
      <c r="R2709">
        <v>0.368126391204881</v>
      </c>
      <c r="S2709" t="s">
        <v>8570</v>
      </c>
      <c r="T2709" t="s">
        <v>11720</v>
      </c>
      <c r="U2709" t="s">
        <v>11720</v>
      </c>
      <c r="V2709" t="s">
        <v>11720</v>
      </c>
      <c r="W2709" t="s">
        <v>14383</v>
      </c>
      <c r="X2709">
        <v>4</v>
      </c>
      <c r="Y2709" t="s">
        <v>20127</v>
      </c>
      <c r="Z2709" t="s">
        <v>25916</v>
      </c>
      <c r="AA2709">
        <v>1.2134810853767251</v>
      </c>
      <c r="AB2709" t="str">
        <f>HYPERLINK("Melting_Curves/meltCurve_P60602_ROMO1.pdf", "Melting_Curves/meltCurve_P60602_ROMO1.pdf")</f>
        <v>Melting_Curves/meltCurve_P60602_ROMO1.pdf</v>
      </c>
    </row>
    <row r="2710" spans="1:28" x14ac:dyDescent="0.25">
      <c r="A2710" t="s">
        <v>2714</v>
      </c>
      <c r="B2710">
        <v>0.99334974765950101</v>
      </c>
      <c r="C2710">
        <v>0.958077499879184</v>
      </c>
      <c r="D2710">
        <v>0.73744411244809205</v>
      </c>
      <c r="E2710">
        <v>0.40290386691060398</v>
      </c>
      <c r="F2710">
        <v>0.124728698197125</v>
      </c>
      <c r="G2710">
        <v>9.8153744514867705E-2</v>
      </c>
      <c r="H2710">
        <v>6.6235476217667899E-2</v>
      </c>
      <c r="I2710">
        <v>5.4277458687755097E-2</v>
      </c>
      <c r="J2710">
        <v>5.7789323068882299E-2</v>
      </c>
      <c r="K2710">
        <v>4.13302973053227E-2</v>
      </c>
      <c r="L2710">
        <v>1037.4037716223099</v>
      </c>
      <c r="M2710">
        <v>21.451278145944698</v>
      </c>
      <c r="N2710">
        <v>48.589765187064202</v>
      </c>
      <c r="O2710">
        <v>47.9465303011131</v>
      </c>
      <c r="P2710">
        <v>-0.10647879468631299</v>
      </c>
      <c r="Q2710">
        <v>4.80449189377525E-2</v>
      </c>
      <c r="R2710">
        <v>0.99619521574632497</v>
      </c>
      <c r="S2710" t="s">
        <v>8571</v>
      </c>
      <c r="T2710" t="s">
        <v>11720</v>
      </c>
      <c r="U2710" t="s">
        <v>11720</v>
      </c>
      <c r="V2710" t="s">
        <v>11720</v>
      </c>
      <c r="W2710" t="s">
        <v>14384</v>
      </c>
      <c r="X2710">
        <v>2</v>
      </c>
      <c r="Y2710" t="s">
        <v>20128</v>
      </c>
      <c r="Z2710" t="s">
        <v>25917</v>
      </c>
      <c r="AA2710">
        <v>0.32495866697352199</v>
      </c>
      <c r="AB2710" t="str">
        <f>HYPERLINK("Melting_Curves/meltCurve_P60604_2_UBE2G2.pdf", "Melting_Curves/meltCurve_P60604_2_UBE2G2.pdf")</f>
        <v>Melting_Curves/meltCurve_P60604_2_UBE2G2.pdf</v>
      </c>
    </row>
    <row r="2711" spans="1:28" x14ac:dyDescent="0.25">
      <c r="A2711" t="s">
        <v>2715</v>
      </c>
      <c r="B2711">
        <v>0.99334974765950101</v>
      </c>
      <c r="C2711">
        <v>0.84972570486520904</v>
      </c>
      <c r="D2711">
        <v>0.82507745345728301</v>
      </c>
      <c r="E2711">
        <v>0.61191095142149099</v>
      </c>
      <c r="F2711">
        <v>0.33369234328652397</v>
      </c>
      <c r="G2711">
        <v>0.28071868335803701</v>
      </c>
      <c r="H2711">
        <v>0.154625784520144</v>
      </c>
      <c r="I2711">
        <v>0.12897427659670299</v>
      </c>
      <c r="J2711">
        <v>7.8994103626185697E-2</v>
      </c>
      <c r="K2711">
        <v>2.19749737722186E-2</v>
      </c>
      <c r="L2711">
        <v>591.71806147349798</v>
      </c>
      <c r="M2711">
        <v>11.551950047205199</v>
      </c>
      <c r="N2711">
        <v>51.342263368361898</v>
      </c>
      <c r="O2711">
        <v>49.759542573890201</v>
      </c>
      <c r="P2711">
        <v>-5.72823964195125E-2</v>
      </c>
      <c r="Q2711">
        <v>1.3309507314486701E-2</v>
      </c>
      <c r="R2711">
        <v>0.98655993266481101</v>
      </c>
      <c r="S2711" t="s">
        <v>8572</v>
      </c>
      <c r="T2711" t="s">
        <v>11720</v>
      </c>
      <c r="U2711" t="s">
        <v>11720</v>
      </c>
      <c r="V2711" t="s">
        <v>11720</v>
      </c>
      <c r="W2711" t="s">
        <v>14385</v>
      </c>
      <c r="X2711">
        <v>8</v>
      </c>
      <c r="Y2711" t="s">
        <v>20129</v>
      </c>
      <c r="Z2711" t="s">
        <v>25918</v>
      </c>
      <c r="AA2711">
        <v>0.41586395097634699</v>
      </c>
      <c r="AB2711" t="str">
        <f>HYPERLINK("Melting_Curves/meltCurve_P60763_RAC3.pdf", "Melting_Curves/meltCurve_P60763_RAC3.pdf")</f>
        <v>Melting_Curves/meltCurve_P60763_RAC3.pdf</v>
      </c>
    </row>
    <row r="2712" spans="1:28" x14ac:dyDescent="0.25">
      <c r="A2712" t="s">
        <v>2716</v>
      </c>
      <c r="B2712">
        <v>0.99334974765950101</v>
      </c>
      <c r="C2712">
        <v>0.98591243930036199</v>
      </c>
      <c r="D2712">
        <v>0.79151117094419499</v>
      </c>
      <c r="E2712">
        <v>0.52774162033943195</v>
      </c>
      <c r="F2712">
        <v>0.17983246812315801</v>
      </c>
      <c r="G2712">
        <v>0.12446908869192699</v>
      </c>
      <c r="H2712">
        <v>0.116878814244037</v>
      </c>
      <c r="I2712">
        <v>9.4696394771874401E-2</v>
      </c>
      <c r="J2712">
        <v>0.10334904732917601</v>
      </c>
      <c r="K2712">
        <v>8.1681243384031599E-2</v>
      </c>
      <c r="L2712">
        <v>1085.3824726723401</v>
      </c>
      <c r="M2712">
        <v>22.052135000965102</v>
      </c>
      <c r="N2712">
        <v>49.646204328242803</v>
      </c>
      <c r="O2712">
        <v>48.819546169610902</v>
      </c>
      <c r="P2712">
        <v>-0.103168447819365</v>
      </c>
      <c r="Q2712">
        <v>8.6433051893418295E-2</v>
      </c>
      <c r="R2712">
        <v>0.99172359898282703</v>
      </c>
      <c r="S2712" t="s">
        <v>8573</v>
      </c>
      <c r="T2712" t="s">
        <v>11720</v>
      </c>
      <c r="U2712" t="s">
        <v>11720</v>
      </c>
      <c r="V2712" t="s">
        <v>11720</v>
      </c>
      <c r="W2712" t="s">
        <v>14386</v>
      </c>
      <c r="X2712">
        <v>34</v>
      </c>
      <c r="Y2712" t="s">
        <v>18570</v>
      </c>
      <c r="Z2712" t="s">
        <v>25919</v>
      </c>
      <c r="AA2712">
        <v>0.3776488212735945</v>
      </c>
      <c r="AB2712" t="str">
        <f>HYPERLINK("Melting_Curves/meltCurve_P60842_EIF4A1.pdf", "Melting_Curves/meltCurve_P60842_EIF4A1.pdf")</f>
        <v>Melting_Curves/meltCurve_P60842_EIF4A1.pdf</v>
      </c>
    </row>
    <row r="2713" spans="1:28" x14ac:dyDescent="0.25">
      <c r="A2713" t="s">
        <v>2717</v>
      </c>
      <c r="B2713">
        <v>0.99334974765950101</v>
      </c>
      <c r="C2713">
        <v>1.0585086796642</v>
      </c>
      <c r="D2713">
        <v>0.978158018832476</v>
      </c>
      <c r="E2713">
        <v>0.72729470413392305</v>
      </c>
      <c r="F2713">
        <v>0.34668110275216202</v>
      </c>
      <c r="G2713">
        <v>0.23600733764905199</v>
      </c>
      <c r="H2713">
        <v>0.14548547115906099</v>
      </c>
      <c r="I2713">
        <v>0.104891652545437</v>
      </c>
      <c r="J2713">
        <v>0.109739738491011</v>
      </c>
      <c r="K2713">
        <v>9.9415509194113003E-2</v>
      </c>
      <c r="L2713">
        <v>1447.4205392118499</v>
      </c>
      <c r="M2713">
        <v>28.2026601684654</v>
      </c>
      <c r="N2713">
        <v>51.835639198626403</v>
      </c>
      <c r="O2713">
        <v>51.066149480623103</v>
      </c>
      <c r="P2713">
        <v>-0.121242618339959</v>
      </c>
      <c r="Q2713">
        <v>0.12187788030798601</v>
      </c>
      <c r="R2713">
        <v>0.99313318367880898</v>
      </c>
      <c r="S2713" t="s">
        <v>8574</v>
      </c>
      <c r="T2713" t="s">
        <v>11720</v>
      </c>
      <c r="U2713" t="s">
        <v>11720</v>
      </c>
      <c r="V2713" t="s">
        <v>11720</v>
      </c>
      <c r="W2713" t="s">
        <v>14387</v>
      </c>
      <c r="X2713">
        <v>9</v>
      </c>
      <c r="Y2713" t="s">
        <v>20130</v>
      </c>
      <c r="Z2713" t="s">
        <v>25920</v>
      </c>
      <c r="AA2713">
        <v>0.45956187980196128</v>
      </c>
      <c r="AB2713" t="str">
        <f>HYPERLINK("Melting_Curves/meltCurve_P60866_RPS20.pdf", "Melting_Curves/meltCurve_P60866_RPS20.pdf")</f>
        <v>Melting_Curves/meltCurve_P60866_RPS20.pdf</v>
      </c>
    </row>
    <row r="2714" spans="1:28" x14ac:dyDescent="0.25">
      <c r="A2714" t="s">
        <v>2718</v>
      </c>
      <c r="B2714">
        <v>0.99334974765950101</v>
      </c>
      <c r="C2714">
        <v>0.86682364378057797</v>
      </c>
      <c r="D2714">
        <v>0.82839163638274704</v>
      </c>
      <c r="E2714">
        <v>0.65843137276422703</v>
      </c>
      <c r="F2714">
        <v>0.88029281370628798</v>
      </c>
      <c r="G2714">
        <v>0.55076175505589997</v>
      </c>
      <c r="H2714">
        <v>0.47693606577396402</v>
      </c>
      <c r="I2714">
        <v>0.55713745270889803</v>
      </c>
      <c r="J2714">
        <v>0.67109856769301501</v>
      </c>
      <c r="K2714">
        <v>0.49544423992785003</v>
      </c>
      <c r="L2714">
        <v>436.689843164563</v>
      </c>
      <c r="M2714">
        <v>8.7753481874410397</v>
      </c>
      <c r="O2714">
        <v>47.381976163061502</v>
      </c>
      <c r="P2714">
        <v>-2.3157235399660001E-2</v>
      </c>
      <c r="Q2714">
        <v>0.50025480081323503</v>
      </c>
      <c r="R2714">
        <v>0.72409430526264995</v>
      </c>
      <c r="S2714" t="s">
        <v>8575</v>
      </c>
      <c r="T2714" t="s">
        <v>11720</v>
      </c>
      <c r="U2714" t="s">
        <v>11720</v>
      </c>
      <c r="V2714" t="s">
        <v>11720</v>
      </c>
      <c r="W2714" t="s">
        <v>14388</v>
      </c>
      <c r="X2714">
        <v>10</v>
      </c>
      <c r="Y2714" t="s">
        <v>20131</v>
      </c>
      <c r="Z2714" t="s">
        <v>25921</v>
      </c>
      <c r="AA2714">
        <v>0.69024717943752978</v>
      </c>
      <c r="AB2714" t="str">
        <f>HYPERLINK("Melting_Curves/meltCurve_P60880_2_SNAP25.pdf", "Melting_Curves/meltCurve_P60880_2_SNAP25.pdf")</f>
        <v>Melting_Curves/meltCurve_P60880_2_SNAP25.pdf</v>
      </c>
    </row>
    <row r="2715" spans="1:28" x14ac:dyDescent="0.25">
      <c r="A2715" t="s">
        <v>2719</v>
      </c>
      <c r="B2715">
        <v>0.99334974765950101</v>
      </c>
      <c r="C2715">
        <v>1.08706379030719</v>
      </c>
      <c r="D2715">
        <v>1.0085615258928899</v>
      </c>
      <c r="E2715">
        <v>1.11266175535228</v>
      </c>
      <c r="F2715">
        <v>1.5088846779626801</v>
      </c>
      <c r="G2715">
        <v>1.7339123374510099</v>
      </c>
      <c r="H2715">
        <v>1.21196689143574</v>
      </c>
      <c r="I2715">
        <v>0.50015292015866997</v>
      </c>
      <c r="J2715">
        <v>0.27910908828811498</v>
      </c>
      <c r="K2715">
        <v>0.160036625417876</v>
      </c>
      <c r="L2715">
        <v>15000</v>
      </c>
      <c r="M2715">
        <v>234.95229111004599</v>
      </c>
      <c r="N2715">
        <v>64.000276013169298</v>
      </c>
      <c r="O2715">
        <v>63.838122876221703</v>
      </c>
      <c r="P2715">
        <v>-0.71808877690643702</v>
      </c>
      <c r="Q2715">
        <v>0.219561737136308</v>
      </c>
      <c r="R2715">
        <v>0.62526200248395503</v>
      </c>
      <c r="S2715" t="s">
        <v>8576</v>
      </c>
      <c r="T2715" t="s">
        <v>11720</v>
      </c>
      <c r="U2715" t="s">
        <v>11720</v>
      </c>
      <c r="V2715" t="s">
        <v>11720</v>
      </c>
      <c r="W2715" t="s">
        <v>14389</v>
      </c>
      <c r="X2715">
        <v>11</v>
      </c>
      <c r="Y2715" t="s">
        <v>20132</v>
      </c>
      <c r="Z2715" t="s">
        <v>25922</v>
      </c>
      <c r="AA2715">
        <v>0.839920512667645</v>
      </c>
      <c r="AB2715" t="str">
        <f>HYPERLINK("Melting_Curves/meltCurve_P60891_PRPS1.pdf", "Melting_Curves/meltCurve_P60891_PRPS1.pdf")</f>
        <v>Melting_Curves/meltCurve_P60891_PRPS1.pdf</v>
      </c>
    </row>
    <row r="2716" spans="1:28" x14ac:dyDescent="0.25">
      <c r="A2716" t="s">
        <v>2720</v>
      </c>
      <c r="B2716">
        <v>0.99334974765950101</v>
      </c>
      <c r="C2716">
        <v>1.0732592935963801</v>
      </c>
      <c r="D2716">
        <v>0.862452800220049</v>
      </c>
      <c r="E2716">
        <v>0.77893198910435602</v>
      </c>
      <c r="F2716">
        <v>0.81771145327776795</v>
      </c>
      <c r="G2716">
        <v>0.79355212049926604</v>
      </c>
      <c r="H2716">
        <v>1.44640031745775</v>
      </c>
      <c r="I2716">
        <v>1.04571436365242</v>
      </c>
      <c r="J2716">
        <v>3.1348391107428699</v>
      </c>
      <c r="K2716">
        <v>2.27194736629616</v>
      </c>
      <c r="L2716">
        <v>10056.283292246901</v>
      </c>
      <c r="M2716">
        <v>166.96810516275599</v>
      </c>
      <c r="O2716">
        <v>60.220150249410302</v>
      </c>
      <c r="P2716">
        <v>0.34657869009394099</v>
      </c>
      <c r="Q2716">
        <v>1.5</v>
      </c>
      <c r="R2716">
        <v>0.33990476973431299</v>
      </c>
      <c r="S2716" t="s">
        <v>8577</v>
      </c>
      <c r="T2716" t="s">
        <v>11720</v>
      </c>
      <c r="U2716" t="s">
        <v>11720</v>
      </c>
      <c r="V2716" t="s">
        <v>11720</v>
      </c>
      <c r="W2716" t="s">
        <v>14390</v>
      </c>
      <c r="X2716">
        <v>2</v>
      </c>
      <c r="Y2716" t="s">
        <v>20133</v>
      </c>
      <c r="Z2716" t="s">
        <v>25923</v>
      </c>
      <c r="AA2716">
        <v>1.162735347651737</v>
      </c>
      <c r="AB2716" t="str">
        <f>HYPERLINK("Melting_Curves/meltCurve_P60896_SHFM1.pdf", "Melting_Curves/meltCurve_P60896_SHFM1.pdf")</f>
        <v>Melting_Curves/meltCurve_P60896_SHFM1.pdf</v>
      </c>
    </row>
    <row r="2717" spans="1:28" x14ac:dyDescent="0.25">
      <c r="A2717" t="s">
        <v>2721</v>
      </c>
      <c r="B2717">
        <v>0.99334974765950101</v>
      </c>
      <c r="C2717">
        <v>0.95433856071946199</v>
      </c>
      <c r="D2717">
        <v>1.03938202609129</v>
      </c>
      <c r="E2717">
        <v>0.98415623861841495</v>
      </c>
      <c r="F2717">
        <v>0.61638752567223198</v>
      </c>
      <c r="G2717">
        <v>0.16355117474785499</v>
      </c>
      <c r="H2717">
        <v>0.12935651125860001</v>
      </c>
      <c r="I2717">
        <v>0.14513651370470901</v>
      </c>
      <c r="J2717">
        <v>0.10990907571084001</v>
      </c>
      <c r="K2717">
        <v>9.9489517703459901E-2</v>
      </c>
      <c r="L2717">
        <v>2745.5792669156399</v>
      </c>
      <c r="M2717">
        <v>51.536666083599897</v>
      </c>
      <c r="N2717">
        <v>53.568023172165397</v>
      </c>
      <c r="O2717">
        <v>53.194259179341998</v>
      </c>
      <c r="P2717">
        <v>-0.21239757808787199</v>
      </c>
      <c r="Q2717">
        <v>0.123084663919607</v>
      </c>
      <c r="R2717">
        <v>0.99686253405023395</v>
      </c>
      <c r="S2717" t="s">
        <v>8578</v>
      </c>
      <c r="T2717" t="s">
        <v>11720</v>
      </c>
      <c r="U2717" t="s">
        <v>11720</v>
      </c>
      <c r="V2717" t="s">
        <v>11720</v>
      </c>
      <c r="W2717" t="s">
        <v>14391</v>
      </c>
      <c r="X2717">
        <v>10</v>
      </c>
      <c r="Y2717" t="s">
        <v>20134</v>
      </c>
      <c r="Z2717" t="s">
        <v>25924</v>
      </c>
      <c r="AA2717">
        <v>0.51303769589201487</v>
      </c>
      <c r="AB2717" t="str">
        <f>HYPERLINK("Melting_Curves/meltCurve_P60903_S100A10.pdf", "Melting_Curves/meltCurve_P60903_S100A10.pdf")</f>
        <v>Melting_Curves/meltCurve_P60903_S100A10.pdf</v>
      </c>
    </row>
    <row r="2718" spans="1:28" x14ac:dyDescent="0.25">
      <c r="A2718" t="s">
        <v>2722</v>
      </c>
      <c r="B2718">
        <v>0.99334974765950101</v>
      </c>
      <c r="C2718">
        <v>0.92152723474826104</v>
      </c>
      <c r="D2718">
        <v>0.88418162962438196</v>
      </c>
      <c r="E2718">
        <v>0.74640600848937799</v>
      </c>
      <c r="F2718">
        <v>0.616508649462989</v>
      </c>
      <c r="G2718">
        <v>0.539016149848486</v>
      </c>
      <c r="H2718">
        <v>0.51614129639792805</v>
      </c>
      <c r="I2718">
        <v>0.51712782918384304</v>
      </c>
      <c r="J2718">
        <v>0.21312909390506199</v>
      </c>
      <c r="K2718">
        <v>8.1332429219917596E-2</v>
      </c>
      <c r="L2718">
        <v>425.686163310138</v>
      </c>
      <c r="M2718">
        <v>7.2807849252231502</v>
      </c>
      <c r="N2718">
        <v>58.467075197136303</v>
      </c>
      <c r="O2718">
        <v>54.540464378222403</v>
      </c>
      <c r="P2718">
        <v>-3.3426861135148603E-2</v>
      </c>
      <c r="Q2718">
        <v>0</v>
      </c>
      <c r="R2718">
        <v>0.91183272612754795</v>
      </c>
      <c r="S2718" t="s">
        <v>8579</v>
      </c>
      <c r="T2718" t="s">
        <v>11720</v>
      </c>
      <c r="U2718" t="s">
        <v>11720</v>
      </c>
      <c r="V2718" t="s">
        <v>11720</v>
      </c>
      <c r="W2718" t="s">
        <v>14392</v>
      </c>
      <c r="X2718">
        <v>14</v>
      </c>
      <c r="Y2718" t="s">
        <v>20135</v>
      </c>
      <c r="Z2718" t="s">
        <v>25925</v>
      </c>
      <c r="AA2718">
        <v>0.6109607250442558</v>
      </c>
      <c r="AB2718" t="str">
        <f>HYPERLINK("Melting_Curves/meltCurve_P60953_CDC42.pdf", "Melting_Curves/meltCurve_P60953_CDC42.pdf")</f>
        <v>Melting_Curves/meltCurve_P60953_CDC42.pdf</v>
      </c>
    </row>
    <row r="2719" spans="1:28" x14ac:dyDescent="0.25">
      <c r="A2719" t="s">
        <v>2723</v>
      </c>
      <c r="B2719">
        <v>0.99334974765950101</v>
      </c>
      <c r="C2719">
        <v>1.0183551344311199</v>
      </c>
      <c r="D2719">
        <v>0.95270095456265702</v>
      </c>
      <c r="E2719">
        <v>0.81718247489685003</v>
      </c>
      <c r="F2719">
        <v>0.61435053890418301</v>
      </c>
      <c r="G2719">
        <v>0.22563618874649399</v>
      </c>
      <c r="H2719">
        <v>9.5714460493424594E-2</v>
      </c>
      <c r="I2719">
        <v>7.9436317341227206E-2</v>
      </c>
      <c r="J2719">
        <v>6.9900580530851103E-2</v>
      </c>
      <c r="K2719">
        <v>5.6757201039332801E-2</v>
      </c>
      <c r="L2719">
        <v>1202.65194143654</v>
      </c>
      <c r="M2719">
        <v>22.443415839953701</v>
      </c>
      <c r="N2719">
        <v>53.8352048565933</v>
      </c>
      <c r="O2719">
        <v>53.165972274819097</v>
      </c>
      <c r="P2719">
        <v>-0.10032887250323599</v>
      </c>
      <c r="Q2719">
        <v>4.9347546334149998E-2</v>
      </c>
      <c r="R2719">
        <v>0.99792982427213905</v>
      </c>
      <c r="S2719" t="s">
        <v>8580</v>
      </c>
      <c r="T2719" t="s">
        <v>11720</v>
      </c>
      <c r="U2719" t="s">
        <v>11720</v>
      </c>
      <c r="V2719" t="s">
        <v>11720</v>
      </c>
      <c r="W2719" t="s">
        <v>14393</v>
      </c>
      <c r="X2719">
        <v>21</v>
      </c>
      <c r="Y2719" t="s">
        <v>20136</v>
      </c>
      <c r="Z2719" t="s">
        <v>25926</v>
      </c>
      <c r="AA2719">
        <v>0.49053738023283888</v>
      </c>
      <c r="AB2719" t="str">
        <f>HYPERLINK("Melting_Curves/meltCurve_P60981_DSTN.pdf", "Melting_Curves/meltCurve_P60981_DSTN.pdf")</f>
        <v>Melting_Curves/meltCurve_P60981_DSTN.pdf</v>
      </c>
    </row>
    <row r="2720" spans="1:28" x14ac:dyDescent="0.25">
      <c r="A2720" t="s">
        <v>2724</v>
      </c>
      <c r="B2720">
        <v>0.99334974765950101</v>
      </c>
      <c r="C2720">
        <v>1.0338632115002899</v>
      </c>
      <c r="D2720">
        <v>0.94859575666303098</v>
      </c>
      <c r="E2720">
        <v>0.88214247818278302</v>
      </c>
      <c r="F2720">
        <v>0.93091897851600802</v>
      </c>
      <c r="G2720">
        <v>0.73715837806306805</v>
      </c>
      <c r="H2720">
        <v>0.69360469193783403</v>
      </c>
      <c r="I2720">
        <v>0.72705677593790696</v>
      </c>
      <c r="J2720">
        <v>0.63725117121369601</v>
      </c>
      <c r="K2720">
        <v>0.41810170046276002</v>
      </c>
      <c r="L2720">
        <v>437.71304364999799</v>
      </c>
      <c r="M2720">
        <v>6.24147461913181</v>
      </c>
      <c r="O2720">
        <v>63.9602171347045</v>
      </c>
      <c r="P2720">
        <v>-2.4464509363809499E-2</v>
      </c>
      <c r="Q2720">
        <v>0</v>
      </c>
      <c r="R2720">
        <v>0.90665622093332399</v>
      </c>
      <c r="S2720" t="s">
        <v>8581</v>
      </c>
      <c r="T2720" t="s">
        <v>11720</v>
      </c>
      <c r="U2720" t="s">
        <v>11720</v>
      </c>
      <c r="V2720" t="s">
        <v>11720</v>
      </c>
      <c r="W2720" t="s">
        <v>14394</v>
      </c>
      <c r="X2720">
        <v>13</v>
      </c>
      <c r="Y2720" t="s">
        <v>20137</v>
      </c>
      <c r="Z2720" t="s">
        <v>25927</v>
      </c>
      <c r="AA2720">
        <v>0.8100840224952528</v>
      </c>
      <c r="AB2720" t="str">
        <f>HYPERLINK("Melting_Curves/meltCurve_P60983_GMFB.pdf", "Melting_Curves/meltCurve_P60983_GMFB.pdf")</f>
        <v>Melting_Curves/meltCurve_P60983_GMFB.pdf</v>
      </c>
    </row>
    <row r="2721" spans="1:28" x14ac:dyDescent="0.25">
      <c r="A2721" t="s">
        <v>2725</v>
      </c>
      <c r="B2721">
        <v>0.99334974765950101</v>
      </c>
      <c r="C2721">
        <v>1.00181813811309</v>
      </c>
      <c r="D2721">
        <v>0.87389677180133096</v>
      </c>
      <c r="E2721">
        <v>0.88948767115066196</v>
      </c>
      <c r="F2721">
        <v>0.63284446932608696</v>
      </c>
      <c r="G2721">
        <v>0.49176474115194402</v>
      </c>
      <c r="H2721">
        <v>0.36037580244241901</v>
      </c>
      <c r="I2721">
        <v>0.32253395276482</v>
      </c>
      <c r="J2721">
        <v>0.19366786664955499</v>
      </c>
      <c r="K2721">
        <v>0.113343876052742</v>
      </c>
      <c r="L2721">
        <v>562.33478840773796</v>
      </c>
      <c r="M2721">
        <v>9.8058627607021798</v>
      </c>
      <c r="N2721">
        <v>57.346793986884897</v>
      </c>
      <c r="O2721">
        <v>55.114419665674397</v>
      </c>
      <c r="P2721">
        <v>-4.4502886467043798E-2</v>
      </c>
      <c r="Q2721">
        <v>0</v>
      </c>
      <c r="R2721">
        <v>0.982213522367678</v>
      </c>
      <c r="S2721" t="s">
        <v>8582</v>
      </c>
      <c r="T2721" t="s">
        <v>11720</v>
      </c>
      <c r="U2721" t="s">
        <v>11720</v>
      </c>
      <c r="V2721" t="s">
        <v>11720</v>
      </c>
      <c r="W2721" t="s">
        <v>14395</v>
      </c>
      <c r="X2721">
        <v>16</v>
      </c>
      <c r="Y2721" t="s">
        <v>20138</v>
      </c>
      <c r="Z2721" t="s">
        <v>25928</v>
      </c>
      <c r="AA2721">
        <v>0.59176768919286904</v>
      </c>
      <c r="AB2721" t="str">
        <f>HYPERLINK("Melting_Curves/meltCurve_P61006_RAB8A.pdf", "Melting_Curves/meltCurve_P61006_RAB8A.pdf")</f>
        <v>Melting_Curves/meltCurve_P61006_RAB8A.pdf</v>
      </c>
    </row>
    <row r="2722" spans="1:28" x14ac:dyDescent="0.25">
      <c r="A2722" t="s">
        <v>2726</v>
      </c>
      <c r="B2722">
        <v>0.99334974765950101</v>
      </c>
      <c r="C2722">
        <v>0.88217389183311201</v>
      </c>
      <c r="D2722">
        <v>0.81044810659684696</v>
      </c>
      <c r="E2722">
        <v>0.44344163090993499</v>
      </c>
      <c r="F2722">
        <v>0.16609044420404301</v>
      </c>
      <c r="G2722">
        <v>0.11186207275507</v>
      </c>
      <c r="H2722">
        <v>8.7449607982241995E-2</v>
      </c>
      <c r="I2722">
        <v>7.1170455394528001E-2</v>
      </c>
      <c r="J2722">
        <v>6.3255738658067898E-2</v>
      </c>
      <c r="K2722">
        <v>5.3370589796928901E-2</v>
      </c>
      <c r="L2722">
        <v>1002.07557255353</v>
      </c>
      <c r="M2722">
        <v>20.523892971184999</v>
      </c>
      <c r="N2722">
        <v>49.117895734262</v>
      </c>
      <c r="O2722">
        <v>48.368396116360799</v>
      </c>
      <c r="P2722">
        <v>-9.9970778742094701E-2</v>
      </c>
      <c r="Q2722">
        <v>5.76282791631973E-2</v>
      </c>
      <c r="R2722">
        <v>0.99398979167971002</v>
      </c>
      <c r="S2722" t="s">
        <v>8583</v>
      </c>
      <c r="T2722" t="s">
        <v>11720</v>
      </c>
      <c r="U2722" t="s">
        <v>11720</v>
      </c>
      <c r="V2722" t="s">
        <v>11720</v>
      </c>
      <c r="W2722" t="s">
        <v>14396</v>
      </c>
      <c r="X2722">
        <v>22</v>
      </c>
      <c r="Y2722" t="s">
        <v>20139</v>
      </c>
      <c r="Z2722" t="s">
        <v>25929</v>
      </c>
      <c r="AA2722">
        <v>0.34737802315134508</v>
      </c>
      <c r="AB2722" t="str">
        <f>HYPERLINK("Melting_Curves/meltCurve_P61011_SRP54.pdf", "Melting_Curves/meltCurve_P61011_SRP54.pdf")</f>
        <v>Melting_Curves/meltCurve_P61011_SRP54.pdf</v>
      </c>
    </row>
    <row r="2723" spans="1:28" x14ac:dyDescent="0.25">
      <c r="A2723" t="s">
        <v>2727</v>
      </c>
      <c r="B2723">
        <v>0.99334974765950101</v>
      </c>
      <c r="C2723">
        <v>0.92439977677660901</v>
      </c>
      <c r="D2723">
        <v>0.87286167683821403</v>
      </c>
      <c r="E2723">
        <v>0.82630977234966696</v>
      </c>
      <c r="F2723">
        <v>0.78060008188734198</v>
      </c>
      <c r="G2723">
        <v>0.576816306802857</v>
      </c>
      <c r="H2723">
        <v>0.45030997403913098</v>
      </c>
      <c r="I2723">
        <v>0.30443762772381699</v>
      </c>
      <c r="J2723">
        <v>0.18714006815999901</v>
      </c>
      <c r="K2723">
        <v>0.14995122221610399</v>
      </c>
      <c r="L2723">
        <v>574.06247783358799</v>
      </c>
      <c r="M2723">
        <v>9.7798773478133398</v>
      </c>
      <c r="N2723">
        <v>58.6983287871643</v>
      </c>
      <c r="O2723">
        <v>56.4019630766958</v>
      </c>
      <c r="P2723">
        <v>-4.3371966091815997E-2</v>
      </c>
      <c r="Q2723">
        <v>0</v>
      </c>
      <c r="R2723">
        <v>0.98617815485840399</v>
      </c>
      <c r="S2723" t="s">
        <v>8584</v>
      </c>
      <c r="T2723" t="s">
        <v>11720</v>
      </c>
      <c r="U2723" t="s">
        <v>11720</v>
      </c>
      <c r="V2723" t="s">
        <v>11720</v>
      </c>
      <c r="W2723" t="s">
        <v>14397</v>
      </c>
      <c r="X2723">
        <v>9</v>
      </c>
      <c r="Y2723" t="s">
        <v>20140</v>
      </c>
      <c r="Z2723" t="s">
        <v>25930</v>
      </c>
      <c r="AA2723">
        <v>0.62802550184862505</v>
      </c>
      <c r="AB2723" t="str">
        <f>HYPERLINK("Melting_Curves/meltCurve_P61018_RAB4B.pdf", "Melting_Curves/meltCurve_P61018_RAB4B.pdf")</f>
        <v>Melting_Curves/meltCurve_P61018_RAB4B.pdf</v>
      </c>
    </row>
    <row r="2724" spans="1:28" x14ac:dyDescent="0.25">
      <c r="A2724" t="s">
        <v>2728</v>
      </c>
      <c r="B2724">
        <v>0.99334974765950101</v>
      </c>
      <c r="C2724">
        <v>0.95137319110512897</v>
      </c>
      <c r="D2724">
        <v>0.91936826697278395</v>
      </c>
      <c r="E2724">
        <v>0.82750552483667905</v>
      </c>
      <c r="F2724">
        <v>0.81474836586305599</v>
      </c>
      <c r="G2724">
        <v>0.72863408281883901</v>
      </c>
      <c r="H2724">
        <v>0.636811912651014</v>
      </c>
      <c r="I2724">
        <v>0.484802588707749</v>
      </c>
      <c r="J2724">
        <v>0.217895128360097</v>
      </c>
      <c r="K2724">
        <v>6.4693785410173801E-2</v>
      </c>
      <c r="L2724">
        <v>732.17901330182895</v>
      </c>
      <c r="M2724">
        <v>11.8685147379651</v>
      </c>
      <c r="N2724">
        <v>61.690871175882997</v>
      </c>
      <c r="O2724">
        <v>60.017694266443101</v>
      </c>
      <c r="P2724">
        <v>-4.9450002907959298E-2</v>
      </c>
      <c r="Q2724">
        <v>0</v>
      </c>
      <c r="R2724">
        <v>0.93049014707848199</v>
      </c>
      <c r="S2724" t="s">
        <v>8585</v>
      </c>
      <c r="T2724" t="s">
        <v>11720</v>
      </c>
      <c r="U2724" t="s">
        <v>11720</v>
      </c>
      <c r="V2724" t="s">
        <v>11720</v>
      </c>
      <c r="W2724" t="s">
        <v>14398</v>
      </c>
      <c r="X2724">
        <v>23</v>
      </c>
      <c r="Y2724" t="s">
        <v>20141</v>
      </c>
      <c r="Z2724" t="s">
        <v>25931</v>
      </c>
      <c r="AA2724">
        <v>0.71356484951355736</v>
      </c>
      <c r="AB2724" t="str">
        <f>HYPERLINK("Melting_Curves/meltCurve_P61019_RAB2A.pdf", "Melting_Curves/meltCurve_P61019_RAB2A.pdf")</f>
        <v>Melting_Curves/meltCurve_P61019_RAB2A.pdf</v>
      </c>
    </row>
    <row r="2725" spans="1:28" x14ac:dyDescent="0.25">
      <c r="A2725" t="s">
        <v>2729</v>
      </c>
      <c r="B2725">
        <v>0.99334974765950101</v>
      </c>
      <c r="C2725">
        <v>0.96893914814105797</v>
      </c>
      <c r="D2725">
        <v>0.93719026796565297</v>
      </c>
      <c r="E2725">
        <v>0.85943896737561698</v>
      </c>
      <c r="F2725">
        <v>0.859311871992673</v>
      </c>
      <c r="G2725">
        <v>0.64829516189414604</v>
      </c>
      <c r="H2725">
        <v>0.54509855556027398</v>
      </c>
      <c r="I2725">
        <v>0.45356593994008099</v>
      </c>
      <c r="J2725">
        <v>0.260813249387916</v>
      </c>
      <c r="K2725">
        <v>0.113485060083613</v>
      </c>
      <c r="L2725">
        <v>653.67014983420802</v>
      </c>
      <c r="M2725">
        <v>10.704073535220999</v>
      </c>
      <c r="N2725">
        <v>61.067419600348998</v>
      </c>
      <c r="O2725">
        <v>59.051782922220703</v>
      </c>
      <c r="P2725">
        <v>-4.5333451214921099E-2</v>
      </c>
      <c r="Q2725">
        <v>0</v>
      </c>
      <c r="R2725">
        <v>0.97501877904446499</v>
      </c>
      <c r="S2725" t="s">
        <v>8586</v>
      </c>
      <c r="T2725" t="s">
        <v>11720</v>
      </c>
      <c r="U2725" t="s">
        <v>11720</v>
      </c>
      <c r="V2725" t="s">
        <v>11720</v>
      </c>
      <c r="W2725" t="s">
        <v>14399</v>
      </c>
      <c r="X2725">
        <v>8</v>
      </c>
      <c r="Y2725" t="s">
        <v>20142</v>
      </c>
      <c r="Z2725" t="s">
        <v>25932</v>
      </c>
      <c r="AA2725">
        <v>0.69289845077209045</v>
      </c>
      <c r="AB2725" t="str">
        <f>HYPERLINK("Melting_Curves/meltCurve_P61020_RAB5B.pdf", "Melting_Curves/meltCurve_P61020_RAB5B.pdf")</f>
        <v>Melting_Curves/meltCurve_P61020_RAB5B.pdf</v>
      </c>
    </row>
    <row r="2726" spans="1:28" x14ac:dyDescent="0.25">
      <c r="A2726" t="s">
        <v>2730</v>
      </c>
      <c r="B2726">
        <v>0.99334974765950101</v>
      </c>
      <c r="C2726">
        <v>0.97636726462603796</v>
      </c>
      <c r="D2726">
        <v>0.93963270252639697</v>
      </c>
      <c r="E2726">
        <v>0.79836309341379597</v>
      </c>
      <c r="F2726">
        <v>0.57865511918185497</v>
      </c>
      <c r="G2726">
        <v>0.43512223788860099</v>
      </c>
      <c r="H2726">
        <v>0.36833745931844503</v>
      </c>
      <c r="I2726">
        <v>0.29586549463758</v>
      </c>
      <c r="J2726">
        <v>0.15203563141127399</v>
      </c>
      <c r="K2726">
        <v>5.8055195287053003E-2</v>
      </c>
      <c r="L2726">
        <v>562.21906270377099</v>
      </c>
      <c r="M2726">
        <v>10.002490737974</v>
      </c>
      <c r="N2726">
        <v>56.207930661302797</v>
      </c>
      <c r="O2726">
        <v>54.0998232245229</v>
      </c>
      <c r="P2726">
        <v>-4.6244842133664497E-2</v>
      </c>
      <c r="Q2726">
        <v>0</v>
      </c>
      <c r="R2726">
        <v>0.98193573207775198</v>
      </c>
      <c r="S2726" t="s">
        <v>8587</v>
      </c>
      <c r="T2726" t="s">
        <v>11720</v>
      </c>
      <c r="U2726" t="s">
        <v>11720</v>
      </c>
      <c r="V2726" t="s">
        <v>11720</v>
      </c>
      <c r="W2726" t="s">
        <v>14400</v>
      </c>
      <c r="X2726">
        <v>17</v>
      </c>
      <c r="Y2726" t="s">
        <v>20143</v>
      </c>
      <c r="Z2726" t="s">
        <v>25933</v>
      </c>
      <c r="AA2726">
        <v>0.56030837320382543</v>
      </c>
      <c r="AB2726" t="str">
        <f>HYPERLINK("Melting_Curves/meltCurve_P61026_RAB10.pdf", "Melting_Curves/meltCurve_P61026_RAB10.pdf")</f>
        <v>Melting_Curves/meltCurve_P61026_RAB10.pdf</v>
      </c>
    </row>
    <row r="2727" spans="1:28" x14ac:dyDescent="0.25">
      <c r="A2727" t="s">
        <v>2731</v>
      </c>
      <c r="B2727">
        <v>0.99334974765950101</v>
      </c>
      <c r="C2727">
        <v>0.97556696612864402</v>
      </c>
      <c r="D2727">
        <v>0.75309604845492095</v>
      </c>
      <c r="E2727">
        <v>0.55370728710948303</v>
      </c>
      <c r="F2727">
        <v>0.20665810912614699</v>
      </c>
      <c r="G2727">
        <v>0.133793131127416</v>
      </c>
      <c r="H2727">
        <v>0.10000370116538899</v>
      </c>
      <c r="I2727">
        <v>9.0309632806844203E-2</v>
      </c>
      <c r="J2727">
        <v>0.10052440922780601</v>
      </c>
      <c r="K2727">
        <v>9.5263333531674696E-2</v>
      </c>
      <c r="L2727">
        <v>948.36639015315495</v>
      </c>
      <c r="M2727">
        <v>19.247439304469601</v>
      </c>
      <c r="N2727">
        <v>49.722455428285002</v>
      </c>
      <c r="O2727">
        <v>48.749734169877001</v>
      </c>
      <c r="P2727">
        <v>-9.0817190662974695E-2</v>
      </c>
      <c r="Q2727">
        <v>7.9951516341574505E-2</v>
      </c>
      <c r="R2727">
        <v>0.988782990992225</v>
      </c>
      <c r="S2727" t="s">
        <v>8588</v>
      </c>
      <c r="T2727" t="s">
        <v>11720</v>
      </c>
      <c r="U2727" t="s">
        <v>11720</v>
      </c>
      <c r="V2727" t="s">
        <v>11720</v>
      </c>
      <c r="W2727" t="s">
        <v>14401</v>
      </c>
      <c r="X2727">
        <v>5</v>
      </c>
      <c r="Y2727" t="s">
        <v>20144</v>
      </c>
      <c r="Z2727" t="s">
        <v>25934</v>
      </c>
      <c r="AA2727">
        <v>0.37820402127451369</v>
      </c>
      <c r="AB2727" t="str">
        <f>HYPERLINK("Melting_Curves/meltCurve_P61077_UBE2D3.pdf", "Melting_Curves/meltCurve_P61077_UBE2D3.pdf")</f>
        <v>Melting_Curves/meltCurve_P61077_UBE2D3.pdf</v>
      </c>
    </row>
    <row r="2728" spans="1:28" x14ac:dyDescent="0.25">
      <c r="A2728" t="s">
        <v>2732</v>
      </c>
      <c r="B2728">
        <v>0.99334974765950101</v>
      </c>
      <c r="C2728">
        <v>0.94280493667433896</v>
      </c>
      <c r="D2728">
        <v>0.87578144213840903</v>
      </c>
      <c r="E2728">
        <v>0.69036354261658095</v>
      </c>
      <c r="F2728">
        <v>0.237054732817574</v>
      </c>
      <c r="G2728">
        <v>0.126416096064845</v>
      </c>
      <c r="H2728">
        <v>8.3423072389145606E-2</v>
      </c>
      <c r="I2728">
        <v>8.1357804303576697E-2</v>
      </c>
      <c r="J2728">
        <v>7.3636898302512493E-2</v>
      </c>
      <c r="K2728">
        <v>6.3639215013256006E-2</v>
      </c>
      <c r="L2728">
        <v>1526.2104104596301</v>
      </c>
      <c r="M2728">
        <v>30.0408793845472</v>
      </c>
      <c r="N2728">
        <v>51.072187369608898</v>
      </c>
      <c r="O2728">
        <v>50.580923785452903</v>
      </c>
      <c r="P2728">
        <v>-0.13766300454720001</v>
      </c>
      <c r="Q2728">
        <v>7.2853238609930704E-2</v>
      </c>
      <c r="R2728">
        <v>0.99012992166895497</v>
      </c>
      <c r="S2728" t="s">
        <v>8589</v>
      </c>
      <c r="T2728" t="s">
        <v>11720</v>
      </c>
      <c r="U2728" t="s">
        <v>11720</v>
      </c>
      <c r="V2728" t="s">
        <v>11720</v>
      </c>
      <c r="W2728" t="s">
        <v>14402</v>
      </c>
      <c r="X2728">
        <v>12</v>
      </c>
      <c r="Y2728" t="s">
        <v>20145</v>
      </c>
      <c r="Z2728" t="s">
        <v>25935</v>
      </c>
      <c r="AA2728">
        <v>0.41255847503640641</v>
      </c>
      <c r="AB2728" t="str">
        <f>HYPERLINK("Melting_Curves/meltCurve_P61081_UBE2M.pdf", "Melting_Curves/meltCurve_P61081_UBE2M.pdf")</f>
        <v>Melting_Curves/meltCurve_P61081_UBE2M.pdf</v>
      </c>
    </row>
    <row r="2729" spans="1:28" x14ac:dyDescent="0.25">
      <c r="A2729" t="s">
        <v>2733</v>
      </c>
      <c r="B2729">
        <v>0.99334974765950101</v>
      </c>
      <c r="C2729">
        <v>0.98156853491301699</v>
      </c>
      <c r="D2729">
        <v>0.88931655512556596</v>
      </c>
      <c r="E2729">
        <v>0.80851485244256605</v>
      </c>
      <c r="F2729">
        <v>0.63406795771190105</v>
      </c>
      <c r="G2729">
        <v>0.31165117995814001</v>
      </c>
      <c r="H2729">
        <v>0.14782990118877301</v>
      </c>
      <c r="I2729">
        <v>9.0913924138295493E-2</v>
      </c>
      <c r="J2729">
        <v>8.1512865950283203E-2</v>
      </c>
      <c r="K2729">
        <v>5.7341998852364601E-2</v>
      </c>
      <c r="L2729">
        <v>883.16963151964001</v>
      </c>
      <c r="M2729">
        <v>16.287237232667099</v>
      </c>
      <c r="N2729">
        <v>54.396072724979803</v>
      </c>
      <c r="O2729">
        <v>53.426974866591102</v>
      </c>
      <c r="P2729">
        <v>-7.4311437934950098E-2</v>
      </c>
      <c r="Q2729">
        <v>2.5016964204303101E-2</v>
      </c>
      <c r="R2729">
        <v>0.99615150236907002</v>
      </c>
      <c r="S2729" t="s">
        <v>8590</v>
      </c>
      <c r="T2729" t="s">
        <v>11720</v>
      </c>
      <c r="U2729" t="s">
        <v>11720</v>
      </c>
      <c r="V2729" t="s">
        <v>11720</v>
      </c>
      <c r="W2729" t="s">
        <v>14403</v>
      </c>
      <c r="X2729">
        <v>16</v>
      </c>
      <c r="Y2729" t="s">
        <v>20146</v>
      </c>
      <c r="Z2729" t="s">
        <v>25936</v>
      </c>
      <c r="AA2729">
        <v>0.50511692152441756</v>
      </c>
      <c r="AB2729" t="str">
        <f>HYPERLINK("Melting_Curves/meltCurve_P61086_UBE2K.pdf", "Melting_Curves/meltCurve_P61086_UBE2K.pdf")</f>
        <v>Melting_Curves/meltCurve_P61086_UBE2K.pdf</v>
      </c>
    </row>
    <row r="2730" spans="1:28" x14ac:dyDescent="0.25">
      <c r="A2730" t="s">
        <v>2734</v>
      </c>
      <c r="B2730">
        <v>0.99334974765950101</v>
      </c>
      <c r="C2730">
        <v>0.991921476739967</v>
      </c>
      <c r="D2730">
        <v>0.88271630166185799</v>
      </c>
      <c r="E2730">
        <v>0.77338492802972203</v>
      </c>
      <c r="F2730">
        <v>0.42311245083724902</v>
      </c>
      <c r="G2730">
        <v>0.17692420340825499</v>
      </c>
      <c r="H2730">
        <v>9.99912708937509E-2</v>
      </c>
      <c r="I2730">
        <v>8.2638668955469105E-2</v>
      </c>
      <c r="J2730">
        <v>6.2399923518214502E-2</v>
      </c>
      <c r="K2730">
        <v>4.7508071082438902E-2</v>
      </c>
      <c r="L2730">
        <v>1124.79109026746</v>
      </c>
      <c r="M2730">
        <v>21.5756913440602</v>
      </c>
      <c r="N2730">
        <v>52.408560009127697</v>
      </c>
      <c r="O2730">
        <v>51.690684261496102</v>
      </c>
      <c r="P2730">
        <v>-9.8744049451889998E-2</v>
      </c>
      <c r="Q2730">
        <v>5.3745380103546098E-2</v>
      </c>
      <c r="R2730">
        <v>0.99533660298995297</v>
      </c>
      <c r="S2730" t="s">
        <v>8591</v>
      </c>
      <c r="T2730" t="s">
        <v>11720</v>
      </c>
      <c r="U2730" t="s">
        <v>11720</v>
      </c>
      <c r="V2730" t="s">
        <v>11720</v>
      </c>
      <c r="W2730" t="s">
        <v>14404</v>
      </c>
      <c r="X2730">
        <v>12</v>
      </c>
      <c r="Y2730" t="s">
        <v>20147</v>
      </c>
      <c r="Z2730" t="s">
        <v>25937</v>
      </c>
      <c r="AA2730">
        <v>0.44783061548402159</v>
      </c>
      <c r="AB2730" t="str">
        <f>HYPERLINK("Melting_Curves/meltCurve_P61088_UBE2N.pdf", "Melting_Curves/meltCurve_P61088_UBE2N.pdf")</f>
        <v>Melting_Curves/meltCurve_P61088_UBE2N.pdf</v>
      </c>
    </row>
    <row r="2731" spans="1:28" x14ac:dyDescent="0.25">
      <c r="A2731" t="s">
        <v>2735</v>
      </c>
      <c r="B2731">
        <v>0.99334974765950101</v>
      </c>
      <c r="C2731">
        <v>0.96221018102674005</v>
      </c>
      <c r="D2731">
        <v>0.91048852884657006</v>
      </c>
      <c r="E2731">
        <v>0.85125308356280505</v>
      </c>
      <c r="F2731">
        <v>0.80047837179173298</v>
      </c>
      <c r="G2731">
        <v>0.66632923840006497</v>
      </c>
      <c r="H2731">
        <v>0.57891866308602402</v>
      </c>
      <c r="I2731">
        <v>0.53685230537012396</v>
      </c>
      <c r="J2731">
        <v>0.39749589980502698</v>
      </c>
      <c r="K2731">
        <v>0.17086055127729299</v>
      </c>
      <c r="L2731">
        <v>500.05951320145499</v>
      </c>
      <c r="M2731">
        <v>8.0070454851189101</v>
      </c>
      <c r="N2731">
        <v>62.4524363404892</v>
      </c>
      <c r="O2731">
        <v>58.918153532987297</v>
      </c>
      <c r="P2731">
        <v>-3.40135956919006E-2</v>
      </c>
      <c r="Q2731">
        <v>0</v>
      </c>
      <c r="R2731">
        <v>0.957262026082349</v>
      </c>
      <c r="S2731" t="s">
        <v>8592</v>
      </c>
      <c r="T2731" t="s">
        <v>11720</v>
      </c>
      <c r="U2731" t="s">
        <v>11720</v>
      </c>
      <c r="V2731" t="s">
        <v>11720</v>
      </c>
      <c r="W2731" t="s">
        <v>14405</v>
      </c>
      <c r="X2731">
        <v>19</v>
      </c>
      <c r="Y2731" t="s">
        <v>20148</v>
      </c>
      <c r="Z2731" t="s">
        <v>25938</v>
      </c>
      <c r="AA2731">
        <v>0.70637853443973309</v>
      </c>
      <c r="AB2731" t="str">
        <f>HYPERLINK("Melting_Curves/meltCurve_P61106_RAB14.pdf", "Melting_Curves/meltCurve_P61106_RAB14.pdf")</f>
        <v>Melting_Curves/meltCurve_P61106_RAB14.pdf</v>
      </c>
    </row>
    <row r="2732" spans="1:28" x14ac:dyDescent="0.25">
      <c r="A2732" t="s">
        <v>2736</v>
      </c>
      <c r="B2732">
        <v>0.99334974765950101</v>
      </c>
      <c r="C2732">
        <v>1.0693096447819099</v>
      </c>
      <c r="D2732">
        <v>1.29973476231102</v>
      </c>
      <c r="E2732">
        <v>1.5041252496956199</v>
      </c>
      <c r="F2732">
        <v>1.4433539890150899</v>
      </c>
      <c r="G2732">
        <v>1.66760692650132</v>
      </c>
      <c r="H2732">
        <v>1.09057329910842</v>
      </c>
      <c r="I2732">
        <v>0.64420622330842103</v>
      </c>
      <c r="J2732">
        <v>0.238212115563117</v>
      </c>
      <c r="K2732">
        <v>0.18661306145246301</v>
      </c>
      <c r="L2732">
        <v>14012.335725020301</v>
      </c>
      <c r="M2732">
        <v>218.749013943569</v>
      </c>
      <c r="N2732">
        <v>64.219042548838601</v>
      </c>
      <c r="O2732">
        <v>64.051306293099799</v>
      </c>
      <c r="P2732">
        <v>-0.672470164628029</v>
      </c>
      <c r="Q2732">
        <v>0.21238307965013201</v>
      </c>
      <c r="R2732">
        <v>0.57706720905331099</v>
      </c>
      <c r="S2732" t="s">
        <v>8593</v>
      </c>
      <c r="T2732" t="s">
        <v>11720</v>
      </c>
      <c r="U2732" t="s">
        <v>11720</v>
      </c>
      <c r="V2732" t="s">
        <v>11720</v>
      </c>
      <c r="W2732" t="s">
        <v>14406</v>
      </c>
      <c r="X2732">
        <v>27</v>
      </c>
      <c r="Y2732" t="s">
        <v>20149</v>
      </c>
      <c r="Z2732" t="s">
        <v>25939</v>
      </c>
      <c r="AA2732">
        <v>0.84408035985577157</v>
      </c>
      <c r="AB2732" t="str">
        <f>HYPERLINK("Melting_Curves/meltCurve_P61158_ACTR3.pdf", "Melting_Curves/meltCurve_P61158_ACTR3.pdf")</f>
        <v>Melting_Curves/meltCurve_P61158_ACTR3.pdf</v>
      </c>
    </row>
    <row r="2733" spans="1:28" x14ac:dyDescent="0.25">
      <c r="A2733" t="s">
        <v>2737</v>
      </c>
      <c r="B2733">
        <v>0.99334974765950101</v>
      </c>
      <c r="C2733">
        <v>1.04664824365223</v>
      </c>
      <c r="D2733">
        <v>1.28797981673254</v>
      </c>
      <c r="E2733">
        <v>1.4428753909726699</v>
      </c>
      <c r="F2733">
        <v>1.56252081350497</v>
      </c>
      <c r="G2733">
        <v>1.7850459825685601</v>
      </c>
      <c r="H2733">
        <v>1.2331383962676601</v>
      </c>
      <c r="I2733">
        <v>0.71055563850589398</v>
      </c>
      <c r="J2733">
        <v>0.2049218339511</v>
      </c>
      <c r="K2733">
        <v>0.15903244685319201</v>
      </c>
      <c r="L2733">
        <v>15000</v>
      </c>
      <c r="M2733">
        <v>233.772672629769</v>
      </c>
      <c r="N2733">
        <v>64.289313038191096</v>
      </c>
      <c r="O2733">
        <v>64.160203494938202</v>
      </c>
      <c r="P2733">
        <v>-0.74515292126101995</v>
      </c>
      <c r="Q2733">
        <v>0.18195463330045</v>
      </c>
      <c r="R2733">
        <v>0.52515971025119201</v>
      </c>
      <c r="S2733" t="s">
        <v>8594</v>
      </c>
      <c r="T2733" t="s">
        <v>11720</v>
      </c>
      <c r="U2733" t="s">
        <v>11720</v>
      </c>
      <c r="V2733" t="s">
        <v>11720</v>
      </c>
      <c r="W2733" t="s">
        <v>14407</v>
      </c>
      <c r="X2733">
        <v>24</v>
      </c>
      <c r="Y2733" t="s">
        <v>20150</v>
      </c>
      <c r="Z2733" t="s">
        <v>25940</v>
      </c>
      <c r="AA2733">
        <v>0.84099278527428045</v>
      </c>
      <c r="AB2733" t="str">
        <f>HYPERLINK("Melting_Curves/meltCurve_P61160_ACTR2.pdf", "Melting_Curves/meltCurve_P61160_ACTR2.pdf")</f>
        <v>Melting_Curves/meltCurve_P61160_ACTR2.pdf</v>
      </c>
    </row>
    <row r="2734" spans="1:28" x14ac:dyDescent="0.25">
      <c r="A2734" t="s">
        <v>2738</v>
      </c>
      <c r="B2734">
        <v>0.99334974765950101</v>
      </c>
      <c r="C2734">
        <v>1.07957871929711</v>
      </c>
      <c r="D2734">
        <v>1.0374837710331499</v>
      </c>
      <c r="E2734">
        <v>1.18145426668123</v>
      </c>
      <c r="F2734">
        <v>1.6664216500598501</v>
      </c>
      <c r="G2734">
        <v>1.9165475019442899</v>
      </c>
      <c r="H2734">
        <v>1.10971086790339</v>
      </c>
      <c r="I2734">
        <v>0.58453093913633003</v>
      </c>
      <c r="J2734">
        <v>0.26706313978589402</v>
      </c>
      <c r="K2734">
        <v>0.20452072775545399</v>
      </c>
      <c r="L2734">
        <v>15000</v>
      </c>
      <c r="M2734">
        <v>234.55001049015101</v>
      </c>
      <c r="N2734">
        <v>64.1266321397475</v>
      </c>
      <c r="O2734">
        <v>63.947571790511503</v>
      </c>
      <c r="P2734">
        <v>-0.70075950608065196</v>
      </c>
      <c r="Q2734">
        <v>0.23578112396547499</v>
      </c>
      <c r="R2734">
        <v>0.50029827170114605</v>
      </c>
      <c r="S2734" t="s">
        <v>8595</v>
      </c>
      <c r="T2734" t="s">
        <v>11720</v>
      </c>
      <c r="U2734" t="s">
        <v>11720</v>
      </c>
      <c r="V2734" t="s">
        <v>11720</v>
      </c>
      <c r="W2734" t="s">
        <v>14408</v>
      </c>
      <c r="X2734">
        <v>13</v>
      </c>
      <c r="Y2734" t="s">
        <v>20151</v>
      </c>
      <c r="Z2734" t="s">
        <v>25941</v>
      </c>
      <c r="AA2734">
        <v>0.84603719153380885</v>
      </c>
      <c r="AB2734" t="str">
        <f>HYPERLINK("Melting_Curves/meltCurve_P61163_ACTR1A.pdf", "Melting_Curves/meltCurve_P61163_ACTR1A.pdf")</f>
        <v>Melting_Curves/meltCurve_P61163_ACTR1A.pdf</v>
      </c>
    </row>
    <row r="2735" spans="1:28" x14ac:dyDescent="0.25">
      <c r="A2735" t="s">
        <v>2739</v>
      </c>
      <c r="B2735">
        <v>0.99334974765950101</v>
      </c>
      <c r="C2735">
        <v>1.07938018310565</v>
      </c>
      <c r="D2735">
        <v>1.2075816197901501</v>
      </c>
      <c r="E2735">
        <v>1.4529309155623</v>
      </c>
      <c r="F2735">
        <v>1.43976133776528</v>
      </c>
      <c r="G2735">
        <v>0.76326884578961895</v>
      </c>
      <c r="H2735">
        <v>0.335293539340623</v>
      </c>
      <c r="I2735">
        <v>0.31253354190406601</v>
      </c>
      <c r="J2735">
        <v>0.33881616091622302</v>
      </c>
      <c r="K2735">
        <v>0.266060386508572</v>
      </c>
      <c r="L2735">
        <v>10649.152461661601</v>
      </c>
      <c r="M2735">
        <v>186.184693193237</v>
      </c>
      <c r="N2735">
        <v>57.500744550943899</v>
      </c>
      <c r="O2735">
        <v>57.190114305683501</v>
      </c>
      <c r="P2735">
        <v>-0.55899718722382896</v>
      </c>
      <c r="Q2735">
        <v>0.31317419642852601</v>
      </c>
      <c r="R2735">
        <v>0.78157243991673697</v>
      </c>
      <c r="S2735" t="s">
        <v>8596</v>
      </c>
      <c r="T2735" t="s">
        <v>11720</v>
      </c>
      <c r="U2735" t="s">
        <v>11720</v>
      </c>
      <c r="V2735" t="s">
        <v>11720</v>
      </c>
      <c r="W2735" t="s">
        <v>14409</v>
      </c>
      <c r="X2735">
        <v>13</v>
      </c>
      <c r="Y2735" t="s">
        <v>20152</v>
      </c>
      <c r="Z2735" t="s">
        <v>25942</v>
      </c>
      <c r="AA2735">
        <v>0.70700339610192653</v>
      </c>
      <c r="AB2735" t="str">
        <f>HYPERLINK("Melting_Curves/meltCurve_P61201_COPS2.pdf", "Melting_Curves/meltCurve_P61201_COPS2.pdf")</f>
        <v>Melting_Curves/meltCurve_P61201_COPS2.pdf</v>
      </c>
    </row>
    <row r="2736" spans="1:28" x14ac:dyDescent="0.25">
      <c r="A2736" t="s">
        <v>2740</v>
      </c>
      <c r="B2736">
        <v>0.99334974765950101</v>
      </c>
      <c r="C2736">
        <v>0.97334349075686599</v>
      </c>
      <c r="D2736">
        <v>0.99856212206196304</v>
      </c>
      <c r="E2736">
        <v>1.1339958492437301</v>
      </c>
      <c r="F2736">
        <v>0.87893074868743903</v>
      </c>
      <c r="G2736">
        <v>0.87642427851951499</v>
      </c>
      <c r="H2736">
        <v>0.74898144653576304</v>
      </c>
      <c r="I2736">
        <v>0.91490958736753303</v>
      </c>
      <c r="J2736">
        <v>0.71319855527644704</v>
      </c>
      <c r="K2736">
        <v>0.62174036102249097</v>
      </c>
      <c r="L2736">
        <v>527.39613199744201</v>
      </c>
      <c r="M2736">
        <v>6.9328476597958399</v>
      </c>
      <c r="Q2736">
        <v>0</v>
      </c>
      <c r="R2736">
        <v>0.72007758719882398</v>
      </c>
      <c r="S2736" t="s">
        <v>8597</v>
      </c>
      <c r="T2736" t="s">
        <v>11720</v>
      </c>
      <c r="U2736" t="s">
        <v>11720</v>
      </c>
      <c r="V2736" t="s">
        <v>11720</v>
      </c>
      <c r="W2736" t="s">
        <v>14410</v>
      </c>
      <c r="X2736">
        <v>2</v>
      </c>
      <c r="Y2736" t="s">
        <v>20153</v>
      </c>
      <c r="Z2736" t="s">
        <v>25943</v>
      </c>
      <c r="AA2736">
        <v>0.89367265131930018</v>
      </c>
      <c r="AB2736" t="str">
        <f>HYPERLINK("Melting_Curves/meltCurve_P61218_POLR2F.pdf", "Melting_Curves/meltCurve_P61218_POLR2F.pdf")</f>
        <v>Melting_Curves/meltCurve_P61218_POLR2F.pdf</v>
      </c>
    </row>
    <row r="2737" spans="1:28" x14ac:dyDescent="0.25">
      <c r="A2737" t="s">
        <v>2741</v>
      </c>
      <c r="B2737">
        <v>0.99334974765950101</v>
      </c>
      <c r="C2737">
        <v>1.01628396938954</v>
      </c>
      <c r="D2737">
        <v>0.96174945465606299</v>
      </c>
      <c r="E2737">
        <v>0.90236509950822696</v>
      </c>
      <c r="F2737">
        <v>0.89323757397404502</v>
      </c>
      <c r="G2737">
        <v>0.89680028082240204</v>
      </c>
      <c r="H2737">
        <v>0.70706699621286295</v>
      </c>
      <c r="I2737">
        <v>0.35683373580828198</v>
      </c>
      <c r="J2737">
        <v>0.12743639909357601</v>
      </c>
      <c r="K2737">
        <v>0.101245020440491</v>
      </c>
      <c r="L2737">
        <v>1652.7412478046599</v>
      </c>
      <c r="M2737">
        <v>26.413680213091901</v>
      </c>
      <c r="N2737">
        <v>62.649861255826302</v>
      </c>
      <c r="O2737">
        <v>62.216061416596602</v>
      </c>
      <c r="P2737">
        <v>-0.104411133166658</v>
      </c>
      <c r="Q2737">
        <v>1.62704465583377E-2</v>
      </c>
      <c r="R2737">
        <v>0.978315178612016</v>
      </c>
      <c r="S2737" t="s">
        <v>8598</v>
      </c>
      <c r="T2737" t="s">
        <v>11720</v>
      </c>
      <c r="U2737" t="s">
        <v>11720</v>
      </c>
      <c r="V2737" t="s">
        <v>11720</v>
      </c>
      <c r="W2737" t="s">
        <v>14411</v>
      </c>
      <c r="X2737">
        <v>33</v>
      </c>
      <c r="Y2737" t="s">
        <v>20154</v>
      </c>
      <c r="Z2737" t="s">
        <v>25944</v>
      </c>
      <c r="AA2737">
        <v>0.75999477623186118</v>
      </c>
      <c r="AB2737" t="str">
        <f>HYPERLINK("Melting_Curves/meltCurve_P61221_ABCE1.pdf", "Melting_Curves/meltCurve_P61221_ABCE1.pdf")</f>
        <v>Melting_Curves/meltCurve_P61221_ABCE1.pdf</v>
      </c>
    </row>
    <row r="2738" spans="1:28" x14ac:dyDescent="0.25">
      <c r="A2738" t="s">
        <v>2742</v>
      </c>
      <c r="B2738">
        <v>0.99334974765950101</v>
      </c>
      <c r="C2738">
        <v>0.88430479645833504</v>
      </c>
      <c r="D2738">
        <v>0.83973271421873197</v>
      </c>
      <c r="E2738">
        <v>0.75524781461329005</v>
      </c>
      <c r="F2738">
        <v>0.83435057448037397</v>
      </c>
      <c r="G2738">
        <v>0.43859619672491001</v>
      </c>
      <c r="H2738">
        <v>0.42440164941247699</v>
      </c>
      <c r="I2738">
        <v>0.318255220774248</v>
      </c>
      <c r="J2738">
        <v>0.28538484782029</v>
      </c>
      <c r="K2738">
        <v>0.107629530284802</v>
      </c>
      <c r="L2738">
        <v>485.29832044825798</v>
      </c>
      <c r="M2738">
        <v>8.3853055864280392</v>
      </c>
      <c r="N2738">
        <v>57.874853301988701</v>
      </c>
      <c r="O2738">
        <v>54.864061106803398</v>
      </c>
      <c r="P2738">
        <v>-3.8245687433267901E-2</v>
      </c>
      <c r="Q2738">
        <v>0</v>
      </c>
      <c r="R2738">
        <v>0.941141287116805</v>
      </c>
      <c r="S2738" t="s">
        <v>8599</v>
      </c>
      <c r="T2738" t="s">
        <v>11720</v>
      </c>
      <c r="U2738" t="s">
        <v>11720</v>
      </c>
      <c r="V2738" t="s">
        <v>11720</v>
      </c>
      <c r="W2738" t="s">
        <v>14412</v>
      </c>
      <c r="X2738">
        <v>16</v>
      </c>
      <c r="Y2738" t="s">
        <v>20155</v>
      </c>
      <c r="Z2738" t="s">
        <v>25945</v>
      </c>
      <c r="AA2738">
        <v>0.60202269151222343</v>
      </c>
      <c r="AB2738" t="str">
        <f>HYPERLINK("Melting_Curves/meltCurve_P61224_RAP1B.pdf", "Melting_Curves/meltCurve_P61224_RAP1B.pdf")</f>
        <v>Melting_Curves/meltCurve_P61224_RAP1B.pdf</v>
      </c>
    </row>
    <row r="2739" spans="1:28" x14ac:dyDescent="0.25">
      <c r="A2739" t="s">
        <v>2743</v>
      </c>
      <c r="B2739">
        <v>0.99334974765950101</v>
      </c>
      <c r="C2739">
        <v>0.97109739633529202</v>
      </c>
      <c r="D2739">
        <v>0.86115054332584096</v>
      </c>
      <c r="E2739">
        <v>0.738072367454506</v>
      </c>
      <c r="F2739">
        <v>0.75031075935635805</v>
      </c>
      <c r="G2739">
        <v>0.530279189772213</v>
      </c>
      <c r="H2739">
        <v>0.42583871166739401</v>
      </c>
      <c r="I2739">
        <v>0.330104995606675</v>
      </c>
      <c r="J2739">
        <v>0.167141656365137</v>
      </c>
      <c r="K2739">
        <v>4.7065378372844399E-2</v>
      </c>
      <c r="L2739">
        <v>551.706864445782</v>
      </c>
      <c r="M2739">
        <v>9.5761448999096697</v>
      </c>
      <c r="N2739">
        <v>57.612620869859803</v>
      </c>
      <c r="O2739">
        <v>55.268252287785799</v>
      </c>
      <c r="P2739">
        <v>-4.3341517011686398E-2</v>
      </c>
      <c r="Q2739">
        <v>0</v>
      </c>
      <c r="R2739">
        <v>0.96928793132159397</v>
      </c>
      <c r="S2739" t="s">
        <v>8600</v>
      </c>
      <c r="T2739" t="s">
        <v>11720</v>
      </c>
      <c r="U2739" t="s">
        <v>11720</v>
      </c>
      <c r="V2739" t="s">
        <v>11720</v>
      </c>
      <c r="W2739" t="s">
        <v>14413</v>
      </c>
      <c r="X2739">
        <v>4</v>
      </c>
      <c r="Y2739" t="s">
        <v>20156</v>
      </c>
      <c r="Z2739" t="s">
        <v>25946</v>
      </c>
      <c r="AA2739">
        <v>0.59855772816265929</v>
      </c>
      <c r="AB2739" t="str">
        <f>HYPERLINK("Melting_Curves/meltCurve_P61225_RAP2B.pdf", "Melting_Curves/meltCurve_P61225_RAP2B.pdf")</f>
        <v>Melting_Curves/meltCurve_P61225_RAP2B.pdf</v>
      </c>
    </row>
    <row r="2740" spans="1:28" x14ac:dyDescent="0.25">
      <c r="A2740" t="s">
        <v>2744</v>
      </c>
      <c r="B2740">
        <v>0.99334974765950101</v>
      </c>
      <c r="C2740">
        <v>1.0555570706025099</v>
      </c>
      <c r="D2740">
        <v>0.89405704316007695</v>
      </c>
      <c r="E2740">
        <v>0.79016268793042899</v>
      </c>
      <c r="F2740">
        <v>0.84048770460937205</v>
      </c>
      <c r="G2740">
        <v>0.72038476264185503</v>
      </c>
      <c r="H2740">
        <v>0.59642766169522898</v>
      </c>
      <c r="I2740">
        <v>0.85852154978620498</v>
      </c>
      <c r="J2740">
        <v>0.64382881985581897</v>
      </c>
      <c r="K2740">
        <v>0.84086117841939401</v>
      </c>
      <c r="L2740">
        <v>1139.54361000155</v>
      </c>
      <c r="M2740">
        <v>23.896252395424199</v>
      </c>
      <c r="O2740">
        <v>47.356938915953499</v>
      </c>
      <c r="P2740">
        <v>-3.2587033765054597E-2</v>
      </c>
      <c r="Q2740">
        <v>0.74168382518671105</v>
      </c>
      <c r="R2740">
        <v>0.63518167083376298</v>
      </c>
      <c r="S2740" t="s">
        <v>8601</v>
      </c>
      <c r="T2740" t="s">
        <v>11720</v>
      </c>
      <c r="U2740" t="s">
        <v>11720</v>
      </c>
      <c r="V2740" t="s">
        <v>11720</v>
      </c>
      <c r="W2740" t="s">
        <v>14414</v>
      </c>
      <c r="X2740">
        <v>3</v>
      </c>
      <c r="Y2740" t="s">
        <v>20157</v>
      </c>
      <c r="Z2740" t="s">
        <v>25947</v>
      </c>
      <c r="AA2740">
        <v>0.81039357482247842</v>
      </c>
      <c r="AB2740" t="str">
        <f>HYPERLINK("Melting_Curves/meltCurve_P61244_2_MAX.pdf", "Melting_Curves/meltCurve_P61244_2_MAX.pdf")</f>
        <v>Melting_Curves/meltCurve_P61244_2_MAX.pdf</v>
      </c>
    </row>
    <row r="2741" spans="1:28" x14ac:dyDescent="0.25">
      <c r="A2741" t="s">
        <v>2745</v>
      </c>
      <c r="B2741">
        <v>0.99334974765950101</v>
      </c>
      <c r="C2741">
        <v>1.1674001417780699</v>
      </c>
      <c r="D2741">
        <v>1.1278789467814501</v>
      </c>
      <c r="E2741">
        <v>1.12119176564128</v>
      </c>
      <c r="F2741">
        <v>0.88572923119769997</v>
      </c>
      <c r="G2741">
        <v>0.52720187247114902</v>
      </c>
      <c r="H2741">
        <v>0.32683025427208401</v>
      </c>
      <c r="I2741">
        <v>0.24521788643235101</v>
      </c>
      <c r="J2741">
        <v>0.22552928846614601</v>
      </c>
      <c r="K2741">
        <v>0.181176116413899</v>
      </c>
      <c r="L2741">
        <v>1753.4790515694699</v>
      </c>
      <c r="M2741">
        <v>31.102626665479001</v>
      </c>
      <c r="N2741">
        <v>57.434975062063401</v>
      </c>
      <c r="O2741">
        <v>56.145680916825903</v>
      </c>
      <c r="P2741">
        <v>-0.108295936850446</v>
      </c>
      <c r="Q2741">
        <v>0.21803198668043</v>
      </c>
      <c r="R2741">
        <v>0.95724968687941603</v>
      </c>
      <c r="S2741" t="s">
        <v>8602</v>
      </c>
      <c r="T2741" t="s">
        <v>11720</v>
      </c>
      <c r="U2741" t="s">
        <v>11720</v>
      </c>
      <c r="V2741" t="s">
        <v>11720</v>
      </c>
      <c r="W2741" t="s">
        <v>14415</v>
      </c>
      <c r="X2741">
        <v>13</v>
      </c>
      <c r="Y2741" t="s">
        <v>20158</v>
      </c>
      <c r="Z2741" t="s">
        <v>25948</v>
      </c>
      <c r="AA2741">
        <v>0.64979833902073714</v>
      </c>
      <c r="AB2741" t="str">
        <f>HYPERLINK("Melting_Curves/meltCurve_P61247_RPS3A.pdf", "Melting_Curves/meltCurve_P61247_RPS3A.pdf")</f>
        <v>Melting_Curves/meltCurve_P61247_RPS3A.pdf</v>
      </c>
    </row>
    <row r="2742" spans="1:28" x14ac:dyDescent="0.25">
      <c r="A2742" t="s">
        <v>2746</v>
      </c>
      <c r="B2742">
        <v>0.99334974765950101</v>
      </c>
      <c r="C2742">
        <v>0.89900615768101</v>
      </c>
      <c r="D2742">
        <v>0.89974753133234298</v>
      </c>
      <c r="E2742">
        <v>0.86713010155106995</v>
      </c>
      <c r="F2742">
        <v>0.973618283891442</v>
      </c>
      <c r="G2742">
        <v>0.74250524757573599</v>
      </c>
      <c r="H2742">
        <v>0.68917747165513499</v>
      </c>
      <c r="I2742">
        <v>0.84529616708072297</v>
      </c>
      <c r="J2742">
        <v>0.88895249426215495</v>
      </c>
      <c r="K2742">
        <v>0.74854426448627698</v>
      </c>
      <c r="L2742">
        <v>384.35185861403397</v>
      </c>
      <c r="M2742">
        <v>7.8875863555198702</v>
      </c>
      <c r="O2742">
        <v>45.894819326923198</v>
      </c>
      <c r="P2742">
        <v>-9.9791245395079997E-3</v>
      </c>
      <c r="Q2742">
        <v>0.76801790145849202</v>
      </c>
      <c r="R2742">
        <v>0.42155123788222498</v>
      </c>
      <c r="S2742" t="s">
        <v>8603</v>
      </c>
      <c r="T2742" t="s">
        <v>11720</v>
      </c>
      <c r="U2742" t="s">
        <v>11720</v>
      </c>
      <c r="V2742" t="s">
        <v>11720</v>
      </c>
      <c r="W2742" t="s">
        <v>14416</v>
      </c>
      <c r="X2742">
        <v>20</v>
      </c>
      <c r="Y2742" t="s">
        <v>20159</v>
      </c>
      <c r="Z2742" t="s">
        <v>25949</v>
      </c>
      <c r="AA2742">
        <v>0.85151254770326024</v>
      </c>
      <c r="AB2742" t="str">
        <f>HYPERLINK("Melting_Curves/meltCurve_P61289_PSME3.pdf", "Melting_Curves/meltCurve_P61289_PSME3.pdf")</f>
        <v>Melting_Curves/meltCurve_P61289_PSME3.pdf</v>
      </c>
    </row>
    <row r="2743" spans="1:28" x14ac:dyDescent="0.25">
      <c r="A2743" t="s">
        <v>2747</v>
      </c>
      <c r="B2743">
        <v>0.99334974765950101</v>
      </c>
      <c r="C2743">
        <v>0.97565312631551504</v>
      </c>
      <c r="D2743">
        <v>0.79274873243819499</v>
      </c>
      <c r="E2743">
        <v>0.55839216145158599</v>
      </c>
      <c r="F2743">
        <v>0.27261306566054999</v>
      </c>
      <c r="G2743">
        <v>0.19763014399728401</v>
      </c>
      <c r="H2743">
        <v>0.11565487463353399</v>
      </c>
      <c r="I2743">
        <v>0.122649412509578</v>
      </c>
      <c r="J2743">
        <v>0.110752925930643</v>
      </c>
      <c r="K2743">
        <v>8.5274135160167006E-2</v>
      </c>
      <c r="L2743">
        <v>898.90733656449004</v>
      </c>
      <c r="M2743">
        <v>18.103707389694801</v>
      </c>
      <c r="N2743">
        <v>50.239533729975001</v>
      </c>
      <c r="O2743">
        <v>49.059242020732199</v>
      </c>
      <c r="P2743">
        <v>-8.3473379771332498E-2</v>
      </c>
      <c r="Q2743">
        <v>9.5225097409442294E-2</v>
      </c>
      <c r="R2743">
        <v>0.995193436841876</v>
      </c>
      <c r="S2743" t="s">
        <v>8604</v>
      </c>
      <c r="T2743" t="s">
        <v>11720</v>
      </c>
      <c r="U2743" t="s">
        <v>11720</v>
      </c>
      <c r="V2743" t="s">
        <v>11720</v>
      </c>
      <c r="W2743" t="s">
        <v>14417</v>
      </c>
      <c r="X2743">
        <v>8</v>
      </c>
      <c r="Y2743" t="s">
        <v>20160</v>
      </c>
      <c r="Z2743" t="s">
        <v>25950</v>
      </c>
      <c r="AA2743">
        <v>0.40169023122408171</v>
      </c>
      <c r="AB2743" t="str">
        <f>HYPERLINK("Melting_Curves/meltCurve_P61326_MAGOH.pdf", "Melting_Curves/meltCurve_P61326_MAGOH.pdf")</f>
        <v>Melting_Curves/meltCurve_P61326_MAGOH.pdf</v>
      </c>
    </row>
    <row r="2744" spans="1:28" x14ac:dyDescent="0.25">
      <c r="A2744" t="s">
        <v>2748</v>
      </c>
      <c r="B2744">
        <v>0.99334974765950101</v>
      </c>
      <c r="C2744">
        <v>1.1099630116783701</v>
      </c>
      <c r="D2744">
        <v>0.88546332236088698</v>
      </c>
      <c r="E2744">
        <v>0.858847483038918</v>
      </c>
      <c r="F2744">
        <v>0.65282701028686396</v>
      </c>
      <c r="G2744">
        <v>0.47924947034439402</v>
      </c>
      <c r="H2744">
        <v>0.34937624398711697</v>
      </c>
      <c r="I2744">
        <v>0.38809629299456899</v>
      </c>
      <c r="J2744">
        <v>0.24452469965181001</v>
      </c>
      <c r="K2744">
        <v>0.275891309002948</v>
      </c>
      <c r="L2744">
        <v>843.95926389597105</v>
      </c>
      <c r="M2744">
        <v>15.686486195448699</v>
      </c>
      <c r="N2744">
        <v>56.464170564044402</v>
      </c>
      <c r="O2744">
        <v>52.9500666567507</v>
      </c>
      <c r="P2744">
        <v>-5.4709845603301603E-2</v>
      </c>
      <c r="Q2744">
        <v>0.26136563895007098</v>
      </c>
      <c r="R2744">
        <v>0.968697986832601</v>
      </c>
      <c r="S2744" t="s">
        <v>8605</v>
      </c>
      <c r="T2744" t="s">
        <v>11720</v>
      </c>
      <c r="U2744" t="s">
        <v>11720</v>
      </c>
      <c r="V2744" t="s">
        <v>11720</v>
      </c>
      <c r="W2744" t="s">
        <v>14418</v>
      </c>
      <c r="X2744">
        <v>2</v>
      </c>
      <c r="Y2744" t="s">
        <v>20161</v>
      </c>
      <c r="Z2744" t="s">
        <v>25951</v>
      </c>
      <c r="AA2744">
        <v>0.61562589905216947</v>
      </c>
      <c r="AB2744" t="str">
        <f>HYPERLINK("Melting_Curves/meltCurve_P61353_RPL27.pdf", "Melting_Curves/meltCurve_P61353_RPL27.pdf")</f>
        <v>Melting_Curves/meltCurve_P61353_RPL27.pdf</v>
      </c>
    </row>
    <row r="2745" spans="1:28" x14ac:dyDescent="0.25">
      <c r="A2745" t="s">
        <v>2749</v>
      </c>
      <c r="B2745">
        <v>0.99334974765950101</v>
      </c>
      <c r="C2745">
        <v>0.96652264259420695</v>
      </c>
      <c r="D2745">
        <v>0.93766696263753702</v>
      </c>
      <c r="E2745">
        <v>0.79091425338907495</v>
      </c>
      <c r="F2745">
        <v>0.68704807388776601</v>
      </c>
      <c r="G2745">
        <v>0.585004983853048</v>
      </c>
      <c r="H2745">
        <v>0.50778018935764102</v>
      </c>
      <c r="I2745">
        <v>0.42932975503618598</v>
      </c>
      <c r="J2745">
        <v>0.31698888681681597</v>
      </c>
      <c r="K2745">
        <v>0.170497925524181</v>
      </c>
      <c r="L2745">
        <v>457.643972929482</v>
      </c>
      <c r="M2745">
        <v>7.6489280123780503</v>
      </c>
      <c r="N2745">
        <v>59.831125637923897</v>
      </c>
      <c r="O2745">
        <v>56.152960080603101</v>
      </c>
      <c r="P2745">
        <v>-3.4099503216186398E-2</v>
      </c>
      <c r="Q2745">
        <v>0</v>
      </c>
      <c r="R2745">
        <v>0.98034936504840997</v>
      </c>
      <c r="S2745" t="s">
        <v>8606</v>
      </c>
      <c r="T2745" t="s">
        <v>11720</v>
      </c>
      <c r="U2745" t="s">
        <v>11720</v>
      </c>
      <c r="V2745" t="s">
        <v>11720</v>
      </c>
      <c r="W2745" t="s">
        <v>14419</v>
      </c>
      <c r="X2745">
        <v>14</v>
      </c>
      <c r="Y2745" t="s">
        <v>20162</v>
      </c>
      <c r="Z2745" t="s">
        <v>25952</v>
      </c>
      <c r="AA2745">
        <v>0.64504432538442136</v>
      </c>
      <c r="AB2745" t="str">
        <f>HYPERLINK("Melting_Curves/meltCurve_P61586_RHOA.pdf", "Melting_Curves/meltCurve_P61586_RHOA.pdf")</f>
        <v>Melting_Curves/meltCurve_P61586_RHOA.pdf</v>
      </c>
    </row>
    <row r="2746" spans="1:28" x14ac:dyDescent="0.25">
      <c r="A2746" t="s">
        <v>2750</v>
      </c>
      <c r="B2746">
        <v>0.99334974765950101</v>
      </c>
      <c r="C2746">
        <v>0.98221709048987205</v>
      </c>
      <c r="D2746">
        <v>0.82580169657516</v>
      </c>
      <c r="E2746">
        <v>0.75344817559335597</v>
      </c>
      <c r="F2746">
        <v>0.61192020274602299</v>
      </c>
      <c r="G2746">
        <v>0.46090057869593098</v>
      </c>
      <c r="H2746">
        <v>0.31866721734950698</v>
      </c>
      <c r="I2746">
        <v>0.187659491231638</v>
      </c>
      <c r="J2746">
        <v>9.3569957266428194E-2</v>
      </c>
      <c r="K2746">
        <v>6.86016761424149E-2</v>
      </c>
      <c r="L2746">
        <v>575.45366895226005</v>
      </c>
      <c r="M2746">
        <v>10.389164913211999</v>
      </c>
      <c r="N2746">
        <v>55.389790586595701</v>
      </c>
      <c r="O2746">
        <v>53.455499825847298</v>
      </c>
      <c r="P2746">
        <v>-4.8608351518057799E-2</v>
      </c>
      <c r="Q2746">
        <v>0</v>
      </c>
      <c r="R2746">
        <v>0.98953289469194605</v>
      </c>
      <c r="S2746" t="s">
        <v>8607</v>
      </c>
      <c r="T2746" t="s">
        <v>11720</v>
      </c>
      <c r="U2746" t="s">
        <v>11720</v>
      </c>
      <c r="V2746" t="s">
        <v>11720</v>
      </c>
      <c r="W2746" t="s">
        <v>14420</v>
      </c>
      <c r="X2746">
        <v>12</v>
      </c>
      <c r="Y2746" t="s">
        <v>20163</v>
      </c>
      <c r="Z2746" t="s">
        <v>25953</v>
      </c>
      <c r="AA2746">
        <v>0.53679998815890173</v>
      </c>
      <c r="AB2746" t="str">
        <f>HYPERLINK("Melting_Curves/meltCurve_P61587_RND3.pdf", "Melting_Curves/meltCurve_P61587_RND3.pdf")</f>
        <v>Melting_Curves/meltCurve_P61587_RND3.pdf</v>
      </c>
    </row>
    <row r="2747" spans="1:28" x14ac:dyDescent="0.25">
      <c r="A2747" t="s">
        <v>2751</v>
      </c>
      <c r="B2747">
        <v>0.99334974765950101</v>
      </c>
      <c r="C2747">
        <v>1.0494335769346299</v>
      </c>
      <c r="D2747">
        <v>0.98986495699796095</v>
      </c>
      <c r="E2747">
        <v>0.98933382187198404</v>
      </c>
      <c r="F2747">
        <v>0.31073656337342098</v>
      </c>
      <c r="G2747">
        <v>0.269744533491595</v>
      </c>
      <c r="H2747">
        <v>0.143739383181818</v>
      </c>
      <c r="I2747">
        <v>0.10970035902731801</v>
      </c>
      <c r="J2747">
        <v>7.6838375583562199E-2</v>
      </c>
      <c r="K2747">
        <v>4.4761240135185898E-2</v>
      </c>
      <c r="L2747">
        <v>4710.6999576113303</v>
      </c>
      <c r="M2747">
        <v>90.206020235961006</v>
      </c>
      <c r="N2747">
        <v>52.394456014162003</v>
      </c>
      <c r="O2747">
        <v>52.195919787801003</v>
      </c>
      <c r="P2747">
        <v>-0.37644187188559702</v>
      </c>
      <c r="Q2747">
        <v>0.12871765713592201</v>
      </c>
      <c r="R2747">
        <v>0.98161713842912801</v>
      </c>
      <c r="S2747" t="s">
        <v>8608</v>
      </c>
      <c r="T2747" t="s">
        <v>11720</v>
      </c>
      <c r="U2747" t="s">
        <v>11720</v>
      </c>
      <c r="V2747" t="s">
        <v>11720</v>
      </c>
      <c r="W2747" t="s">
        <v>14421</v>
      </c>
      <c r="X2747">
        <v>3</v>
      </c>
      <c r="Y2747" t="s">
        <v>20164</v>
      </c>
      <c r="Z2747" t="s">
        <v>25954</v>
      </c>
      <c r="AA2747">
        <v>0.48427981674049669</v>
      </c>
      <c r="AB2747" t="str">
        <f>HYPERLINK("Melting_Curves/meltCurve_P61599_NAA20.pdf", "Melting_Curves/meltCurve_P61599_NAA20.pdf")</f>
        <v>Melting_Curves/meltCurve_P61599_NAA20.pdf</v>
      </c>
    </row>
    <row r="2748" spans="1:28" x14ac:dyDescent="0.25">
      <c r="A2748" t="s">
        <v>2752</v>
      </c>
      <c r="B2748">
        <v>0.99334974765950101</v>
      </c>
      <c r="C2748">
        <v>0.99268004029637402</v>
      </c>
      <c r="D2748">
        <v>0.96397384368737205</v>
      </c>
      <c r="E2748">
        <v>0.77089187950354499</v>
      </c>
      <c r="F2748">
        <v>0.86103938182454898</v>
      </c>
      <c r="G2748">
        <v>0.40896818057352902</v>
      </c>
      <c r="H2748">
        <v>0.25096578073041997</v>
      </c>
      <c r="I2748">
        <v>0.20688434615221299</v>
      </c>
      <c r="J2748">
        <v>0.15176230278893099</v>
      </c>
      <c r="K2748">
        <v>9.1288702313892495E-2</v>
      </c>
      <c r="L2748">
        <v>911.83367470136602</v>
      </c>
      <c r="M2748">
        <v>16.3025772580541</v>
      </c>
      <c r="N2748">
        <v>56.499492713304903</v>
      </c>
      <c r="O2748">
        <v>55.110602437988902</v>
      </c>
      <c r="P2748">
        <v>-6.8372604345397797E-2</v>
      </c>
      <c r="Q2748">
        <v>7.5537402975747903E-2</v>
      </c>
      <c r="R2748">
        <v>0.97382064320723305</v>
      </c>
      <c r="S2748" t="s">
        <v>8609</v>
      </c>
      <c r="T2748" t="s">
        <v>11720</v>
      </c>
      <c r="U2748" t="s">
        <v>11720</v>
      </c>
      <c r="V2748" t="s">
        <v>11720</v>
      </c>
      <c r="W2748" t="s">
        <v>14422</v>
      </c>
      <c r="X2748">
        <v>11</v>
      </c>
      <c r="Y2748" t="s">
        <v>20165</v>
      </c>
      <c r="Z2748" t="s">
        <v>25955</v>
      </c>
      <c r="AA2748">
        <v>0.58174668162178</v>
      </c>
      <c r="AB2748" t="str">
        <f>HYPERLINK("Melting_Curves/meltCurve_P61601_NCALD.pdf", "Melting_Curves/meltCurve_P61601_NCALD.pdf")</f>
        <v>Melting_Curves/meltCurve_P61601_NCALD.pdf</v>
      </c>
    </row>
    <row r="2749" spans="1:28" x14ac:dyDescent="0.25">
      <c r="A2749" t="s">
        <v>2753</v>
      </c>
      <c r="B2749">
        <v>0.99334974765950101</v>
      </c>
      <c r="C2749">
        <v>1.0299109751697599</v>
      </c>
      <c r="D2749">
        <v>0.96866577465914205</v>
      </c>
      <c r="E2749">
        <v>0.895311876550827</v>
      </c>
      <c r="F2749">
        <v>0.74691523002900595</v>
      </c>
      <c r="G2749">
        <v>0.77895323769129399</v>
      </c>
      <c r="H2749">
        <v>0.67215872915419606</v>
      </c>
      <c r="I2749">
        <v>0.92320965717358805</v>
      </c>
      <c r="J2749">
        <v>0.86605657762204602</v>
      </c>
      <c r="K2749">
        <v>0.823075420756891</v>
      </c>
      <c r="L2749">
        <v>12494.393412556299</v>
      </c>
      <c r="M2749">
        <v>250</v>
      </c>
      <c r="O2749">
        <v>49.974383210334402</v>
      </c>
      <c r="P2749">
        <v>-0.24796690814169201</v>
      </c>
      <c r="Q2749">
        <v>0.80172813842176405</v>
      </c>
      <c r="R2749">
        <v>0.64994205638409197</v>
      </c>
      <c r="S2749" t="s">
        <v>8610</v>
      </c>
      <c r="T2749" t="s">
        <v>11720</v>
      </c>
      <c r="U2749" t="s">
        <v>11720</v>
      </c>
      <c r="V2749" t="s">
        <v>11720</v>
      </c>
      <c r="W2749" t="s">
        <v>14423</v>
      </c>
      <c r="X2749">
        <v>17</v>
      </c>
      <c r="Y2749" t="s">
        <v>20166</v>
      </c>
      <c r="Z2749" t="s">
        <v>25956</v>
      </c>
      <c r="AA2749">
        <v>0.8676879322085661</v>
      </c>
      <c r="AB2749" t="str">
        <f>HYPERLINK("Melting_Curves/meltCurve_P61604_HSPE1.pdf", "Melting_Curves/meltCurve_P61604_HSPE1.pdf")</f>
        <v>Melting_Curves/meltCurve_P61604_HSPE1.pdf</v>
      </c>
    </row>
    <row r="2750" spans="1:28" x14ac:dyDescent="0.25">
      <c r="A2750" t="s">
        <v>2754</v>
      </c>
      <c r="B2750">
        <v>0.99334974765950101</v>
      </c>
      <c r="C2750">
        <v>0.982825068557175</v>
      </c>
      <c r="D2750">
        <v>1.11952801631818</v>
      </c>
      <c r="E2750">
        <v>0.92677881638140103</v>
      </c>
      <c r="F2750">
        <v>0.89936669443111095</v>
      </c>
      <c r="G2750">
        <v>0.81810619121855699</v>
      </c>
      <c r="H2750">
        <v>0.63661456137691697</v>
      </c>
      <c r="I2750">
        <v>0.33820552268703202</v>
      </c>
      <c r="J2750">
        <v>0.21254241053774001</v>
      </c>
      <c r="K2750">
        <v>0.182731840856353</v>
      </c>
      <c r="L2750">
        <v>1058.52650523035</v>
      </c>
      <c r="M2750">
        <v>17.109925974917299</v>
      </c>
      <c r="N2750">
        <v>62.132299914855601</v>
      </c>
      <c r="O2750">
        <v>61.039669693736997</v>
      </c>
      <c r="P2750">
        <v>-6.7605611412632799E-2</v>
      </c>
      <c r="Q2750">
        <v>3.5325909643794097E-2</v>
      </c>
      <c r="R2750">
        <v>0.97393038927936104</v>
      </c>
      <c r="S2750" t="s">
        <v>8611</v>
      </c>
      <c r="T2750" t="s">
        <v>11720</v>
      </c>
      <c r="U2750" t="s">
        <v>11720</v>
      </c>
      <c r="V2750" t="s">
        <v>11720</v>
      </c>
      <c r="W2750" t="s">
        <v>14424</v>
      </c>
      <c r="X2750">
        <v>20</v>
      </c>
      <c r="Y2750" t="s">
        <v>20167</v>
      </c>
      <c r="Z2750" t="s">
        <v>25957</v>
      </c>
      <c r="AA2750">
        <v>0.73954647710224253</v>
      </c>
      <c r="AB2750" t="str">
        <f>HYPERLINK("Melting_Curves/meltCurve_P61758_VBP1.pdf", "Melting_Curves/meltCurve_P61758_VBP1.pdf")</f>
        <v>Melting_Curves/meltCurve_P61758_VBP1.pdf</v>
      </c>
    </row>
    <row r="2751" spans="1:28" x14ac:dyDescent="0.25">
      <c r="A2751" t="s">
        <v>2755</v>
      </c>
      <c r="B2751">
        <v>0.99334974765950101</v>
      </c>
      <c r="C2751">
        <v>0.972363907686983</v>
      </c>
      <c r="D2751">
        <v>0.96229393103507999</v>
      </c>
      <c r="E2751">
        <v>0.52962403736013297</v>
      </c>
      <c r="F2751">
        <v>0.17860821600398599</v>
      </c>
      <c r="G2751">
        <v>0.11494777236051699</v>
      </c>
      <c r="H2751">
        <v>9.3239550224171006E-2</v>
      </c>
      <c r="I2751">
        <v>7.7367465379058406E-2</v>
      </c>
      <c r="J2751">
        <v>8.2577995061652504E-2</v>
      </c>
      <c r="K2751">
        <v>5.5692895780968803E-2</v>
      </c>
      <c r="L2751">
        <v>1781.65099730163</v>
      </c>
      <c r="M2751">
        <v>35.684268638116002</v>
      </c>
      <c r="N2751">
        <v>50.1775021878545</v>
      </c>
      <c r="O2751">
        <v>49.772169979130197</v>
      </c>
      <c r="P2751">
        <v>-0.16467747497735899</v>
      </c>
      <c r="Q2751">
        <v>8.1239019140648697E-2</v>
      </c>
      <c r="R2751">
        <v>0.99870229987528403</v>
      </c>
      <c r="S2751" t="s">
        <v>8612</v>
      </c>
      <c r="T2751" t="s">
        <v>11720</v>
      </c>
      <c r="U2751" t="s">
        <v>11720</v>
      </c>
      <c r="V2751" t="s">
        <v>11720</v>
      </c>
      <c r="W2751" t="s">
        <v>14425</v>
      </c>
      <c r="X2751">
        <v>26</v>
      </c>
      <c r="Y2751" t="s">
        <v>20168</v>
      </c>
      <c r="Z2751" t="s">
        <v>25958</v>
      </c>
      <c r="AA2751">
        <v>0.38928843242369388</v>
      </c>
      <c r="AB2751" t="str">
        <f>HYPERLINK("Melting_Curves/meltCurve_P61764_STXBP1.pdf", "Melting_Curves/meltCurve_P61764_STXBP1.pdf")</f>
        <v>Melting_Curves/meltCurve_P61764_STXBP1.pdf</v>
      </c>
    </row>
    <row r="2752" spans="1:28" x14ac:dyDescent="0.25">
      <c r="A2752" t="s">
        <v>2756</v>
      </c>
      <c r="B2752">
        <v>0.99334974765950101</v>
      </c>
      <c r="C2752">
        <v>1.0381891580881699</v>
      </c>
      <c r="D2752">
        <v>0.96626111991874297</v>
      </c>
      <c r="E2752">
        <v>0.94612778428904798</v>
      </c>
      <c r="F2752">
        <v>0.92640576408081998</v>
      </c>
      <c r="G2752">
        <v>0.54760964618868102</v>
      </c>
      <c r="H2752">
        <v>0.458802856506968</v>
      </c>
      <c r="I2752">
        <v>0.58854558557453096</v>
      </c>
      <c r="J2752">
        <v>0.37439593693113798</v>
      </c>
      <c r="K2752">
        <v>0.28736534081145798</v>
      </c>
      <c r="L2752">
        <v>1861.23830644189</v>
      </c>
      <c r="M2752">
        <v>33.600572360205</v>
      </c>
      <c r="N2752">
        <v>58.453197159570003</v>
      </c>
      <c r="O2752">
        <v>55.197946082525696</v>
      </c>
      <c r="P2752">
        <v>-8.9194852468570895E-2</v>
      </c>
      <c r="Q2752">
        <v>0.413896590906283</v>
      </c>
      <c r="R2752">
        <v>0.93006509084773703</v>
      </c>
      <c r="S2752" t="s">
        <v>8613</v>
      </c>
      <c r="T2752" t="s">
        <v>11720</v>
      </c>
      <c r="U2752" t="s">
        <v>11720</v>
      </c>
      <c r="V2752" t="s">
        <v>11720</v>
      </c>
      <c r="W2752" t="s">
        <v>14426</v>
      </c>
      <c r="X2752">
        <v>7</v>
      </c>
      <c r="Y2752" t="s">
        <v>20169</v>
      </c>
      <c r="Z2752" t="s">
        <v>25959</v>
      </c>
      <c r="AA2752">
        <v>0.7177702609533726</v>
      </c>
      <c r="AB2752" t="str">
        <f>HYPERLINK("Melting_Curves/meltCurve_P61769_B2M.pdf", "Melting_Curves/meltCurve_P61769_B2M.pdf")</f>
        <v>Melting_Curves/meltCurve_P61769_B2M.pdf</v>
      </c>
    </row>
    <row r="2753" spans="1:28" x14ac:dyDescent="0.25">
      <c r="A2753" t="s">
        <v>2757</v>
      </c>
      <c r="B2753">
        <v>0.99334974765950101</v>
      </c>
      <c r="C2753">
        <v>0.833197203169038</v>
      </c>
      <c r="D2753">
        <v>0.76146058056309696</v>
      </c>
      <c r="E2753">
        <v>0.49038567692979301</v>
      </c>
      <c r="F2753">
        <v>0.26447558161408002</v>
      </c>
      <c r="G2753">
        <v>0.214148203596917</v>
      </c>
      <c r="H2753">
        <v>0.16218285613297101</v>
      </c>
      <c r="I2753">
        <v>0.20371792826322099</v>
      </c>
      <c r="J2753">
        <v>0.1703535364206</v>
      </c>
      <c r="K2753">
        <v>0.111039500519361</v>
      </c>
      <c r="L2753">
        <v>753.71245109433301</v>
      </c>
      <c r="M2753">
        <v>15.591795025220099</v>
      </c>
      <c r="N2753">
        <v>49.3799534735615</v>
      </c>
      <c r="O2753">
        <v>47.566082640764897</v>
      </c>
      <c r="P2753">
        <v>-7.04885382391921E-2</v>
      </c>
      <c r="Q2753">
        <v>0.139913562218728</v>
      </c>
      <c r="R2753">
        <v>0.98695764171830702</v>
      </c>
      <c r="S2753" t="s">
        <v>8614</v>
      </c>
      <c r="T2753" t="s">
        <v>11720</v>
      </c>
      <c r="U2753" t="s">
        <v>11720</v>
      </c>
      <c r="V2753" t="s">
        <v>11720</v>
      </c>
      <c r="W2753" t="s">
        <v>14427</v>
      </c>
      <c r="X2753">
        <v>3</v>
      </c>
      <c r="Y2753" t="s">
        <v>20170</v>
      </c>
      <c r="Z2753" t="s">
        <v>25960</v>
      </c>
      <c r="AA2753">
        <v>0.39922926135656228</v>
      </c>
      <c r="AB2753" t="str">
        <f>HYPERLINK("Melting_Curves/meltCurve_P61812_TGFB2.pdf", "Melting_Curves/meltCurve_P61812_TGFB2.pdf")</f>
        <v>Melting_Curves/meltCurve_P61812_TGFB2.pdf</v>
      </c>
    </row>
    <row r="2754" spans="1:28" x14ac:dyDescent="0.25">
      <c r="A2754" t="s">
        <v>2758</v>
      </c>
      <c r="B2754">
        <v>0.99334974765950101</v>
      </c>
      <c r="C2754">
        <v>0.96370264442771203</v>
      </c>
      <c r="D2754">
        <v>0.92614222969696003</v>
      </c>
      <c r="E2754">
        <v>0.88504930358541301</v>
      </c>
      <c r="F2754">
        <v>1.1092886182364401</v>
      </c>
      <c r="G2754">
        <v>0.87206736222761005</v>
      </c>
      <c r="H2754">
        <v>0.85478783748662701</v>
      </c>
      <c r="I2754">
        <v>0.96161016079413397</v>
      </c>
      <c r="J2754">
        <v>1.26207809993065</v>
      </c>
      <c r="K2754">
        <v>1.11285337803891</v>
      </c>
      <c r="L2754">
        <v>8288.9926127768995</v>
      </c>
      <c r="M2754">
        <v>126.868287175003</v>
      </c>
      <c r="O2754">
        <v>65.319178024308101</v>
      </c>
      <c r="P2754">
        <v>9.13256665391807E-2</v>
      </c>
      <c r="Q2754">
        <v>1.1880790986188301</v>
      </c>
      <c r="R2754">
        <v>0.44498036125524998</v>
      </c>
      <c r="S2754" t="s">
        <v>8615</v>
      </c>
      <c r="T2754" t="s">
        <v>11720</v>
      </c>
      <c r="U2754" t="s">
        <v>11720</v>
      </c>
      <c r="V2754" t="s">
        <v>11720</v>
      </c>
      <c r="W2754" t="s">
        <v>14428</v>
      </c>
      <c r="X2754">
        <v>2</v>
      </c>
      <c r="Y2754" t="s">
        <v>20171</v>
      </c>
      <c r="Z2754" t="s">
        <v>25961</v>
      </c>
      <c r="AA2754">
        <v>1.0291606862596581</v>
      </c>
      <c r="AB2754" t="str">
        <f>HYPERLINK("Melting_Curves/meltCurve_P61925_PKIA.pdf", "Melting_Curves/meltCurve_P61925_PKIA.pdf")</f>
        <v>Melting_Curves/meltCurve_P61925_PKIA.pdf</v>
      </c>
    </row>
    <row r="2755" spans="1:28" x14ac:dyDescent="0.25">
      <c r="A2755" t="s">
        <v>2759</v>
      </c>
      <c r="B2755">
        <v>0.99334974765950101</v>
      </c>
      <c r="C2755">
        <v>1.4357263829673099</v>
      </c>
      <c r="D2755">
        <v>1.9272876404843899</v>
      </c>
      <c r="E2755">
        <v>1.20902710169584</v>
      </c>
      <c r="F2755">
        <v>0.75836787744117695</v>
      </c>
      <c r="G2755">
        <v>0.30281980030274003</v>
      </c>
      <c r="H2755">
        <v>0.34934931099251398</v>
      </c>
      <c r="I2755">
        <v>0.20861254372583701</v>
      </c>
      <c r="J2755">
        <v>0.47575596127347197</v>
      </c>
      <c r="K2755">
        <v>0.37670826582297601</v>
      </c>
      <c r="L2755">
        <v>13278.7574537154</v>
      </c>
      <c r="M2755">
        <v>250</v>
      </c>
      <c r="N2755">
        <v>53.3618141649169</v>
      </c>
      <c r="O2755">
        <v>53.111637187075601</v>
      </c>
      <c r="P2755">
        <v>-0.77354858721638597</v>
      </c>
      <c r="Q2755">
        <v>0.34264916903602299</v>
      </c>
      <c r="R2755">
        <v>0.61830430229503897</v>
      </c>
      <c r="S2755" t="s">
        <v>8616</v>
      </c>
      <c r="T2755" t="s">
        <v>11720</v>
      </c>
      <c r="U2755" t="s">
        <v>11720</v>
      </c>
      <c r="V2755" t="s">
        <v>11720</v>
      </c>
      <c r="W2755" t="s">
        <v>14429</v>
      </c>
      <c r="X2755">
        <v>2</v>
      </c>
      <c r="Y2755" t="s">
        <v>20172</v>
      </c>
      <c r="Z2755" t="s">
        <v>25962</v>
      </c>
      <c r="AA2755">
        <v>0.63008296958161192</v>
      </c>
      <c r="AB2755" t="str">
        <f>HYPERLINK("Melting_Curves/meltCurve_P61927_RPL37.pdf", "Melting_Curves/meltCurve_P61927_RPL37.pdf")</f>
        <v>Melting_Curves/meltCurve_P61927_RPL37.pdf</v>
      </c>
    </row>
    <row r="2756" spans="1:28" x14ac:dyDescent="0.25">
      <c r="A2756" t="s">
        <v>2760</v>
      </c>
      <c r="B2756">
        <v>0.99334974765950101</v>
      </c>
      <c r="C2756">
        <v>1.0613931305130899</v>
      </c>
      <c r="D2756">
        <v>0.99743354049890698</v>
      </c>
      <c r="E2756">
        <v>1.11620279497855</v>
      </c>
      <c r="F2756">
        <v>1.2697598578864899</v>
      </c>
      <c r="G2756">
        <v>1.2152032167203499</v>
      </c>
      <c r="H2756">
        <v>1.1624828950470001</v>
      </c>
      <c r="I2756">
        <v>1.6546811450429799</v>
      </c>
      <c r="J2756">
        <v>1.90952311453196</v>
      </c>
      <c r="K2756">
        <v>1.5085072888269599</v>
      </c>
      <c r="L2756">
        <v>927.06796771767199</v>
      </c>
      <c r="M2756">
        <v>16.899356041463101</v>
      </c>
      <c r="O2756">
        <v>54.107295989270398</v>
      </c>
      <c r="P2756">
        <v>3.9043775267160401E-2</v>
      </c>
      <c r="Q2756">
        <v>1.5</v>
      </c>
      <c r="R2756">
        <v>0.62162886137499695</v>
      </c>
      <c r="S2756" t="s">
        <v>8617</v>
      </c>
      <c r="T2756" t="s">
        <v>11720</v>
      </c>
      <c r="U2756" t="s">
        <v>11720</v>
      </c>
      <c r="V2756" t="s">
        <v>11720</v>
      </c>
      <c r="W2756" t="s">
        <v>14430</v>
      </c>
      <c r="X2756">
        <v>7</v>
      </c>
      <c r="Y2756" t="s">
        <v>20173</v>
      </c>
      <c r="Z2756" t="s">
        <v>25963</v>
      </c>
      <c r="AA2756">
        <v>1.2439080896364569</v>
      </c>
      <c r="AB2756" t="str">
        <f>HYPERLINK("Melting_Curves/meltCurve_P61952_GNG11.pdf", "Melting_Curves/meltCurve_P61952_GNG11.pdf")</f>
        <v>Melting_Curves/meltCurve_P61952_GNG11.pdf</v>
      </c>
    </row>
    <row r="2757" spans="1:28" x14ac:dyDescent="0.25">
      <c r="A2757" t="s">
        <v>2761</v>
      </c>
      <c r="B2757">
        <v>0.99334974765950101</v>
      </c>
      <c r="C2757">
        <v>0.85964309878216305</v>
      </c>
      <c r="D2757">
        <v>0.93616899017102495</v>
      </c>
      <c r="E2757">
        <v>0.76369112125258398</v>
      </c>
      <c r="F2757">
        <v>0.69106792997427902</v>
      </c>
      <c r="G2757">
        <v>0.71601192326296703</v>
      </c>
      <c r="H2757">
        <v>0.42557215542473897</v>
      </c>
      <c r="I2757">
        <v>0.31961722887073601</v>
      </c>
      <c r="J2757">
        <v>0.211302305206792</v>
      </c>
      <c r="K2757">
        <v>0.212693569343647</v>
      </c>
      <c r="L2757">
        <v>493.70577869431003</v>
      </c>
      <c r="M2757">
        <v>8.3641925076837502</v>
      </c>
      <c r="N2757">
        <v>59.026113772728301</v>
      </c>
      <c r="O2757">
        <v>55.941241068131298</v>
      </c>
      <c r="P2757">
        <v>-3.74151490065672E-2</v>
      </c>
      <c r="Q2757">
        <v>0</v>
      </c>
      <c r="R2757">
        <v>0.95120842945273698</v>
      </c>
      <c r="S2757" t="s">
        <v>8618</v>
      </c>
      <c r="T2757" t="s">
        <v>11720</v>
      </c>
      <c r="U2757" t="s">
        <v>11720</v>
      </c>
      <c r="V2757" t="s">
        <v>11720</v>
      </c>
      <c r="W2757" t="s">
        <v>14431</v>
      </c>
      <c r="X2757">
        <v>2</v>
      </c>
      <c r="Y2757" t="s">
        <v>18316</v>
      </c>
      <c r="Z2757" t="s">
        <v>25964</v>
      </c>
      <c r="AA2757">
        <v>0.63056177890371223</v>
      </c>
      <c r="AB2757" t="str">
        <f>HYPERLINK("Melting_Curves/meltCurve_P61960_2_UFM1.pdf", "Melting_Curves/meltCurve_P61960_2_UFM1.pdf")</f>
        <v>Melting_Curves/meltCurve_P61960_2_UFM1.pdf</v>
      </c>
    </row>
    <row r="2758" spans="1:28" x14ac:dyDescent="0.25">
      <c r="A2758" t="s">
        <v>2762</v>
      </c>
      <c r="B2758">
        <v>0.99334974765950101</v>
      </c>
      <c r="C2758">
        <v>0.97567812903281703</v>
      </c>
      <c r="D2758">
        <v>0.94224494413411197</v>
      </c>
      <c r="E2758">
        <v>0.83739759939685399</v>
      </c>
      <c r="F2758">
        <v>0.71419515395639899</v>
      </c>
      <c r="G2758">
        <v>0.42246634480998602</v>
      </c>
      <c r="H2758">
        <v>0.277399541697608</v>
      </c>
      <c r="I2758">
        <v>0.230354727850547</v>
      </c>
      <c r="J2758">
        <v>0.17675041947111</v>
      </c>
      <c r="K2758">
        <v>0.12318035616336501</v>
      </c>
      <c r="L2758">
        <v>816.67801530481995</v>
      </c>
      <c r="M2758">
        <v>14.791726822175701</v>
      </c>
      <c r="N2758">
        <v>56.098668197059098</v>
      </c>
      <c r="O2758">
        <v>54.232149057122598</v>
      </c>
      <c r="P2758">
        <v>-6.10846895786719E-2</v>
      </c>
      <c r="Q2758">
        <v>0.104255942846046</v>
      </c>
      <c r="R2758">
        <v>0.99750002231551405</v>
      </c>
      <c r="S2758" t="s">
        <v>8619</v>
      </c>
      <c r="T2758" t="s">
        <v>11720</v>
      </c>
      <c r="U2758" t="s">
        <v>11720</v>
      </c>
      <c r="V2758" t="s">
        <v>11720</v>
      </c>
      <c r="W2758" t="s">
        <v>14432</v>
      </c>
      <c r="X2758">
        <v>5</v>
      </c>
      <c r="Y2758" t="s">
        <v>20174</v>
      </c>
      <c r="Z2758" t="s">
        <v>25965</v>
      </c>
      <c r="AA2758">
        <v>0.57569899948315806</v>
      </c>
      <c r="AB2758" t="str">
        <f>HYPERLINK("Melting_Curves/meltCurve_P61962_DCAF7.pdf", "Melting_Curves/meltCurve_P61962_DCAF7.pdf")</f>
        <v>Melting_Curves/meltCurve_P61962_DCAF7.pdf</v>
      </c>
    </row>
    <row r="2759" spans="1:28" x14ac:dyDescent="0.25">
      <c r="A2759" t="s">
        <v>2763</v>
      </c>
      <c r="B2759">
        <v>0.99334974765950101</v>
      </c>
      <c r="C2759">
        <v>0.88270689507519196</v>
      </c>
      <c r="D2759">
        <v>1.0050180550444301</v>
      </c>
      <c r="E2759">
        <v>0.82648264242769098</v>
      </c>
      <c r="F2759">
        <v>0.81881877134417702</v>
      </c>
      <c r="G2759">
        <v>0.80850301020546</v>
      </c>
      <c r="H2759">
        <v>0.63427239378578204</v>
      </c>
      <c r="I2759">
        <v>0.89901280003497297</v>
      </c>
      <c r="J2759">
        <v>0.71318188663747495</v>
      </c>
      <c r="K2759">
        <v>0.49702011594373102</v>
      </c>
      <c r="L2759">
        <v>267.538768392176</v>
      </c>
      <c r="M2759">
        <v>3.3311778440984701</v>
      </c>
      <c r="O2759">
        <v>61.780421959065102</v>
      </c>
      <c r="P2759">
        <v>-1.3785903578283701E-2</v>
      </c>
      <c r="Q2759">
        <v>0</v>
      </c>
      <c r="R2759">
        <v>0.61978083495130198</v>
      </c>
      <c r="S2759" t="s">
        <v>8620</v>
      </c>
      <c r="T2759" t="s">
        <v>11720</v>
      </c>
      <c r="U2759" t="s">
        <v>11720</v>
      </c>
      <c r="V2759" t="s">
        <v>11720</v>
      </c>
      <c r="W2759" t="s">
        <v>14433</v>
      </c>
      <c r="X2759">
        <v>2</v>
      </c>
      <c r="Y2759" t="s">
        <v>20175</v>
      </c>
      <c r="Z2759" t="s">
        <v>25966</v>
      </c>
      <c r="AA2759">
        <v>0.81260626870322883</v>
      </c>
      <c r="AB2759" t="str">
        <f>HYPERLINK("Melting_Curves/meltCurve_P61964_WDR5.pdf", "Melting_Curves/meltCurve_P61964_WDR5.pdf")</f>
        <v>Melting_Curves/meltCurve_P61964_WDR5.pdf</v>
      </c>
    </row>
    <row r="2760" spans="1:28" x14ac:dyDescent="0.25">
      <c r="A2760" t="s">
        <v>2764</v>
      </c>
      <c r="B2760">
        <v>0.99334974765950101</v>
      </c>
      <c r="C2760">
        <v>0.96776967292918903</v>
      </c>
      <c r="D2760">
        <v>0.93048928598665803</v>
      </c>
      <c r="E2760">
        <v>0.79094125463260501</v>
      </c>
      <c r="F2760">
        <v>0.669365919626841</v>
      </c>
      <c r="G2760">
        <v>0.57136745445377102</v>
      </c>
      <c r="H2760">
        <v>0.49570785929302702</v>
      </c>
      <c r="I2760">
        <v>0.57627854836896997</v>
      </c>
      <c r="J2760">
        <v>0.40262279019263397</v>
      </c>
      <c r="K2760">
        <v>0.25808558974429102</v>
      </c>
      <c r="L2760">
        <v>400.299319901964</v>
      </c>
      <c r="M2760">
        <v>6.7322085337294997</v>
      </c>
      <c r="N2760">
        <v>61.415848503529197</v>
      </c>
      <c r="O2760">
        <v>54.8736497461718</v>
      </c>
      <c r="P2760">
        <v>-2.77717930850769E-2</v>
      </c>
      <c r="Q2760">
        <v>9.6469802115168604E-2</v>
      </c>
      <c r="R2760">
        <v>0.941916302643935</v>
      </c>
      <c r="S2760" t="s">
        <v>8621</v>
      </c>
      <c r="T2760" t="s">
        <v>11720</v>
      </c>
      <c r="U2760" t="s">
        <v>11720</v>
      </c>
      <c r="V2760" t="s">
        <v>11720</v>
      </c>
      <c r="W2760" t="s">
        <v>14434</v>
      </c>
      <c r="X2760">
        <v>5</v>
      </c>
      <c r="Y2760" t="s">
        <v>20176</v>
      </c>
      <c r="Z2760" t="s">
        <v>25967</v>
      </c>
      <c r="AA2760">
        <v>0.66488976796130961</v>
      </c>
      <c r="AB2760" t="str">
        <f>HYPERLINK("Melting_Curves/meltCurve_P61970_NUTF2.pdf", "Melting_Curves/meltCurve_P61970_NUTF2.pdf")</f>
        <v>Melting_Curves/meltCurve_P61970_NUTF2.pdf</v>
      </c>
    </row>
    <row r="2761" spans="1:28" x14ac:dyDescent="0.25">
      <c r="A2761" t="s">
        <v>2765</v>
      </c>
      <c r="B2761">
        <v>0.99334974765950101</v>
      </c>
      <c r="C2761">
        <v>0.97601966325831002</v>
      </c>
      <c r="D2761">
        <v>0.874008473339559</v>
      </c>
      <c r="E2761">
        <v>0.50359281593573002</v>
      </c>
      <c r="F2761">
        <v>0.19471757404052201</v>
      </c>
      <c r="G2761">
        <v>0.132390350048044</v>
      </c>
      <c r="H2761">
        <v>0.10597518677557199</v>
      </c>
      <c r="I2761">
        <v>0.10331205770254399</v>
      </c>
      <c r="J2761">
        <v>0.10249555160635999</v>
      </c>
      <c r="K2761">
        <v>9.2225214590550705E-2</v>
      </c>
      <c r="L2761">
        <v>1313.4597497053001</v>
      </c>
      <c r="M2761">
        <v>26.570312269110101</v>
      </c>
      <c r="N2761">
        <v>49.837732415147897</v>
      </c>
      <c r="O2761">
        <v>49.1558914440972</v>
      </c>
      <c r="P2761">
        <v>-0.122031249538708</v>
      </c>
      <c r="Q2761">
        <v>9.6963344475707494E-2</v>
      </c>
      <c r="R2761">
        <v>0.99851981390538802</v>
      </c>
      <c r="S2761" t="s">
        <v>8622</v>
      </c>
      <c r="T2761" t="s">
        <v>11720</v>
      </c>
      <c r="U2761" t="s">
        <v>11720</v>
      </c>
      <c r="V2761" t="s">
        <v>11720</v>
      </c>
      <c r="W2761" t="s">
        <v>14435</v>
      </c>
      <c r="X2761">
        <v>26</v>
      </c>
      <c r="Y2761" t="s">
        <v>20177</v>
      </c>
      <c r="Z2761" t="s">
        <v>25968</v>
      </c>
      <c r="AA2761">
        <v>0.38800940508038828</v>
      </c>
      <c r="AB2761" t="str">
        <f>HYPERLINK("Melting_Curves/meltCurve_P61978_3_HNRNPK.pdf", "Melting_Curves/meltCurve_P61978_3_HNRNPK.pdf")</f>
        <v>Melting_Curves/meltCurve_P61978_3_HNRNPK.pdf</v>
      </c>
    </row>
    <row r="2762" spans="1:28" x14ac:dyDescent="0.25">
      <c r="A2762" t="s">
        <v>2766</v>
      </c>
      <c r="B2762">
        <v>0.99334974765950101</v>
      </c>
      <c r="C2762">
        <v>1.03062901147146</v>
      </c>
      <c r="D2762">
        <v>1.09262683153928</v>
      </c>
      <c r="E2762">
        <v>0.94811462901492904</v>
      </c>
      <c r="F2762">
        <v>0.99493023032335104</v>
      </c>
      <c r="G2762">
        <v>0.61433446137623304</v>
      </c>
      <c r="H2762">
        <v>0.356669561387433</v>
      </c>
      <c r="I2762">
        <v>0.20139164906290799</v>
      </c>
      <c r="J2762">
        <v>0.14020881572800301</v>
      </c>
      <c r="K2762">
        <v>9.8255616485123196E-2</v>
      </c>
      <c r="L2762">
        <v>1389.38965498741</v>
      </c>
      <c r="M2762">
        <v>23.865190312313199</v>
      </c>
      <c r="N2762">
        <v>58.772143276667002</v>
      </c>
      <c r="O2762">
        <v>57.814100451803398</v>
      </c>
      <c r="P2762">
        <v>-9.2806312575536606E-2</v>
      </c>
      <c r="Q2762">
        <v>0.100710847163222</v>
      </c>
      <c r="R2762">
        <v>0.98683034585778096</v>
      </c>
      <c r="S2762" t="s">
        <v>8623</v>
      </c>
      <c r="T2762" t="s">
        <v>11720</v>
      </c>
      <c r="U2762" t="s">
        <v>11720</v>
      </c>
      <c r="V2762" t="s">
        <v>11720</v>
      </c>
      <c r="W2762" t="s">
        <v>14436</v>
      </c>
      <c r="X2762">
        <v>28</v>
      </c>
      <c r="Y2762" t="s">
        <v>20178</v>
      </c>
      <c r="Z2762" t="s">
        <v>25969</v>
      </c>
      <c r="AA2762">
        <v>0.65505237368079738</v>
      </c>
      <c r="AB2762" t="str">
        <f>HYPERLINK("Melting_Curves/meltCurve_P61981_YWHAG.pdf", "Melting_Curves/meltCurve_P61981_YWHAG.pdf")</f>
        <v>Melting_Curves/meltCurve_P61981_YWHAG.pdf</v>
      </c>
    </row>
    <row r="2763" spans="1:28" x14ac:dyDescent="0.25">
      <c r="A2763" t="s">
        <v>2767</v>
      </c>
      <c r="B2763">
        <v>0.99334974765950101</v>
      </c>
      <c r="C2763">
        <v>0.91281326467388402</v>
      </c>
      <c r="D2763">
        <v>0.79734885620735496</v>
      </c>
      <c r="E2763">
        <v>0.60467272928274296</v>
      </c>
      <c r="F2763">
        <v>0.36481522496520302</v>
      </c>
      <c r="G2763">
        <v>0.170160108508673</v>
      </c>
      <c r="H2763">
        <v>3.1712876881626502E-2</v>
      </c>
      <c r="I2763">
        <v>1.72156131174999E-2</v>
      </c>
      <c r="J2763">
        <v>0</v>
      </c>
      <c r="K2763">
        <v>0</v>
      </c>
      <c r="L2763">
        <v>778.74339767422305</v>
      </c>
      <c r="M2763">
        <v>15.2926642034348</v>
      </c>
      <c r="N2763">
        <v>50.922657541741302</v>
      </c>
      <c r="O2763">
        <v>50.075746858858999</v>
      </c>
      <c r="P2763">
        <v>-7.6354814165876597E-2</v>
      </c>
      <c r="Q2763">
        <v>0</v>
      </c>
      <c r="R2763">
        <v>0.99500443592398402</v>
      </c>
      <c r="S2763" t="s">
        <v>8624</v>
      </c>
      <c r="T2763" t="s">
        <v>11720</v>
      </c>
      <c r="U2763" t="s">
        <v>11720</v>
      </c>
      <c r="V2763" t="s">
        <v>11720</v>
      </c>
      <c r="W2763" t="s">
        <v>14437</v>
      </c>
      <c r="X2763">
        <v>21</v>
      </c>
      <c r="Y2763" t="s">
        <v>20179</v>
      </c>
      <c r="Z2763" t="s">
        <v>25970</v>
      </c>
      <c r="AA2763">
        <v>0.38651426100074882</v>
      </c>
      <c r="AB2763" t="str">
        <f>HYPERLINK("Melting_Curves/meltCurve_P62070_RRAS2.pdf", "Melting_Curves/meltCurve_P62070_RRAS2.pdf")</f>
        <v>Melting_Curves/meltCurve_P62070_RRAS2.pdf</v>
      </c>
    </row>
    <row r="2764" spans="1:28" x14ac:dyDescent="0.25">
      <c r="A2764" t="s">
        <v>2768</v>
      </c>
      <c r="B2764">
        <v>0.99334974765950101</v>
      </c>
      <c r="C2764">
        <v>0.98533918486207595</v>
      </c>
      <c r="D2764">
        <v>1.0091321615339399</v>
      </c>
      <c r="E2764">
        <v>1.0176378542501401</v>
      </c>
      <c r="F2764">
        <v>1.2604930451331</v>
      </c>
      <c r="G2764">
        <v>1.03966478286978</v>
      </c>
      <c r="H2764">
        <v>1.1170226483228101</v>
      </c>
      <c r="I2764">
        <v>1.2607472438793601</v>
      </c>
      <c r="J2764">
        <v>1.3637012686841099</v>
      </c>
      <c r="K2764">
        <v>1.1629710703537299</v>
      </c>
      <c r="L2764">
        <v>525.39246136829604</v>
      </c>
      <c r="M2764">
        <v>9.1692160825881697</v>
      </c>
      <c r="O2764">
        <v>54.771651486452598</v>
      </c>
      <c r="P2764">
        <v>1.2532741586827E-2</v>
      </c>
      <c r="Q2764">
        <v>1.2992511585896001</v>
      </c>
      <c r="R2764">
        <v>0.55621047814207103</v>
      </c>
      <c r="S2764" t="s">
        <v>8625</v>
      </c>
      <c r="T2764" t="s">
        <v>11720</v>
      </c>
      <c r="U2764" t="s">
        <v>11720</v>
      </c>
      <c r="V2764" t="s">
        <v>11720</v>
      </c>
      <c r="W2764" t="s">
        <v>14438</v>
      </c>
      <c r="X2764">
        <v>8</v>
      </c>
      <c r="Y2764" t="s">
        <v>20180</v>
      </c>
      <c r="Z2764" t="s">
        <v>25971</v>
      </c>
      <c r="AA2764">
        <v>1.1228938534713959</v>
      </c>
      <c r="AB2764" t="str">
        <f>HYPERLINK("Melting_Curves/meltCurve_P62072_TIMM10.pdf", "Melting_Curves/meltCurve_P62072_TIMM10.pdf")</f>
        <v>Melting_Curves/meltCurve_P62072_TIMM10.pdf</v>
      </c>
    </row>
    <row r="2765" spans="1:28" x14ac:dyDescent="0.25">
      <c r="A2765" t="s">
        <v>2769</v>
      </c>
      <c r="B2765">
        <v>0.99334974765950101</v>
      </c>
      <c r="C2765">
        <v>1.0256156933971401</v>
      </c>
      <c r="D2765">
        <v>0.87173357627249204</v>
      </c>
      <c r="E2765">
        <v>0.78087451427417198</v>
      </c>
      <c r="F2765">
        <v>0.61213366558025595</v>
      </c>
      <c r="G2765">
        <v>0.39971093958524501</v>
      </c>
      <c r="H2765">
        <v>0.28403394978009</v>
      </c>
      <c r="I2765">
        <v>0.23814774678587</v>
      </c>
      <c r="J2765">
        <v>0.19372133797090299</v>
      </c>
      <c r="K2765">
        <v>0.16591638418530499</v>
      </c>
      <c r="L2765">
        <v>717.20255383828498</v>
      </c>
      <c r="M2765">
        <v>13.344720394154599</v>
      </c>
      <c r="N2765">
        <v>55.051895128839</v>
      </c>
      <c r="O2765">
        <v>52.580437433187697</v>
      </c>
      <c r="P2765">
        <v>-5.4840023673657E-2</v>
      </c>
      <c r="Q2765">
        <v>0.135822296751787</v>
      </c>
      <c r="R2765">
        <v>0.99472752852660595</v>
      </c>
      <c r="S2765" t="s">
        <v>8626</v>
      </c>
      <c r="T2765" t="s">
        <v>11720</v>
      </c>
      <c r="U2765" t="s">
        <v>11720</v>
      </c>
      <c r="V2765" t="s">
        <v>11720</v>
      </c>
      <c r="W2765" t="s">
        <v>14439</v>
      </c>
      <c r="X2765">
        <v>5</v>
      </c>
      <c r="Y2765" t="s">
        <v>20181</v>
      </c>
      <c r="Z2765" t="s">
        <v>25972</v>
      </c>
      <c r="AA2765">
        <v>0.55241703359721905</v>
      </c>
      <c r="AB2765" t="str">
        <f>HYPERLINK("Melting_Curves/meltCurve_P62081_RPS7.pdf", "Melting_Curves/meltCurve_P62081_RPS7.pdf")</f>
        <v>Melting_Curves/meltCurve_P62081_RPS7.pdf</v>
      </c>
    </row>
    <row r="2766" spans="1:28" x14ac:dyDescent="0.25">
      <c r="A2766" t="s">
        <v>2770</v>
      </c>
      <c r="B2766">
        <v>0.99334974765950101</v>
      </c>
      <c r="C2766">
        <v>0.95855081335824099</v>
      </c>
      <c r="D2766">
        <v>0.87048990498225598</v>
      </c>
      <c r="E2766">
        <v>0.71954353038906504</v>
      </c>
      <c r="F2766">
        <v>0.48806425297879003</v>
      </c>
      <c r="G2766">
        <v>0.25688212832350199</v>
      </c>
      <c r="H2766">
        <v>0.120003804266551</v>
      </c>
      <c r="I2766">
        <v>7.9050739820211102E-2</v>
      </c>
      <c r="J2766">
        <v>7.5347375868383498E-2</v>
      </c>
      <c r="K2766">
        <v>5.2114422976115501E-2</v>
      </c>
      <c r="L2766">
        <v>787.73250286519999</v>
      </c>
      <c r="M2766">
        <v>14.957533831888201</v>
      </c>
      <c r="N2766">
        <v>52.8293024845457</v>
      </c>
      <c r="O2766">
        <v>51.750142880874598</v>
      </c>
      <c r="P2766">
        <v>-7.0619338740153803E-2</v>
      </c>
      <c r="Q2766">
        <v>2.2783408241567198E-2</v>
      </c>
      <c r="R2766">
        <v>0.99854092470300604</v>
      </c>
      <c r="S2766" t="s">
        <v>8627</v>
      </c>
      <c r="T2766" t="s">
        <v>11720</v>
      </c>
      <c r="U2766" t="s">
        <v>11720</v>
      </c>
      <c r="V2766" t="s">
        <v>11720</v>
      </c>
      <c r="W2766" t="s">
        <v>14440</v>
      </c>
      <c r="X2766">
        <v>22</v>
      </c>
      <c r="Y2766" t="s">
        <v>20182</v>
      </c>
      <c r="Z2766" t="s">
        <v>25973</v>
      </c>
      <c r="AA2766">
        <v>0.45672302552352878</v>
      </c>
      <c r="AB2766" t="str">
        <f>HYPERLINK("Melting_Curves/meltCurve_P62136_PPP1CA.pdf", "Melting_Curves/meltCurve_P62136_PPP1CA.pdf")</f>
        <v>Melting_Curves/meltCurve_P62136_PPP1CA.pdf</v>
      </c>
    </row>
    <row r="2767" spans="1:28" x14ac:dyDescent="0.25">
      <c r="A2767" t="s">
        <v>2771</v>
      </c>
      <c r="B2767">
        <v>0.99334974765950101</v>
      </c>
      <c r="C2767">
        <v>0.97738873040769503</v>
      </c>
      <c r="D2767">
        <v>0.94719316289720001</v>
      </c>
      <c r="E2767">
        <v>0.79334736699303099</v>
      </c>
      <c r="F2767">
        <v>0.507776117713157</v>
      </c>
      <c r="G2767">
        <v>0.31636514918735997</v>
      </c>
      <c r="H2767">
        <v>0.172375651402597</v>
      </c>
      <c r="I2767">
        <v>0.135784615935928</v>
      </c>
      <c r="J2767">
        <v>0.13599809603069801</v>
      </c>
      <c r="K2767">
        <v>0.11228033513537999</v>
      </c>
      <c r="L2767">
        <v>990.11958107285898</v>
      </c>
      <c r="M2767">
        <v>18.750207710343101</v>
      </c>
      <c r="N2767">
        <v>53.521705779012301</v>
      </c>
      <c r="O2767">
        <v>52.216142925631402</v>
      </c>
      <c r="P2767">
        <v>-7.9818570029362698E-2</v>
      </c>
      <c r="Q2767">
        <v>0.110912715332514</v>
      </c>
      <c r="R2767">
        <v>0.99797173201015799</v>
      </c>
      <c r="S2767" t="s">
        <v>8628</v>
      </c>
      <c r="T2767" t="s">
        <v>11720</v>
      </c>
      <c r="U2767" t="s">
        <v>11720</v>
      </c>
      <c r="V2767" t="s">
        <v>11720</v>
      </c>
      <c r="W2767" t="s">
        <v>14441</v>
      </c>
      <c r="X2767">
        <v>21</v>
      </c>
      <c r="Y2767" t="s">
        <v>20183</v>
      </c>
      <c r="Z2767" t="s">
        <v>25974</v>
      </c>
      <c r="AA2767">
        <v>0.50409043893888472</v>
      </c>
      <c r="AB2767" t="str">
        <f>HYPERLINK("Melting_Curves/meltCurve_P62140_PPP1CB.pdf", "Melting_Curves/meltCurve_P62140_PPP1CB.pdf")</f>
        <v>Melting_Curves/meltCurve_P62140_PPP1CB.pdf</v>
      </c>
    </row>
    <row r="2768" spans="1:28" x14ac:dyDescent="0.25">
      <c r="A2768" t="s">
        <v>2772</v>
      </c>
      <c r="B2768">
        <v>0.99334974765950101</v>
      </c>
      <c r="C2768">
        <v>0.94779394838606001</v>
      </c>
      <c r="D2768">
        <v>0.87003740472416802</v>
      </c>
      <c r="E2768">
        <v>0.70848226262482805</v>
      </c>
      <c r="F2768">
        <v>0.66412644466047199</v>
      </c>
      <c r="G2768">
        <v>0.40739641101233398</v>
      </c>
      <c r="H2768">
        <v>0.35302246731394199</v>
      </c>
      <c r="I2768">
        <v>0.47772972976182398</v>
      </c>
      <c r="J2768">
        <v>0.35293014526830702</v>
      </c>
      <c r="K2768">
        <v>0.27679377246877701</v>
      </c>
      <c r="L2768">
        <v>637.25786808472003</v>
      </c>
      <c r="M2768">
        <v>12.307406484460101</v>
      </c>
      <c r="N2768">
        <v>56.024333736979301</v>
      </c>
      <c r="O2768">
        <v>50.468352424176203</v>
      </c>
      <c r="P2768">
        <v>-4.2486475286039299E-2</v>
      </c>
      <c r="Q2768">
        <v>0.30326380493050498</v>
      </c>
      <c r="R2768">
        <v>0.95865136632528702</v>
      </c>
      <c r="S2768" t="s">
        <v>8629</v>
      </c>
      <c r="T2768" t="s">
        <v>11720</v>
      </c>
      <c r="U2768" t="s">
        <v>11720</v>
      </c>
      <c r="V2768" t="s">
        <v>11720</v>
      </c>
      <c r="W2768" t="s">
        <v>14442</v>
      </c>
      <c r="X2768">
        <v>6</v>
      </c>
      <c r="Y2768" t="s">
        <v>20184</v>
      </c>
      <c r="Z2768" t="s">
        <v>25975</v>
      </c>
      <c r="AA2768">
        <v>0.59773283147478318</v>
      </c>
      <c r="AB2768" t="str">
        <f>HYPERLINK("Melting_Curves/meltCurve_P62166_NCS1.pdf", "Melting_Curves/meltCurve_P62166_NCS1.pdf")</f>
        <v>Melting_Curves/meltCurve_P62166_NCS1.pdf</v>
      </c>
    </row>
    <row r="2769" spans="1:28" x14ac:dyDescent="0.25">
      <c r="A2769" t="s">
        <v>2773</v>
      </c>
      <c r="B2769">
        <v>0.99334974765950101</v>
      </c>
      <c r="C2769">
        <v>1.0929694411425499</v>
      </c>
      <c r="D2769">
        <v>1.29375366198925</v>
      </c>
      <c r="E2769">
        <v>1.4549446679088001</v>
      </c>
      <c r="F2769">
        <v>0.79655232993973901</v>
      </c>
      <c r="G2769">
        <v>0.71737025714409697</v>
      </c>
      <c r="H2769">
        <v>0.222155079550519</v>
      </c>
      <c r="I2769">
        <v>0.16059704261163901</v>
      </c>
      <c r="J2769">
        <v>0.127946215477652</v>
      </c>
      <c r="K2769">
        <v>0.12399338035987099</v>
      </c>
      <c r="L2769">
        <v>2002.9164211750799</v>
      </c>
      <c r="M2769">
        <v>34.553885224616501</v>
      </c>
      <c r="N2769">
        <v>58.416327433915903</v>
      </c>
      <c r="O2769">
        <v>57.771902063904299</v>
      </c>
      <c r="P2769">
        <v>-0.13201104181363099</v>
      </c>
      <c r="Q2769">
        <v>0.11714701311273699</v>
      </c>
      <c r="R2769">
        <v>0.85694232270115001</v>
      </c>
      <c r="S2769" t="s">
        <v>8630</v>
      </c>
      <c r="T2769" t="s">
        <v>11720</v>
      </c>
      <c r="U2769" t="s">
        <v>11720</v>
      </c>
      <c r="V2769" t="s">
        <v>11720</v>
      </c>
      <c r="W2769" t="s">
        <v>14443</v>
      </c>
      <c r="X2769">
        <v>11</v>
      </c>
      <c r="Y2769" t="s">
        <v>20185</v>
      </c>
      <c r="Z2769" t="s">
        <v>25976</v>
      </c>
      <c r="AA2769">
        <v>0.65038137107539717</v>
      </c>
      <c r="AB2769" t="str">
        <f>HYPERLINK("Melting_Curves/meltCurve_P62191_PSMC1.pdf", "Melting_Curves/meltCurve_P62191_PSMC1.pdf")</f>
        <v>Melting_Curves/meltCurve_P62191_PSMC1.pdf</v>
      </c>
    </row>
    <row r="2770" spans="1:28" x14ac:dyDescent="0.25">
      <c r="A2770" t="s">
        <v>2774</v>
      </c>
      <c r="B2770">
        <v>0.99334974765950101</v>
      </c>
      <c r="C2770">
        <v>1.00658386968556</v>
      </c>
      <c r="D2770">
        <v>1.1028851205175401</v>
      </c>
      <c r="E2770">
        <v>1.2387439697868601</v>
      </c>
      <c r="F2770">
        <v>0.88954800944000001</v>
      </c>
      <c r="G2770">
        <v>0.57820463261877497</v>
      </c>
      <c r="H2770">
        <v>0.200662309268064</v>
      </c>
      <c r="I2770">
        <v>0.139055966015315</v>
      </c>
      <c r="J2770">
        <v>0.13113479146615201</v>
      </c>
      <c r="K2770">
        <v>0.109274741146608</v>
      </c>
      <c r="L2770">
        <v>1997.11318175887</v>
      </c>
      <c r="M2770">
        <v>34.978739688599603</v>
      </c>
      <c r="N2770">
        <v>57.536262260718203</v>
      </c>
      <c r="O2770">
        <v>56.909421804516803</v>
      </c>
      <c r="P2770">
        <v>-0.13558474450348901</v>
      </c>
      <c r="Q2770">
        <v>0.117633106544921</v>
      </c>
      <c r="R2770">
        <v>0.96073805871726503</v>
      </c>
      <c r="S2770" t="s">
        <v>8631</v>
      </c>
      <c r="T2770" t="s">
        <v>11720</v>
      </c>
      <c r="U2770" t="s">
        <v>11720</v>
      </c>
      <c r="V2770" t="s">
        <v>11720</v>
      </c>
      <c r="W2770" t="s">
        <v>14444</v>
      </c>
      <c r="X2770">
        <v>11</v>
      </c>
      <c r="Y2770" t="s">
        <v>20186</v>
      </c>
      <c r="Z2770" t="s">
        <v>25977</v>
      </c>
      <c r="AA2770">
        <v>0.62488153870068242</v>
      </c>
      <c r="AB2770" t="str">
        <f>HYPERLINK("Melting_Curves/meltCurve_P62195_2_PSMC5.pdf", "Melting_Curves/meltCurve_P62195_2_PSMC5.pdf")</f>
        <v>Melting_Curves/meltCurve_P62195_2_PSMC5.pdf</v>
      </c>
    </row>
    <row r="2771" spans="1:28" x14ac:dyDescent="0.25">
      <c r="A2771" t="s">
        <v>2775</v>
      </c>
      <c r="B2771">
        <v>0.99334974765950101</v>
      </c>
      <c r="C2771">
        <v>1.1534221889593901</v>
      </c>
      <c r="D2771">
        <v>1.06284271540607</v>
      </c>
      <c r="E2771">
        <v>0.89053541611739195</v>
      </c>
      <c r="F2771">
        <v>0.61620107155614701</v>
      </c>
      <c r="G2771">
        <v>0.43222635322986402</v>
      </c>
      <c r="H2771">
        <v>0.28075894333717299</v>
      </c>
      <c r="I2771">
        <v>0.27310784868124599</v>
      </c>
      <c r="J2771">
        <v>0.19782829223253501</v>
      </c>
      <c r="K2771">
        <v>0.15916035071915099</v>
      </c>
      <c r="L2771">
        <v>1114.5388412471</v>
      </c>
      <c r="M2771">
        <v>20.652911147365401</v>
      </c>
      <c r="N2771">
        <v>55.327480748095198</v>
      </c>
      <c r="O2771">
        <v>53.466916567333399</v>
      </c>
      <c r="P2771">
        <v>-7.7324231194419002E-2</v>
      </c>
      <c r="Q2771">
        <v>0.199305189646905</v>
      </c>
      <c r="R2771">
        <v>0.96941972956418299</v>
      </c>
      <c r="S2771" t="s">
        <v>8632</v>
      </c>
      <c r="T2771" t="s">
        <v>11720</v>
      </c>
      <c r="U2771" t="s">
        <v>11720</v>
      </c>
      <c r="V2771" t="s">
        <v>11720</v>
      </c>
      <c r="W2771" t="s">
        <v>14445</v>
      </c>
      <c r="X2771">
        <v>8</v>
      </c>
      <c r="Y2771" t="s">
        <v>20187</v>
      </c>
      <c r="Z2771" t="s">
        <v>25978</v>
      </c>
      <c r="AA2771">
        <v>0.58236685557549184</v>
      </c>
      <c r="AB2771" t="str">
        <f>HYPERLINK("Melting_Curves/meltCurve_P62241_RPS8.pdf", "Melting_Curves/meltCurve_P62241_RPS8.pdf")</f>
        <v>Melting_Curves/meltCurve_P62241_RPS8.pdf</v>
      </c>
    </row>
    <row r="2772" spans="1:28" x14ac:dyDescent="0.25">
      <c r="A2772" t="s">
        <v>2776</v>
      </c>
      <c r="B2772">
        <v>0.99334974765950101</v>
      </c>
      <c r="C2772">
        <v>1.1678297809209801</v>
      </c>
      <c r="D2772">
        <v>1.07876499036645</v>
      </c>
      <c r="E2772">
        <v>1.0992395454280499</v>
      </c>
      <c r="F2772">
        <v>0.73230889851863701</v>
      </c>
      <c r="G2772">
        <v>0.53485920576079404</v>
      </c>
      <c r="H2772">
        <v>0.29976441525396003</v>
      </c>
      <c r="I2772">
        <v>0.29544113435136099</v>
      </c>
      <c r="J2772">
        <v>0.21307657368448299</v>
      </c>
      <c r="K2772">
        <v>0.13309131843466701</v>
      </c>
      <c r="L2772">
        <v>1249.21119907446</v>
      </c>
      <c r="M2772">
        <v>22.272428890098301</v>
      </c>
      <c r="N2772">
        <v>57.2786218954178</v>
      </c>
      <c r="O2772">
        <v>55.641505202421797</v>
      </c>
      <c r="P2772">
        <v>-8.1527741951494995E-2</v>
      </c>
      <c r="Q2772">
        <v>0.18531923888552099</v>
      </c>
      <c r="R2772">
        <v>0.950160160762753</v>
      </c>
      <c r="S2772" t="s">
        <v>8633</v>
      </c>
      <c r="T2772" t="s">
        <v>11720</v>
      </c>
      <c r="U2772" t="s">
        <v>11720</v>
      </c>
      <c r="V2772" t="s">
        <v>11720</v>
      </c>
      <c r="W2772" t="s">
        <v>14446</v>
      </c>
      <c r="X2772">
        <v>2</v>
      </c>
      <c r="Y2772" t="s">
        <v>20188</v>
      </c>
      <c r="Z2772" t="s">
        <v>25979</v>
      </c>
      <c r="AA2772">
        <v>0.63116669803331882</v>
      </c>
      <c r="AB2772" t="str">
        <f>HYPERLINK("Melting_Curves/meltCurve_P62249_RPS16.pdf", "Melting_Curves/meltCurve_P62249_RPS16.pdf")</f>
        <v>Melting_Curves/meltCurve_P62249_RPS16.pdf</v>
      </c>
    </row>
    <row r="2773" spans="1:28" x14ac:dyDescent="0.25">
      <c r="A2773" t="s">
        <v>2777</v>
      </c>
      <c r="B2773">
        <v>0.99334974765950101</v>
      </c>
      <c r="C2773">
        <v>1.0101231886804101</v>
      </c>
      <c r="D2773">
        <v>0.92674326364036497</v>
      </c>
      <c r="E2773">
        <v>0.83093923119489399</v>
      </c>
      <c r="F2773">
        <v>0.86942702650055503</v>
      </c>
      <c r="G2773">
        <v>0.458516955806615</v>
      </c>
      <c r="H2773">
        <v>0.312291919502381</v>
      </c>
      <c r="I2773">
        <v>0.25412117883300001</v>
      </c>
      <c r="J2773">
        <v>0.247742489239134</v>
      </c>
      <c r="K2773">
        <v>0.24082857867011501</v>
      </c>
      <c r="L2773">
        <v>1187.4620908043801</v>
      </c>
      <c r="M2773">
        <v>21.452296326638201</v>
      </c>
      <c r="N2773">
        <v>56.904007911958701</v>
      </c>
      <c r="O2773">
        <v>54.879342353595199</v>
      </c>
      <c r="P2773">
        <v>-7.6099887064591407E-2</v>
      </c>
      <c r="Q2773">
        <v>0.22130318168822499</v>
      </c>
      <c r="R2773">
        <v>0.97792826488726403</v>
      </c>
      <c r="S2773" t="s">
        <v>8634</v>
      </c>
      <c r="T2773" t="s">
        <v>11720</v>
      </c>
      <c r="U2773" t="s">
        <v>11720</v>
      </c>
      <c r="V2773" t="s">
        <v>11720</v>
      </c>
      <c r="W2773" t="s">
        <v>14447</v>
      </c>
      <c r="X2773">
        <v>3</v>
      </c>
      <c r="Y2773" t="s">
        <v>20189</v>
      </c>
      <c r="Z2773" t="s">
        <v>25980</v>
      </c>
      <c r="AA2773">
        <v>0.6290705369922569</v>
      </c>
      <c r="AB2773" t="str">
        <f>HYPERLINK("Melting_Curves/meltCurve_P62253_UBE2G1.pdf", "Melting_Curves/meltCurve_P62253_UBE2G1.pdf")</f>
        <v>Melting_Curves/meltCurve_P62253_UBE2G1.pdf</v>
      </c>
    </row>
    <row r="2774" spans="1:28" x14ac:dyDescent="0.25">
      <c r="A2774" t="s">
        <v>2778</v>
      </c>
      <c r="B2774">
        <v>0.99334974765950101</v>
      </c>
      <c r="C2774">
        <v>0.96385956661023398</v>
      </c>
      <c r="D2774">
        <v>0.99293366400027705</v>
      </c>
      <c r="E2774">
        <v>0.876614940828781</v>
      </c>
      <c r="F2774">
        <v>0.88220950072610005</v>
      </c>
      <c r="G2774">
        <v>0.74150965348443898</v>
      </c>
      <c r="H2774">
        <v>0.32626577076337898</v>
      </c>
      <c r="I2774">
        <v>0.155583711464372</v>
      </c>
      <c r="J2774">
        <v>0.102915765439842</v>
      </c>
      <c r="K2774">
        <v>7.2601041173924297E-2</v>
      </c>
      <c r="L2774">
        <v>1242.9320195852799</v>
      </c>
      <c r="M2774">
        <v>21.0614238790175</v>
      </c>
      <c r="N2774">
        <v>59.138124749360003</v>
      </c>
      <c r="O2774">
        <v>58.490323761236297</v>
      </c>
      <c r="P2774">
        <v>-8.8086557833961895E-2</v>
      </c>
      <c r="Q2774">
        <v>2.1514471062023199E-2</v>
      </c>
      <c r="R2774">
        <v>0.98749035884006098</v>
      </c>
      <c r="S2774" t="s">
        <v>8635</v>
      </c>
      <c r="T2774" t="s">
        <v>11720</v>
      </c>
      <c r="U2774" t="s">
        <v>11720</v>
      </c>
      <c r="V2774" t="s">
        <v>11720</v>
      </c>
      <c r="W2774" t="s">
        <v>14448</v>
      </c>
      <c r="X2774">
        <v>30</v>
      </c>
      <c r="Y2774" t="s">
        <v>20190</v>
      </c>
      <c r="Z2774" t="s">
        <v>25981</v>
      </c>
      <c r="AA2774">
        <v>0.65117909640122051</v>
      </c>
      <c r="AB2774" t="str">
        <f>HYPERLINK("Melting_Curves/meltCurve_P62258_YWHAE.pdf", "Melting_Curves/meltCurve_P62258_YWHAE.pdf")</f>
        <v>Melting_Curves/meltCurve_P62258_YWHAE.pdf</v>
      </c>
    </row>
    <row r="2775" spans="1:28" x14ac:dyDescent="0.25">
      <c r="A2775" t="s">
        <v>2779</v>
      </c>
      <c r="B2775">
        <v>0.99334974765950101</v>
      </c>
      <c r="C2775">
        <v>0.94520106264266301</v>
      </c>
      <c r="D2775">
        <v>0.74839525957909003</v>
      </c>
      <c r="E2775">
        <v>0.54616818401256095</v>
      </c>
      <c r="F2775">
        <v>0.43644810329413097</v>
      </c>
      <c r="G2775">
        <v>0.27541765818696201</v>
      </c>
      <c r="H2775">
        <v>0.19552052794602601</v>
      </c>
      <c r="I2775">
        <v>0.18048990595077999</v>
      </c>
      <c r="J2775">
        <v>0.18447666989223799</v>
      </c>
      <c r="K2775">
        <v>0.14794438314531799</v>
      </c>
      <c r="L2775">
        <v>660.58804651902096</v>
      </c>
      <c r="M2775">
        <v>13.265958142506401</v>
      </c>
      <c r="N2775">
        <v>51.063526229610098</v>
      </c>
      <c r="O2775">
        <v>48.705001498576202</v>
      </c>
      <c r="P2775">
        <v>-5.8548795331213599E-2</v>
      </c>
      <c r="Q2775">
        <v>0.140309755517255</v>
      </c>
      <c r="R2775">
        <v>0.99491920828409497</v>
      </c>
      <c r="S2775" t="s">
        <v>8636</v>
      </c>
      <c r="T2775" t="s">
        <v>11720</v>
      </c>
      <c r="U2775" t="s">
        <v>11720</v>
      </c>
      <c r="V2775" t="s">
        <v>11720</v>
      </c>
      <c r="W2775" t="s">
        <v>14449</v>
      </c>
      <c r="X2775">
        <v>8</v>
      </c>
      <c r="Y2775" t="s">
        <v>20191</v>
      </c>
      <c r="Z2775" t="s">
        <v>25982</v>
      </c>
      <c r="AA2775">
        <v>0.44657990068761588</v>
      </c>
      <c r="AB2775" t="str">
        <f>HYPERLINK("Melting_Curves/meltCurve_P62263_RPS14.pdf", "Melting_Curves/meltCurve_P62263_RPS14.pdf")</f>
        <v>Melting_Curves/meltCurve_P62263_RPS14.pdf</v>
      </c>
    </row>
    <row r="2776" spans="1:28" x14ac:dyDescent="0.25">
      <c r="A2776" t="s">
        <v>2780</v>
      </c>
      <c r="B2776">
        <v>0.99334974765950101</v>
      </c>
      <c r="C2776">
        <v>1.0450051740088899</v>
      </c>
      <c r="D2776">
        <v>0.7856861902019</v>
      </c>
      <c r="E2776">
        <v>0.65117728094435401</v>
      </c>
      <c r="F2776">
        <v>0.36192993996487699</v>
      </c>
      <c r="G2776">
        <v>0.27209732226366601</v>
      </c>
      <c r="H2776">
        <v>0.18274535258706501</v>
      </c>
      <c r="I2776">
        <v>0.19315152572392499</v>
      </c>
      <c r="J2776">
        <v>0.18572255432880599</v>
      </c>
      <c r="K2776">
        <v>0.14845808158127399</v>
      </c>
      <c r="L2776">
        <v>882.26445653686596</v>
      </c>
      <c r="M2776">
        <v>17.559173287340801</v>
      </c>
      <c r="N2776">
        <v>51.381805451168098</v>
      </c>
      <c r="O2776">
        <v>49.607124335392903</v>
      </c>
      <c r="P2776">
        <v>-7.4254062414699895E-2</v>
      </c>
      <c r="Q2776">
        <v>0.16093320686491999</v>
      </c>
      <c r="R2776">
        <v>0.98364369921671502</v>
      </c>
      <c r="S2776" t="s">
        <v>8637</v>
      </c>
      <c r="T2776" t="s">
        <v>11720</v>
      </c>
      <c r="U2776" t="s">
        <v>11720</v>
      </c>
      <c r="V2776" t="s">
        <v>11720</v>
      </c>
      <c r="W2776" t="s">
        <v>14450</v>
      </c>
      <c r="X2776">
        <v>7</v>
      </c>
      <c r="Y2776" t="s">
        <v>20192</v>
      </c>
      <c r="Z2776" t="s">
        <v>25983</v>
      </c>
      <c r="AA2776">
        <v>0.46242136727935029</v>
      </c>
      <c r="AB2776" t="str">
        <f>HYPERLINK("Melting_Curves/meltCurve_P62269_RPS18.pdf", "Melting_Curves/meltCurve_P62269_RPS18.pdf")</f>
        <v>Melting_Curves/meltCurve_P62269_RPS18.pdf</v>
      </c>
    </row>
    <row r="2777" spans="1:28" x14ac:dyDescent="0.25">
      <c r="A2777" t="s">
        <v>2781</v>
      </c>
      <c r="B2777">
        <v>0.99334974765950101</v>
      </c>
      <c r="C2777">
        <v>0.98612268419301796</v>
      </c>
      <c r="D2777">
        <v>0.94620446133401304</v>
      </c>
      <c r="E2777">
        <v>0.95278226474250205</v>
      </c>
      <c r="F2777">
        <v>0.52849279242972802</v>
      </c>
      <c r="G2777">
        <v>0.34510684425390398</v>
      </c>
      <c r="H2777">
        <v>0.24360990297099899</v>
      </c>
      <c r="I2777">
        <v>0.38952074875373199</v>
      </c>
      <c r="J2777">
        <v>0.45391556226865798</v>
      </c>
      <c r="K2777">
        <v>0.49151283910739602</v>
      </c>
      <c r="L2777">
        <v>3314.6888993832099</v>
      </c>
      <c r="M2777">
        <v>63.745928226455099</v>
      </c>
      <c r="N2777">
        <v>53.2223244532438</v>
      </c>
      <c r="O2777">
        <v>51.9473247108319</v>
      </c>
      <c r="P2777">
        <v>-0.18880458385204399</v>
      </c>
      <c r="Q2777">
        <v>0.38456350305714898</v>
      </c>
      <c r="R2777">
        <v>0.94946250075207195</v>
      </c>
      <c r="S2777" t="s">
        <v>8638</v>
      </c>
      <c r="T2777" t="s">
        <v>11720</v>
      </c>
      <c r="U2777" t="s">
        <v>11720</v>
      </c>
      <c r="V2777" t="s">
        <v>11720</v>
      </c>
      <c r="W2777" t="s">
        <v>14451</v>
      </c>
      <c r="X2777">
        <v>3</v>
      </c>
      <c r="Y2777" t="s">
        <v>20193</v>
      </c>
      <c r="Z2777" t="s">
        <v>25984</v>
      </c>
      <c r="AA2777">
        <v>0.63157270690505707</v>
      </c>
      <c r="AB2777" t="str">
        <f>HYPERLINK("Melting_Curves/meltCurve_P62273_RPS29.pdf", "Melting_Curves/meltCurve_P62273_RPS29.pdf")</f>
        <v>Melting_Curves/meltCurve_P62273_RPS29.pdf</v>
      </c>
    </row>
    <row r="2778" spans="1:28" x14ac:dyDescent="0.25">
      <c r="A2778" t="s">
        <v>2782</v>
      </c>
      <c r="B2778">
        <v>0.99334974765950101</v>
      </c>
      <c r="C2778">
        <v>1.2418800840672</v>
      </c>
      <c r="D2778">
        <v>1.0911349261337699</v>
      </c>
      <c r="E2778">
        <v>1.1919195249349701</v>
      </c>
      <c r="F2778">
        <v>0.86710408470455003</v>
      </c>
      <c r="G2778">
        <v>0.54942329608518004</v>
      </c>
      <c r="H2778">
        <v>0.30318958215064801</v>
      </c>
      <c r="I2778">
        <v>0.25078905139699897</v>
      </c>
      <c r="J2778">
        <v>0.19194455766108801</v>
      </c>
      <c r="K2778">
        <v>0.16292380712495799</v>
      </c>
      <c r="L2778">
        <v>1708.0362228194299</v>
      </c>
      <c r="M2778">
        <v>30.156845197379301</v>
      </c>
      <c r="N2778">
        <v>57.584378867269102</v>
      </c>
      <c r="O2778">
        <v>56.391121988817901</v>
      </c>
      <c r="P2778">
        <v>-0.107580417048992</v>
      </c>
      <c r="Q2778">
        <v>0.19533470947366899</v>
      </c>
      <c r="R2778">
        <v>0.93380708972159998</v>
      </c>
      <c r="S2778" t="s">
        <v>8639</v>
      </c>
      <c r="T2778" t="s">
        <v>11720</v>
      </c>
      <c r="U2778" t="s">
        <v>11720</v>
      </c>
      <c r="V2778" t="s">
        <v>11720</v>
      </c>
      <c r="W2778" t="s">
        <v>14452</v>
      </c>
      <c r="X2778">
        <v>5</v>
      </c>
      <c r="Y2778" t="s">
        <v>20194</v>
      </c>
      <c r="Z2778" t="s">
        <v>25985</v>
      </c>
      <c r="AA2778">
        <v>0.64692981881567124</v>
      </c>
      <c r="AB2778" t="str">
        <f>HYPERLINK("Melting_Curves/meltCurve_P62277_RPS13.pdf", "Melting_Curves/meltCurve_P62277_RPS13.pdf")</f>
        <v>Melting_Curves/meltCurve_P62277_RPS13.pdf</v>
      </c>
    </row>
    <row r="2779" spans="1:28" x14ac:dyDescent="0.25">
      <c r="A2779" t="s">
        <v>2783</v>
      </c>
      <c r="B2779">
        <v>0.99334974765950101</v>
      </c>
      <c r="C2779">
        <v>1.1175231902971801</v>
      </c>
      <c r="D2779">
        <v>0.91361549325835401</v>
      </c>
      <c r="E2779">
        <v>0.90972092472674504</v>
      </c>
      <c r="F2779">
        <v>0.71508425791450203</v>
      </c>
      <c r="G2779">
        <v>0.43455536088226399</v>
      </c>
      <c r="H2779">
        <v>0.24513365160495099</v>
      </c>
      <c r="I2779">
        <v>0.196389407556322</v>
      </c>
      <c r="J2779">
        <v>0.19367131786660499</v>
      </c>
      <c r="K2779">
        <v>0.154252952910888</v>
      </c>
      <c r="L2779">
        <v>1087.70040521754</v>
      </c>
      <c r="M2779">
        <v>19.810162552120701</v>
      </c>
      <c r="N2779">
        <v>55.929675409909201</v>
      </c>
      <c r="O2779">
        <v>54.355873049635697</v>
      </c>
      <c r="P2779">
        <v>-7.7263069869354106E-2</v>
      </c>
      <c r="Q2779">
        <v>0.15203934880053199</v>
      </c>
      <c r="R2779">
        <v>0.98456586025088499</v>
      </c>
      <c r="S2779" t="s">
        <v>8640</v>
      </c>
      <c r="T2779" t="s">
        <v>11720</v>
      </c>
      <c r="U2779" t="s">
        <v>11720</v>
      </c>
      <c r="V2779" t="s">
        <v>11720</v>
      </c>
      <c r="W2779" t="s">
        <v>14453</v>
      </c>
      <c r="X2779">
        <v>6</v>
      </c>
      <c r="Y2779" t="s">
        <v>20195</v>
      </c>
      <c r="Z2779" t="s">
        <v>25986</v>
      </c>
      <c r="AA2779">
        <v>0.58484853847013818</v>
      </c>
      <c r="AB2779" t="str">
        <f>HYPERLINK("Melting_Curves/meltCurve_P62280_RPS11.pdf", "Melting_Curves/meltCurve_P62280_RPS11.pdf")</f>
        <v>Melting_Curves/meltCurve_P62280_RPS11.pdf</v>
      </c>
    </row>
    <row r="2780" spans="1:28" x14ac:dyDescent="0.25">
      <c r="A2780" t="s">
        <v>2784</v>
      </c>
      <c r="B2780">
        <v>0.99334974765950101</v>
      </c>
      <c r="C2780">
        <v>0.99236209268859199</v>
      </c>
      <c r="D2780">
        <v>1.0928430128015001</v>
      </c>
      <c r="E2780">
        <v>1.3019879222298301</v>
      </c>
      <c r="F2780">
        <v>1.4230281629163599</v>
      </c>
      <c r="G2780">
        <v>1.11062700398465</v>
      </c>
      <c r="H2780">
        <v>0.98264064518335903</v>
      </c>
      <c r="I2780">
        <v>1.0240592509395801</v>
      </c>
      <c r="J2780">
        <v>1.07149036484089</v>
      </c>
      <c r="K2780">
        <v>0.67182653824430105</v>
      </c>
      <c r="L2780">
        <v>15000</v>
      </c>
      <c r="M2780">
        <v>213.56920749607701</v>
      </c>
      <c r="Q2780">
        <v>0</v>
      </c>
      <c r="R2780">
        <v>0.17626362257030001</v>
      </c>
      <c r="S2780" t="s">
        <v>8641</v>
      </c>
      <c r="T2780" t="s">
        <v>11720</v>
      </c>
      <c r="U2780" t="s">
        <v>11720</v>
      </c>
      <c r="V2780" t="s">
        <v>11720</v>
      </c>
      <c r="W2780" t="s">
        <v>14454</v>
      </c>
      <c r="X2780">
        <v>3</v>
      </c>
      <c r="Y2780" t="s">
        <v>20196</v>
      </c>
      <c r="Z2780" t="s">
        <v>25987</v>
      </c>
      <c r="AA2780">
        <v>0.99571303717425474</v>
      </c>
      <c r="AB2780" t="str">
        <f>HYPERLINK("Melting_Curves/meltCurve_P62304_SNRPE.pdf", "Melting_Curves/meltCurve_P62304_SNRPE.pdf")</f>
        <v>Melting_Curves/meltCurve_P62304_SNRPE.pdf</v>
      </c>
    </row>
    <row r="2781" spans="1:28" x14ac:dyDescent="0.25">
      <c r="A2781" t="s">
        <v>2785</v>
      </c>
      <c r="B2781">
        <v>0.99334974765950101</v>
      </c>
      <c r="C2781">
        <v>1.1026009459945301</v>
      </c>
      <c r="D2781">
        <v>1.05489409226927</v>
      </c>
      <c r="E2781">
        <v>1.0722720633295399</v>
      </c>
      <c r="F2781">
        <v>1.95582489245545</v>
      </c>
      <c r="G2781">
        <v>2.3080952412529299</v>
      </c>
      <c r="H2781">
        <v>2.1914346231356001</v>
      </c>
      <c r="I2781">
        <v>3.2790544330604101</v>
      </c>
      <c r="J2781">
        <v>2.6598588095351401</v>
      </c>
      <c r="K2781">
        <v>1.76524653454905</v>
      </c>
      <c r="L2781">
        <v>12588.8917260368</v>
      </c>
      <c r="M2781">
        <v>250</v>
      </c>
      <c r="O2781">
        <v>50.3523459051681</v>
      </c>
      <c r="P2781">
        <v>0.620626514173507</v>
      </c>
      <c r="Q2781">
        <v>1.5</v>
      </c>
      <c r="R2781">
        <v>-6.4999851869108199E-2</v>
      </c>
      <c r="S2781" t="s">
        <v>8642</v>
      </c>
      <c r="T2781" t="s">
        <v>11720</v>
      </c>
      <c r="U2781" t="s">
        <v>11720</v>
      </c>
      <c r="V2781" t="s">
        <v>11720</v>
      </c>
      <c r="W2781" t="s">
        <v>14455</v>
      </c>
      <c r="X2781">
        <v>2</v>
      </c>
      <c r="Y2781" t="s">
        <v>20197</v>
      </c>
      <c r="Z2781" t="s">
        <v>25988</v>
      </c>
      <c r="AA2781">
        <v>1.327363031646108</v>
      </c>
      <c r="AB2781" t="str">
        <f>HYPERLINK("Melting_Curves/meltCurve_P62306_SNRPF.pdf", "Melting_Curves/meltCurve_P62306_SNRPF.pdf")</f>
        <v>Melting_Curves/meltCurve_P62306_SNRPF.pdf</v>
      </c>
    </row>
    <row r="2782" spans="1:28" x14ac:dyDescent="0.25">
      <c r="A2782" t="s">
        <v>2786</v>
      </c>
      <c r="B2782">
        <v>0.99334974765950101</v>
      </c>
      <c r="C2782">
        <v>1.01064823999287</v>
      </c>
      <c r="D2782">
        <v>1.0476332999401901</v>
      </c>
      <c r="E2782">
        <v>1.0512081976188099</v>
      </c>
      <c r="F2782">
        <v>1.6637524203945999</v>
      </c>
      <c r="G2782">
        <v>1.97818567508305</v>
      </c>
      <c r="H2782">
        <v>1.6161146157101201</v>
      </c>
      <c r="I2782">
        <v>2.0865466806103901</v>
      </c>
      <c r="J2782">
        <v>1.7100022688783201</v>
      </c>
      <c r="K2782">
        <v>1.24261993343731</v>
      </c>
      <c r="L2782">
        <v>12608.5228461102</v>
      </c>
      <c r="M2782">
        <v>250</v>
      </c>
      <c r="O2782">
        <v>50.430883456942603</v>
      </c>
      <c r="P2782">
        <v>0.61966021447715303</v>
      </c>
      <c r="Q2782">
        <v>1.5</v>
      </c>
      <c r="R2782">
        <v>0.54341467768151897</v>
      </c>
      <c r="S2782" t="s">
        <v>8643</v>
      </c>
      <c r="T2782" t="s">
        <v>11720</v>
      </c>
      <c r="U2782" t="s">
        <v>11720</v>
      </c>
      <c r="V2782" t="s">
        <v>11720</v>
      </c>
      <c r="W2782" t="s">
        <v>14456</v>
      </c>
      <c r="X2782">
        <v>3</v>
      </c>
      <c r="Y2782" t="s">
        <v>20198</v>
      </c>
      <c r="Z2782" t="s">
        <v>25989</v>
      </c>
      <c r="AA2782">
        <v>1.3260542214032609</v>
      </c>
      <c r="AB2782" t="str">
        <f>HYPERLINK("Melting_Curves/meltCurve_P62308_SNRPG.pdf", "Melting_Curves/meltCurve_P62308_SNRPG.pdf")</f>
        <v>Melting_Curves/meltCurve_P62308_SNRPG.pdf</v>
      </c>
    </row>
    <row r="2783" spans="1:28" x14ac:dyDescent="0.25">
      <c r="A2783" t="s">
        <v>2787</v>
      </c>
      <c r="B2783">
        <v>0.99334974765950101</v>
      </c>
      <c r="C2783">
        <v>0.94650900667950499</v>
      </c>
      <c r="D2783">
        <v>0.94983068614950505</v>
      </c>
      <c r="E2783">
        <v>0.86135092854697204</v>
      </c>
      <c r="F2783">
        <v>0.660277389630058</v>
      </c>
      <c r="G2783">
        <v>0.61862138147291001</v>
      </c>
      <c r="H2783">
        <v>0.59415660938846904</v>
      </c>
      <c r="I2783">
        <v>0.67945260078805703</v>
      </c>
      <c r="J2783">
        <v>0.73962378102798199</v>
      </c>
      <c r="K2783">
        <v>0.70927030901869603</v>
      </c>
      <c r="L2783">
        <v>12516.911596923601</v>
      </c>
      <c r="M2783">
        <v>250</v>
      </c>
      <c r="O2783">
        <v>50.064442562175699</v>
      </c>
      <c r="P2783">
        <v>-0.41583868090451998</v>
      </c>
      <c r="Q2783">
        <v>0.666900293448763</v>
      </c>
      <c r="R2783">
        <v>0.89841679421919796</v>
      </c>
      <c r="S2783" t="s">
        <v>8644</v>
      </c>
      <c r="T2783" t="s">
        <v>11720</v>
      </c>
      <c r="U2783" t="s">
        <v>11720</v>
      </c>
      <c r="V2783" t="s">
        <v>11720</v>
      </c>
      <c r="W2783" t="s">
        <v>14457</v>
      </c>
      <c r="X2783">
        <v>3</v>
      </c>
      <c r="Y2783" t="s">
        <v>20199</v>
      </c>
      <c r="Z2783" t="s">
        <v>25990</v>
      </c>
      <c r="AA2783">
        <v>0.77871389748060849</v>
      </c>
      <c r="AB2783" t="str">
        <f>HYPERLINK("Melting_Curves/meltCurve_P62310_LSM3.pdf", "Melting_Curves/meltCurve_P62310_LSM3.pdf")</f>
        <v>Melting_Curves/meltCurve_P62310_LSM3.pdf</v>
      </c>
    </row>
    <row r="2784" spans="1:28" x14ac:dyDescent="0.25">
      <c r="A2784" t="s">
        <v>2788</v>
      </c>
      <c r="B2784">
        <v>0.99334974765950101</v>
      </c>
      <c r="C2784">
        <v>1.0096680330294601</v>
      </c>
      <c r="D2784">
        <v>1.00376136121641</v>
      </c>
      <c r="E2784">
        <v>1.0685555610342099</v>
      </c>
      <c r="F2784">
        <v>1.0598983421672801</v>
      </c>
      <c r="G2784">
        <v>1.0510118975917999</v>
      </c>
      <c r="H2784">
        <v>1.0283683821605101</v>
      </c>
      <c r="I2784">
        <v>1.1612892403285799</v>
      </c>
      <c r="J2784">
        <v>1.1316362974041001</v>
      </c>
      <c r="K2784">
        <v>1.0275012468912299</v>
      </c>
      <c r="L2784">
        <v>689.31100386508194</v>
      </c>
      <c r="M2784">
        <v>13.756961238308699</v>
      </c>
      <c r="O2784">
        <v>49.083167753010699</v>
      </c>
      <c r="P2784">
        <v>6.1934902499429303E-3</v>
      </c>
      <c r="Q2784">
        <v>1.08837796274399</v>
      </c>
      <c r="R2784">
        <v>0.41817448303133198</v>
      </c>
      <c r="S2784" t="s">
        <v>8645</v>
      </c>
      <c r="T2784" t="s">
        <v>11720</v>
      </c>
      <c r="U2784" t="s">
        <v>11720</v>
      </c>
      <c r="V2784" t="s">
        <v>11720</v>
      </c>
      <c r="W2784" t="s">
        <v>14458</v>
      </c>
      <c r="X2784">
        <v>7</v>
      </c>
      <c r="Y2784" t="s">
        <v>20200</v>
      </c>
      <c r="Z2784" t="s">
        <v>25991</v>
      </c>
      <c r="AA2784">
        <v>1.056167764897413</v>
      </c>
      <c r="AB2784" t="str">
        <f>HYPERLINK("Melting_Curves/meltCurve_P62312_LSM6.pdf", "Melting_Curves/meltCurve_P62312_LSM6.pdf")</f>
        <v>Melting_Curves/meltCurve_P62312_LSM6.pdf</v>
      </c>
    </row>
    <row r="2785" spans="1:28" x14ac:dyDescent="0.25">
      <c r="A2785" t="s">
        <v>2789</v>
      </c>
      <c r="B2785">
        <v>0.99334974765950101</v>
      </c>
      <c r="C2785">
        <v>1.2739195366480001</v>
      </c>
      <c r="D2785">
        <v>1.51158485739325</v>
      </c>
      <c r="E2785">
        <v>1.6552315174580601</v>
      </c>
      <c r="F2785">
        <v>3.0814027485453002</v>
      </c>
      <c r="G2785">
        <v>4.23888842775564</v>
      </c>
      <c r="H2785">
        <v>3.6456581327677302</v>
      </c>
      <c r="I2785">
        <v>4.3463302832778696</v>
      </c>
      <c r="J2785">
        <v>2.7841306027363402</v>
      </c>
      <c r="K2785">
        <v>1.9816241033500399</v>
      </c>
      <c r="L2785">
        <v>9927.1464209387505</v>
      </c>
      <c r="M2785">
        <v>231.59396273276201</v>
      </c>
      <c r="O2785">
        <v>42.861243861582302</v>
      </c>
      <c r="P2785">
        <v>0.67541770307072302</v>
      </c>
      <c r="Q2785">
        <v>1.5</v>
      </c>
      <c r="R2785">
        <v>-0.77451051891504696</v>
      </c>
      <c r="S2785" t="s">
        <v>8646</v>
      </c>
      <c r="T2785" t="s">
        <v>11720</v>
      </c>
      <c r="U2785" t="s">
        <v>11720</v>
      </c>
      <c r="V2785" t="s">
        <v>11720</v>
      </c>
      <c r="W2785" t="s">
        <v>14459</v>
      </c>
      <c r="X2785">
        <v>2</v>
      </c>
      <c r="Y2785" t="s">
        <v>20201</v>
      </c>
      <c r="Z2785" t="s">
        <v>25992</v>
      </c>
      <c r="AA2785">
        <v>1.4522154372720231</v>
      </c>
      <c r="AB2785" t="str">
        <f>HYPERLINK("Melting_Curves/meltCurve_P62314_SNRPD1.pdf", "Melting_Curves/meltCurve_P62314_SNRPD1.pdf")</f>
        <v>Melting_Curves/meltCurve_P62314_SNRPD1.pdf</v>
      </c>
    </row>
    <row r="2786" spans="1:28" x14ac:dyDescent="0.25">
      <c r="A2786" t="s">
        <v>2790</v>
      </c>
      <c r="B2786">
        <v>0.99334974765950101</v>
      </c>
      <c r="C2786">
        <v>0.98231834111466598</v>
      </c>
      <c r="D2786">
        <v>0.99189415994450403</v>
      </c>
      <c r="E2786">
        <v>1.05718858023539</v>
      </c>
      <c r="F2786">
        <v>1.7285920427555601</v>
      </c>
      <c r="G2786">
        <v>1.8867740380850699</v>
      </c>
      <c r="H2786">
        <v>1.60667489053957</v>
      </c>
      <c r="I2786">
        <v>2.2118446546770598</v>
      </c>
      <c r="J2786">
        <v>1.4910425479288301</v>
      </c>
      <c r="K2786">
        <v>0.86275911679948702</v>
      </c>
      <c r="L2786">
        <v>12602.3291290455</v>
      </c>
      <c r="M2786">
        <v>250</v>
      </c>
      <c r="O2786">
        <v>50.406066949738602</v>
      </c>
      <c r="P2786">
        <v>0.61996476066500406</v>
      </c>
      <c r="Q2786">
        <v>1.5</v>
      </c>
      <c r="R2786">
        <v>0.42641556635655797</v>
      </c>
      <c r="S2786" t="s">
        <v>8647</v>
      </c>
      <c r="T2786" t="s">
        <v>11720</v>
      </c>
      <c r="U2786" t="s">
        <v>11720</v>
      </c>
      <c r="V2786" t="s">
        <v>11720</v>
      </c>
      <c r="W2786" t="s">
        <v>14460</v>
      </c>
      <c r="X2786">
        <v>15</v>
      </c>
      <c r="Y2786" t="s">
        <v>20202</v>
      </c>
      <c r="Z2786" t="s">
        <v>25993</v>
      </c>
      <c r="AA2786">
        <v>1.326467157613995</v>
      </c>
      <c r="AB2786" t="str">
        <f>HYPERLINK("Melting_Curves/meltCurve_P62316_SNRPD2.pdf", "Melting_Curves/meltCurve_P62316_SNRPD2.pdf")</f>
        <v>Melting_Curves/meltCurve_P62316_SNRPD2.pdf</v>
      </c>
    </row>
    <row r="2787" spans="1:28" x14ac:dyDescent="0.25">
      <c r="A2787" t="s">
        <v>2791</v>
      </c>
      <c r="B2787">
        <v>0.99334974765950101</v>
      </c>
      <c r="C2787">
        <v>1.045704347781</v>
      </c>
      <c r="D2787">
        <v>0.82212931875199902</v>
      </c>
      <c r="E2787">
        <v>0.84161312094872498</v>
      </c>
      <c r="F2787">
        <v>0.93319558655983503</v>
      </c>
      <c r="G2787">
        <v>0.85231893043090901</v>
      </c>
      <c r="H2787">
        <v>0.87666106595020199</v>
      </c>
      <c r="I2787">
        <v>1.75782167771999</v>
      </c>
      <c r="J2787">
        <v>1.20866497268256</v>
      </c>
      <c r="K2787">
        <v>1.0631951009213201</v>
      </c>
      <c r="L2787">
        <v>15000</v>
      </c>
      <c r="M2787">
        <v>240.74158862231701</v>
      </c>
      <c r="O2787">
        <v>62.303170897139204</v>
      </c>
      <c r="P2787">
        <v>0.33129001261782598</v>
      </c>
      <c r="Q2787">
        <v>1.3429472917718299</v>
      </c>
      <c r="R2787">
        <v>0.47674259458643797</v>
      </c>
      <c r="S2787" t="s">
        <v>8648</v>
      </c>
      <c r="T2787" t="s">
        <v>11720</v>
      </c>
      <c r="U2787" t="s">
        <v>11720</v>
      </c>
      <c r="V2787" t="s">
        <v>11720</v>
      </c>
      <c r="W2787" t="s">
        <v>14461</v>
      </c>
      <c r="X2787">
        <v>10</v>
      </c>
      <c r="Y2787" t="s">
        <v>20203</v>
      </c>
      <c r="Z2787" t="s">
        <v>25994</v>
      </c>
      <c r="AA2787">
        <v>1.087897270229518</v>
      </c>
      <c r="AB2787" t="str">
        <f>HYPERLINK("Melting_Curves/meltCurve_P62328_TMSB4X.pdf", "Melting_Curves/meltCurve_P62328_TMSB4X.pdf")</f>
        <v>Melting_Curves/meltCurve_P62328_TMSB4X.pdf</v>
      </c>
    </row>
    <row r="2788" spans="1:28" x14ac:dyDescent="0.25">
      <c r="A2788" t="s">
        <v>2792</v>
      </c>
      <c r="B2788">
        <v>0.99334974765950101</v>
      </c>
      <c r="C2788">
        <v>1.02852545769509</v>
      </c>
      <c r="D2788">
        <v>0.85070338186439698</v>
      </c>
      <c r="E2788">
        <v>0.66927319892447601</v>
      </c>
      <c r="F2788">
        <v>0.39977673874184599</v>
      </c>
      <c r="G2788">
        <v>0.24581471536060301</v>
      </c>
      <c r="H2788">
        <v>0.196070527057428</v>
      </c>
      <c r="I2788">
        <v>0.14150215551541701</v>
      </c>
      <c r="J2788">
        <v>0.122288108666114</v>
      </c>
      <c r="K2788">
        <v>9.6140640508761102E-2</v>
      </c>
      <c r="L2788">
        <v>881.48421887108395</v>
      </c>
      <c r="M2788">
        <v>17.2284781910875</v>
      </c>
      <c r="N2788">
        <v>51.924001131612201</v>
      </c>
      <c r="O2788">
        <v>50.489966767554201</v>
      </c>
      <c r="P2788">
        <v>-7.5808107958760099E-2</v>
      </c>
      <c r="Q2788">
        <v>0.11139582668226899</v>
      </c>
      <c r="R2788">
        <v>0.99370111945322503</v>
      </c>
      <c r="S2788" t="s">
        <v>8649</v>
      </c>
      <c r="T2788" t="s">
        <v>11720</v>
      </c>
      <c r="U2788" t="s">
        <v>11720</v>
      </c>
      <c r="V2788" t="s">
        <v>11720</v>
      </c>
      <c r="W2788" t="s">
        <v>14462</v>
      </c>
      <c r="X2788">
        <v>11</v>
      </c>
      <c r="Y2788" t="s">
        <v>20204</v>
      </c>
      <c r="Z2788" t="s">
        <v>25995</v>
      </c>
      <c r="AA2788">
        <v>0.45823526358385452</v>
      </c>
      <c r="AB2788" t="str">
        <f>HYPERLINK("Melting_Curves/meltCurve_P62330_ARF6.pdf", "Melting_Curves/meltCurve_P62330_ARF6.pdf")</f>
        <v>Melting_Curves/meltCurve_P62330_ARF6.pdf</v>
      </c>
    </row>
    <row r="2789" spans="1:28" x14ac:dyDescent="0.25">
      <c r="A2789" t="s">
        <v>2793</v>
      </c>
      <c r="B2789">
        <v>0.99334974765950101</v>
      </c>
      <c r="C2789">
        <v>1.03291168042537</v>
      </c>
      <c r="D2789">
        <v>1.0442370474365099</v>
      </c>
      <c r="E2789">
        <v>0.91979639005193603</v>
      </c>
      <c r="F2789">
        <v>0.62159937521555297</v>
      </c>
      <c r="G2789">
        <v>0.44417615986588799</v>
      </c>
      <c r="H2789">
        <v>0.18037174003821299</v>
      </c>
      <c r="I2789">
        <v>0.12454885434375999</v>
      </c>
      <c r="J2789">
        <v>0.12969572792353001</v>
      </c>
      <c r="K2789">
        <v>0.10778635687384</v>
      </c>
      <c r="L2789">
        <v>1075.6096898486001</v>
      </c>
      <c r="M2789">
        <v>19.619758178325998</v>
      </c>
      <c r="N2789">
        <v>55.401436809807997</v>
      </c>
      <c r="O2789">
        <v>54.262768931783697</v>
      </c>
      <c r="P2789">
        <v>-8.2020888363078401E-2</v>
      </c>
      <c r="Q2789">
        <v>9.2644408051740706E-2</v>
      </c>
      <c r="R2789">
        <v>0.98882547524461095</v>
      </c>
      <c r="S2789" t="s">
        <v>8650</v>
      </c>
      <c r="T2789" t="s">
        <v>11720</v>
      </c>
      <c r="U2789" t="s">
        <v>11720</v>
      </c>
      <c r="V2789" t="s">
        <v>11720</v>
      </c>
      <c r="W2789" t="s">
        <v>14463</v>
      </c>
      <c r="X2789">
        <v>24</v>
      </c>
      <c r="Y2789" t="s">
        <v>20205</v>
      </c>
      <c r="Z2789" t="s">
        <v>25996</v>
      </c>
      <c r="AA2789">
        <v>0.55345285264668498</v>
      </c>
      <c r="AB2789" t="str">
        <f>HYPERLINK("Melting_Curves/meltCurve_P62333_PSMC6.pdf", "Melting_Curves/meltCurve_P62333_PSMC6.pdf")</f>
        <v>Melting_Curves/meltCurve_P62333_PSMC6.pdf</v>
      </c>
    </row>
    <row r="2790" spans="1:28" x14ac:dyDescent="0.25">
      <c r="A2790" t="s">
        <v>2794</v>
      </c>
      <c r="B2790">
        <v>0.99334974765950101</v>
      </c>
      <c r="C2790">
        <v>0.896279463847244</v>
      </c>
      <c r="D2790">
        <v>0.82802928041610802</v>
      </c>
      <c r="E2790">
        <v>0.53152267275769904</v>
      </c>
      <c r="F2790">
        <v>0.44533309043758101</v>
      </c>
      <c r="G2790">
        <v>0.361203060184491</v>
      </c>
      <c r="H2790">
        <v>0.18508909282908201</v>
      </c>
      <c r="I2790">
        <v>0</v>
      </c>
      <c r="J2790">
        <v>6.4096443681015997E-2</v>
      </c>
      <c r="K2790">
        <v>9.0202391163842599E-2</v>
      </c>
      <c r="L2790">
        <v>563.88284971942301</v>
      </c>
      <c r="M2790">
        <v>10.876786842602</v>
      </c>
      <c r="N2790">
        <v>51.842766948242101</v>
      </c>
      <c r="O2790">
        <v>50.182707325840703</v>
      </c>
      <c r="P2790">
        <v>-5.4205031926527099E-2</v>
      </c>
      <c r="Q2790">
        <v>0</v>
      </c>
      <c r="R2790">
        <v>0.97593934458397902</v>
      </c>
      <c r="S2790" t="s">
        <v>8651</v>
      </c>
      <c r="T2790" t="s">
        <v>11720</v>
      </c>
      <c r="U2790" t="s">
        <v>11720</v>
      </c>
      <c r="V2790" t="s">
        <v>11720</v>
      </c>
      <c r="W2790" t="s">
        <v>14464</v>
      </c>
      <c r="X2790">
        <v>3</v>
      </c>
      <c r="Y2790" t="s">
        <v>20206</v>
      </c>
      <c r="Z2790" t="s">
        <v>25997</v>
      </c>
      <c r="AA2790">
        <v>0.42973920959899659</v>
      </c>
      <c r="AB2790" t="str">
        <f>HYPERLINK("Melting_Curves/meltCurve_P62380_TBPL1.pdf", "Melting_Curves/meltCurve_P62380_TBPL1.pdf")</f>
        <v>Melting_Curves/meltCurve_P62380_TBPL1.pdf</v>
      </c>
    </row>
    <row r="2791" spans="1:28" x14ac:dyDescent="0.25">
      <c r="A2791" t="s">
        <v>2795</v>
      </c>
      <c r="B2791">
        <v>0.99334974765950101</v>
      </c>
      <c r="C2791">
        <v>1.1823366817326699</v>
      </c>
      <c r="D2791">
        <v>0.96459508300444996</v>
      </c>
      <c r="E2791">
        <v>1.13171797381114</v>
      </c>
      <c r="F2791">
        <v>1.04118129405011</v>
      </c>
      <c r="G2791">
        <v>0.98076030881391896</v>
      </c>
      <c r="H2791">
        <v>0.66244977607368805</v>
      </c>
      <c r="I2791">
        <v>0.50308850751453005</v>
      </c>
      <c r="J2791">
        <v>0.399546912987504</v>
      </c>
      <c r="K2791">
        <v>0.31676240318899201</v>
      </c>
      <c r="L2791">
        <v>1938.78266205055</v>
      </c>
      <c r="M2791">
        <v>31.606200303900401</v>
      </c>
      <c r="N2791">
        <v>63.5640940534797</v>
      </c>
      <c r="O2791">
        <v>61.097837367287497</v>
      </c>
      <c r="P2791">
        <v>-8.6081094790899204E-2</v>
      </c>
      <c r="Q2791">
        <v>0.33439113612729698</v>
      </c>
      <c r="R2791">
        <v>0.93539487443625202</v>
      </c>
      <c r="S2791" t="s">
        <v>8652</v>
      </c>
      <c r="T2791" t="s">
        <v>11720</v>
      </c>
      <c r="U2791" t="s">
        <v>11720</v>
      </c>
      <c r="V2791" t="s">
        <v>11720</v>
      </c>
      <c r="W2791" t="s">
        <v>14465</v>
      </c>
      <c r="X2791">
        <v>9</v>
      </c>
      <c r="Y2791" t="s">
        <v>20207</v>
      </c>
      <c r="Z2791" t="s">
        <v>25998</v>
      </c>
      <c r="AA2791">
        <v>0.81124353583535502</v>
      </c>
      <c r="AB2791" t="str">
        <f>HYPERLINK("Melting_Curves/meltCurve_P62424_RPL7A.pdf", "Melting_Curves/meltCurve_P62424_RPL7A.pdf")</f>
        <v>Melting_Curves/meltCurve_P62424_RPL7A.pdf</v>
      </c>
    </row>
    <row r="2792" spans="1:28" x14ac:dyDescent="0.25">
      <c r="A2792" t="s">
        <v>2796</v>
      </c>
      <c r="B2792">
        <v>0.99334974765950101</v>
      </c>
      <c r="C2792">
        <v>0.98376079288590101</v>
      </c>
      <c r="D2792">
        <v>0.91127499552723701</v>
      </c>
      <c r="E2792">
        <v>0.89301394178568805</v>
      </c>
      <c r="F2792">
        <v>1.1065187529498099</v>
      </c>
      <c r="G2792">
        <v>0.75036317615592896</v>
      </c>
      <c r="H2792">
        <v>0.62333345624217795</v>
      </c>
      <c r="I2792">
        <v>0.35547300044862901</v>
      </c>
      <c r="J2792">
        <v>0.36602042840458698</v>
      </c>
      <c r="K2792">
        <v>0.28522936645196101</v>
      </c>
      <c r="L2792">
        <v>1350.39515759696</v>
      </c>
      <c r="M2792">
        <v>22.530793980712801</v>
      </c>
      <c r="N2792">
        <v>62.0651161797066</v>
      </c>
      <c r="O2792">
        <v>59.469393828536397</v>
      </c>
      <c r="P2792">
        <v>-6.9219366906057303E-2</v>
      </c>
      <c r="Q2792">
        <v>0.26920485926362098</v>
      </c>
      <c r="R2792">
        <v>0.93664443093549998</v>
      </c>
      <c r="S2792" t="s">
        <v>8653</v>
      </c>
      <c r="T2792" t="s">
        <v>11720</v>
      </c>
      <c r="U2792" t="s">
        <v>11720</v>
      </c>
      <c r="V2792" t="s">
        <v>11720</v>
      </c>
      <c r="W2792" t="s">
        <v>14466</v>
      </c>
      <c r="X2792">
        <v>4</v>
      </c>
      <c r="Y2792" t="s">
        <v>20208</v>
      </c>
      <c r="Z2792" t="s">
        <v>25999</v>
      </c>
      <c r="AA2792">
        <v>0.76074433560143173</v>
      </c>
      <c r="AB2792" t="str">
        <f>HYPERLINK("Melting_Curves/meltCurve_P62487_POLR2G.pdf", "Melting_Curves/meltCurve_P62487_POLR2G.pdf")</f>
        <v>Melting_Curves/meltCurve_P62487_POLR2G.pdf</v>
      </c>
    </row>
    <row r="2793" spans="1:28" x14ac:dyDescent="0.25">
      <c r="A2793" t="s">
        <v>2797</v>
      </c>
      <c r="B2793">
        <v>0.99334974765950101</v>
      </c>
      <c r="C2793">
        <v>0.91055900602520601</v>
      </c>
      <c r="D2793">
        <v>0.92601278580471003</v>
      </c>
      <c r="E2793">
        <v>0.77588711186892201</v>
      </c>
      <c r="F2793">
        <v>0.19529593018160499</v>
      </c>
      <c r="G2793">
        <v>9.9756093106477706E-2</v>
      </c>
      <c r="H2793">
        <v>6.1610586611246902E-2</v>
      </c>
      <c r="I2793">
        <v>5.3723291877277798E-2</v>
      </c>
      <c r="J2793">
        <v>5.2575596446727803E-2</v>
      </c>
      <c r="K2793">
        <v>4.2943065202340903E-2</v>
      </c>
      <c r="L2793">
        <v>2519.22786948259</v>
      </c>
      <c r="M2793">
        <v>49.254109348299899</v>
      </c>
      <c r="N2793">
        <v>51.280208208082499</v>
      </c>
      <c r="O2793">
        <v>51.063464192574799</v>
      </c>
      <c r="P2793">
        <v>-0.22671947937291001</v>
      </c>
      <c r="Q2793">
        <v>5.9808665571775298E-2</v>
      </c>
      <c r="R2793">
        <v>0.99113693426935801</v>
      </c>
      <c r="S2793" t="s">
        <v>8654</v>
      </c>
      <c r="T2793" t="s">
        <v>11720</v>
      </c>
      <c r="U2793" t="s">
        <v>11720</v>
      </c>
      <c r="V2793" t="s">
        <v>11720</v>
      </c>
      <c r="W2793" t="s">
        <v>14467</v>
      </c>
      <c r="X2793">
        <v>13</v>
      </c>
      <c r="Y2793" t="s">
        <v>20209</v>
      </c>
      <c r="Z2793" t="s">
        <v>26000</v>
      </c>
      <c r="AA2793">
        <v>0.41135642555363111</v>
      </c>
      <c r="AB2793" t="str">
        <f>HYPERLINK("Melting_Curves/meltCurve_P62495_ETF1.pdf", "Melting_Curves/meltCurve_P62495_ETF1.pdf")</f>
        <v>Melting_Curves/meltCurve_P62495_ETF1.pdf</v>
      </c>
    </row>
    <row r="2794" spans="1:28" x14ac:dyDescent="0.25">
      <c r="A2794" t="s">
        <v>2798</v>
      </c>
      <c r="B2794">
        <v>0.99334974765950101</v>
      </c>
      <c r="C2794">
        <v>1.0141907218822499</v>
      </c>
      <c r="D2794">
        <v>0.76590658276007895</v>
      </c>
      <c r="E2794">
        <v>0.73877814571401101</v>
      </c>
      <c r="F2794">
        <v>1.47409057542808</v>
      </c>
      <c r="G2794">
        <v>0.60970834159868403</v>
      </c>
      <c r="H2794">
        <v>0.77377337264534296</v>
      </c>
      <c r="I2794">
        <v>1.3507380040205901</v>
      </c>
      <c r="J2794">
        <v>1.6077092500460699</v>
      </c>
      <c r="K2794">
        <v>0.92871765372319903</v>
      </c>
      <c r="L2794">
        <v>1809.41397206838</v>
      </c>
      <c r="M2794">
        <v>28.6055752699795</v>
      </c>
      <c r="O2794">
        <v>62.947183314896101</v>
      </c>
      <c r="P2794">
        <v>3.2444631233944303E-2</v>
      </c>
      <c r="Q2794">
        <v>1.2855781856364701</v>
      </c>
      <c r="R2794">
        <v>0.150801595128215</v>
      </c>
      <c r="S2794" t="s">
        <v>8655</v>
      </c>
      <c r="T2794" t="s">
        <v>11720</v>
      </c>
      <c r="U2794" t="s">
        <v>11720</v>
      </c>
      <c r="V2794" t="s">
        <v>11720</v>
      </c>
      <c r="W2794" t="s">
        <v>14468</v>
      </c>
      <c r="X2794">
        <v>14</v>
      </c>
      <c r="Y2794" t="s">
        <v>20210</v>
      </c>
      <c r="Z2794" t="s">
        <v>26001</v>
      </c>
      <c r="AA2794">
        <v>1.063483691648317</v>
      </c>
      <c r="AB2794" t="str">
        <f>HYPERLINK("Melting_Curves/meltCurve_P62633_4_CNBP.pdf", "Melting_Curves/meltCurve_P62633_4_CNBP.pdf")</f>
        <v>Melting_Curves/meltCurve_P62633_4_CNBP.pdf</v>
      </c>
    </row>
    <row r="2795" spans="1:28" x14ac:dyDescent="0.25">
      <c r="A2795" t="s">
        <v>2799</v>
      </c>
      <c r="B2795">
        <v>0.99334974765950101</v>
      </c>
      <c r="C2795">
        <v>1.09122457304786</v>
      </c>
      <c r="D2795">
        <v>0.97504357734479696</v>
      </c>
      <c r="E2795">
        <v>0.79929784012896998</v>
      </c>
      <c r="F2795">
        <v>0.58960473898914301</v>
      </c>
      <c r="G2795">
        <v>0.30505142294586901</v>
      </c>
      <c r="H2795">
        <v>0.18508099315505799</v>
      </c>
      <c r="I2795">
        <v>0.16634791849266301</v>
      </c>
      <c r="J2795">
        <v>0.18978201225951699</v>
      </c>
      <c r="K2795">
        <v>0.106486547780982</v>
      </c>
      <c r="L2795">
        <v>1115.8508918457901</v>
      </c>
      <c r="M2795">
        <v>21.002835545061298</v>
      </c>
      <c r="N2795">
        <v>53.963973849996201</v>
      </c>
      <c r="O2795">
        <v>52.653977691894298</v>
      </c>
      <c r="P2795">
        <v>-8.5883670904527407E-2</v>
      </c>
      <c r="Q2795">
        <v>0.13878379288606099</v>
      </c>
      <c r="R2795">
        <v>0.99071544379057097</v>
      </c>
      <c r="S2795" t="s">
        <v>8656</v>
      </c>
      <c r="T2795" t="s">
        <v>11720</v>
      </c>
      <c r="U2795" t="s">
        <v>11720</v>
      </c>
      <c r="V2795" t="s">
        <v>11720</v>
      </c>
      <c r="W2795" t="s">
        <v>14469</v>
      </c>
      <c r="X2795">
        <v>11</v>
      </c>
      <c r="Y2795" t="s">
        <v>20211</v>
      </c>
      <c r="Z2795" t="s">
        <v>26002</v>
      </c>
      <c r="AA2795">
        <v>0.52654639969840311</v>
      </c>
      <c r="AB2795" t="str">
        <f>HYPERLINK("Melting_Curves/meltCurve_P62701_RPS4X.pdf", "Melting_Curves/meltCurve_P62701_RPS4X.pdf")</f>
        <v>Melting_Curves/meltCurve_P62701_RPS4X.pdf</v>
      </c>
    </row>
    <row r="2796" spans="1:28" x14ac:dyDescent="0.25">
      <c r="A2796" t="s">
        <v>2800</v>
      </c>
      <c r="B2796">
        <v>0.99334974765950101</v>
      </c>
      <c r="C2796">
        <v>1.06967244605752</v>
      </c>
      <c r="D2796">
        <v>1.2084208379662</v>
      </c>
      <c r="E2796">
        <v>1.1922425261693399</v>
      </c>
      <c r="F2796">
        <v>1.0273955205465599</v>
      </c>
      <c r="G2796">
        <v>0.61561385622180698</v>
      </c>
      <c r="H2796">
        <v>0.414741808656936</v>
      </c>
      <c r="I2796">
        <v>0.21160745801075501</v>
      </c>
      <c r="J2796">
        <v>0.16059153361613501</v>
      </c>
      <c r="K2796">
        <v>0.143901310576352</v>
      </c>
      <c r="L2796">
        <v>1592.7870535091799</v>
      </c>
      <c r="M2796">
        <v>27.351559532275999</v>
      </c>
      <c r="N2796">
        <v>59.011372965197502</v>
      </c>
      <c r="O2796">
        <v>57.925246394854703</v>
      </c>
      <c r="P2796">
        <v>-0.10018785403109801</v>
      </c>
      <c r="Q2796">
        <v>0.15129497159966401</v>
      </c>
      <c r="R2796">
        <v>0.93839789715421595</v>
      </c>
      <c r="S2796" t="s">
        <v>8657</v>
      </c>
      <c r="T2796" t="s">
        <v>11720</v>
      </c>
      <c r="U2796" t="s">
        <v>11720</v>
      </c>
      <c r="V2796" t="s">
        <v>11720</v>
      </c>
      <c r="W2796" t="s">
        <v>14470</v>
      </c>
      <c r="X2796">
        <v>19</v>
      </c>
      <c r="Y2796" t="s">
        <v>20212</v>
      </c>
      <c r="Z2796" t="s">
        <v>26003</v>
      </c>
      <c r="AA2796">
        <v>0.67355682899461178</v>
      </c>
      <c r="AB2796" t="str">
        <f>HYPERLINK("Melting_Curves/meltCurve_P62714_PPP2CB.pdf", "Melting_Curves/meltCurve_P62714_PPP2CB.pdf")</f>
        <v>Melting_Curves/meltCurve_P62714_PPP2CB.pdf</v>
      </c>
    </row>
    <row r="2797" spans="1:28" x14ac:dyDescent="0.25">
      <c r="A2797" t="s">
        <v>2801</v>
      </c>
      <c r="B2797">
        <v>0.99334974765950101</v>
      </c>
      <c r="C2797">
        <v>0.89341332011056096</v>
      </c>
      <c r="D2797">
        <v>0.86070770355659498</v>
      </c>
      <c r="E2797">
        <v>0.83891947829884495</v>
      </c>
      <c r="F2797">
        <v>0.61851394449234598</v>
      </c>
      <c r="G2797">
        <v>0.46232666550603502</v>
      </c>
      <c r="H2797">
        <v>0.28674261211301699</v>
      </c>
      <c r="I2797">
        <v>0.32917824621151998</v>
      </c>
      <c r="J2797">
        <v>0.31663855059159901</v>
      </c>
      <c r="K2797">
        <v>9.9197595834012206E-2</v>
      </c>
      <c r="L2797">
        <v>503.895248866521</v>
      </c>
      <c r="M2797">
        <v>8.9931659312968293</v>
      </c>
      <c r="N2797">
        <v>56.577767492528899</v>
      </c>
      <c r="O2797">
        <v>53.468469601318603</v>
      </c>
      <c r="P2797">
        <v>-4.0327904823484903E-2</v>
      </c>
      <c r="Q2797">
        <v>4.1626912073937199E-2</v>
      </c>
      <c r="R2797">
        <v>0.96209657061547305</v>
      </c>
      <c r="S2797" t="s">
        <v>8658</v>
      </c>
      <c r="T2797" t="s">
        <v>11720</v>
      </c>
      <c r="U2797" t="s">
        <v>11720</v>
      </c>
      <c r="V2797" t="s">
        <v>11720</v>
      </c>
      <c r="W2797" t="s">
        <v>14471</v>
      </c>
      <c r="X2797">
        <v>37</v>
      </c>
      <c r="Y2797" t="s">
        <v>20213</v>
      </c>
      <c r="Z2797" t="s">
        <v>26004</v>
      </c>
      <c r="AA2797">
        <v>0.57348663054738691</v>
      </c>
      <c r="AB2797" t="str">
        <f>HYPERLINK("Melting_Curves/meltCurve_P62736_ACTA2.pdf", "Melting_Curves/meltCurve_P62736_ACTA2.pdf")</f>
        <v>Melting_Curves/meltCurve_P62736_ACTA2.pdf</v>
      </c>
    </row>
    <row r="2798" spans="1:28" x14ac:dyDescent="0.25">
      <c r="A2798" t="s">
        <v>2802</v>
      </c>
      <c r="B2798">
        <v>0.99334974765950101</v>
      </c>
      <c r="C2798">
        <v>0.91338844130942298</v>
      </c>
      <c r="D2798">
        <v>0.88275591315970203</v>
      </c>
      <c r="E2798">
        <v>0.80150393177350399</v>
      </c>
      <c r="F2798">
        <v>0.87627731478291404</v>
      </c>
      <c r="G2798">
        <v>0.61664793454628997</v>
      </c>
      <c r="H2798">
        <v>0.55959853219606004</v>
      </c>
      <c r="I2798">
        <v>0.37060031491449802</v>
      </c>
      <c r="J2798">
        <v>0.29934004831314298</v>
      </c>
      <c r="K2798">
        <v>0.16883680274756599</v>
      </c>
      <c r="L2798">
        <v>548.77520002072004</v>
      </c>
      <c r="M2798">
        <v>9.0435822968920405</v>
      </c>
      <c r="N2798">
        <v>60.681168693449301</v>
      </c>
      <c r="O2798">
        <v>57.934649083778602</v>
      </c>
      <c r="P2798">
        <v>-3.9052756317136797E-2</v>
      </c>
      <c r="Q2798">
        <v>0</v>
      </c>
      <c r="R2798">
        <v>0.95904388021054199</v>
      </c>
      <c r="S2798" t="s">
        <v>8659</v>
      </c>
      <c r="T2798" t="s">
        <v>11720</v>
      </c>
      <c r="U2798" t="s">
        <v>11720</v>
      </c>
      <c r="V2798" t="s">
        <v>11720</v>
      </c>
      <c r="W2798" t="s">
        <v>14472</v>
      </c>
      <c r="X2798">
        <v>7</v>
      </c>
      <c r="Y2798" t="s">
        <v>20214</v>
      </c>
      <c r="Z2798" t="s">
        <v>26005</v>
      </c>
      <c r="AA2798">
        <v>0.67464877655441113</v>
      </c>
      <c r="AB2798" t="str">
        <f>HYPERLINK("Melting_Curves/meltCurve_P62745_RHOB.pdf", "Melting_Curves/meltCurve_P62745_RHOB.pdf")</f>
        <v>Melting_Curves/meltCurve_P62745_RHOB.pdf</v>
      </c>
    </row>
    <row r="2799" spans="1:28" x14ac:dyDescent="0.25">
      <c r="A2799" t="s">
        <v>2803</v>
      </c>
      <c r="B2799">
        <v>0.99334974765950101</v>
      </c>
      <c r="C2799">
        <v>1.1149978075892999</v>
      </c>
      <c r="D2799">
        <v>1.0862360456150399</v>
      </c>
      <c r="E2799">
        <v>1.0422848790202399</v>
      </c>
      <c r="F2799">
        <v>0.771292354602792</v>
      </c>
      <c r="G2799">
        <v>0.55437041617167204</v>
      </c>
      <c r="H2799">
        <v>0.51802203575553696</v>
      </c>
      <c r="I2799">
        <v>0.53643649857255404</v>
      </c>
      <c r="J2799">
        <v>0.466925476071894</v>
      </c>
      <c r="K2799">
        <v>0.48067846030816902</v>
      </c>
      <c r="L2799">
        <v>13256.7977679668</v>
      </c>
      <c r="M2799">
        <v>250</v>
      </c>
      <c r="O2799">
        <v>53.023795721838901</v>
      </c>
      <c r="P2799">
        <v>-0.57605434979779602</v>
      </c>
      <c r="Q2799">
        <v>0.51128657178951098</v>
      </c>
      <c r="R2799">
        <v>0.95900291109451097</v>
      </c>
      <c r="S2799" t="s">
        <v>8660</v>
      </c>
      <c r="T2799" t="s">
        <v>11720</v>
      </c>
      <c r="U2799" t="s">
        <v>11720</v>
      </c>
      <c r="V2799" t="s">
        <v>11720</v>
      </c>
      <c r="W2799" t="s">
        <v>14473</v>
      </c>
      <c r="X2799">
        <v>8</v>
      </c>
      <c r="Y2799" t="s">
        <v>20215</v>
      </c>
      <c r="Z2799" t="s">
        <v>26006</v>
      </c>
      <c r="AA2799">
        <v>0.72355082601011744</v>
      </c>
      <c r="AB2799" t="str">
        <f>HYPERLINK("Melting_Curves/meltCurve_P62750_RPL23A.pdf", "Melting_Curves/meltCurve_P62750_RPL23A.pdf")</f>
        <v>Melting_Curves/meltCurve_P62750_RPL23A.pdf</v>
      </c>
    </row>
    <row r="2800" spans="1:28" x14ac:dyDescent="0.25">
      <c r="A2800" t="s">
        <v>2804</v>
      </c>
      <c r="B2800">
        <v>0.99334974765950101</v>
      </c>
      <c r="C2800">
        <v>1.03367712936974</v>
      </c>
      <c r="D2800">
        <v>0.91695796268757401</v>
      </c>
      <c r="E2800">
        <v>0.780847245216297</v>
      </c>
      <c r="F2800">
        <v>0.528045192472678</v>
      </c>
      <c r="G2800">
        <v>0.352350155915235</v>
      </c>
      <c r="H2800">
        <v>0.29974371274065298</v>
      </c>
      <c r="I2800">
        <v>0.33827000987850298</v>
      </c>
      <c r="J2800">
        <v>0.30138112542169898</v>
      </c>
      <c r="K2800">
        <v>0.35156829921601002</v>
      </c>
      <c r="L2800">
        <v>1299.00065726906</v>
      </c>
      <c r="M2800">
        <v>25.318094697520099</v>
      </c>
      <c r="N2800">
        <v>53.412793638835701</v>
      </c>
      <c r="O2800">
        <v>50.9903281059254</v>
      </c>
      <c r="P2800">
        <v>-8.4943982295864404E-2</v>
      </c>
      <c r="Q2800">
        <v>0.315704253971547</v>
      </c>
      <c r="R2800">
        <v>0.99199815105433697</v>
      </c>
      <c r="S2800" t="s">
        <v>8661</v>
      </c>
      <c r="T2800" t="s">
        <v>11720</v>
      </c>
      <c r="U2800" t="s">
        <v>11720</v>
      </c>
      <c r="V2800" t="s">
        <v>11720</v>
      </c>
      <c r="W2800" t="s">
        <v>14474</v>
      </c>
      <c r="X2800">
        <v>10</v>
      </c>
      <c r="Y2800" t="s">
        <v>20216</v>
      </c>
      <c r="Z2800" t="s">
        <v>26007</v>
      </c>
      <c r="AA2800">
        <v>0.57967092243732066</v>
      </c>
      <c r="AB2800" t="str">
        <f>HYPERLINK("Melting_Curves/meltCurve_P62753_RPS6.pdf", "Melting_Curves/meltCurve_P62753_RPS6.pdf")</f>
        <v>Melting_Curves/meltCurve_P62753_RPS6.pdf</v>
      </c>
    </row>
    <row r="2801" spans="1:28" x14ac:dyDescent="0.25">
      <c r="A2801" t="s">
        <v>2805</v>
      </c>
      <c r="B2801">
        <v>0.99334974765950101</v>
      </c>
      <c r="C2801">
        <v>1.24106741201064</v>
      </c>
      <c r="D2801">
        <v>1.0661240257718601</v>
      </c>
      <c r="E2801">
        <v>0.99046994598271498</v>
      </c>
      <c r="F2801">
        <v>0.718670015735697</v>
      </c>
      <c r="G2801">
        <v>0.90330075866248005</v>
      </c>
      <c r="H2801">
        <v>0.835272801286148</v>
      </c>
      <c r="I2801">
        <v>0.77765993141503198</v>
      </c>
      <c r="J2801">
        <v>0.47875615227596402</v>
      </c>
      <c r="K2801">
        <v>0.32836882229487802</v>
      </c>
      <c r="L2801">
        <v>988.54085811344703</v>
      </c>
      <c r="M2801">
        <v>14.6911132320629</v>
      </c>
      <c r="N2801">
        <v>67.288362287439597</v>
      </c>
      <c r="O2801">
        <v>66.078494378380498</v>
      </c>
      <c r="P2801">
        <v>-5.5588150435528602E-2</v>
      </c>
      <c r="Q2801">
        <v>0</v>
      </c>
      <c r="R2801">
        <v>0.784521708402103</v>
      </c>
      <c r="S2801" t="s">
        <v>8662</v>
      </c>
      <c r="T2801" t="s">
        <v>11720</v>
      </c>
      <c r="U2801" t="s">
        <v>11720</v>
      </c>
      <c r="V2801" t="s">
        <v>11720</v>
      </c>
      <c r="W2801" t="s">
        <v>14475</v>
      </c>
      <c r="X2801">
        <v>3</v>
      </c>
      <c r="Y2801" t="s">
        <v>20217</v>
      </c>
      <c r="Z2801" t="s">
        <v>26008</v>
      </c>
      <c r="AA2801">
        <v>0.85664383153492885</v>
      </c>
      <c r="AB2801" t="str">
        <f>HYPERLINK("Melting_Curves/meltCurve_P62805_HIST1H4A.pdf", "Melting_Curves/meltCurve_P62805_HIST1H4A.pdf")</f>
        <v>Melting_Curves/meltCurve_P62805_HIST1H4A.pdf</v>
      </c>
    </row>
    <row r="2802" spans="1:28" x14ac:dyDescent="0.25">
      <c r="A2802" t="s">
        <v>2806</v>
      </c>
      <c r="B2802">
        <v>0.99334974765950101</v>
      </c>
      <c r="C2802">
        <v>1.00904159789786</v>
      </c>
      <c r="D2802">
        <v>0.90695852713696401</v>
      </c>
      <c r="E2802">
        <v>0.899085831366913</v>
      </c>
      <c r="F2802">
        <v>0.95630798679179096</v>
      </c>
      <c r="G2802">
        <v>0.67330204305989105</v>
      </c>
      <c r="H2802">
        <v>0.60106193276119202</v>
      </c>
      <c r="I2802">
        <v>0.53158823784881404</v>
      </c>
      <c r="J2802">
        <v>0.52661018297127504</v>
      </c>
      <c r="K2802">
        <v>0.255902764870509</v>
      </c>
      <c r="L2802">
        <v>538.14849075120003</v>
      </c>
      <c r="M2802">
        <v>8.3423541863168005</v>
      </c>
      <c r="N2802">
        <v>64.507986301521299</v>
      </c>
      <c r="O2802">
        <v>61.120457377392398</v>
      </c>
      <c r="P2802">
        <v>-3.4155585517390098E-2</v>
      </c>
      <c r="Q2802">
        <v>0</v>
      </c>
      <c r="R2802">
        <v>0.93425724239484997</v>
      </c>
      <c r="S2802" t="s">
        <v>8663</v>
      </c>
      <c r="T2802" t="s">
        <v>11720</v>
      </c>
      <c r="U2802" t="s">
        <v>11720</v>
      </c>
      <c r="V2802" t="s">
        <v>11720</v>
      </c>
      <c r="W2802" t="s">
        <v>14476</v>
      </c>
      <c r="X2802">
        <v>25</v>
      </c>
      <c r="Y2802" t="s">
        <v>20218</v>
      </c>
      <c r="Z2802" t="s">
        <v>26009</v>
      </c>
      <c r="AA2802">
        <v>0.75240929768133535</v>
      </c>
      <c r="AB2802" t="str">
        <f>HYPERLINK("Melting_Curves/meltCurve_P62820_RAB1A.pdf", "Melting_Curves/meltCurve_P62820_RAB1A.pdf")</f>
        <v>Melting_Curves/meltCurve_P62820_RAB1A.pdf</v>
      </c>
    </row>
    <row r="2803" spans="1:28" x14ac:dyDescent="0.25">
      <c r="A2803" t="s">
        <v>2807</v>
      </c>
      <c r="B2803">
        <v>0.99334974765950101</v>
      </c>
      <c r="C2803">
        <v>1.0154987871779799</v>
      </c>
      <c r="D2803">
        <v>0.89892120375006301</v>
      </c>
      <c r="E2803">
        <v>0.73852462081815395</v>
      </c>
      <c r="F2803">
        <v>0.32302081622857298</v>
      </c>
      <c r="G2803">
        <v>0.209984795198073</v>
      </c>
      <c r="H2803">
        <v>0.131126130658061</v>
      </c>
      <c r="I2803">
        <v>0.131407220645926</v>
      </c>
      <c r="J2803">
        <v>0.117269128012624</v>
      </c>
      <c r="K2803">
        <v>9.5273015454721097E-2</v>
      </c>
      <c r="L2803">
        <v>1419.76398065627</v>
      </c>
      <c r="M2803">
        <v>27.738264389773398</v>
      </c>
      <c r="N2803">
        <v>51.694603222796303</v>
      </c>
      <c r="O2803">
        <v>50.920499404532698</v>
      </c>
      <c r="P2803">
        <v>-0.11987547164080101</v>
      </c>
      <c r="Q2803">
        <v>0.119762588184641</v>
      </c>
      <c r="R2803">
        <v>0.99274321895422601</v>
      </c>
      <c r="S2803" t="s">
        <v>8664</v>
      </c>
      <c r="T2803" t="s">
        <v>11720</v>
      </c>
      <c r="U2803" t="s">
        <v>11720</v>
      </c>
      <c r="V2803" t="s">
        <v>11720</v>
      </c>
      <c r="W2803" t="s">
        <v>14477</v>
      </c>
      <c r="X2803">
        <v>8</v>
      </c>
      <c r="Y2803" t="s">
        <v>20219</v>
      </c>
      <c r="Z2803" t="s">
        <v>26010</v>
      </c>
      <c r="AA2803">
        <v>0.45441417925974109</v>
      </c>
      <c r="AB2803" t="str">
        <f>HYPERLINK("Melting_Curves/meltCurve_P62829_RPL23.pdf", "Melting_Curves/meltCurve_P62829_RPL23.pdf")</f>
        <v>Melting_Curves/meltCurve_P62829_RPL23.pdf</v>
      </c>
    </row>
    <row r="2804" spans="1:28" x14ac:dyDescent="0.25">
      <c r="A2804" t="s">
        <v>2808</v>
      </c>
      <c r="B2804">
        <v>0.99334974765950101</v>
      </c>
      <c r="C2804">
        <v>0.90539165522267595</v>
      </c>
      <c r="D2804">
        <v>0.79898834092184301</v>
      </c>
      <c r="E2804">
        <v>0.77913243650830899</v>
      </c>
      <c r="F2804">
        <v>0.73216288747158198</v>
      </c>
      <c r="G2804">
        <v>0.58901205693223002</v>
      </c>
      <c r="H2804">
        <v>0.51678291881945404</v>
      </c>
      <c r="I2804">
        <v>0.481747490178288</v>
      </c>
      <c r="J2804">
        <v>0.35087710346619599</v>
      </c>
      <c r="K2804">
        <v>0.191668526959279</v>
      </c>
      <c r="L2804">
        <v>377.16355042292702</v>
      </c>
      <c r="M2804">
        <v>6.2509682585881299</v>
      </c>
      <c r="N2804">
        <v>60.3368218021728</v>
      </c>
      <c r="O2804">
        <v>55.042680439000399</v>
      </c>
      <c r="P2804">
        <v>-2.84708521457127E-2</v>
      </c>
      <c r="Q2804">
        <v>0</v>
      </c>
      <c r="R2804">
        <v>0.95595523390168302</v>
      </c>
      <c r="S2804" t="s">
        <v>8665</v>
      </c>
      <c r="T2804" t="s">
        <v>11720</v>
      </c>
      <c r="U2804" t="s">
        <v>11720</v>
      </c>
      <c r="V2804" t="s">
        <v>11720</v>
      </c>
      <c r="W2804" t="s">
        <v>14478</v>
      </c>
      <c r="X2804">
        <v>17</v>
      </c>
      <c r="Y2804" t="s">
        <v>20220</v>
      </c>
      <c r="Z2804" t="s">
        <v>26011</v>
      </c>
      <c r="AA2804">
        <v>0.6425536107748826</v>
      </c>
      <c r="AB2804" t="str">
        <f>HYPERLINK("Melting_Curves/meltCurve_P62834_RAP1A.pdf", "Melting_Curves/meltCurve_P62834_RAP1A.pdf")</f>
        <v>Melting_Curves/meltCurve_P62834_RAP1A.pdf</v>
      </c>
    </row>
    <row r="2805" spans="1:28" x14ac:dyDescent="0.25">
      <c r="A2805" t="s">
        <v>2809</v>
      </c>
      <c r="B2805">
        <v>0.99334974765950101</v>
      </c>
      <c r="C2805">
        <v>1.16626110421219</v>
      </c>
      <c r="D2805">
        <v>1.1862079893406501</v>
      </c>
      <c r="E2805">
        <v>1.05983023527247</v>
      </c>
      <c r="F2805">
        <v>0.68436983698714404</v>
      </c>
      <c r="G2805">
        <v>0.46301034769903099</v>
      </c>
      <c r="H2805">
        <v>0.34403060654539802</v>
      </c>
      <c r="I2805">
        <v>0.28352207792877598</v>
      </c>
      <c r="J2805">
        <v>0.32703574206067698</v>
      </c>
      <c r="K2805">
        <v>0.41317861404230999</v>
      </c>
      <c r="L2805">
        <v>13250.432196518999</v>
      </c>
      <c r="M2805">
        <v>250</v>
      </c>
      <c r="N2805">
        <v>53.282619649042502</v>
      </c>
      <c r="O2805">
        <v>52.998336903384597</v>
      </c>
      <c r="P2805">
        <v>-0.74748162776307503</v>
      </c>
      <c r="Q2805">
        <v>0.36615546906820201</v>
      </c>
      <c r="R2805">
        <v>0.93070995812963597</v>
      </c>
      <c r="S2805" t="s">
        <v>8666</v>
      </c>
      <c r="T2805" t="s">
        <v>11720</v>
      </c>
      <c r="U2805" t="s">
        <v>11720</v>
      </c>
      <c r="V2805" t="s">
        <v>11720</v>
      </c>
      <c r="W2805" t="s">
        <v>14479</v>
      </c>
      <c r="X2805">
        <v>3</v>
      </c>
      <c r="Y2805" t="s">
        <v>20221</v>
      </c>
      <c r="Z2805" t="s">
        <v>26012</v>
      </c>
      <c r="AA2805">
        <v>0.64091691697458508</v>
      </c>
      <c r="AB2805" t="str">
        <f>HYPERLINK("Melting_Curves/meltCurve_P62851_RPS25.pdf", "Melting_Curves/meltCurve_P62851_RPS25.pdf")</f>
        <v>Melting_Curves/meltCurve_P62851_RPS25.pdf</v>
      </c>
    </row>
    <row r="2806" spans="1:28" x14ac:dyDescent="0.25">
      <c r="A2806" t="s">
        <v>2810</v>
      </c>
      <c r="B2806">
        <v>0.99334974765950101</v>
      </c>
      <c r="C2806">
        <v>1.04317546681658</v>
      </c>
      <c r="D2806">
        <v>0.94741850511743897</v>
      </c>
      <c r="E2806">
        <v>0.98110665487710202</v>
      </c>
      <c r="F2806">
        <v>0.94742804410219195</v>
      </c>
      <c r="G2806">
        <v>0.65970800827111598</v>
      </c>
      <c r="H2806">
        <v>0.60005774302274595</v>
      </c>
      <c r="I2806">
        <v>0.71598200034464898</v>
      </c>
      <c r="J2806">
        <v>0.80803194828101599</v>
      </c>
      <c r="K2806">
        <v>0.71480049453868799</v>
      </c>
      <c r="L2806">
        <v>13332.154409978</v>
      </c>
      <c r="M2806">
        <v>250</v>
      </c>
      <c r="O2806">
        <v>53.325183817591501</v>
      </c>
      <c r="P2806">
        <v>-0.35194891105627901</v>
      </c>
      <c r="Q2806">
        <v>0.69971603452121001</v>
      </c>
      <c r="R2806">
        <v>0.87480082965491301</v>
      </c>
      <c r="S2806" t="s">
        <v>8667</v>
      </c>
      <c r="T2806" t="s">
        <v>11720</v>
      </c>
      <c r="U2806" t="s">
        <v>11720</v>
      </c>
      <c r="V2806" t="s">
        <v>11720</v>
      </c>
      <c r="W2806" t="s">
        <v>14480</v>
      </c>
      <c r="X2806">
        <v>11</v>
      </c>
      <c r="Y2806" t="s">
        <v>20222</v>
      </c>
      <c r="Z2806" t="s">
        <v>26013</v>
      </c>
      <c r="AA2806">
        <v>0.8331564770080977</v>
      </c>
      <c r="AB2806" t="str">
        <f>HYPERLINK("Melting_Curves/meltCurve_P62857_RPS28.pdf", "Melting_Curves/meltCurve_P62857_RPS28.pdf")</f>
        <v>Melting_Curves/meltCurve_P62857_RPS28.pdf</v>
      </c>
    </row>
    <row r="2807" spans="1:28" x14ac:dyDescent="0.25">
      <c r="A2807" t="s">
        <v>2811</v>
      </c>
      <c r="B2807">
        <v>0.99334974765950101</v>
      </c>
      <c r="C2807">
        <v>1.00106576469954</v>
      </c>
      <c r="D2807">
        <v>0.99972657456304403</v>
      </c>
      <c r="E2807">
        <v>1.1374172915685199</v>
      </c>
      <c r="F2807">
        <v>1.0053736266142701</v>
      </c>
      <c r="G2807">
        <v>0.54515206580227105</v>
      </c>
      <c r="H2807">
        <v>0.17576594776485899</v>
      </c>
      <c r="I2807">
        <v>0.11524501101696399</v>
      </c>
      <c r="J2807">
        <v>0.102675925492763</v>
      </c>
      <c r="K2807">
        <v>8.1910654891987206E-2</v>
      </c>
      <c r="L2807">
        <v>2703.72763976024</v>
      </c>
      <c r="M2807">
        <v>47.430458434840702</v>
      </c>
      <c r="N2807">
        <v>57.293877056011901</v>
      </c>
      <c r="O2807">
        <v>56.9029612979364</v>
      </c>
      <c r="P2807">
        <v>-0.186155502960962</v>
      </c>
      <c r="Q2807">
        <v>0.10666755320346</v>
      </c>
      <c r="R2807">
        <v>0.98827384376346294</v>
      </c>
      <c r="S2807" t="s">
        <v>8668</v>
      </c>
      <c r="T2807" t="s">
        <v>11720</v>
      </c>
      <c r="U2807" t="s">
        <v>11720</v>
      </c>
      <c r="V2807" t="s">
        <v>11720</v>
      </c>
      <c r="W2807" t="s">
        <v>14481</v>
      </c>
      <c r="X2807">
        <v>17</v>
      </c>
      <c r="Y2807" t="s">
        <v>20223</v>
      </c>
      <c r="Z2807" t="s">
        <v>26014</v>
      </c>
      <c r="AA2807">
        <v>0.61549876791032287</v>
      </c>
      <c r="AB2807" t="str">
        <f>HYPERLINK("Melting_Curves/meltCurve_P62873_GNB1.pdf", "Melting_Curves/meltCurve_P62873_GNB1.pdf")</f>
        <v>Melting_Curves/meltCurve_P62873_GNB1.pdf</v>
      </c>
    </row>
    <row r="2808" spans="1:28" x14ac:dyDescent="0.25">
      <c r="A2808" t="s">
        <v>2812</v>
      </c>
      <c r="B2808">
        <v>0.99334974765950101</v>
      </c>
      <c r="C2808">
        <v>1.09771811962512</v>
      </c>
      <c r="D2808">
        <v>1.1189170416044401</v>
      </c>
      <c r="E2808">
        <v>1.28448782834068</v>
      </c>
      <c r="F2808">
        <v>1.2145194762201601</v>
      </c>
      <c r="G2808">
        <v>1.1500429547500299</v>
      </c>
      <c r="H2808">
        <v>0.95444252275186703</v>
      </c>
      <c r="I2808">
        <v>0.74269305557323795</v>
      </c>
      <c r="J2808">
        <v>0.92682442234176199</v>
      </c>
      <c r="K2808">
        <v>0.60115495969826904</v>
      </c>
      <c r="L2808">
        <v>1303.05445992823</v>
      </c>
      <c r="M2808">
        <v>18.061351306400802</v>
      </c>
      <c r="Q2808">
        <v>0</v>
      </c>
      <c r="R2808">
        <v>0.45354652105625198</v>
      </c>
      <c r="S2808" t="s">
        <v>8669</v>
      </c>
      <c r="T2808" t="s">
        <v>11720</v>
      </c>
      <c r="U2808" t="s">
        <v>11720</v>
      </c>
      <c r="V2808" t="s">
        <v>11720</v>
      </c>
      <c r="W2808" t="s">
        <v>14482</v>
      </c>
      <c r="X2808">
        <v>2</v>
      </c>
      <c r="Y2808" t="s">
        <v>20224</v>
      </c>
      <c r="Z2808" t="s">
        <v>26015</v>
      </c>
      <c r="AA2808">
        <v>0.94895609523293334</v>
      </c>
      <c r="AB2808" t="str">
        <f>HYPERLINK("Melting_Curves/meltCurve_P62877_RBX1.pdf", "Melting_Curves/meltCurve_P62877_RBX1.pdf")</f>
        <v>Melting_Curves/meltCurve_P62877_RBX1.pdf</v>
      </c>
    </row>
    <row r="2809" spans="1:28" x14ac:dyDescent="0.25">
      <c r="A2809" t="s">
        <v>2813</v>
      </c>
      <c r="B2809">
        <v>0.99334974765950101</v>
      </c>
      <c r="C2809">
        <v>1.02003506262153</v>
      </c>
      <c r="D2809">
        <v>1.0505700580774</v>
      </c>
      <c r="E2809">
        <v>1.15673546220795</v>
      </c>
      <c r="F2809">
        <v>0.797574809497543</v>
      </c>
      <c r="G2809">
        <v>0.32585719190916601</v>
      </c>
      <c r="H2809">
        <v>0.17412779964505701</v>
      </c>
      <c r="I2809">
        <v>0.11323065926796801</v>
      </c>
      <c r="J2809">
        <v>0.11595458303817099</v>
      </c>
      <c r="K2809">
        <v>8.9622546839377398E-2</v>
      </c>
      <c r="L2809">
        <v>2062.1102701774698</v>
      </c>
      <c r="M2809">
        <v>37.407260245658399</v>
      </c>
      <c r="N2809">
        <v>55.5194781609381</v>
      </c>
      <c r="O2809">
        <v>54.969102522995399</v>
      </c>
      <c r="P2809">
        <v>-0.150315994995525</v>
      </c>
      <c r="Q2809">
        <v>0.116458898016902</v>
      </c>
      <c r="R2809">
        <v>0.97987771920366096</v>
      </c>
      <c r="S2809" t="s">
        <v>8670</v>
      </c>
      <c r="T2809" t="s">
        <v>11720</v>
      </c>
      <c r="U2809" t="s">
        <v>11720</v>
      </c>
      <c r="V2809" t="s">
        <v>11720</v>
      </c>
      <c r="W2809" t="s">
        <v>14483</v>
      </c>
      <c r="X2809">
        <v>16</v>
      </c>
      <c r="Y2809" t="s">
        <v>20225</v>
      </c>
      <c r="Z2809" t="s">
        <v>26016</v>
      </c>
      <c r="AA2809">
        <v>0.56576751390273117</v>
      </c>
      <c r="AB2809" t="str">
        <f>HYPERLINK("Melting_Curves/meltCurve_P62879_GNB2.pdf", "Melting_Curves/meltCurve_P62879_GNB2.pdf")</f>
        <v>Melting_Curves/meltCurve_P62879_GNB2.pdf</v>
      </c>
    </row>
    <row r="2810" spans="1:28" x14ac:dyDescent="0.25">
      <c r="A2810" t="s">
        <v>2814</v>
      </c>
      <c r="B2810">
        <v>0.99334974765950101</v>
      </c>
      <c r="C2810">
        <v>1.43036888196308</v>
      </c>
      <c r="D2810">
        <v>1.4144405757687699</v>
      </c>
      <c r="E2810">
        <v>1.0692553851320099</v>
      </c>
      <c r="F2810">
        <v>1.6266156402779901</v>
      </c>
      <c r="G2810">
        <v>0.838674521492623</v>
      </c>
      <c r="H2810">
        <v>0.99950489064676595</v>
      </c>
      <c r="I2810">
        <v>0.170325081349983</v>
      </c>
      <c r="J2810">
        <v>0.51285102739366295</v>
      </c>
      <c r="K2810">
        <v>0.32067209007412001</v>
      </c>
      <c r="L2810">
        <v>15000</v>
      </c>
      <c r="M2810">
        <v>241.62589561181201</v>
      </c>
      <c r="N2810">
        <v>62.364868252959297</v>
      </c>
      <c r="O2810">
        <v>62.075178447055201</v>
      </c>
      <c r="P2810">
        <v>-0.64757381128429004</v>
      </c>
      <c r="Q2810">
        <v>0.33453714215062103</v>
      </c>
      <c r="R2810">
        <v>0.60554973112229704</v>
      </c>
      <c r="S2810" t="s">
        <v>8671</v>
      </c>
      <c r="T2810" t="s">
        <v>11720</v>
      </c>
      <c r="U2810" t="s">
        <v>11720</v>
      </c>
      <c r="V2810" t="s">
        <v>11720</v>
      </c>
      <c r="W2810" t="s">
        <v>14484</v>
      </c>
      <c r="X2810">
        <v>4</v>
      </c>
      <c r="Y2810" t="s">
        <v>20226</v>
      </c>
      <c r="Z2810" t="s">
        <v>26017</v>
      </c>
      <c r="AA2810">
        <v>0.82438297184616161</v>
      </c>
      <c r="AB2810" t="str">
        <f>HYPERLINK("Melting_Curves/meltCurve_P62888_RPL30.pdf", "Melting_Curves/meltCurve_P62888_RPL30.pdf")</f>
        <v>Melting_Curves/meltCurve_P62888_RPL30.pdf</v>
      </c>
    </row>
    <row r="2811" spans="1:28" x14ac:dyDescent="0.25">
      <c r="A2811" t="s">
        <v>2815</v>
      </c>
      <c r="B2811">
        <v>0.99334974765950101</v>
      </c>
      <c r="C2811">
        <v>1.1405613038787199</v>
      </c>
      <c r="D2811">
        <v>0.93539044685732997</v>
      </c>
      <c r="E2811">
        <v>1.0028651869227601</v>
      </c>
      <c r="F2811">
        <v>0.80530626492137303</v>
      </c>
      <c r="G2811">
        <v>0.61374121626256695</v>
      </c>
      <c r="H2811">
        <v>0.357281273609867</v>
      </c>
      <c r="I2811">
        <v>0.34324052894180601</v>
      </c>
      <c r="J2811">
        <v>0.23148266532039499</v>
      </c>
      <c r="K2811">
        <v>0.19370995622941001</v>
      </c>
      <c r="L2811">
        <v>1019.65908753033</v>
      </c>
      <c r="M2811">
        <v>17.8245507765707</v>
      </c>
      <c r="N2811">
        <v>58.707809868711102</v>
      </c>
      <c r="O2811">
        <v>56.499863917726699</v>
      </c>
      <c r="P2811">
        <v>-6.4428106368990198E-2</v>
      </c>
      <c r="Q2811">
        <v>0.183150789877249</v>
      </c>
      <c r="R2811">
        <v>0.971833252589832</v>
      </c>
      <c r="S2811" t="s">
        <v>8672</v>
      </c>
      <c r="T2811" t="s">
        <v>11720</v>
      </c>
      <c r="U2811" t="s">
        <v>11720</v>
      </c>
      <c r="V2811" t="s">
        <v>11720</v>
      </c>
      <c r="W2811" t="s">
        <v>14485</v>
      </c>
      <c r="X2811">
        <v>4</v>
      </c>
      <c r="Y2811" t="s">
        <v>20227</v>
      </c>
      <c r="Z2811" t="s">
        <v>26018</v>
      </c>
      <c r="AA2811">
        <v>0.66272908345796955</v>
      </c>
      <c r="AB2811" t="str">
        <f>HYPERLINK("Melting_Curves/meltCurve_P62906_RPL10A.pdf", "Melting_Curves/meltCurve_P62906_RPL10A.pdf")</f>
        <v>Melting_Curves/meltCurve_P62906_RPL10A.pdf</v>
      </c>
    </row>
    <row r="2812" spans="1:28" x14ac:dyDescent="0.25">
      <c r="A2812" t="s">
        <v>2816</v>
      </c>
      <c r="B2812">
        <v>0.99334974765950101</v>
      </c>
      <c r="C2812">
        <v>0.83907963018610499</v>
      </c>
      <c r="D2812">
        <v>0.56006045836527096</v>
      </c>
      <c r="E2812">
        <v>0.45039045961344298</v>
      </c>
      <c r="F2812">
        <v>0.37542469587615002</v>
      </c>
      <c r="G2812">
        <v>0.24758370655199999</v>
      </c>
      <c r="H2812">
        <v>0.106194980874931</v>
      </c>
      <c r="I2812">
        <v>7.90226348251582E-2</v>
      </c>
      <c r="J2812">
        <v>9.8416475344066001E-2</v>
      </c>
      <c r="K2812">
        <v>7.4183646202444706E-2</v>
      </c>
      <c r="L2812">
        <v>510.851924315406</v>
      </c>
      <c r="M2812">
        <v>10.492983388963401</v>
      </c>
      <c r="N2812">
        <v>49.032853760476499</v>
      </c>
      <c r="O2812">
        <v>47.016527758746001</v>
      </c>
      <c r="P2812">
        <v>-5.3815177608700603E-2</v>
      </c>
      <c r="Q2812">
        <v>3.5858752930803199E-2</v>
      </c>
      <c r="R2812">
        <v>0.97529687232547002</v>
      </c>
      <c r="S2812" t="s">
        <v>8673</v>
      </c>
      <c r="T2812" t="s">
        <v>11720</v>
      </c>
      <c r="U2812" t="s">
        <v>11720</v>
      </c>
      <c r="V2812" t="s">
        <v>11720</v>
      </c>
      <c r="W2812" t="s">
        <v>14486</v>
      </c>
      <c r="X2812">
        <v>7</v>
      </c>
      <c r="Y2812" t="s">
        <v>20228</v>
      </c>
      <c r="Z2812" t="s">
        <v>26019</v>
      </c>
      <c r="AA2812">
        <v>0.35992944576061969</v>
      </c>
      <c r="AB2812" t="str">
        <f>HYPERLINK("Melting_Curves/meltCurve_P62913_2_RPL11.pdf", "Melting_Curves/meltCurve_P62913_2_RPL11.pdf")</f>
        <v>Melting_Curves/meltCurve_P62913_2_RPL11.pdf</v>
      </c>
    </row>
    <row r="2813" spans="1:28" x14ac:dyDescent="0.25">
      <c r="A2813" t="s">
        <v>2817</v>
      </c>
      <c r="B2813">
        <v>0.99334974765950101</v>
      </c>
      <c r="C2813">
        <v>0.967908658970421</v>
      </c>
      <c r="D2813">
        <v>0.87314486462463403</v>
      </c>
      <c r="E2813">
        <v>0.65033272016300603</v>
      </c>
      <c r="F2813">
        <v>0.20424617406524401</v>
      </c>
      <c r="G2813">
        <v>0.10217440818170399</v>
      </c>
      <c r="H2813">
        <v>7.0691485367746401E-2</v>
      </c>
      <c r="I2813">
        <v>6.5259908195477001E-2</v>
      </c>
      <c r="J2813">
        <v>6.4037857972069206E-2</v>
      </c>
      <c r="K2813">
        <v>5.9177640879845603E-2</v>
      </c>
      <c r="L2813">
        <v>1513.5695402615499</v>
      </c>
      <c r="M2813">
        <v>29.942002994136999</v>
      </c>
      <c r="N2813">
        <v>50.7674745261534</v>
      </c>
      <c r="O2813">
        <v>50.3261710565816</v>
      </c>
      <c r="P2813">
        <v>-0.139789891512584</v>
      </c>
      <c r="Q2813">
        <v>6.01773215168191E-2</v>
      </c>
      <c r="R2813">
        <v>0.99263017304448897</v>
      </c>
      <c r="S2813" t="s">
        <v>8674</v>
      </c>
      <c r="T2813" t="s">
        <v>11720</v>
      </c>
      <c r="U2813" t="s">
        <v>11720</v>
      </c>
      <c r="V2813" t="s">
        <v>11720</v>
      </c>
      <c r="W2813" t="s">
        <v>14487</v>
      </c>
      <c r="X2813">
        <v>20</v>
      </c>
      <c r="Y2813" t="s">
        <v>20229</v>
      </c>
      <c r="Z2813" t="s">
        <v>26020</v>
      </c>
      <c r="AA2813">
        <v>0.39657135496413243</v>
      </c>
      <c r="AB2813" t="str">
        <f>HYPERLINK("Melting_Curves/meltCurve_P62937_PPIA.pdf", "Melting_Curves/meltCurve_P62937_PPIA.pdf")</f>
        <v>Melting_Curves/meltCurve_P62937_PPIA.pdf</v>
      </c>
    </row>
    <row r="2814" spans="1:28" x14ac:dyDescent="0.25">
      <c r="A2814" t="s">
        <v>2818</v>
      </c>
      <c r="B2814">
        <v>0.99334974765950101</v>
      </c>
      <c r="C2814">
        <v>0.96755854351258097</v>
      </c>
      <c r="D2814">
        <v>0.88035132572933805</v>
      </c>
      <c r="E2814">
        <v>0.74777602868327397</v>
      </c>
      <c r="F2814">
        <v>0.69655441286300002</v>
      </c>
      <c r="G2814">
        <v>0.45991929418362698</v>
      </c>
      <c r="H2814">
        <v>0.29787137761659799</v>
      </c>
      <c r="I2814">
        <v>0.21364886108393299</v>
      </c>
      <c r="J2814">
        <v>0.21839999674967001</v>
      </c>
      <c r="K2814">
        <v>0.20002932193761799</v>
      </c>
      <c r="L2814">
        <v>625.18594140480502</v>
      </c>
      <c r="M2814">
        <v>11.3993182611866</v>
      </c>
      <c r="N2814">
        <v>56.002583778377499</v>
      </c>
      <c r="O2814">
        <v>53.237715956205903</v>
      </c>
      <c r="P2814">
        <v>-4.7922061627171497E-2</v>
      </c>
      <c r="Q2814">
        <v>0.105030285584171</v>
      </c>
      <c r="R2814">
        <v>0.99191143134898596</v>
      </c>
      <c r="S2814" t="s">
        <v>8675</v>
      </c>
      <c r="T2814" t="s">
        <v>11720</v>
      </c>
      <c r="U2814" t="s">
        <v>11720</v>
      </c>
      <c r="V2814" t="s">
        <v>11720</v>
      </c>
      <c r="W2814" t="s">
        <v>14488</v>
      </c>
      <c r="X2814">
        <v>13</v>
      </c>
      <c r="Y2814" t="s">
        <v>20230</v>
      </c>
      <c r="Z2814" t="s">
        <v>26021</v>
      </c>
      <c r="AA2814">
        <v>0.57001665596408169</v>
      </c>
      <c r="AB2814" t="str">
        <f>HYPERLINK("Melting_Curves/meltCurve_P62942_FKBP1A.pdf", "Melting_Curves/meltCurve_P62942_FKBP1A.pdf")</f>
        <v>Melting_Curves/meltCurve_P62942_FKBP1A.pdf</v>
      </c>
    </row>
    <row r="2815" spans="1:28" x14ac:dyDescent="0.25">
      <c r="A2815" t="s">
        <v>2819</v>
      </c>
      <c r="B2815">
        <v>0.99334974765950101</v>
      </c>
      <c r="C2815">
        <v>1.1650655756092101</v>
      </c>
      <c r="D2815">
        <v>0.98932671362234803</v>
      </c>
      <c r="E2815">
        <v>1.0974496240254501</v>
      </c>
      <c r="F2815">
        <v>1.0907932161485101</v>
      </c>
      <c r="G2815">
        <v>0.88795539117772904</v>
      </c>
      <c r="H2815">
        <v>0.67933322864936996</v>
      </c>
      <c r="I2815">
        <v>0.65228638389534399</v>
      </c>
      <c r="J2815">
        <v>0.725293779420638</v>
      </c>
      <c r="K2815">
        <v>0.72123441619148199</v>
      </c>
      <c r="L2815">
        <v>14281.1196510952</v>
      </c>
      <c r="M2815">
        <v>250</v>
      </c>
      <c r="O2815">
        <v>57.120798507200298</v>
      </c>
      <c r="P2815">
        <v>-0.33422909534011602</v>
      </c>
      <c r="Q2815">
        <v>0.69453694344741002</v>
      </c>
      <c r="R2815">
        <v>0.85427911572558002</v>
      </c>
      <c r="S2815" t="s">
        <v>8676</v>
      </c>
      <c r="T2815" t="s">
        <v>11720</v>
      </c>
      <c r="U2815" t="s">
        <v>11720</v>
      </c>
      <c r="V2815" t="s">
        <v>11720</v>
      </c>
      <c r="W2815" t="s">
        <v>14489</v>
      </c>
      <c r="X2815">
        <v>10</v>
      </c>
      <c r="Y2815" t="s">
        <v>20231</v>
      </c>
      <c r="Z2815" t="s">
        <v>26022</v>
      </c>
      <c r="AA2815">
        <v>0.86893075278292997</v>
      </c>
      <c r="AB2815" t="str">
        <f>HYPERLINK("Melting_Curves/meltCurve_P62979_RPS27A.pdf", "Melting_Curves/meltCurve_P62979_RPS27A.pdf")</f>
        <v>Melting_Curves/meltCurve_P62979_RPS27A.pdf</v>
      </c>
    </row>
    <row r="2816" spans="1:28" x14ac:dyDescent="0.25">
      <c r="A2816" t="s">
        <v>2820</v>
      </c>
      <c r="B2816">
        <v>0.99334974765950101</v>
      </c>
      <c r="C2816">
        <v>1.12123834627583</v>
      </c>
      <c r="D2816">
        <v>1.2623161797912801</v>
      </c>
      <c r="E2816">
        <v>1.00113163968976</v>
      </c>
      <c r="F2816">
        <v>1.10037051343961</v>
      </c>
      <c r="G2816">
        <v>0.41640526753910201</v>
      </c>
      <c r="H2816">
        <v>0.58773922957436198</v>
      </c>
      <c r="I2816">
        <v>0.333751366290437</v>
      </c>
      <c r="J2816">
        <v>0.75601503124626801</v>
      </c>
      <c r="K2816">
        <v>0.77740981379085095</v>
      </c>
      <c r="L2816">
        <v>4360.9376561576901</v>
      </c>
      <c r="M2816">
        <v>79.567218187456106</v>
      </c>
      <c r="O2816">
        <v>54.7736286253297</v>
      </c>
      <c r="P2816">
        <v>-0.154862648033844</v>
      </c>
      <c r="Q2816">
        <v>0.57357373078651896</v>
      </c>
      <c r="R2816">
        <v>0.70245164032851204</v>
      </c>
      <c r="S2816" t="s">
        <v>8677</v>
      </c>
      <c r="T2816" t="s">
        <v>11720</v>
      </c>
      <c r="U2816" t="s">
        <v>11720</v>
      </c>
      <c r="V2816" t="s">
        <v>11720</v>
      </c>
      <c r="W2816" t="s">
        <v>14490</v>
      </c>
      <c r="X2816">
        <v>9</v>
      </c>
      <c r="Y2816" t="s">
        <v>20232</v>
      </c>
      <c r="Z2816" t="s">
        <v>26023</v>
      </c>
      <c r="AA2816">
        <v>0.78446659746359382</v>
      </c>
      <c r="AB2816" t="str">
        <f>HYPERLINK("Melting_Curves/meltCurve_P62987_UBA52.pdf", "Melting_Curves/meltCurve_P62987_UBA52.pdf")</f>
        <v>Melting_Curves/meltCurve_P62987_UBA52.pdf</v>
      </c>
    </row>
    <row r="2817" spans="1:28" x14ac:dyDescent="0.25">
      <c r="A2817" t="s">
        <v>2821</v>
      </c>
      <c r="B2817">
        <v>0.99334974765950101</v>
      </c>
      <c r="C2817">
        <v>0.99160319870692304</v>
      </c>
      <c r="D2817">
        <v>0.92314568096344496</v>
      </c>
      <c r="E2817">
        <v>0.80027658530462198</v>
      </c>
      <c r="F2817">
        <v>0.57541729671321196</v>
      </c>
      <c r="G2817">
        <v>0.25769739266449998</v>
      </c>
      <c r="H2817">
        <v>0.17502234053192001</v>
      </c>
      <c r="I2817">
        <v>0.15307457909792499</v>
      </c>
      <c r="J2817">
        <v>0.13973202848664201</v>
      </c>
      <c r="K2817">
        <v>0.13475485716344701</v>
      </c>
      <c r="L2817">
        <v>1107.2391980207699</v>
      </c>
      <c r="M2817">
        <v>20.930098663817802</v>
      </c>
      <c r="N2817">
        <v>53.639976675034703</v>
      </c>
      <c r="O2817">
        <v>52.425945118036097</v>
      </c>
      <c r="P2817">
        <v>-8.7320766029100397E-2</v>
      </c>
      <c r="Q2817">
        <v>0.12513564733867599</v>
      </c>
      <c r="R2817">
        <v>0.99777998701719195</v>
      </c>
      <c r="S2817" t="s">
        <v>8678</v>
      </c>
      <c r="T2817" t="s">
        <v>11720</v>
      </c>
      <c r="U2817" t="s">
        <v>11720</v>
      </c>
      <c r="V2817" t="s">
        <v>11720</v>
      </c>
      <c r="W2817" t="s">
        <v>14491</v>
      </c>
      <c r="X2817">
        <v>18</v>
      </c>
      <c r="Y2817" t="s">
        <v>20233</v>
      </c>
      <c r="Z2817" t="s">
        <v>26024</v>
      </c>
      <c r="AA2817">
        <v>0.51250772214510121</v>
      </c>
      <c r="AB2817" t="str">
        <f>HYPERLINK("Melting_Curves/meltCurve_P62993_GRB2.pdf", "Melting_Curves/meltCurve_P62993_GRB2.pdf")</f>
        <v>Melting_Curves/meltCurve_P62993_GRB2.pdf</v>
      </c>
    </row>
    <row r="2818" spans="1:28" x14ac:dyDescent="0.25">
      <c r="A2818" t="s">
        <v>2822</v>
      </c>
      <c r="B2818">
        <v>0.99334974765950101</v>
      </c>
      <c r="C2818">
        <v>0.92520449045302999</v>
      </c>
      <c r="D2818">
        <v>0.87892847717617895</v>
      </c>
      <c r="E2818">
        <v>0.82553029005592105</v>
      </c>
      <c r="F2818">
        <v>1.1548004163238801</v>
      </c>
      <c r="G2818">
        <v>0.70844054027244296</v>
      </c>
      <c r="H2818">
        <v>0.816498613100475</v>
      </c>
      <c r="I2818">
        <v>0.79941006002161097</v>
      </c>
      <c r="J2818">
        <v>0.70432064212463896</v>
      </c>
      <c r="K2818">
        <v>0.57434042407170605</v>
      </c>
      <c r="L2818">
        <v>369.68677609811198</v>
      </c>
      <c r="M2818">
        <v>4.7385942703100898</v>
      </c>
      <c r="O2818">
        <v>67.207990771249797</v>
      </c>
      <c r="P2818">
        <v>-1.7756254529587401E-2</v>
      </c>
      <c r="Q2818">
        <v>0</v>
      </c>
      <c r="R2818">
        <v>0.52529299286911102</v>
      </c>
      <c r="S2818" t="s">
        <v>8679</v>
      </c>
      <c r="T2818" t="s">
        <v>11720</v>
      </c>
      <c r="U2818" t="s">
        <v>11720</v>
      </c>
      <c r="V2818" t="s">
        <v>11720</v>
      </c>
      <c r="W2818" t="s">
        <v>14492</v>
      </c>
      <c r="X2818">
        <v>4</v>
      </c>
      <c r="Y2818" t="s">
        <v>20234</v>
      </c>
      <c r="Z2818" t="s">
        <v>26025</v>
      </c>
      <c r="AA2818">
        <v>0.85450707667940895</v>
      </c>
      <c r="AB2818" t="str">
        <f>HYPERLINK("Melting_Curves/meltCurve_P62995_3_TRA2B.pdf", "Melting_Curves/meltCurve_P62995_3_TRA2B.pdf")</f>
        <v>Melting_Curves/meltCurve_P62995_3_TRA2B.pdf</v>
      </c>
    </row>
    <row r="2819" spans="1:28" x14ac:dyDescent="0.25">
      <c r="A2819" t="s">
        <v>2823</v>
      </c>
      <c r="B2819">
        <v>0.99334974765950101</v>
      </c>
      <c r="C2819">
        <v>1.02137386987437</v>
      </c>
      <c r="D2819">
        <v>0.88156006562507805</v>
      </c>
      <c r="E2819">
        <v>0.71831239068821795</v>
      </c>
      <c r="F2819">
        <v>0.45048534914361898</v>
      </c>
      <c r="G2819">
        <v>0.360584618657043</v>
      </c>
      <c r="H2819">
        <v>0.26375579311485398</v>
      </c>
      <c r="I2819">
        <v>0.12518940827563699</v>
      </c>
      <c r="J2819">
        <v>5.0304781874960701E-2</v>
      </c>
      <c r="K2819">
        <v>3.31871999448013E-2</v>
      </c>
      <c r="L2819">
        <v>639.54192575528896</v>
      </c>
      <c r="M2819">
        <v>11.9287165011926</v>
      </c>
      <c r="N2819">
        <v>53.613640414930302</v>
      </c>
      <c r="O2819">
        <v>52.173527987816797</v>
      </c>
      <c r="P2819">
        <v>-5.7172956003095E-2</v>
      </c>
      <c r="Q2819">
        <v>0</v>
      </c>
      <c r="R2819">
        <v>0.98491924328220304</v>
      </c>
      <c r="S2819" t="s">
        <v>8680</v>
      </c>
      <c r="T2819" t="s">
        <v>11720</v>
      </c>
      <c r="U2819" t="s">
        <v>11720</v>
      </c>
      <c r="V2819" t="s">
        <v>11720</v>
      </c>
      <c r="W2819" t="s">
        <v>14493</v>
      </c>
      <c r="X2819">
        <v>13</v>
      </c>
      <c r="Y2819" t="s">
        <v>20235</v>
      </c>
      <c r="Z2819" t="s">
        <v>26026</v>
      </c>
      <c r="AA2819">
        <v>0.48100837516204747</v>
      </c>
      <c r="AB2819" t="str">
        <f>HYPERLINK("Melting_Curves/meltCurve_P63000_RAC1.pdf", "Melting_Curves/meltCurve_P63000_RAC1.pdf")</f>
        <v>Melting_Curves/meltCurve_P63000_RAC1.pdf</v>
      </c>
    </row>
    <row r="2820" spans="1:28" x14ac:dyDescent="0.25">
      <c r="A2820" t="s">
        <v>2824</v>
      </c>
      <c r="B2820">
        <v>0.99334974765950101</v>
      </c>
      <c r="C2820">
        <v>0.99423444988586196</v>
      </c>
      <c r="D2820">
        <v>1.0950673164304201</v>
      </c>
      <c r="E2820">
        <v>0.99337348665465097</v>
      </c>
      <c r="F2820">
        <v>0.65469113857254901</v>
      </c>
      <c r="G2820">
        <v>0.21313961233700901</v>
      </c>
      <c r="H2820">
        <v>0.13396910237819001</v>
      </c>
      <c r="I2820">
        <v>8.4937073383113598E-2</v>
      </c>
      <c r="J2820">
        <v>6.3594337339274401E-2</v>
      </c>
      <c r="K2820">
        <v>5.65876454479005E-2</v>
      </c>
      <c r="L2820">
        <v>1919.4686480374501</v>
      </c>
      <c r="M2820">
        <v>35.607403123626398</v>
      </c>
      <c r="N2820">
        <v>54.179036703262</v>
      </c>
      <c r="O2820">
        <v>53.7372709806194</v>
      </c>
      <c r="P2820">
        <v>-0.152069907377543</v>
      </c>
      <c r="Q2820">
        <v>8.2011703309702894E-2</v>
      </c>
      <c r="R2820">
        <v>0.99208716767438498</v>
      </c>
      <c r="S2820" t="s">
        <v>8681</v>
      </c>
      <c r="T2820" t="s">
        <v>11720</v>
      </c>
      <c r="U2820" t="s">
        <v>11720</v>
      </c>
      <c r="V2820" t="s">
        <v>11720</v>
      </c>
      <c r="W2820" t="s">
        <v>14494</v>
      </c>
      <c r="X2820">
        <v>33</v>
      </c>
      <c r="Y2820" t="s">
        <v>20236</v>
      </c>
      <c r="Z2820" t="s">
        <v>26027</v>
      </c>
      <c r="AA2820">
        <v>0.51184812871428498</v>
      </c>
      <c r="AB2820" t="str">
        <f>HYPERLINK("Melting_Curves/meltCurve_P63010_AP2B1.pdf", "Melting_Curves/meltCurve_P63010_AP2B1.pdf")</f>
        <v>Melting_Curves/meltCurve_P63010_AP2B1.pdf</v>
      </c>
    </row>
    <row r="2821" spans="1:28" x14ac:dyDescent="0.25">
      <c r="A2821" t="s">
        <v>2825</v>
      </c>
      <c r="B2821">
        <v>0.99334974765950101</v>
      </c>
      <c r="C2821">
        <v>1.0321630446427801</v>
      </c>
      <c r="D2821">
        <v>0.96456436186949002</v>
      </c>
      <c r="E2821">
        <v>0.79051174924948397</v>
      </c>
      <c r="F2821">
        <v>1.0739284595152501</v>
      </c>
      <c r="G2821">
        <v>0.42612851293513399</v>
      </c>
      <c r="H2821">
        <v>0.31722607608697001</v>
      </c>
      <c r="I2821">
        <v>0.21428178402767301</v>
      </c>
      <c r="J2821">
        <v>0.34473043910653001</v>
      </c>
      <c r="K2821">
        <v>0.24519501589467599</v>
      </c>
      <c r="L2821">
        <v>14171.888683454699</v>
      </c>
      <c r="M2821">
        <v>250</v>
      </c>
      <c r="N2821">
        <v>56.874679559862699</v>
      </c>
      <c r="O2821">
        <v>56.683914647951603</v>
      </c>
      <c r="P2821">
        <v>-0.79348074869316998</v>
      </c>
      <c r="Q2821">
        <v>0.28035832159229901</v>
      </c>
      <c r="R2821">
        <v>0.94629383524483701</v>
      </c>
      <c r="S2821" t="s">
        <v>8682</v>
      </c>
      <c r="T2821" t="s">
        <v>11720</v>
      </c>
      <c r="U2821" t="s">
        <v>11720</v>
      </c>
      <c r="V2821" t="s">
        <v>11720</v>
      </c>
      <c r="W2821" t="s">
        <v>14495</v>
      </c>
      <c r="X2821">
        <v>21</v>
      </c>
      <c r="Y2821" t="s">
        <v>20237</v>
      </c>
      <c r="Z2821" t="s">
        <v>26028</v>
      </c>
      <c r="AA2821">
        <v>0.68073191227552798</v>
      </c>
      <c r="AB2821" t="str">
        <f>HYPERLINK("Melting_Curves/meltCurve_P63092_GNAS.pdf", "Melting_Curves/meltCurve_P63092_GNAS.pdf")</f>
        <v>Melting_Curves/meltCurve_P63092_GNAS.pdf</v>
      </c>
    </row>
    <row r="2822" spans="1:28" x14ac:dyDescent="0.25">
      <c r="A2822" t="s">
        <v>2826</v>
      </c>
      <c r="B2822">
        <v>0.99334974765950101</v>
      </c>
      <c r="C2822">
        <v>0.94032794608005699</v>
      </c>
      <c r="D2822">
        <v>0.92303099303490199</v>
      </c>
      <c r="E2822">
        <v>0.90336626001682896</v>
      </c>
      <c r="F2822">
        <v>0.90111943414156503</v>
      </c>
      <c r="G2822">
        <v>0.65022634025186599</v>
      </c>
      <c r="H2822">
        <v>0.405234756858323</v>
      </c>
      <c r="I2822">
        <v>0.35843573689069602</v>
      </c>
      <c r="J2822">
        <v>0.32090460797713899</v>
      </c>
      <c r="K2822">
        <v>0.42762410784272298</v>
      </c>
      <c r="L2822">
        <v>1411.85669749728</v>
      </c>
      <c r="M2822">
        <v>25.0606549466908</v>
      </c>
      <c r="N2822">
        <v>59.171858280284297</v>
      </c>
      <c r="O2822">
        <v>55.982526644705501</v>
      </c>
      <c r="P2822">
        <v>-7.2804612685849604E-2</v>
      </c>
      <c r="Q2822">
        <v>0.349461224742321</v>
      </c>
      <c r="R2822">
        <v>0.96690192397017305</v>
      </c>
      <c r="S2822" t="s">
        <v>8683</v>
      </c>
      <c r="T2822" t="s">
        <v>11720</v>
      </c>
      <c r="U2822" t="s">
        <v>11720</v>
      </c>
      <c r="V2822" t="s">
        <v>11720</v>
      </c>
      <c r="W2822" t="s">
        <v>14496</v>
      </c>
      <c r="X2822">
        <v>21</v>
      </c>
      <c r="Y2822" t="s">
        <v>20237</v>
      </c>
      <c r="Z2822" t="s">
        <v>26029</v>
      </c>
      <c r="AA2822">
        <v>0.7096546542347284</v>
      </c>
      <c r="AB2822" t="str">
        <f>HYPERLINK("Melting_Curves/meltCurve_P63092_3_GNAS.pdf", "Melting_Curves/meltCurve_P63092_3_GNAS.pdf")</f>
        <v>Melting_Curves/meltCurve_P63092_3_GNAS.pdf</v>
      </c>
    </row>
    <row r="2823" spans="1:28" x14ac:dyDescent="0.25">
      <c r="A2823" t="s">
        <v>2827</v>
      </c>
      <c r="B2823">
        <v>0.99334974765950101</v>
      </c>
      <c r="C2823">
        <v>1.0049306178008901</v>
      </c>
      <c r="D2823">
        <v>0.96595973508049804</v>
      </c>
      <c r="E2823">
        <v>1.0019064669548201</v>
      </c>
      <c r="F2823">
        <v>0.89931304035172199</v>
      </c>
      <c r="G2823">
        <v>0.76273830172676804</v>
      </c>
      <c r="H2823">
        <v>0.16147159595730401</v>
      </c>
      <c r="I2823">
        <v>0.15686092994069101</v>
      </c>
      <c r="J2823">
        <v>0.10902529006656</v>
      </c>
      <c r="K2823">
        <v>7.9316770633879805E-2</v>
      </c>
      <c r="L2823">
        <v>2920.0181860750099</v>
      </c>
      <c r="M2823">
        <v>50.262845817578302</v>
      </c>
      <c r="N2823">
        <v>58.372464130035901</v>
      </c>
      <c r="O2823">
        <v>58.003223435204298</v>
      </c>
      <c r="P2823">
        <v>-0.19361610478159999</v>
      </c>
      <c r="Q2823">
        <v>0.10627036110735701</v>
      </c>
      <c r="R2823">
        <v>0.99204048480818297</v>
      </c>
      <c r="S2823" t="s">
        <v>8684</v>
      </c>
      <c r="T2823" t="s">
        <v>11720</v>
      </c>
      <c r="U2823" t="s">
        <v>11720</v>
      </c>
      <c r="V2823" t="s">
        <v>11720</v>
      </c>
      <c r="W2823" t="s">
        <v>14497</v>
      </c>
      <c r="X2823">
        <v>16</v>
      </c>
      <c r="Y2823" t="s">
        <v>20238</v>
      </c>
      <c r="Z2823" t="s">
        <v>26030</v>
      </c>
      <c r="AA2823">
        <v>0.64759324661832685</v>
      </c>
      <c r="AB2823" t="str">
        <f>HYPERLINK("Melting_Curves/meltCurve_P63096_GNAI1.pdf", "Melting_Curves/meltCurve_P63096_GNAI1.pdf")</f>
        <v>Melting_Curves/meltCurve_P63096_GNAI1.pdf</v>
      </c>
    </row>
    <row r="2824" spans="1:28" x14ac:dyDescent="0.25">
      <c r="A2824" t="s">
        <v>2828</v>
      </c>
      <c r="B2824">
        <v>0.99334974765950101</v>
      </c>
      <c r="C2824">
        <v>0.98676661410179201</v>
      </c>
      <c r="D2824">
        <v>0.97828407246355897</v>
      </c>
      <c r="E2824">
        <v>0.85932900425118897</v>
      </c>
      <c r="F2824">
        <v>0.80683062989439502</v>
      </c>
      <c r="G2824">
        <v>0.50908552021889097</v>
      </c>
      <c r="H2824">
        <v>0.18299239919816099</v>
      </c>
      <c r="I2824">
        <v>0.105428113520423</v>
      </c>
      <c r="J2824">
        <v>9.3861028043178196E-2</v>
      </c>
      <c r="K2824">
        <v>7.3769880048726005E-2</v>
      </c>
      <c r="L2824">
        <v>1073.3926082849</v>
      </c>
      <c r="M2824">
        <v>18.993558605980699</v>
      </c>
      <c r="N2824">
        <v>56.703738180330497</v>
      </c>
      <c r="O2824">
        <v>55.898232376697003</v>
      </c>
      <c r="P2824">
        <v>-8.2328338368452006E-2</v>
      </c>
      <c r="Q2824">
        <v>3.0866200127954602E-2</v>
      </c>
      <c r="R2824">
        <v>0.99423275531009603</v>
      </c>
      <c r="S2824" t="s">
        <v>8685</v>
      </c>
      <c r="T2824" t="s">
        <v>11720</v>
      </c>
      <c r="U2824" t="s">
        <v>11720</v>
      </c>
      <c r="V2824" t="s">
        <v>11720</v>
      </c>
      <c r="W2824" t="s">
        <v>14498</v>
      </c>
      <c r="X2824">
        <v>27</v>
      </c>
      <c r="Y2824" t="s">
        <v>17977</v>
      </c>
      <c r="Z2824" t="s">
        <v>26031</v>
      </c>
      <c r="AA2824">
        <v>0.57731972962231082</v>
      </c>
      <c r="AB2824" t="str">
        <f>HYPERLINK("Melting_Curves/meltCurve_P63104_YWHAZ.pdf", "Melting_Curves/meltCurve_P63104_YWHAZ.pdf")</f>
        <v>Melting_Curves/meltCurve_P63104_YWHAZ.pdf</v>
      </c>
    </row>
    <row r="2825" spans="1:28" x14ac:dyDescent="0.25">
      <c r="A2825" t="s">
        <v>2829</v>
      </c>
      <c r="B2825">
        <v>0.99334974765950101</v>
      </c>
      <c r="C2825">
        <v>1.0378304172873101</v>
      </c>
      <c r="D2825">
        <v>0.87111099618907994</v>
      </c>
      <c r="E2825">
        <v>0.82935009264175596</v>
      </c>
      <c r="F2825">
        <v>0.38646605662769301</v>
      </c>
      <c r="G2825">
        <v>0.22471041893660701</v>
      </c>
      <c r="H2825">
        <v>0.15706147702492301</v>
      </c>
      <c r="I2825">
        <v>0.18825744988395299</v>
      </c>
      <c r="J2825">
        <v>0.13932930077028199</v>
      </c>
      <c r="K2825">
        <v>0.115646741286692</v>
      </c>
      <c r="L2825">
        <v>1732.5360250496401</v>
      </c>
      <c r="M2825">
        <v>33.501755275967803</v>
      </c>
      <c r="N2825">
        <v>52.287199398848401</v>
      </c>
      <c r="O2825">
        <v>51.531580089141301</v>
      </c>
      <c r="P2825">
        <v>-0.13758126741426099</v>
      </c>
      <c r="Q2825">
        <v>0.15350724893529399</v>
      </c>
      <c r="R2825">
        <v>0.98469943645768498</v>
      </c>
      <c r="S2825" t="s">
        <v>8686</v>
      </c>
      <c r="T2825" t="s">
        <v>11720</v>
      </c>
      <c r="U2825" t="s">
        <v>11720</v>
      </c>
      <c r="V2825" t="s">
        <v>11720</v>
      </c>
      <c r="W2825" t="s">
        <v>14499</v>
      </c>
      <c r="X2825">
        <v>2</v>
      </c>
      <c r="Y2825" t="s">
        <v>20239</v>
      </c>
      <c r="Z2825" t="s">
        <v>26032</v>
      </c>
      <c r="AA2825">
        <v>0.48837553763200298</v>
      </c>
      <c r="AB2825" t="str">
        <f>HYPERLINK("Melting_Curves/meltCurve_P63146_UBE2B.pdf", "Melting_Curves/meltCurve_P63146_UBE2B.pdf")</f>
        <v>Melting_Curves/meltCurve_P63146_UBE2B.pdf</v>
      </c>
    </row>
    <row r="2826" spans="1:28" x14ac:dyDescent="0.25">
      <c r="A2826" t="s">
        <v>2830</v>
      </c>
      <c r="B2826">
        <v>0.99334974765950101</v>
      </c>
      <c r="C2826">
        <v>1.0292080471140199</v>
      </c>
      <c r="D2826">
        <v>1.2038265815673901</v>
      </c>
      <c r="E2826">
        <v>1.26107174124152</v>
      </c>
      <c r="F2826">
        <v>1.2441772168062</v>
      </c>
      <c r="G2826">
        <v>0.66503617704163998</v>
      </c>
      <c r="H2826">
        <v>0.24720623514655901</v>
      </c>
      <c r="I2826">
        <v>0.15679437922600301</v>
      </c>
      <c r="J2826">
        <v>0.14741497698494599</v>
      </c>
      <c r="K2826">
        <v>0.121976875417108</v>
      </c>
      <c r="L2826">
        <v>3621.6952799460701</v>
      </c>
      <c r="M2826">
        <v>63.071701790739603</v>
      </c>
      <c r="N2826">
        <v>57.779853588178902</v>
      </c>
      <c r="O2826">
        <v>57.364215145255002</v>
      </c>
      <c r="P2826">
        <v>-0.230418763783407</v>
      </c>
      <c r="Q2826">
        <v>0.161729243616935</v>
      </c>
      <c r="R2826">
        <v>0.91879135523969802</v>
      </c>
      <c r="S2826" t="s">
        <v>8687</v>
      </c>
      <c r="T2826" t="s">
        <v>11720</v>
      </c>
      <c r="U2826" t="s">
        <v>11720</v>
      </c>
      <c r="V2826" t="s">
        <v>11720</v>
      </c>
      <c r="W2826" t="s">
        <v>14500</v>
      </c>
      <c r="X2826">
        <v>16</v>
      </c>
      <c r="Y2826" t="s">
        <v>20240</v>
      </c>
      <c r="Z2826" t="s">
        <v>26033</v>
      </c>
      <c r="AA2826">
        <v>0.64986858888038967</v>
      </c>
      <c r="AB2826" t="str">
        <f>HYPERLINK("Melting_Curves/meltCurve_P63151_PPP2R2A.pdf", "Melting_Curves/meltCurve_P63151_PPP2R2A.pdf")</f>
        <v>Melting_Curves/meltCurve_P63151_PPP2R2A.pdf</v>
      </c>
    </row>
    <row r="2827" spans="1:28" x14ac:dyDescent="0.25">
      <c r="A2827" t="s">
        <v>2831</v>
      </c>
      <c r="B2827">
        <v>0.99334974765950101</v>
      </c>
      <c r="C2827">
        <v>1.0305426927194901</v>
      </c>
      <c r="D2827">
        <v>0.83617955768379104</v>
      </c>
      <c r="E2827">
        <v>0.62435446323218202</v>
      </c>
      <c r="F2827">
        <v>0.41230157888304098</v>
      </c>
      <c r="G2827">
        <v>0.195388798858216</v>
      </c>
      <c r="H2827">
        <v>0.122582398630439</v>
      </c>
      <c r="I2827">
        <v>0.106203703171267</v>
      </c>
      <c r="J2827">
        <v>0.106584678693281</v>
      </c>
      <c r="K2827">
        <v>0.10853105948991899</v>
      </c>
      <c r="L2827">
        <v>894.30625806766795</v>
      </c>
      <c r="M2827">
        <v>17.550164490493</v>
      </c>
      <c r="N2827">
        <v>51.518366253333198</v>
      </c>
      <c r="O2827">
        <v>50.309363969652701</v>
      </c>
      <c r="P2827">
        <v>-7.9627316991767796E-2</v>
      </c>
      <c r="Q2827">
        <v>8.7010111788456607E-2</v>
      </c>
      <c r="R2827">
        <v>0.99484458749437799</v>
      </c>
      <c r="S2827" t="s">
        <v>8688</v>
      </c>
      <c r="T2827" t="s">
        <v>11720</v>
      </c>
      <c r="U2827" t="s">
        <v>11720</v>
      </c>
      <c r="V2827" t="s">
        <v>11720</v>
      </c>
      <c r="W2827" t="s">
        <v>14501</v>
      </c>
      <c r="X2827">
        <v>11</v>
      </c>
      <c r="Y2827" t="s">
        <v>20241</v>
      </c>
      <c r="Z2827" t="s">
        <v>26034</v>
      </c>
      <c r="AA2827">
        <v>0.43657660938386139</v>
      </c>
      <c r="AB2827" t="str">
        <f>HYPERLINK("Melting_Curves/meltCurve_P63167_DYNLL1.pdf", "Melting_Curves/meltCurve_P63167_DYNLL1.pdf")</f>
        <v>Melting_Curves/meltCurve_P63167_DYNLL1.pdf</v>
      </c>
    </row>
    <row r="2828" spans="1:28" x14ac:dyDescent="0.25">
      <c r="A2828" t="s">
        <v>2832</v>
      </c>
      <c r="B2828">
        <v>0.99334974765950101</v>
      </c>
      <c r="C2828">
        <v>0.97104197700308303</v>
      </c>
      <c r="D2828">
        <v>0.76506842486604598</v>
      </c>
      <c r="E2828">
        <v>0.56824957237376394</v>
      </c>
      <c r="F2828">
        <v>0.31193819302666798</v>
      </c>
      <c r="G2828">
        <v>0.30116042984594499</v>
      </c>
      <c r="H2828">
        <v>0.26910801255227201</v>
      </c>
      <c r="I2828">
        <v>0.22037741447060799</v>
      </c>
      <c r="J2828">
        <v>0.196892718715759</v>
      </c>
      <c r="K2828">
        <v>0.145323848734005</v>
      </c>
      <c r="L2828">
        <v>823.54312083553805</v>
      </c>
      <c r="M2828">
        <v>16.802091777780799</v>
      </c>
      <c r="N2828">
        <v>50.490659098111202</v>
      </c>
      <c r="O2828">
        <v>48.335810704523098</v>
      </c>
      <c r="P2828">
        <v>-7.0041209749741595E-2</v>
      </c>
      <c r="Q2828">
        <v>0.19408136143833199</v>
      </c>
      <c r="R2828">
        <v>0.98506233421351397</v>
      </c>
      <c r="S2828" t="s">
        <v>8689</v>
      </c>
      <c r="T2828" t="s">
        <v>11720</v>
      </c>
      <c r="U2828" t="s">
        <v>11720</v>
      </c>
      <c r="V2828" t="s">
        <v>11720</v>
      </c>
      <c r="W2828" t="s">
        <v>14502</v>
      </c>
      <c r="X2828">
        <v>3</v>
      </c>
      <c r="Y2828" t="s">
        <v>20242</v>
      </c>
      <c r="Z2828" t="s">
        <v>26035</v>
      </c>
      <c r="AA2828">
        <v>0.45223065688169461</v>
      </c>
      <c r="AB2828" t="str">
        <f>HYPERLINK("Melting_Curves/meltCurve_P63173_RPL38.pdf", "Melting_Curves/meltCurve_P63173_RPL38.pdf")</f>
        <v>Melting_Curves/meltCurve_P63173_RPL38.pdf</v>
      </c>
    </row>
    <row r="2829" spans="1:28" x14ac:dyDescent="0.25">
      <c r="A2829" t="s">
        <v>2833</v>
      </c>
      <c r="B2829">
        <v>0.99334974765950101</v>
      </c>
      <c r="C2829">
        <v>1.11212464669234</v>
      </c>
      <c r="D2829">
        <v>0.98399866073046705</v>
      </c>
      <c r="E2829">
        <v>1.0547123369742799</v>
      </c>
      <c r="F2829">
        <v>1.0195975630420799</v>
      </c>
      <c r="G2829">
        <v>0.81467863779641803</v>
      </c>
      <c r="H2829">
        <v>0.79050704816674999</v>
      </c>
      <c r="I2829">
        <v>1.0144104250830399</v>
      </c>
      <c r="J2829">
        <v>1.7291387579063699</v>
      </c>
      <c r="K2829">
        <v>1.10962240724529</v>
      </c>
      <c r="L2829">
        <v>15000</v>
      </c>
      <c r="M2829">
        <v>231.31128054267299</v>
      </c>
      <c r="O2829">
        <v>64.842836059956198</v>
      </c>
      <c r="P2829">
        <v>0.37395314886099301</v>
      </c>
      <c r="Q2829">
        <v>1.41931688760687</v>
      </c>
      <c r="R2829">
        <v>0.52212608729064702</v>
      </c>
      <c r="S2829" t="s">
        <v>8690</v>
      </c>
      <c r="T2829" t="s">
        <v>11720</v>
      </c>
      <c r="U2829" t="s">
        <v>11720</v>
      </c>
      <c r="V2829" t="s">
        <v>11720</v>
      </c>
      <c r="W2829" t="s">
        <v>14503</v>
      </c>
      <c r="X2829">
        <v>6</v>
      </c>
      <c r="Y2829" t="s">
        <v>20243</v>
      </c>
      <c r="Z2829" t="s">
        <v>26036</v>
      </c>
      <c r="AA2829">
        <v>1.071959407890765</v>
      </c>
      <c r="AB2829" t="str">
        <f>HYPERLINK("Melting_Curves/meltCurve_P63218_GNG5.pdf", "Melting_Curves/meltCurve_P63218_GNG5.pdf")</f>
        <v>Melting_Curves/meltCurve_P63218_GNG5.pdf</v>
      </c>
    </row>
    <row r="2830" spans="1:28" x14ac:dyDescent="0.25">
      <c r="A2830" t="s">
        <v>2834</v>
      </c>
      <c r="B2830">
        <v>0.99334974765950101</v>
      </c>
      <c r="C2830">
        <v>0.94528075720365501</v>
      </c>
      <c r="D2830">
        <v>0.72354380465738499</v>
      </c>
      <c r="E2830">
        <v>0.35014739937799799</v>
      </c>
      <c r="F2830">
        <v>0.19341483045525401</v>
      </c>
      <c r="G2830">
        <v>0.108081151522323</v>
      </c>
      <c r="H2830">
        <v>7.4471628460648406E-2</v>
      </c>
      <c r="I2830">
        <v>6.5179269542749593E-2</v>
      </c>
      <c r="J2830">
        <v>6.2886882814668699E-2</v>
      </c>
      <c r="K2830">
        <v>5.3587937236621801E-2</v>
      </c>
      <c r="L2830">
        <v>982.044964880973</v>
      </c>
      <c r="M2830">
        <v>20.428654529724799</v>
      </c>
      <c r="N2830">
        <v>48.383968261189601</v>
      </c>
      <c r="O2830">
        <v>47.618387848871002</v>
      </c>
      <c r="P2830">
        <v>-0.100635104386538</v>
      </c>
      <c r="Q2830">
        <v>6.17218933656545E-2</v>
      </c>
      <c r="R2830">
        <v>0.999376550343549</v>
      </c>
      <c r="S2830" t="s">
        <v>8691</v>
      </c>
      <c r="T2830" t="s">
        <v>11720</v>
      </c>
      <c r="U2830" t="s">
        <v>11720</v>
      </c>
      <c r="V2830" t="s">
        <v>11720</v>
      </c>
      <c r="W2830" t="s">
        <v>14504</v>
      </c>
      <c r="X2830">
        <v>22</v>
      </c>
      <c r="Y2830" t="s">
        <v>20244</v>
      </c>
      <c r="Z2830" t="s">
        <v>26037</v>
      </c>
      <c r="AA2830">
        <v>0.3269098651769699</v>
      </c>
      <c r="AB2830" t="str">
        <f>HYPERLINK("Melting_Curves/meltCurve_P63244_GNB2L1.pdf", "Melting_Curves/meltCurve_P63244_GNB2L1.pdf")</f>
        <v>Melting_Curves/meltCurve_P63244_GNB2L1.pdf</v>
      </c>
    </row>
    <row r="2831" spans="1:28" x14ac:dyDescent="0.25">
      <c r="A2831" t="s">
        <v>2835</v>
      </c>
      <c r="B2831">
        <v>0.99334974765950101</v>
      </c>
      <c r="C2831">
        <v>1.0875608963500401</v>
      </c>
      <c r="D2831">
        <v>0.99852470704952401</v>
      </c>
      <c r="E2831">
        <v>1.24545615271341</v>
      </c>
      <c r="F2831">
        <v>2.06975861075066</v>
      </c>
      <c r="G2831">
        <v>1.66643228192993</v>
      </c>
      <c r="H2831">
        <v>4.1520053858194901</v>
      </c>
      <c r="I2831">
        <v>6.0883978684958198</v>
      </c>
      <c r="J2831">
        <v>4.2955786533362499</v>
      </c>
      <c r="K2831">
        <v>4.6846468746204604</v>
      </c>
      <c r="L2831">
        <v>12501.817102376601</v>
      </c>
      <c r="M2831">
        <v>250</v>
      </c>
      <c r="O2831">
        <v>50.004068292301803</v>
      </c>
      <c r="P2831">
        <v>0.624949151419667</v>
      </c>
      <c r="Q2831">
        <v>1.5</v>
      </c>
      <c r="R2831">
        <v>-0.447625470935338</v>
      </c>
      <c r="S2831" t="s">
        <v>8692</v>
      </c>
      <c r="T2831" t="s">
        <v>11720</v>
      </c>
      <c r="U2831" t="s">
        <v>11720</v>
      </c>
      <c r="V2831" t="s">
        <v>11720</v>
      </c>
      <c r="W2831" t="s">
        <v>14505</v>
      </c>
      <c r="X2831">
        <v>5</v>
      </c>
      <c r="Y2831" t="s">
        <v>20245</v>
      </c>
      <c r="Z2831" t="s">
        <v>26038</v>
      </c>
      <c r="AA2831">
        <v>1.333168312186007</v>
      </c>
      <c r="AB2831" t="str">
        <f>HYPERLINK("Melting_Curves/meltCurve_P67809_YBX1.pdf", "Melting_Curves/meltCurve_P67809_YBX1.pdf")</f>
        <v>Melting_Curves/meltCurve_P67809_YBX1.pdf</v>
      </c>
    </row>
    <row r="2832" spans="1:28" x14ac:dyDescent="0.25">
      <c r="A2832" t="s">
        <v>2836</v>
      </c>
      <c r="B2832">
        <v>0.99334974765950101</v>
      </c>
      <c r="C2832">
        <v>1.0156232778510099</v>
      </c>
      <c r="D2832">
        <v>0.96524960147501604</v>
      </c>
      <c r="E2832">
        <v>0.876196521103772</v>
      </c>
      <c r="F2832">
        <v>1.2742031015239299</v>
      </c>
      <c r="G2832">
        <v>0.980700505670139</v>
      </c>
      <c r="H2832">
        <v>0.99777919284136896</v>
      </c>
      <c r="I2832">
        <v>1.1800631836228801</v>
      </c>
      <c r="J2832">
        <v>1.5984749531864699</v>
      </c>
      <c r="K2832">
        <v>1.6859459282321401</v>
      </c>
      <c r="L2832">
        <v>15000</v>
      </c>
      <c r="M2832">
        <v>233.80036630368099</v>
      </c>
      <c r="O2832">
        <v>64.152604764751104</v>
      </c>
      <c r="P2832">
        <v>0.45555509321812998</v>
      </c>
      <c r="Q2832">
        <v>1.5</v>
      </c>
      <c r="R2832">
        <v>0.80690678214587097</v>
      </c>
      <c r="S2832" t="s">
        <v>8693</v>
      </c>
      <c r="T2832" t="s">
        <v>11720</v>
      </c>
      <c r="U2832" t="s">
        <v>11720</v>
      </c>
      <c r="V2832" t="s">
        <v>11720</v>
      </c>
      <c r="W2832" t="s">
        <v>14506</v>
      </c>
      <c r="X2832">
        <v>61</v>
      </c>
      <c r="Y2832" t="s">
        <v>18625</v>
      </c>
      <c r="Z2832" t="s">
        <v>26039</v>
      </c>
      <c r="AA2832">
        <v>1.0973139791635129</v>
      </c>
      <c r="AB2832" t="str">
        <f>HYPERLINK("Melting_Curves/meltCurve_P67936_TPM4.pdf", "Melting_Curves/meltCurve_P67936_TPM4.pdf")</f>
        <v>Melting_Curves/meltCurve_P67936_TPM4.pdf</v>
      </c>
    </row>
    <row r="2833" spans="1:28" x14ac:dyDescent="0.25">
      <c r="A2833" t="s">
        <v>2837</v>
      </c>
      <c r="B2833">
        <v>0.99334974765950101</v>
      </c>
      <c r="C2833">
        <v>1.0191271567732301</v>
      </c>
      <c r="D2833">
        <v>0.86844736195475403</v>
      </c>
      <c r="E2833">
        <v>0.86118646875584004</v>
      </c>
      <c r="F2833">
        <v>1.15409169109812</v>
      </c>
      <c r="G2833">
        <v>0.82291929150600096</v>
      </c>
      <c r="H2833">
        <v>0.78417147106068796</v>
      </c>
      <c r="I2833">
        <v>0.952869330770303</v>
      </c>
      <c r="J2833">
        <v>1.41772630958816</v>
      </c>
      <c r="K2833">
        <v>1.4260487900313299</v>
      </c>
      <c r="L2833">
        <v>15000</v>
      </c>
      <c r="M2833">
        <v>227.449288454205</v>
      </c>
      <c r="O2833">
        <v>65.943674148446306</v>
      </c>
      <c r="P2833">
        <v>0.36880365565973899</v>
      </c>
      <c r="Q2833">
        <v>1.4277044069973399</v>
      </c>
      <c r="R2833">
        <v>0.71114172391396302</v>
      </c>
      <c r="S2833" t="s">
        <v>8694</v>
      </c>
      <c r="T2833" t="s">
        <v>11720</v>
      </c>
      <c r="U2833" t="s">
        <v>11720</v>
      </c>
      <c r="V2833" t="s">
        <v>11720</v>
      </c>
      <c r="W2833" t="s">
        <v>14507</v>
      </c>
      <c r="X2833">
        <v>58</v>
      </c>
      <c r="Y2833" t="s">
        <v>18625</v>
      </c>
      <c r="Z2833" t="s">
        <v>26040</v>
      </c>
      <c r="AA2833">
        <v>1.0576978833335049</v>
      </c>
      <c r="AB2833" t="str">
        <f>HYPERLINK("Melting_Curves/meltCurve_P67936_2_TPM4.pdf", "Melting_Curves/meltCurve_P67936_2_TPM4.pdf")</f>
        <v>Melting_Curves/meltCurve_P67936_2_TPM4.pdf</v>
      </c>
    </row>
    <row r="2834" spans="1:28" x14ac:dyDescent="0.25">
      <c r="A2834" t="s">
        <v>2838</v>
      </c>
      <c r="B2834">
        <v>0.99334974765950101</v>
      </c>
      <c r="C2834">
        <v>1.0092788593769999</v>
      </c>
      <c r="D2834">
        <v>0.92437201889284804</v>
      </c>
      <c r="E2834">
        <v>0.79318174232397198</v>
      </c>
      <c r="F2834">
        <v>0.827022316539756</v>
      </c>
      <c r="G2834">
        <v>0.475666814753895</v>
      </c>
      <c r="H2834">
        <v>0.32955171513463799</v>
      </c>
      <c r="I2834">
        <v>0.24177873140706199</v>
      </c>
      <c r="J2834">
        <v>0.26508572384393803</v>
      </c>
      <c r="K2834">
        <v>0.21488510259327401</v>
      </c>
      <c r="L2834">
        <v>844.06625615190796</v>
      </c>
      <c r="M2834">
        <v>15.2121851597041</v>
      </c>
      <c r="N2834">
        <v>57.112006882579799</v>
      </c>
      <c r="O2834">
        <v>54.553852106485699</v>
      </c>
      <c r="P2834">
        <v>-5.7466395079208303E-2</v>
      </c>
      <c r="Q2834">
        <v>0.175736303828679</v>
      </c>
      <c r="R2834">
        <v>0.97927442985297097</v>
      </c>
      <c r="S2834" t="s">
        <v>8695</v>
      </c>
      <c r="T2834" t="s">
        <v>11720</v>
      </c>
      <c r="U2834" t="s">
        <v>11720</v>
      </c>
      <c r="V2834" t="s">
        <v>11720</v>
      </c>
      <c r="W2834" t="s">
        <v>14508</v>
      </c>
      <c r="X2834">
        <v>16</v>
      </c>
      <c r="Y2834" t="s">
        <v>20246</v>
      </c>
      <c r="Z2834" t="s">
        <v>26041</v>
      </c>
      <c r="AA2834">
        <v>0.61632972570252376</v>
      </c>
      <c r="AB2834" t="str">
        <f>HYPERLINK("Melting_Curves/meltCurve_P68036_UBE2L3.pdf", "Melting_Curves/meltCurve_P68036_UBE2L3.pdf")</f>
        <v>Melting_Curves/meltCurve_P68036_UBE2L3.pdf</v>
      </c>
    </row>
    <row r="2835" spans="1:28" x14ac:dyDescent="0.25">
      <c r="A2835" t="s">
        <v>2839</v>
      </c>
      <c r="B2835">
        <v>0.99334974765950101</v>
      </c>
      <c r="C2835">
        <v>1.0055460235842</v>
      </c>
      <c r="D2835">
        <v>0.88304355675497304</v>
      </c>
      <c r="E2835">
        <v>0.76873221171058403</v>
      </c>
      <c r="F2835">
        <v>0.32096733068313699</v>
      </c>
      <c r="G2835">
        <v>9.5231754500333804E-2</v>
      </c>
      <c r="H2835">
        <v>5.5226630773072299E-2</v>
      </c>
      <c r="I2835">
        <v>4.5035604024854098E-2</v>
      </c>
      <c r="J2835">
        <v>4.6027398394887703E-2</v>
      </c>
      <c r="K2835">
        <v>3.3951035655397699E-2</v>
      </c>
      <c r="L2835">
        <v>1576.34236871332</v>
      </c>
      <c r="M2835">
        <v>30.539950789778501</v>
      </c>
      <c r="N2835">
        <v>51.761081162277797</v>
      </c>
      <c r="O2835">
        <v>51.395957332795</v>
      </c>
      <c r="P2835">
        <v>-0.14244957618583901</v>
      </c>
      <c r="Q2835">
        <v>4.1087219207984201E-2</v>
      </c>
      <c r="R2835">
        <v>0.99388668874728003</v>
      </c>
      <c r="S2835" t="s">
        <v>8696</v>
      </c>
      <c r="T2835" t="s">
        <v>11720</v>
      </c>
      <c r="U2835" t="s">
        <v>11720</v>
      </c>
      <c r="V2835" t="s">
        <v>11720</v>
      </c>
      <c r="W2835" t="s">
        <v>14509</v>
      </c>
      <c r="X2835">
        <v>34</v>
      </c>
      <c r="Y2835" t="s">
        <v>20247</v>
      </c>
      <c r="Z2835" t="s">
        <v>26042</v>
      </c>
      <c r="AA2835">
        <v>0.41824723405687819</v>
      </c>
      <c r="AB2835" t="str">
        <f>HYPERLINK("Melting_Curves/meltCurve_P68104_EEF1A1.pdf", "Melting_Curves/meltCurve_P68104_EEF1A1.pdf")</f>
        <v>Melting_Curves/meltCurve_P68104_EEF1A1.pdf</v>
      </c>
    </row>
    <row r="2836" spans="1:28" x14ac:dyDescent="0.25">
      <c r="A2836" t="s">
        <v>2840</v>
      </c>
      <c r="B2836">
        <v>0.99334974765950101</v>
      </c>
      <c r="C2836">
        <v>0.97441738756432705</v>
      </c>
      <c r="D2836">
        <v>0.99349892004141305</v>
      </c>
      <c r="E2836">
        <v>1.01045883585464</v>
      </c>
      <c r="F2836">
        <v>0.76553430174590698</v>
      </c>
      <c r="G2836">
        <v>0.74810949854182396</v>
      </c>
      <c r="H2836">
        <v>0.33553468680924098</v>
      </c>
      <c r="I2836">
        <v>9.3195287709353494E-2</v>
      </c>
      <c r="J2836">
        <v>7.27463897036493E-2</v>
      </c>
      <c r="K2836">
        <v>5.7292782476389199E-2</v>
      </c>
      <c r="L2836">
        <v>1223.2036748904</v>
      </c>
      <c r="M2836">
        <v>20.7661207002715</v>
      </c>
      <c r="N2836">
        <v>58.903812581972602</v>
      </c>
      <c r="O2836">
        <v>58.365735485869202</v>
      </c>
      <c r="P2836">
        <v>-8.8950749978788504E-2</v>
      </c>
      <c r="Q2836">
        <v>0</v>
      </c>
      <c r="R2836">
        <v>0.978028201582407</v>
      </c>
      <c r="S2836" t="s">
        <v>8697</v>
      </c>
      <c r="T2836" t="s">
        <v>11720</v>
      </c>
      <c r="U2836" t="s">
        <v>11720</v>
      </c>
      <c r="V2836" t="s">
        <v>11720</v>
      </c>
      <c r="W2836" t="s">
        <v>14510</v>
      </c>
      <c r="X2836">
        <v>39</v>
      </c>
      <c r="Y2836" t="s">
        <v>20248</v>
      </c>
      <c r="Z2836" t="s">
        <v>26043</v>
      </c>
      <c r="AA2836">
        <v>0.64006085551088721</v>
      </c>
      <c r="AB2836" t="str">
        <f>HYPERLINK("Melting_Curves/meltCurve_P68371_TUBB4B.pdf", "Melting_Curves/meltCurve_P68371_TUBB4B.pdf")</f>
        <v>Melting_Curves/meltCurve_P68371_TUBB4B.pdf</v>
      </c>
    </row>
    <row r="2837" spans="1:28" x14ac:dyDescent="0.25">
      <c r="A2837" t="s">
        <v>2841</v>
      </c>
      <c r="B2837">
        <v>0.99334974765950101</v>
      </c>
      <c r="C2837">
        <v>0.97907411457271698</v>
      </c>
      <c r="D2837">
        <v>0.90979770719349995</v>
      </c>
      <c r="E2837">
        <v>0.38186457638659599</v>
      </c>
      <c r="F2837">
        <v>0.17579892396907301</v>
      </c>
      <c r="G2837">
        <v>0.11803795642008499</v>
      </c>
      <c r="H2837">
        <v>0.104019782398411</v>
      </c>
      <c r="I2837">
        <v>8.5919503903119504E-2</v>
      </c>
      <c r="J2837">
        <v>0.12633340841736601</v>
      </c>
      <c r="K2837">
        <v>8.9249016346252999E-2</v>
      </c>
      <c r="L2837">
        <v>1647.4480199868401</v>
      </c>
      <c r="M2837">
        <v>33.716466318909198</v>
      </c>
      <c r="N2837">
        <v>49.203398794333602</v>
      </c>
      <c r="O2837">
        <v>48.690897239799298</v>
      </c>
      <c r="P2837">
        <v>-0.15505172013901</v>
      </c>
      <c r="Q2837">
        <v>0.104345467036202</v>
      </c>
      <c r="R2837">
        <v>0.99893146451788795</v>
      </c>
      <c r="S2837" t="s">
        <v>8698</v>
      </c>
      <c r="T2837" t="s">
        <v>11720</v>
      </c>
      <c r="U2837" t="s">
        <v>11720</v>
      </c>
      <c r="V2837" t="s">
        <v>11720</v>
      </c>
      <c r="W2837" t="s">
        <v>14511</v>
      </c>
      <c r="X2837">
        <v>5</v>
      </c>
      <c r="Y2837" t="s">
        <v>20249</v>
      </c>
      <c r="Z2837" t="s">
        <v>26044</v>
      </c>
      <c r="AA2837">
        <v>0.37320308383185452</v>
      </c>
      <c r="AB2837" t="str">
        <f>HYPERLINK("Melting_Curves/meltCurve_P68402_PAFAH1B2.pdf", "Melting_Curves/meltCurve_P68402_PAFAH1B2.pdf")</f>
        <v>Melting_Curves/meltCurve_P68402_PAFAH1B2.pdf</v>
      </c>
    </row>
    <row r="2838" spans="1:28" x14ac:dyDescent="0.25">
      <c r="A2838" t="s">
        <v>2842</v>
      </c>
      <c r="B2838">
        <v>0.99334974765950101</v>
      </c>
      <c r="C2838">
        <v>1.30092988265881</v>
      </c>
      <c r="D2838">
        <v>1.28673831435806</v>
      </c>
      <c r="E2838">
        <v>1.8137778693229101</v>
      </c>
      <c r="F2838">
        <v>1.0724975836186099</v>
      </c>
      <c r="G2838">
        <v>1.12339717956133</v>
      </c>
      <c r="H2838">
        <v>0.75510594421348898</v>
      </c>
      <c r="I2838">
        <v>0.97613897581016096</v>
      </c>
      <c r="J2838">
        <v>1.24312318727933</v>
      </c>
      <c r="K2838">
        <v>1.25582046269091</v>
      </c>
      <c r="L2838">
        <v>15000</v>
      </c>
      <c r="M2838">
        <v>226.79478286015001</v>
      </c>
      <c r="O2838">
        <v>66.133938638345001</v>
      </c>
      <c r="P2838">
        <v>0.21951742776928501</v>
      </c>
      <c r="Q2838">
        <v>1.2560473964973999</v>
      </c>
      <c r="R2838">
        <v>-0.29194884766270701</v>
      </c>
      <c r="S2838" t="s">
        <v>8699</v>
      </c>
      <c r="T2838" t="s">
        <v>11720</v>
      </c>
      <c r="U2838" t="s">
        <v>11720</v>
      </c>
      <c r="V2838" t="s">
        <v>11720</v>
      </c>
      <c r="W2838" t="s">
        <v>14512</v>
      </c>
      <c r="X2838">
        <v>2</v>
      </c>
      <c r="Y2838" t="s">
        <v>20250</v>
      </c>
      <c r="Z2838" t="s">
        <v>26045</v>
      </c>
      <c r="AA2838">
        <v>1.03291644817276</v>
      </c>
      <c r="AB2838" t="str">
        <f>HYPERLINK("Melting_Curves/meltCurve_P68871_HBB.pdf", "Melting_Curves/meltCurve_P68871_HBB.pdf")</f>
        <v>Melting_Curves/meltCurve_P68871_HBB.pdf</v>
      </c>
    </row>
    <row r="2839" spans="1:28" x14ac:dyDescent="0.25">
      <c r="A2839" t="s">
        <v>2843</v>
      </c>
      <c r="B2839">
        <v>0.99334974765950101</v>
      </c>
      <c r="C2839">
        <v>0.945428667873494</v>
      </c>
      <c r="D2839">
        <v>0.86702463800000795</v>
      </c>
      <c r="E2839">
        <v>0.87667307162097297</v>
      </c>
      <c r="F2839">
        <v>0.798680199711582</v>
      </c>
      <c r="G2839">
        <v>0.66461646583104705</v>
      </c>
      <c r="H2839">
        <v>0.61681820748225902</v>
      </c>
      <c r="I2839">
        <v>0.66061874544317201</v>
      </c>
      <c r="J2839">
        <v>0.61090205899251304</v>
      </c>
      <c r="K2839">
        <v>0.413374291856279</v>
      </c>
      <c r="L2839">
        <v>304.88067801003001</v>
      </c>
      <c r="M2839">
        <v>4.3941277608702096</v>
      </c>
      <c r="N2839">
        <v>69.383653213410398</v>
      </c>
      <c r="O2839">
        <v>58.582339559797703</v>
      </c>
      <c r="P2839">
        <v>-1.89294108707386E-2</v>
      </c>
      <c r="Q2839">
        <v>0</v>
      </c>
      <c r="R2839">
        <v>0.92071916811986299</v>
      </c>
      <c r="S2839" t="s">
        <v>8700</v>
      </c>
      <c r="T2839" t="s">
        <v>11720</v>
      </c>
      <c r="U2839" t="s">
        <v>11720</v>
      </c>
      <c r="V2839" t="s">
        <v>11720</v>
      </c>
      <c r="W2839" t="s">
        <v>14513</v>
      </c>
      <c r="X2839">
        <v>5</v>
      </c>
      <c r="Y2839" t="s">
        <v>20251</v>
      </c>
      <c r="Z2839" t="s">
        <v>26046</v>
      </c>
      <c r="AA2839">
        <v>0.74821409005365858</v>
      </c>
      <c r="AB2839" t="str">
        <f>HYPERLINK("Melting_Curves/meltCurve_P78310_CXADR.pdf", "Melting_Curves/meltCurve_P78310_CXADR.pdf")</f>
        <v>Melting_Curves/meltCurve_P78310_CXADR.pdf</v>
      </c>
    </row>
    <row r="2840" spans="1:28" x14ac:dyDescent="0.25">
      <c r="A2840" t="s">
        <v>2844</v>
      </c>
      <c r="B2840">
        <v>0.99334974765950101</v>
      </c>
      <c r="C2840">
        <v>0.91477941526812301</v>
      </c>
      <c r="D2840">
        <v>0.81082128859529901</v>
      </c>
      <c r="E2840">
        <v>0.36556225114507401</v>
      </c>
      <c r="F2840">
        <v>0.191484660914368</v>
      </c>
      <c r="G2840">
        <v>0.155618688785014</v>
      </c>
      <c r="H2840">
        <v>0.148089848916126</v>
      </c>
      <c r="I2840">
        <v>0.16894984255231499</v>
      </c>
      <c r="J2840">
        <v>0.123738338866897</v>
      </c>
      <c r="K2840">
        <v>9.5480343598949705E-2</v>
      </c>
      <c r="L2840">
        <v>1225.6454147427401</v>
      </c>
      <c r="M2840">
        <v>25.490742548291198</v>
      </c>
      <c r="N2840">
        <v>48.663508881970799</v>
      </c>
      <c r="O2840">
        <v>47.788999489683</v>
      </c>
      <c r="P2840">
        <v>-0.11584360667988799</v>
      </c>
      <c r="Q2840">
        <v>0.131295549844162</v>
      </c>
      <c r="R2840">
        <v>0.99514310606816503</v>
      </c>
      <c r="S2840" t="s">
        <v>8701</v>
      </c>
      <c r="T2840" t="s">
        <v>11720</v>
      </c>
      <c r="U2840" t="s">
        <v>11720</v>
      </c>
      <c r="V2840" t="s">
        <v>11720</v>
      </c>
      <c r="W2840" t="s">
        <v>14514</v>
      </c>
      <c r="X2840">
        <v>1</v>
      </c>
      <c r="Y2840" t="s">
        <v>20252</v>
      </c>
      <c r="Z2840" t="s">
        <v>26047</v>
      </c>
      <c r="AA2840">
        <v>0.37269151384405558</v>
      </c>
      <c r="AB2840" t="str">
        <f>HYPERLINK("Melting_Curves/meltCurve_P78314_SH3BP2.pdf", "Melting_Curves/meltCurve_P78314_SH3BP2.pdf")</f>
        <v>Melting_Curves/meltCurve_P78314_SH3BP2.pdf</v>
      </c>
    </row>
    <row r="2841" spans="1:28" x14ac:dyDescent="0.25">
      <c r="A2841" t="s">
        <v>2845</v>
      </c>
      <c r="B2841">
        <v>0.99334974765950101</v>
      </c>
      <c r="C2841">
        <v>0.963889503667271</v>
      </c>
      <c r="D2841">
        <v>0.82698451497867598</v>
      </c>
      <c r="E2841">
        <v>0.68557818299932005</v>
      </c>
      <c r="F2841">
        <v>0.39280114601696398</v>
      </c>
      <c r="G2841">
        <v>0.202788749491909</v>
      </c>
      <c r="H2841">
        <v>0.131167804626035</v>
      </c>
      <c r="I2841">
        <v>0.12929320936571501</v>
      </c>
      <c r="J2841">
        <v>0.12216049972074</v>
      </c>
      <c r="K2841">
        <v>0.101210212376016</v>
      </c>
      <c r="L2841">
        <v>872.94382963721705</v>
      </c>
      <c r="M2841">
        <v>17.078723309382799</v>
      </c>
      <c r="N2841">
        <v>51.718975246784403</v>
      </c>
      <c r="O2841">
        <v>50.427616878360602</v>
      </c>
      <c r="P2841">
        <v>-7.69958666343694E-2</v>
      </c>
      <c r="Q2841">
        <v>9.0685577883154594E-2</v>
      </c>
      <c r="R2841">
        <v>0.99417816086883004</v>
      </c>
      <c r="S2841" t="s">
        <v>8702</v>
      </c>
      <c r="T2841" t="s">
        <v>11720</v>
      </c>
      <c r="U2841" t="s">
        <v>11720</v>
      </c>
      <c r="V2841" t="s">
        <v>11720</v>
      </c>
      <c r="W2841" t="s">
        <v>14515</v>
      </c>
      <c r="X2841">
        <v>18</v>
      </c>
      <c r="Y2841" t="s">
        <v>20253</v>
      </c>
      <c r="Z2841" t="s">
        <v>26048</v>
      </c>
      <c r="AA2841">
        <v>0.44431912701040738</v>
      </c>
      <c r="AB2841" t="str">
        <f>HYPERLINK("Melting_Curves/meltCurve_P78318_IGBP1.pdf", "Melting_Curves/meltCurve_P78318_IGBP1.pdf")</f>
        <v>Melting_Curves/meltCurve_P78318_IGBP1.pdf</v>
      </c>
    </row>
    <row r="2842" spans="1:28" x14ac:dyDescent="0.25">
      <c r="A2842" t="s">
        <v>2846</v>
      </c>
      <c r="B2842">
        <v>0.99334974765950101</v>
      </c>
      <c r="C2842">
        <v>0.96761501535857197</v>
      </c>
      <c r="D2842">
        <v>0.97429782590863101</v>
      </c>
      <c r="E2842">
        <v>0.91277397282167005</v>
      </c>
      <c r="F2842">
        <v>0.73278585607591895</v>
      </c>
      <c r="G2842">
        <v>0.62568859283342304</v>
      </c>
      <c r="H2842">
        <v>0.55913422453851902</v>
      </c>
      <c r="I2842">
        <v>0.67264223978910298</v>
      </c>
      <c r="J2842">
        <v>0.59695785959496395</v>
      </c>
      <c r="K2842">
        <v>0.49079977482389198</v>
      </c>
      <c r="L2842">
        <v>1381.26724346631</v>
      </c>
      <c r="M2842">
        <v>26.477810279396799</v>
      </c>
      <c r="O2842">
        <v>51.872133662851603</v>
      </c>
      <c r="P2842">
        <v>-5.3963130743287603E-2</v>
      </c>
      <c r="Q2842">
        <v>0.57713228738779598</v>
      </c>
      <c r="R2842">
        <v>0.94346282568805695</v>
      </c>
      <c r="S2842" t="s">
        <v>8703</v>
      </c>
      <c r="T2842" t="s">
        <v>11720</v>
      </c>
      <c r="U2842" t="s">
        <v>11720</v>
      </c>
      <c r="V2842" t="s">
        <v>11720</v>
      </c>
      <c r="W2842" t="s">
        <v>14516</v>
      </c>
      <c r="X2842">
        <v>14</v>
      </c>
      <c r="Y2842" t="s">
        <v>20254</v>
      </c>
      <c r="Z2842" t="s">
        <v>26049</v>
      </c>
      <c r="AA2842">
        <v>0.75209389123028692</v>
      </c>
      <c r="AB2842" t="str">
        <f>HYPERLINK("Melting_Curves/meltCurve_P78324_SIRPA.pdf", "Melting_Curves/meltCurve_P78324_SIRPA.pdf")</f>
        <v>Melting_Curves/meltCurve_P78324_SIRPA.pdf</v>
      </c>
    </row>
    <row r="2843" spans="1:28" x14ac:dyDescent="0.25">
      <c r="A2843" t="s">
        <v>2847</v>
      </c>
      <c r="B2843">
        <v>0.99334974765950101</v>
      </c>
      <c r="C2843">
        <v>0.99123128590728504</v>
      </c>
      <c r="D2843">
        <v>0.94381653164605195</v>
      </c>
      <c r="E2843">
        <v>0.80980561537982698</v>
      </c>
      <c r="F2843">
        <v>0.74465651579597603</v>
      </c>
      <c r="G2843">
        <v>0.586989101292124</v>
      </c>
      <c r="H2843">
        <v>0.53958530542295802</v>
      </c>
      <c r="I2843">
        <v>0.53785493151353303</v>
      </c>
      <c r="J2843">
        <v>0.20847082812867401</v>
      </c>
      <c r="K2843">
        <v>7.5460275075460603E-2</v>
      </c>
      <c r="L2843">
        <v>548.27495530645604</v>
      </c>
      <c r="M2843">
        <v>9.1187281954556791</v>
      </c>
      <c r="N2843">
        <v>60.1262480641021</v>
      </c>
      <c r="O2843">
        <v>57.446279940995097</v>
      </c>
      <c r="P2843">
        <v>-3.9711150856918703E-2</v>
      </c>
      <c r="Q2843">
        <v>0</v>
      </c>
      <c r="R2843">
        <v>0.92792912846157305</v>
      </c>
      <c r="S2843" t="s">
        <v>8704</v>
      </c>
      <c r="T2843" t="s">
        <v>11720</v>
      </c>
      <c r="U2843" t="s">
        <v>11720</v>
      </c>
      <c r="V2843" t="s">
        <v>11720</v>
      </c>
      <c r="W2843" t="s">
        <v>14517</v>
      </c>
      <c r="X2843">
        <v>14</v>
      </c>
      <c r="Y2843" t="s">
        <v>20255</v>
      </c>
      <c r="Z2843" t="s">
        <v>26050</v>
      </c>
      <c r="AA2843">
        <v>0.66161108041642813</v>
      </c>
      <c r="AB2843" t="str">
        <f>HYPERLINK("Melting_Curves/meltCurve_P78330_PSPH.pdf", "Melting_Curves/meltCurve_P78330_PSPH.pdf")</f>
        <v>Melting_Curves/meltCurve_P78330_PSPH.pdf</v>
      </c>
    </row>
    <row r="2844" spans="1:28" x14ac:dyDescent="0.25">
      <c r="A2844" t="s">
        <v>2848</v>
      </c>
      <c r="B2844">
        <v>0.99334974765950101</v>
      </c>
      <c r="C2844">
        <v>0.82654738500389102</v>
      </c>
      <c r="D2844">
        <v>0.39020195802643898</v>
      </c>
      <c r="E2844">
        <v>0.20274590875611401</v>
      </c>
      <c r="F2844">
        <v>0.15759330885518899</v>
      </c>
      <c r="G2844">
        <v>0.120605378059832</v>
      </c>
      <c r="H2844">
        <v>9.9327504065282499E-2</v>
      </c>
      <c r="I2844">
        <v>9.1195036150988895E-2</v>
      </c>
      <c r="J2844">
        <v>8.4914107420406004E-2</v>
      </c>
      <c r="K2844">
        <v>7.1454214648827993E-2</v>
      </c>
      <c r="L2844">
        <v>1242.2137089569301</v>
      </c>
      <c r="M2844">
        <v>27.632604752047499</v>
      </c>
      <c r="N2844">
        <v>45.345705572501799</v>
      </c>
      <c r="O2844">
        <v>44.721179537405099</v>
      </c>
      <c r="P2844">
        <v>-0.13809576369927801</v>
      </c>
      <c r="Q2844">
        <v>0.106020046832647</v>
      </c>
      <c r="R2844">
        <v>0.99311485779974795</v>
      </c>
      <c r="S2844" t="s">
        <v>8705</v>
      </c>
      <c r="T2844" t="s">
        <v>11720</v>
      </c>
      <c r="U2844" t="s">
        <v>11720</v>
      </c>
      <c r="V2844" t="s">
        <v>11720</v>
      </c>
      <c r="W2844" t="s">
        <v>14518</v>
      </c>
      <c r="X2844">
        <v>19</v>
      </c>
      <c r="Y2844" t="s">
        <v>20256</v>
      </c>
      <c r="Z2844" t="s">
        <v>26051</v>
      </c>
      <c r="AA2844">
        <v>0.26069810622683448</v>
      </c>
      <c r="AB2844" t="str">
        <f>HYPERLINK("Melting_Curves/meltCurve_P78347_2_GTF2I.pdf", "Melting_Curves/meltCurve_P78347_2_GTF2I.pdf")</f>
        <v>Melting_Curves/meltCurve_P78347_2_GTF2I.pdf</v>
      </c>
    </row>
    <row r="2845" spans="1:28" x14ac:dyDescent="0.25">
      <c r="A2845" t="s">
        <v>2849</v>
      </c>
      <c r="B2845">
        <v>0.99334974765950101</v>
      </c>
      <c r="C2845">
        <v>0.97154947946086201</v>
      </c>
      <c r="D2845">
        <v>1.0504332756322701</v>
      </c>
      <c r="E2845">
        <v>0.82439494079293096</v>
      </c>
      <c r="F2845">
        <v>0.232562661906904</v>
      </c>
      <c r="G2845">
        <v>0.16649624902972601</v>
      </c>
      <c r="H2845">
        <v>0.129506051901459</v>
      </c>
      <c r="I2845">
        <v>0.130130273689475</v>
      </c>
      <c r="J2845">
        <v>0.11073564455257601</v>
      </c>
      <c r="K2845">
        <v>0.101409967313323</v>
      </c>
      <c r="L2845">
        <v>2963.4642295802801</v>
      </c>
      <c r="M2845">
        <v>57.887053879531301</v>
      </c>
      <c r="N2845">
        <v>51.454275709368297</v>
      </c>
      <c r="O2845">
        <v>51.132914171243002</v>
      </c>
      <c r="P2845">
        <v>-0.247089875605399</v>
      </c>
      <c r="Q2845">
        <v>0.126960621918423</v>
      </c>
      <c r="R2845">
        <v>0.99642422977097</v>
      </c>
      <c r="S2845" t="s">
        <v>8706</v>
      </c>
      <c r="T2845" t="s">
        <v>11720</v>
      </c>
      <c r="U2845" t="s">
        <v>11720</v>
      </c>
      <c r="V2845" t="s">
        <v>11720</v>
      </c>
      <c r="W2845" t="s">
        <v>14519</v>
      </c>
      <c r="X2845">
        <v>4</v>
      </c>
      <c r="Y2845" t="s">
        <v>20257</v>
      </c>
      <c r="Z2845" t="s">
        <v>26052</v>
      </c>
      <c r="AA2845">
        <v>0.45418664773597722</v>
      </c>
      <c r="AB2845" t="str">
        <f>HYPERLINK("Melting_Curves/meltCurve_P78356_PIP4K2B.pdf", "Melting_Curves/meltCurve_P78356_PIP4K2B.pdf")</f>
        <v>Melting_Curves/meltCurve_P78356_PIP4K2B.pdf</v>
      </c>
    </row>
    <row r="2846" spans="1:28" x14ac:dyDescent="0.25">
      <c r="A2846" t="s">
        <v>2850</v>
      </c>
      <c r="B2846">
        <v>0.99334974765950101</v>
      </c>
      <c r="C2846">
        <v>0.93235185752804794</v>
      </c>
      <c r="D2846">
        <v>0.88761039314714196</v>
      </c>
      <c r="E2846">
        <v>0.80034729977065999</v>
      </c>
      <c r="F2846">
        <v>0.76784809298229495</v>
      </c>
      <c r="G2846">
        <v>0.863093054143795</v>
      </c>
      <c r="H2846">
        <v>0.42207632124147398</v>
      </c>
      <c r="I2846">
        <v>0.183388351243123</v>
      </c>
      <c r="J2846">
        <v>0.10395951044582299</v>
      </c>
      <c r="K2846">
        <v>8.0154470941071906E-2</v>
      </c>
      <c r="L2846">
        <v>1042.90667004801</v>
      </c>
      <c r="M2846">
        <v>17.4147006315875</v>
      </c>
      <c r="N2846">
        <v>59.886568954314299</v>
      </c>
      <c r="O2846">
        <v>59.113629420371403</v>
      </c>
      <c r="P2846">
        <v>-7.3653399161226901E-2</v>
      </c>
      <c r="Q2846">
        <v>0</v>
      </c>
      <c r="R2846">
        <v>0.92315463751149396</v>
      </c>
      <c r="S2846" t="s">
        <v>8707</v>
      </c>
      <c r="T2846" t="s">
        <v>11720</v>
      </c>
      <c r="U2846" t="s">
        <v>11720</v>
      </c>
      <c r="V2846" t="s">
        <v>11720</v>
      </c>
      <c r="W2846" t="s">
        <v>14520</v>
      </c>
      <c r="X2846">
        <v>37</v>
      </c>
      <c r="Y2846" t="s">
        <v>20258</v>
      </c>
      <c r="Z2846" t="s">
        <v>26053</v>
      </c>
      <c r="AA2846">
        <v>0.67134718709102459</v>
      </c>
      <c r="AB2846" t="str">
        <f>HYPERLINK("Melting_Curves/meltCurve_P78371_CCT2.pdf", "Melting_Curves/meltCurve_P78371_CCT2.pdf")</f>
        <v>Melting_Curves/meltCurve_P78371_CCT2.pdf</v>
      </c>
    </row>
    <row r="2847" spans="1:28" x14ac:dyDescent="0.25">
      <c r="A2847" t="s">
        <v>2851</v>
      </c>
      <c r="B2847">
        <v>0.99334974765950101</v>
      </c>
      <c r="C2847">
        <v>0.96138621980815397</v>
      </c>
      <c r="D2847">
        <v>0.84083372058041195</v>
      </c>
      <c r="E2847">
        <v>0.55910687551379101</v>
      </c>
      <c r="F2847">
        <v>0.197620777090494</v>
      </c>
      <c r="G2847">
        <v>0.13273144143372001</v>
      </c>
      <c r="H2847">
        <v>9.4421548412230605E-2</v>
      </c>
      <c r="I2847">
        <v>7.6418533784503598E-2</v>
      </c>
      <c r="J2847">
        <v>7.3710957817127498E-2</v>
      </c>
      <c r="K2847">
        <v>5.7056034298737297E-2</v>
      </c>
      <c r="L2847">
        <v>1121.11143535782</v>
      </c>
      <c r="M2847">
        <v>22.5254343738013</v>
      </c>
      <c r="N2847">
        <v>50.088795412377898</v>
      </c>
      <c r="O2847">
        <v>49.383627587585103</v>
      </c>
      <c r="P2847">
        <v>-0.106440111053602</v>
      </c>
      <c r="Q2847">
        <v>6.6603229787098497E-2</v>
      </c>
      <c r="R2847">
        <v>0.994644965044713</v>
      </c>
      <c r="S2847" t="s">
        <v>8708</v>
      </c>
      <c r="T2847" t="s">
        <v>11720</v>
      </c>
      <c r="U2847" t="s">
        <v>11720</v>
      </c>
      <c r="V2847" t="s">
        <v>11720</v>
      </c>
      <c r="W2847" t="s">
        <v>14521</v>
      </c>
      <c r="X2847">
        <v>12</v>
      </c>
      <c r="Y2847" t="s">
        <v>20259</v>
      </c>
      <c r="Z2847" t="s">
        <v>26054</v>
      </c>
      <c r="AA2847">
        <v>0.38087568443511888</v>
      </c>
      <c r="AB2847" t="str">
        <f>HYPERLINK("Melting_Curves/meltCurve_P78406_RAE1.pdf", "Melting_Curves/meltCurve_P78406_RAE1.pdf")</f>
        <v>Melting_Curves/meltCurve_P78406_RAE1.pdf</v>
      </c>
    </row>
    <row r="2848" spans="1:28" x14ac:dyDescent="0.25">
      <c r="A2848" t="s">
        <v>2852</v>
      </c>
      <c r="B2848">
        <v>0.99334974765950101</v>
      </c>
      <c r="C2848">
        <v>0.95907860702471803</v>
      </c>
      <c r="D2848">
        <v>0.86725957517661301</v>
      </c>
      <c r="E2848">
        <v>0.84170495863371997</v>
      </c>
      <c r="F2848">
        <v>0.72356937461914494</v>
      </c>
      <c r="G2848">
        <v>0.45898482979875699</v>
      </c>
      <c r="H2848">
        <v>0.32469375880752999</v>
      </c>
      <c r="I2848">
        <v>0.15589919504552999</v>
      </c>
      <c r="J2848">
        <v>0.112384648517346</v>
      </c>
      <c r="K2848">
        <v>7.3266790977178295E-2</v>
      </c>
      <c r="L2848">
        <v>698.21433538388101</v>
      </c>
      <c r="M2848">
        <v>12.3587105175771</v>
      </c>
      <c r="N2848">
        <v>56.495726916525399</v>
      </c>
      <c r="O2848">
        <v>55.0776754442034</v>
      </c>
      <c r="P2848">
        <v>-5.6108796155704202E-2</v>
      </c>
      <c r="Q2848">
        <v>0</v>
      </c>
      <c r="R2848">
        <v>0.99139540074389398</v>
      </c>
      <c r="S2848" t="s">
        <v>8709</v>
      </c>
      <c r="T2848" t="s">
        <v>11720</v>
      </c>
      <c r="U2848" t="s">
        <v>11720</v>
      </c>
      <c r="V2848" t="s">
        <v>11720</v>
      </c>
      <c r="W2848" t="s">
        <v>14522</v>
      </c>
      <c r="X2848">
        <v>23</v>
      </c>
      <c r="Y2848" t="s">
        <v>20260</v>
      </c>
      <c r="Z2848" t="s">
        <v>26055</v>
      </c>
      <c r="AA2848">
        <v>0.56841715766351808</v>
      </c>
      <c r="AB2848" t="str">
        <f>HYPERLINK("Melting_Curves/meltCurve_P78417_GSTO1.pdf", "Melting_Curves/meltCurve_P78417_GSTO1.pdf")</f>
        <v>Melting_Curves/meltCurve_P78417_GSTO1.pdf</v>
      </c>
    </row>
    <row r="2849" spans="1:28" x14ac:dyDescent="0.25">
      <c r="A2849" t="s">
        <v>2853</v>
      </c>
      <c r="B2849">
        <v>0.99334974765950101</v>
      </c>
      <c r="C2849">
        <v>0.97534509378238698</v>
      </c>
      <c r="D2849">
        <v>0.93957930667410805</v>
      </c>
      <c r="E2849">
        <v>1.0188747009215</v>
      </c>
      <c r="F2849">
        <v>0.97051902244839905</v>
      </c>
      <c r="G2849">
        <v>0.893577537849507</v>
      </c>
      <c r="H2849">
        <v>0.78498111424279204</v>
      </c>
      <c r="I2849">
        <v>0.78866985321085803</v>
      </c>
      <c r="J2849">
        <v>0.45008449167042902</v>
      </c>
      <c r="K2849">
        <v>0.27192321362878602</v>
      </c>
      <c r="L2849">
        <v>1221.68145259634</v>
      </c>
      <c r="M2849">
        <v>18.320023734054601</v>
      </c>
      <c r="N2849">
        <v>66.685582567944905</v>
      </c>
      <c r="O2849">
        <v>65.906238800781296</v>
      </c>
      <c r="P2849">
        <v>-6.9495939658383604E-2</v>
      </c>
      <c r="Q2849">
        <v>0</v>
      </c>
      <c r="R2849">
        <v>0.95559817413478898</v>
      </c>
      <c r="S2849" t="s">
        <v>8710</v>
      </c>
      <c r="T2849" t="s">
        <v>11720</v>
      </c>
      <c r="U2849" t="s">
        <v>11720</v>
      </c>
      <c r="V2849" t="s">
        <v>11720</v>
      </c>
      <c r="W2849" t="s">
        <v>14523</v>
      </c>
      <c r="X2849">
        <v>15</v>
      </c>
      <c r="Y2849" t="s">
        <v>20261</v>
      </c>
      <c r="Z2849" t="s">
        <v>26056</v>
      </c>
      <c r="AA2849">
        <v>0.85814458676561167</v>
      </c>
      <c r="AB2849" t="str">
        <f>HYPERLINK("Melting_Curves/meltCurve_P78536_ADAM17.pdf", "Melting_Curves/meltCurve_P78536_ADAM17.pdf")</f>
        <v>Melting_Curves/meltCurve_P78536_ADAM17.pdf</v>
      </c>
    </row>
    <row r="2850" spans="1:28" x14ac:dyDescent="0.25">
      <c r="A2850" t="s">
        <v>2854</v>
      </c>
      <c r="B2850">
        <v>0.99334974765950101</v>
      </c>
      <c r="C2850">
        <v>1.0482568299703601</v>
      </c>
      <c r="D2850">
        <v>1.0621476308058799</v>
      </c>
      <c r="E2850">
        <v>0.91590385670167096</v>
      </c>
      <c r="F2850">
        <v>0.870731626003028</v>
      </c>
      <c r="G2850">
        <v>0.576922254291654</v>
      </c>
      <c r="H2850">
        <v>0.38787888065500598</v>
      </c>
      <c r="I2850">
        <v>0.27562116620883698</v>
      </c>
      <c r="J2850">
        <v>0.26187710137596998</v>
      </c>
      <c r="K2850">
        <v>0.23808699409654099</v>
      </c>
      <c r="L2850">
        <v>1176.4597221650899</v>
      </c>
      <c r="M2850">
        <v>20.758119593444501</v>
      </c>
      <c r="N2850">
        <v>58.357942413151001</v>
      </c>
      <c r="O2850">
        <v>56.156574572295199</v>
      </c>
      <c r="P2850">
        <v>-7.1598140479531405E-2</v>
      </c>
      <c r="Q2850">
        <v>0.22524910877128099</v>
      </c>
      <c r="R2850">
        <v>0.99111567426716296</v>
      </c>
      <c r="S2850" t="s">
        <v>8711</v>
      </c>
      <c r="T2850" t="s">
        <v>11720</v>
      </c>
      <c r="U2850" t="s">
        <v>11720</v>
      </c>
      <c r="V2850" t="s">
        <v>11720</v>
      </c>
      <c r="W2850" t="s">
        <v>14524</v>
      </c>
      <c r="X2850">
        <v>4</v>
      </c>
      <c r="Y2850" t="s">
        <v>20262</v>
      </c>
      <c r="Z2850" t="s">
        <v>26057</v>
      </c>
      <c r="AA2850">
        <v>0.6650896789383326</v>
      </c>
      <c r="AB2850" t="str">
        <f>HYPERLINK("Melting_Curves/meltCurve_P78537_BLOC1S1.pdf", "Melting_Curves/meltCurve_P78537_BLOC1S1.pdf")</f>
        <v>Melting_Curves/meltCurve_P78537_BLOC1S1.pdf</v>
      </c>
    </row>
    <row r="2851" spans="1:28" x14ac:dyDescent="0.25">
      <c r="A2851" t="s">
        <v>2855</v>
      </c>
      <c r="B2851">
        <v>0.99334974765950101</v>
      </c>
      <c r="C2851">
        <v>0.96930709938453996</v>
      </c>
      <c r="D2851">
        <v>0.97073324558210194</v>
      </c>
      <c r="E2851">
        <v>0.80726926851330305</v>
      </c>
      <c r="F2851">
        <v>0.70203636428766303</v>
      </c>
      <c r="G2851">
        <v>0.59172016827796103</v>
      </c>
      <c r="H2851">
        <v>0.48641028114787599</v>
      </c>
      <c r="I2851">
        <v>0.60361998729724498</v>
      </c>
      <c r="J2851">
        <v>0.58726287131594601</v>
      </c>
      <c r="K2851">
        <v>0.52551086396917301</v>
      </c>
      <c r="L2851">
        <v>1089.4074994837899</v>
      </c>
      <c r="M2851">
        <v>21.3788088678427</v>
      </c>
      <c r="O2851">
        <v>50.5177858516643</v>
      </c>
      <c r="P2851">
        <v>-4.78703419409248E-2</v>
      </c>
      <c r="Q2851">
        <v>0.54754388109535501</v>
      </c>
      <c r="R2851">
        <v>0.96818676910671397</v>
      </c>
      <c r="S2851" t="s">
        <v>8712</v>
      </c>
      <c r="T2851" t="s">
        <v>11720</v>
      </c>
      <c r="U2851" t="s">
        <v>11720</v>
      </c>
      <c r="V2851" t="s">
        <v>11720</v>
      </c>
      <c r="W2851" t="s">
        <v>14525</v>
      </c>
      <c r="X2851">
        <v>4</v>
      </c>
      <c r="Y2851" t="s">
        <v>20263</v>
      </c>
      <c r="Z2851" t="s">
        <v>26058</v>
      </c>
      <c r="AA2851">
        <v>0.71833789389004055</v>
      </c>
      <c r="AB2851" t="str">
        <f>HYPERLINK("Melting_Curves/meltCurve_P78552_IL13RA1.pdf", "Melting_Curves/meltCurve_P78552_IL13RA1.pdf")</f>
        <v>Melting_Curves/meltCurve_P78552_IL13RA1.pdf</v>
      </c>
    </row>
    <row r="2852" spans="1:28" x14ac:dyDescent="0.25">
      <c r="A2852" t="s">
        <v>2856</v>
      </c>
      <c r="B2852">
        <v>0.99334974765950101</v>
      </c>
      <c r="C2852">
        <v>0.90677519143824203</v>
      </c>
      <c r="D2852">
        <v>0.53374689467604697</v>
      </c>
      <c r="E2852">
        <v>0.24772808686978701</v>
      </c>
      <c r="F2852">
        <v>0.115483721278018</v>
      </c>
      <c r="G2852">
        <v>9.9305374032394297E-2</v>
      </c>
      <c r="H2852">
        <v>9.4064372407822297E-2</v>
      </c>
      <c r="I2852">
        <v>0.10852129349909601</v>
      </c>
      <c r="J2852">
        <v>0.14859783625411799</v>
      </c>
      <c r="K2852">
        <v>0.148333867193222</v>
      </c>
      <c r="L2852">
        <v>1246.1527402535801</v>
      </c>
      <c r="M2852">
        <v>27.116998048572398</v>
      </c>
      <c r="N2852">
        <v>46.420110333798497</v>
      </c>
      <c r="O2852">
        <v>45.706934266472402</v>
      </c>
      <c r="P2852">
        <v>-0.13066639487321899</v>
      </c>
      <c r="Q2852">
        <v>0.119031964533735</v>
      </c>
      <c r="R2852">
        <v>0.99425339343938801</v>
      </c>
      <c r="S2852" t="s">
        <v>8713</v>
      </c>
      <c r="T2852" t="s">
        <v>11720</v>
      </c>
      <c r="U2852" t="s">
        <v>11720</v>
      </c>
      <c r="V2852" t="s">
        <v>11720</v>
      </c>
      <c r="W2852" t="s">
        <v>14526</v>
      </c>
      <c r="X2852">
        <v>1</v>
      </c>
      <c r="Y2852" t="s">
        <v>20264</v>
      </c>
      <c r="Z2852" t="s">
        <v>26059</v>
      </c>
      <c r="AA2852">
        <v>0.30065984156631248</v>
      </c>
      <c r="AB2852" t="str">
        <f>HYPERLINK("Melting_Curves/meltCurve_P78560_CRADD.pdf", "Melting_Curves/meltCurve_P78560_CRADD.pdf")</f>
        <v>Melting_Curves/meltCurve_P78560_CRADD.pdf</v>
      </c>
    </row>
    <row r="2853" spans="1:28" x14ac:dyDescent="0.25">
      <c r="A2853" t="s">
        <v>2857</v>
      </c>
      <c r="B2853">
        <v>0.99334974765950101</v>
      </c>
      <c r="C2853">
        <v>1.0018351820598099</v>
      </c>
      <c r="D2853">
        <v>1.06611921732147</v>
      </c>
      <c r="E2853">
        <v>1.01999571685333</v>
      </c>
      <c r="F2853">
        <v>0.79224965275355697</v>
      </c>
      <c r="G2853">
        <v>0.47056394847049798</v>
      </c>
      <c r="H2853">
        <v>0.16457068817484899</v>
      </c>
      <c r="I2853">
        <v>0.114819363463896</v>
      </c>
      <c r="J2853">
        <v>9.66402304433263E-2</v>
      </c>
      <c r="K2853">
        <v>8.5831365093279599E-2</v>
      </c>
      <c r="L2853">
        <v>1449.52792308373</v>
      </c>
      <c r="M2853">
        <v>25.829930252206498</v>
      </c>
      <c r="N2853">
        <v>56.489883529973703</v>
      </c>
      <c r="O2853">
        <v>55.785025295532698</v>
      </c>
      <c r="P2853">
        <v>-0.106710786469618</v>
      </c>
      <c r="Q2853">
        <v>7.8155647736229697E-2</v>
      </c>
      <c r="R2853">
        <v>0.99368115103425203</v>
      </c>
      <c r="S2853" t="s">
        <v>8714</v>
      </c>
      <c r="T2853" t="s">
        <v>11720</v>
      </c>
      <c r="U2853" t="s">
        <v>11720</v>
      </c>
      <c r="V2853" t="s">
        <v>11720</v>
      </c>
      <c r="W2853" t="s">
        <v>14527</v>
      </c>
      <c r="X2853">
        <v>16</v>
      </c>
      <c r="Y2853" t="s">
        <v>20265</v>
      </c>
      <c r="Z2853" t="s">
        <v>26060</v>
      </c>
      <c r="AA2853">
        <v>0.58143757051624312</v>
      </c>
      <c r="AB2853" t="str">
        <f>HYPERLINK("Melting_Curves/meltCurve_P80217_IFI35.pdf", "Melting_Curves/meltCurve_P80217_IFI35.pdf")</f>
        <v>Melting_Curves/meltCurve_P80217_IFI35.pdf</v>
      </c>
    </row>
    <row r="2854" spans="1:28" x14ac:dyDescent="0.25">
      <c r="A2854" t="s">
        <v>2858</v>
      </c>
      <c r="B2854">
        <v>0.99334974765950101</v>
      </c>
      <c r="C2854">
        <v>1.40273884085103</v>
      </c>
      <c r="D2854">
        <v>1.1706554589670899</v>
      </c>
      <c r="E2854">
        <v>1.57938959241925</v>
      </c>
      <c r="F2854">
        <v>2.9356030114002798</v>
      </c>
      <c r="G2854">
        <v>5.0814410649392396</v>
      </c>
      <c r="H2854">
        <v>6.6125521602101198</v>
      </c>
      <c r="I2854">
        <v>4.5664804047879102</v>
      </c>
      <c r="J2854">
        <v>10.0700495824215</v>
      </c>
      <c r="K2854">
        <v>8.2451053853959593</v>
      </c>
      <c r="S2854" t="s">
        <v>8715</v>
      </c>
      <c r="T2854" t="s">
        <v>11720</v>
      </c>
      <c r="U2854" t="s">
        <v>11721</v>
      </c>
      <c r="V2854" t="s">
        <v>11720</v>
      </c>
      <c r="W2854" t="s">
        <v>14528</v>
      </c>
      <c r="X2854">
        <v>7</v>
      </c>
      <c r="Y2854" t="s">
        <v>20266</v>
      </c>
      <c r="Z2854" t="s">
        <v>26061</v>
      </c>
      <c r="AB2854" t="str">
        <f>HYPERLINK("Melting_Curves/meltCurve_P80297_MT1X.pdf", "Melting_Curves/meltCurve_P80297_MT1X.pdf")</f>
        <v>Melting_Curves/meltCurve_P80297_MT1X.pdf</v>
      </c>
    </row>
    <row r="2855" spans="1:28" x14ac:dyDescent="0.25">
      <c r="A2855" t="s">
        <v>2859</v>
      </c>
      <c r="B2855">
        <v>0.99334974765950101</v>
      </c>
      <c r="C2855">
        <v>1.0149799896895799</v>
      </c>
      <c r="D2855">
        <v>0.92297121167169005</v>
      </c>
      <c r="E2855">
        <v>0.86522037883738501</v>
      </c>
      <c r="F2855">
        <v>0.87628449184389201</v>
      </c>
      <c r="G2855">
        <v>0.69637587916991905</v>
      </c>
      <c r="H2855">
        <v>0.66641398507836702</v>
      </c>
      <c r="I2855">
        <v>0.87148444147594595</v>
      </c>
      <c r="J2855">
        <v>0.79309244781154498</v>
      </c>
      <c r="K2855">
        <v>0.72426369755269604</v>
      </c>
      <c r="L2855">
        <v>910.11080607843303</v>
      </c>
      <c r="M2855">
        <v>18.3090578816002</v>
      </c>
      <c r="O2855">
        <v>49.126620458995298</v>
      </c>
      <c r="P2855">
        <v>-2.3041251266176298E-2</v>
      </c>
      <c r="Q2855">
        <v>0.75271549379623104</v>
      </c>
      <c r="R2855">
        <v>0.72137618331766995</v>
      </c>
      <c r="S2855" t="s">
        <v>8716</v>
      </c>
      <c r="T2855" t="s">
        <v>11720</v>
      </c>
      <c r="U2855" t="s">
        <v>11720</v>
      </c>
      <c r="V2855" t="s">
        <v>11720</v>
      </c>
      <c r="W2855" t="s">
        <v>14529</v>
      </c>
      <c r="X2855">
        <v>42</v>
      </c>
      <c r="Y2855" t="s">
        <v>20267</v>
      </c>
      <c r="Z2855" t="s">
        <v>26062</v>
      </c>
      <c r="AA2855">
        <v>0.83683559580436839</v>
      </c>
      <c r="AB2855" t="str">
        <f>HYPERLINK("Melting_Curves/meltCurve_P80303_NUCB2.pdf", "Melting_Curves/meltCurve_P80303_NUCB2.pdf")</f>
        <v>Melting_Curves/meltCurve_P80303_NUCB2.pdf</v>
      </c>
    </row>
    <row r="2856" spans="1:28" x14ac:dyDescent="0.25">
      <c r="A2856" t="s">
        <v>2860</v>
      </c>
      <c r="B2856">
        <v>0.99334974765950101</v>
      </c>
      <c r="C2856">
        <v>1.05280409865255</v>
      </c>
      <c r="D2856">
        <v>0.83569871507944804</v>
      </c>
      <c r="E2856">
        <v>0.90961644943796005</v>
      </c>
      <c r="F2856">
        <v>1.44068851225657</v>
      </c>
      <c r="G2856">
        <v>1.0583762446195599</v>
      </c>
      <c r="H2856">
        <v>1.33086342419326</v>
      </c>
      <c r="I2856">
        <v>1.8273217443015699</v>
      </c>
      <c r="J2856">
        <v>2.0643274720401399</v>
      </c>
      <c r="K2856">
        <v>1.4534042701815799</v>
      </c>
      <c r="L2856">
        <v>1215.9884299741</v>
      </c>
      <c r="M2856">
        <v>22.075122024036599</v>
      </c>
      <c r="O2856">
        <v>54.638038346344899</v>
      </c>
      <c r="P2856">
        <v>5.0504199128718903E-2</v>
      </c>
      <c r="Q2856">
        <v>1.5</v>
      </c>
      <c r="R2856">
        <v>0.54149187011799604</v>
      </c>
      <c r="S2856" t="s">
        <v>8717</v>
      </c>
      <c r="T2856" t="s">
        <v>11720</v>
      </c>
      <c r="U2856" t="s">
        <v>11720</v>
      </c>
      <c r="V2856" t="s">
        <v>11720</v>
      </c>
      <c r="W2856" t="s">
        <v>14530</v>
      </c>
      <c r="X2856">
        <v>25</v>
      </c>
      <c r="Y2856" t="s">
        <v>20268</v>
      </c>
      <c r="Z2856" t="s">
        <v>26063</v>
      </c>
      <c r="AA2856">
        <v>1.2428984170879811</v>
      </c>
      <c r="AB2856" t="str">
        <f>HYPERLINK("Melting_Curves/meltCurve_P80723_BASP1.pdf", "Melting_Curves/meltCurve_P80723_BASP1.pdf")</f>
        <v>Melting_Curves/meltCurve_P80723_BASP1.pdf</v>
      </c>
    </row>
    <row r="2857" spans="1:28" x14ac:dyDescent="0.25">
      <c r="A2857" t="s">
        <v>2861</v>
      </c>
      <c r="B2857">
        <v>0.99334974765950101</v>
      </c>
      <c r="C2857">
        <v>1.05897208071811</v>
      </c>
      <c r="D2857">
        <v>0.77191946988403304</v>
      </c>
      <c r="E2857">
        <v>0.86198855625660198</v>
      </c>
      <c r="F2857">
        <v>1.0167228313041301</v>
      </c>
      <c r="G2857">
        <v>0.81353708606497199</v>
      </c>
      <c r="H2857">
        <v>0.754016976986984</v>
      </c>
      <c r="I2857">
        <v>0.80200325928980998</v>
      </c>
      <c r="J2857">
        <v>0.65403043271809902</v>
      </c>
      <c r="K2857">
        <v>0.53915909732158296</v>
      </c>
      <c r="L2857">
        <v>379.62394645081099</v>
      </c>
      <c r="M2857">
        <v>5.0244254952905498</v>
      </c>
      <c r="O2857">
        <v>66.017898670366904</v>
      </c>
      <c r="P2857">
        <v>-1.914141928479E-2</v>
      </c>
      <c r="Q2857">
        <v>0</v>
      </c>
      <c r="R2857">
        <v>0.69152462017792804</v>
      </c>
      <c r="S2857" t="s">
        <v>8718</v>
      </c>
      <c r="T2857" t="s">
        <v>11720</v>
      </c>
      <c r="U2857" t="s">
        <v>11720</v>
      </c>
      <c r="V2857" t="s">
        <v>11720</v>
      </c>
      <c r="W2857" t="s">
        <v>14531</v>
      </c>
      <c r="X2857">
        <v>1</v>
      </c>
      <c r="Y2857" t="s">
        <v>20269</v>
      </c>
      <c r="Z2857" t="s">
        <v>26064</v>
      </c>
      <c r="AA2857">
        <v>0.84067356576836028</v>
      </c>
      <c r="AB2857" t="str">
        <f>HYPERLINK("Melting_Curves/meltCurve_P81408_3_FAM189B.pdf", "Melting_Curves/meltCurve_P81408_3_FAM189B.pdf")</f>
        <v>Melting_Curves/meltCurve_P81408_3_FAM189B.pdf</v>
      </c>
    </row>
    <row r="2858" spans="1:28" x14ac:dyDescent="0.25">
      <c r="A2858" t="s">
        <v>2862</v>
      </c>
      <c r="B2858">
        <v>0.99334974765950101</v>
      </c>
      <c r="C2858">
        <v>0.96973701235634702</v>
      </c>
      <c r="D2858">
        <v>1.01720876805994</v>
      </c>
      <c r="E2858">
        <v>1.0057256012728</v>
      </c>
      <c r="F2858">
        <v>1.09572313760341</v>
      </c>
      <c r="G2858">
        <v>0.86815206664033695</v>
      </c>
      <c r="H2858">
        <v>0.879177476324707</v>
      </c>
      <c r="I2858">
        <v>1.12190950262706</v>
      </c>
      <c r="J2858">
        <v>1.2650998881464499</v>
      </c>
      <c r="K2858">
        <v>1.2179190256878301</v>
      </c>
      <c r="L2858">
        <v>15000</v>
      </c>
      <c r="M2858">
        <v>234.39406399399999</v>
      </c>
      <c r="O2858">
        <v>63.990157970467799</v>
      </c>
      <c r="P2858">
        <v>0.22116326765522001</v>
      </c>
      <c r="Q2858">
        <v>1.2415123888795701</v>
      </c>
      <c r="R2858">
        <v>0.72125250850783396</v>
      </c>
      <c r="S2858" t="s">
        <v>8719</v>
      </c>
      <c r="T2858" t="s">
        <v>11720</v>
      </c>
      <c r="U2858" t="s">
        <v>11720</v>
      </c>
      <c r="V2858" t="s">
        <v>11720</v>
      </c>
      <c r="W2858" t="s">
        <v>14532</v>
      </c>
      <c r="X2858">
        <v>64</v>
      </c>
      <c r="Y2858" t="s">
        <v>20270</v>
      </c>
      <c r="Z2858" t="s">
        <v>26065</v>
      </c>
      <c r="AA2858">
        <v>1.048313525479887</v>
      </c>
      <c r="AB2858" t="str">
        <f>HYPERLINK("Melting_Curves/meltCurve_P82094_TMF1.pdf", "Melting_Curves/meltCurve_P82094_TMF1.pdf")</f>
        <v>Melting_Curves/meltCurve_P82094_TMF1.pdf</v>
      </c>
    </row>
    <row r="2859" spans="1:28" x14ac:dyDescent="0.25">
      <c r="A2859" t="s">
        <v>2863</v>
      </c>
      <c r="B2859">
        <v>0.99334974765950101</v>
      </c>
      <c r="C2859">
        <v>0.99495515380333799</v>
      </c>
      <c r="D2859">
        <v>0.994716168191769</v>
      </c>
      <c r="E2859">
        <v>0.97249672939265297</v>
      </c>
      <c r="F2859">
        <v>1.8699408643870301</v>
      </c>
      <c r="G2859">
        <v>1.69998597534076</v>
      </c>
      <c r="H2859">
        <v>1.63398696510956</v>
      </c>
      <c r="I2859">
        <v>2.0253215737810999</v>
      </c>
      <c r="J2859">
        <v>2.02643810970129</v>
      </c>
      <c r="K2859">
        <v>1.8487976470109</v>
      </c>
      <c r="L2859">
        <v>12799.7200066981</v>
      </c>
      <c r="M2859">
        <v>250</v>
      </c>
      <c r="O2859">
        <v>51.195603630277297</v>
      </c>
      <c r="P2859">
        <v>0.610403976434297</v>
      </c>
      <c r="Q2859">
        <v>1.5</v>
      </c>
      <c r="R2859">
        <v>0.54528883867451206</v>
      </c>
      <c r="S2859" t="s">
        <v>8720</v>
      </c>
      <c r="T2859" t="s">
        <v>11720</v>
      </c>
      <c r="U2859" t="s">
        <v>11720</v>
      </c>
      <c r="V2859" t="s">
        <v>11720</v>
      </c>
      <c r="W2859" t="s">
        <v>14533</v>
      </c>
      <c r="X2859">
        <v>5</v>
      </c>
      <c r="Y2859" t="s">
        <v>20271</v>
      </c>
      <c r="Z2859" t="s">
        <v>26066</v>
      </c>
      <c r="AA2859">
        <v>1.3133070729346521</v>
      </c>
      <c r="AB2859" t="str">
        <f>HYPERLINK("Melting_Curves/meltCurve_P82909_MRPS36.pdf", "Melting_Curves/meltCurve_P82909_MRPS36.pdf")</f>
        <v>Melting_Curves/meltCurve_P82909_MRPS36.pdf</v>
      </c>
    </row>
    <row r="2860" spans="1:28" x14ac:dyDescent="0.25">
      <c r="A2860" t="s">
        <v>2864</v>
      </c>
      <c r="B2860">
        <v>0.99334974765950101</v>
      </c>
      <c r="C2860">
        <v>1.00654078083694</v>
      </c>
      <c r="D2860">
        <v>0.90700247118020505</v>
      </c>
      <c r="E2860">
        <v>0.81391048411926603</v>
      </c>
      <c r="F2860">
        <v>0.84947922723291203</v>
      </c>
      <c r="G2860">
        <v>0.71523012727398305</v>
      </c>
      <c r="H2860">
        <v>0.70005135068883495</v>
      </c>
      <c r="I2860">
        <v>0.79669937780762701</v>
      </c>
      <c r="J2860">
        <v>0.95392384647884498</v>
      </c>
      <c r="K2860">
        <v>0.937204893383768</v>
      </c>
      <c r="L2860">
        <v>11494.8883424872</v>
      </c>
      <c r="M2860">
        <v>250</v>
      </c>
      <c r="O2860">
        <v>45.976631096157398</v>
      </c>
      <c r="P2860">
        <v>-0.23954351554142</v>
      </c>
      <c r="Q2860">
        <v>0.82378561523732896</v>
      </c>
      <c r="R2860">
        <v>0.46104635311244202</v>
      </c>
      <c r="S2860" t="s">
        <v>8721</v>
      </c>
      <c r="T2860" t="s">
        <v>11720</v>
      </c>
      <c r="U2860" t="s">
        <v>11720</v>
      </c>
      <c r="V2860" t="s">
        <v>11720</v>
      </c>
      <c r="W2860" t="s">
        <v>14534</v>
      </c>
      <c r="X2860">
        <v>14</v>
      </c>
      <c r="Y2860" t="s">
        <v>20272</v>
      </c>
      <c r="Z2860" t="s">
        <v>26067</v>
      </c>
      <c r="AA2860">
        <v>0.85892261184996666</v>
      </c>
      <c r="AB2860" t="str">
        <f>HYPERLINK("Melting_Curves/meltCurve_P82979_SARNP.pdf", "Melting_Curves/meltCurve_P82979_SARNP.pdf")</f>
        <v>Melting_Curves/meltCurve_P82979_SARNP.pdf</v>
      </c>
    </row>
    <row r="2861" spans="1:28" x14ac:dyDescent="0.25">
      <c r="A2861" t="s">
        <v>2865</v>
      </c>
      <c r="B2861">
        <v>0.99334974765950101</v>
      </c>
      <c r="C2861">
        <v>1.1416406911408501</v>
      </c>
      <c r="D2861">
        <v>1.2923752918836999</v>
      </c>
      <c r="E2861">
        <v>1.42898665459404</v>
      </c>
      <c r="F2861">
        <v>0.80148545486051703</v>
      </c>
      <c r="G2861">
        <v>0.42019834297140801</v>
      </c>
      <c r="H2861">
        <v>0.30906327478267698</v>
      </c>
      <c r="I2861">
        <v>0.30170985752201002</v>
      </c>
      <c r="J2861">
        <v>0.26518255610441599</v>
      </c>
      <c r="K2861">
        <v>0.19429183963205801</v>
      </c>
      <c r="L2861">
        <v>2419.16345147007</v>
      </c>
      <c r="M2861">
        <v>44.069554051571401</v>
      </c>
      <c r="N2861">
        <v>55.876546688537204</v>
      </c>
      <c r="O2861">
        <v>54.781541280189501</v>
      </c>
      <c r="P2861">
        <v>-0.14689593082385499</v>
      </c>
      <c r="Q2861">
        <v>0.26959335353908398</v>
      </c>
      <c r="R2861">
        <v>0.84448686225183001</v>
      </c>
      <c r="S2861" t="s">
        <v>8722</v>
      </c>
      <c r="T2861" t="s">
        <v>11720</v>
      </c>
      <c r="U2861" t="s">
        <v>11720</v>
      </c>
      <c r="V2861" t="s">
        <v>11720</v>
      </c>
      <c r="W2861" t="s">
        <v>14535</v>
      </c>
      <c r="X2861">
        <v>7</v>
      </c>
      <c r="Y2861" t="s">
        <v>20273</v>
      </c>
      <c r="Z2861" t="s">
        <v>26068</v>
      </c>
      <c r="AA2861">
        <v>0.63449753449384494</v>
      </c>
      <c r="AB2861" t="str">
        <f>HYPERLINK("Melting_Curves/meltCurve_P83111_LACTB.pdf", "Melting_Curves/meltCurve_P83111_LACTB.pdf")</f>
        <v>Melting_Curves/meltCurve_P83111_LACTB.pdf</v>
      </c>
    </row>
    <row r="2862" spans="1:28" x14ac:dyDescent="0.25">
      <c r="A2862" t="s">
        <v>2866</v>
      </c>
      <c r="B2862">
        <v>0.99334974765950101</v>
      </c>
      <c r="C2862">
        <v>0.94119110753690205</v>
      </c>
      <c r="D2862">
        <v>0.84270431736378604</v>
      </c>
      <c r="E2862">
        <v>0.39122165826514999</v>
      </c>
      <c r="F2862">
        <v>0.25220321809017798</v>
      </c>
      <c r="G2862">
        <v>0.15308204166120301</v>
      </c>
      <c r="H2862">
        <v>0.12024573787039999</v>
      </c>
      <c r="I2862">
        <v>0.116020616759034</v>
      </c>
      <c r="J2862">
        <v>0.10863915640418501</v>
      </c>
      <c r="K2862">
        <v>0.11021897540244199</v>
      </c>
      <c r="L2862">
        <v>1152.6106516939601</v>
      </c>
      <c r="M2862">
        <v>23.703049025361</v>
      </c>
      <c r="N2862">
        <v>49.173452371489603</v>
      </c>
      <c r="O2862">
        <v>48.284971704784702</v>
      </c>
      <c r="P2862">
        <v>-0.1085193088658</v>
      </c>
      <c r="Q2862">
        <v>0.11576558370776099</v>
      </c>
      <c r="R2862">
        <v>0.99772650510945804</v>
      </c>
      <c r="S2862" t="s">
        <v>8723</v>
      </c>
      <c r="T2862" t="s">
        <v>11720</v>
      </c>
      <c r="U2862" t="s">
        <v>11720</v>
      </c>
      <c r="V2862" t="s">
        <v>11720</v>
      </c>
      <c r="W2862" t="s">
        <v>14536</v>
      </c>
      <c r="X2862">
        <v>7</v>
      </c>
      <c r="Y2862" t="s">
        <v>20274</v>
      </c>
      <c r="Z2862" t="s">
        <v>26069</v>
      </c>
      <c r="AA2862">
        <v>0.37878325805949697</v>
      </c>
      <c r="AB2862" t="str">
        <f>HYPERLINK("Melting_Curves/meltCurve_P83436_COG7.pdf", "Melting_Curves/meltCurve_P83436_COG7.pdf")</f>
        <v>Melting_Curves/meltCurve_P83436_COG7.pdf</v>
      </c>
    </row>
    <row r="2863" spans="1:28" x14ac:dyDescent="0.25">
      <c r="A2863" t="s">
        <v>2867</v>
      </c>
      <c r="B2863">
        <v>0.99334974765950101</v>
      </c>
      <c r="C2863">
        <v>1.1187981243823</v>
      </c>
      <c r="D2863">
        <v>1.0725850447130301</v>
      </c>
      <c r="E2863">
        <v>1.1424021921073899</v>
      </c>
      <c r="F2863">
        <v>0.88556071126205105</v>
      </c>
      <c r="G2863">
        <v>0.37157663379150502</v>
      </c>
      <c r="H2863">
        <v>0.15296151990545601</v>
      </c>
      <c r="I2863">
        <v>0.103871328252738</v>
      </c>
      <c r="J2863">
        <v>8.5152328488652104E-2</v>
      </c>
      <c r="K2863">
        <v>4.7678256452909198E-2</v>
      </c>
      <c r="L2863">
        <v>2189.0923298493299</v>
      </c>
      <c r="M2863">
        <v>39.1687030349282</v>
      </c>
      <c r="N2863">
        <v>56.159013369510802</v>
      </c>
      <c r="O2863">
        <v>55.743733362749403</v>
      </c>
      <c r="P2863">
        <v>-0.16057837658701701</v>
      </c>
      <c r="Q2863">
        <v>8.5880672448025594E-2</v>
      </c>
      <c r="R2863">
        <v>0.97824485272621298</v>
      </c>
      <c r="S2863" t="s">
        <v>8724</v>
      </c>
      <c r="T2863" t="s">
        <v>11720</v>
      </c>
      <c r="U2863" t="s">
        <v>11720</v>
      </c>
      <c r="V2863" t="s">
        <v>11720</v>
      </c>
      <c r="W2863" t="s">
        <v>14537</v>
      </c>
      <c r="X2863">
        <v>3</v>
      </c>
      <c r="Y2863" t="s">
        <v>20275</v>
      </c>
      <c r="Z2863" t="s">
        <v>26070</v>
      </c>
      <c r="AA2863">
        <v>0.57368124750982374</v>
      </c>
      <c r="AB2863" t="str">
        <f>HYPERLINK("Melting_Curves/meltCurve_P83876_TXNL4A.pdf", "Melting_Curves/meltCurve_P83876_TXNL4A.pdf")</f>
        <v>Melting_Curves/meltCurve_P83876_TXNL4A.pdf</v>
      </c>
    </row>
    <row r="2864" spans="1:28" x14ac:dyDescent="0.25">
      <c r="A2864" t="s">
        <v>2868</v>
      </c>
      <c r="B2864">
        <v>0.99334974765950101</v>
      </c>
      <c r="C2864">
        <v>0.98637959265184105</v>
      </c>
      <c r="D2864">
        <v>0.88751809387200498</v>
      </c>
      <c r="E2864">
        <v>0.74324862831184302</v>
      </c>
      <c r="F2864">
        <v>0.57408061774394303</v>
      </c>
      <c r="G2864">
        <v>0.34892576458853802</v>
      </c>
      <c r="H2864">
        <v>0.21148125924045599</v>
      </c>
      <c r="I2864">
        <v>0.177955736909756</v>
      </c>
      <c r="J2864">
        <v>7.6637220695137703E-2</v>
      </c>
      <c r="K2864">
        <v>5.9340818700430002E-2</v>
      </c>
      <c r="L2864">
        <v>661.27062040815804</v>
      </c>
      <c r="M2864">
        <v>12.1902198547635</v>
      </c>
      <c r="N2864">
        <v>54.308678450804898</v>
      </c>
      <c r="O2864">
        <v>52.848121214868399</v>
      </c>
      <c r="P2864">
        <v>-5.7276440004732497E-2</v>
      </c>
      <c r="Q2864">
        <v>6.9856413951067701E-3</v>
      </c>
      <c r="R2864">
        <v>0.99785735667819397</v>
      </c>
      <c r="S2864" t="s">
        <v>8725</v>
      </c>
      <c r="T2864" t="s">
        <v>11720</v>
      </c>
      <c r="U2864" t="s">
        <v>11720</v>
      </c>
      <c r="V2864" t="s">
        <v>11720</v>
      </c>
      <c r="W2864" t="s">
        <v>14538</v>
      </c>
      <c r="X2864">
        <v>11</v>
      </c>
      <c r="Y2864" t="s">
        <v>20276</v>
      </c>
      <c r="Z2864" t="s">
        <v>26071</v>
      </c>
      <c r="AA2864">
        <v>0.50350222598064576</v>
      </c>
      <c r="AB2864" t="str">
        <f>HYPERLINK("Melting_Curves/meltCurve_P84077_ARF1.pdf", "Melting_Curves/meltCurve_P84077_ARF1.pdf")</f>
        <v>Melting_Curves/meltCurve_P84077_ARF1.pdf</v>
      </c>
    </row>
    <row r="2865" spans="1:28" x14ac:dyDescent="0.25">
      <c r="A2865" t="s">
        <v>2869</v>
      </c>
      <c r="B2865">
        <v>0.99334974765950101</v>
      </c>
      <c r="C2865">
        <v>1.04760325273294</v>
      </c>
      <c r="D2865">
        <v>0.85860685362345301</v>
      </c>
      <c r="E2865">
        <v>0.72994913690004304</v>
      </c>
      <c r="F2865">
        <v>0.59388040533719499</v>
      </c>
      <c r="G2865">
        <v>0.24452404295756699</v>
      </c>
      <c r="H2865">
        <v>0.12271137872915799</v>
      </c>
      <c r="I2865">
        <v>0.114529301948663</v>
      </c>
      <c r="J2865">
        <v>0.103172474249782</v>
      </c>
      <c r="K2865">
        <v>8.9195287809165802E-2</v>
      </c>
      <c r="L2865">
        <v>882.32843218285905</v>
      </c>
      <c r="M2865">
        <v>16.643770698262099</v>
      </c>
      <c r="N2865">
        <v>53.412826459096799</v>
      </c>
      <c r="O2865">
        <v>52.2649765196022</v>
      </c>
      <c r="P2865">
        <v>-7.4949675101710994E-2</v>
      </c>
      <c r="Q2865">
        <v>5.8631614146000599E-2</v>
      </c>
      <c r="R2865">
        <v>0.98807456045533304</v>
      </c>
      <c r="S2865" t="s">
        <v>8726</v>
      </c>
      <c r="T2865" t="s">
        <v>11720</v>
      </c>
      <c r="U2865" t="s">
        <v>11720</v>
      </c>
      <c r="V2865" t="s">
        <v>11720</v>
      </c>
      <c r="W2865" t="s">
        <v>14539</v>
      </c>
      <c r="X2865">
        <v>9</v>
      </c>
      <c r="Y2865" t="s">
        <v>20277</v>
      </c>
      <c r="Z2865" t="s">
        <v>26072</v>
      </c>
      <c r="AA2865">
        <v>0.48436004439009311</v>
      </c>
      <c r="AB2865" t="str">
        <f>HYPERLINK("Melting_Curves/meltCurve_P84085_ARF5.pdf", "Melting_Curves/meltCurve_P84085_ARF5.pdf")</f>
        <v>Melting_Curves/meltCurve_P84085_ARF5.pdf</v>
      </c>
    </row>
    <row r="2866" spans="1:28" x14ac:dyDescent="0.25">
      <c r="A2866" t="s">
        <v>2870</v>
      </c>
      <c r="B2866">
        <v>0.99334974765950101</v>
      </c>
      <c r="C2866">
        <v>1.0053040949779199</v>
      </c>
      <c r="D2866">
        <v>0.94505602619484397</v>
      </c>
      <c r="E2866">
        <v>0.96955057758190599</v>
      </c>
      <c r="F2866">
        <v>0.96024869151419001</v>
      </c>
      <c r="G2866">
        <v>0.98188205058835498</v>
      </c>
      <c r="H2866">
        <v>0.93076046617601205</v>
      </c>
      <c r="I2866">
        <v>0.83030617219192604</v>
      </c>
      <c r="J2866">
        <v>0.683319774366828</v>
      </c>
      <c r="K2866">
        <v>0.55550635024702999</v>
      </c>
      <c r="L2866">
        <v>1323.5614402792401</v>
      </c>
      <c r="M2866">
        <v>19.6374236202882</v>
      </c>
      <c r="O2866">
        <v>66.712693419612407</v>
      </c>
      <c r="P2866">
        <v>-4.8698819993697802E-2</v>
      </c>
      <c r="Q2866">
        <v>0.33826036061073</v>
      </c>
      <c r="R2866">
        <v>0.97395262574298502</v>
      </c>
      <c r="S2866" t="s">
        <v>8727</v>
      </c>
      <c r="T2866" t="s">
        <v>11720</v>
      </c>
      <c r="U2866" t="s">
        <v>11720</v>
      </c>
      <c r="V2866" t="s">
        <v>11720</v>
      </c>
      <c r="W2866" t="s">
        <v>14540</v>
      </c>
      <c r="X2866">
        <v>8</v>
      </c>
      <c r="Y2866" t="s">
        <v>20278</v>
      </c>
      <c r="Z2866" t="s">
        <v>26073</v>
      </c>
      <c r="AA2866">
        <v>0.91912814002219489</v>
      </c>
      <c r="AB2866" t="str">
        <f>HYPERLINK("Melting_Curves/meltCurve_P84090_ERH.pdf", "Melting_Curves/meltCurve_P84090_ERH.pdf")</f>
        <v>Melting_Curves/meltCurve_P84090_ERH.pdf</v>
      </c>
    </row>
    <row r="2867" spans="1:28" x14ac:dyDescent="0.25">
      <c r="A2867" t="s">
        <v>2871</v>
      </c>
      <c r="B2867">
        <v>0.99334974765950101</v>
      </c>
      <c r="C2867">
        <v>0.91642609850526002</v>
      </c>
      <c r="D2867">
        <v>0.79038640479992295</v>
      </c>
      <c r="E2867">
        <v>0.69898225005442705</v>
      </c>
      <c r="F2867">
        <v>0.56861877133608196</v>
      </c>
      <c r="G2867">
        <v>0.38600124927968699</v>
      </c>
      <c r="H2867">
        <v>0.17332418419356699</v>
      </c>
      <c r="I2867">
        <v>8.9675389787069404E-2</v>
      </c>
      <c r="J2867">
        <v>8.6199626845651703E-2</v>
      </c>
      <c r="K2867">
        <v>6.8778722148868404E-2</v>
      </c>
      <c r="L2867">
        <v>591.86832544895901</v>
      </c>
      <c r="M2867">
        <v>11.047379226781199</v>
      </c>
      <c r="N2867">
        <v>53.575450379555797</v>
      </c>
      <c r="O2867">
        <v>51.909781840466799</v>
      </c>
      <c r="P2867">
        <v>-5.3222364125658998E-2</v>
      </c>
      <c r="Q2867">
        <v>0</v>
      </c>
      <c r="R2867">
        <v>0.98863362388919096</v>
      </c>
      <c r="S2867" t="s">
        <v>8728</v>
      </c>
      <c r="T2867" t="s">
        <v>11720</v>
      </c>
      <c r="U2867" t="s">
        <v>11720</v>
      </c>
      <c r="V2867" t="s">
        <v>11720</v>
      </c>
      <c r="W2867" t="s">
        <v>14541</v>
      </c>
      <c r="X2867">
        <v>12</v>
      </c>
      <c r="Y2867" t="s">
        <v>20279</v>
      </c>
      <c r="Z2867" t="s">
        <v>26074</v>
      </c>
      <c r="AA2867">
        <v>0.48189719528965291</v>
      </c>
      <c r="AB2867" t="str">
        <f>HYPERLINK("Melting_Curves/meltCurve_P84095_RHOG.pdf", "Melting_Curves/meltCurve_P84095_RHOG.pdf")</f>
        <v>Melting_Curves/meltCurve_P84095_RHOG.pdf</v>
      </c>
    </row>
    <row r="2868" spans="1:28" x14ac:dyDescent="0.25">
      <c r="A2868" t="s">
        <v>2872</v>
      </c>
      <c r="B2868">
        <v>0.99334974765950101</v>
      </c>
      <c r="C2868">
        <v>1.20630872389518</v>
      </c>
      <c r="D2868">
        <v>1.19587806989281</v>
      </c>
      <c r="E2868">
        <v>1.3567516880539201</v>
      </c>
      <c r="F2868">
        <v>1.1499772940539399</v>
      </c>
      <c r="G2868">
        <v>0.95218941663081003</v>
      </c>
      <c r="H2868">
        <v>0.74142338113151895</v>
      </c>
      <c r="I2868">
        <v>0.54767409099169695</v>
      </c>
      <c r="J2868">
        <v>0.55543256447498701</v>
      </c>
      <c r="K2868">
        <v>0.48005628840139097</v>
      </c>
      <c r="L2868">
        <v>2504.7451851354499</v>
      </c>
      <c r="M2868">
        <v>41.197609449487302</v>
      </c>
      <c r="O2868">
        <v>60.655572759580103</v>
      </c>
      <c r="P2868">
        <v>-8.3910436429870394E-2</v>
      </c>
      <c r="Q2868">
        <v>0.50583274524730504</v>
      </c>
      <c r="R2868">
        <v>0.741479556988904</v>
      </c>
      <c r="S2868" t="s">
        <v>8729</v>
      </c>
      <c r="T2868" t="s">
        <v>11720</v>
      </c>
      <c r="U2868" t="s">
        <v>11720</v>
      </c>
      <c r="V2868" t="s">
        <v>11720</v>
      </c>
      <c r="W2868" t="s">
        <v>14542</v>
      </c>
      <c r="X2868">
        <v>6</v>
      </c>
      <c r="Y2868" t="s">
        <v>20280</v>
      </c>
      <c r="Z2868" t="s">
        <v>26075</v>
      </c>
      <c r="AA2868">
        <v>0.85023319875555214</v>
      </c>
      <c r="AB2868" t="str">
        <f>HYPERLINK("Melting_Curves/meltCurve_P84098_RPL19.pdf", "Melting_Curves/meltCurve_P84098_RPL19.pdf")</f>
        <v>Melting_Curves/meltCurve_P84098_RPL19.pdf</v>
      </c>
    </row>
    <row r="2869" spans="1:28" x14ac:dyDescent="0.25">
      <c r="A2869" t="s">
        <v>2873</v>
      </c>
      <c r="B2869">
        <v>0.99334974765950101</v>
      </c>
      <c r="C2869">
        <v>1.3698264073455599</v>
      </c>
      <c r="D2869">
        <v>1.14143768933773</v>
      </c>
      <c r="E2869">
        <v>1.0781983427333599</v>
      </c>
      <c r="F2869">
        <v>1.35260085409155</v>
      </c>
      <c r="G2869">
        <v>0.92900440327478195</v>
      </c>
      <c r="H2869">
        <v>1.07459162561903</v>
      </c>
      <c r="I2869">
        <v>0.81847050668225096</v>
      </c>
      <c r="J2869">
        <v>1.3221165312638701</v>
      </c>
      <c r="K2869">
        <v>1.1125033509183699</v>
      </c>
      <c r="L2869">
        <v>10277.6151644981</v>
      </c>
      <c r="M2869">
        <v>250</v>
      </c>
      <c r="O2869">
        <v>41.107807901536397</v>
      </c>
      <c r="P2869">
        <v>0.20250604340717299</v>
      </c>
      <c r="Q2869">
        <v>1.13319334409019</v>
      </c>
      <c r="R2869">
        <v>5.7527251242109202E-2</v>
      </c>
      <c r="S2869" t="s">
        <v>8730</v>
      </c>
      <c r="T2869" t="s">
        <v>11720</v>
      </c>
      <c r="U2869" t="s">
        <v>11720</v>
      </c>
      <c r="V2869" t="s">
        <v>11720</v>
      </c>
      <c r="W2869" t="s">
        <v>14543</v>
      </c>
      <c r="X2869">
        <v>4</v>
      </c>
      <c r="Y2869" t="s">
        <v>20281</v>
      </c>
      <c r="Z2869" t="s">
        <v>26076</v>
      </c>
      <c r="AA2869">
        <v>1.128252871955433</v>
      </c>
      <c r="AB2869" t="str">
        <f>HYPERLINK("Melting_Curves/meltCurve_P84101_4_SERF2.pdf", "Melting_Curves/meltCurve_P84101_4_SERF2.pdf")</f>
        <v>Melting_Curves/meltCurve_P84101_4_SERF2.pdf</v>
      </c>
    </row>
    <row r="2870" spans="1:28" x14ac:dyDescent="0.25">
      <c r="A2870" t="s">
        <v>2874</v>
      </c>
      <c r="B2870">
        <v>0.99334974765950101</v>
      </c>
      <c r="C2870">
        <v>0.95855295424391895</v>
      </c>
      <c r="D2870">
        <v>0.891642929842692</v>
      </c>
      <c r="E2870">
        <v>0.79484778886977903</v>
      </c>
      <c r="F2870">
        <v>0.91386266277126504</v>
      </c>
      <c r="G2870">
        <v>0.68772400963541702</v>
      </c>
      <c r="H2870">
        <v>0.731172193422294</v>
      </c>
      <c r="I2870">
        <v>1.0150391340298399</v>
      </c>
      <c r="J2870">
        <v>1.2135052104561901</v>
      </c>
      <c r="K2870">
        <v>0.98290565807254704</v>
      </c>
      <c r="L2870">
        <v>10736.914634471001</v>
      </c>
      <c r="M2870">
        <v>250</v>
      </c>
      <c r="O2870">
        <v>42.944910147274499</v>
      </c>
      <c r="P2870">
        <v>-0.13995045021638799</v>
      </c>
      <c r="Q2870">
        <v>0.90383744790218501</v>
      </c>
      <c r="R2870">
        <v>4.1878896670318397E-2</v>
      </c>
      <c r="S2870" t="s">
        <v>8731</v>
      </c>
      <c r="T2870" t="s">
        <v>11720</v>
      </c>
      <c r="U2870" t="s">
        <v>11720</v>
      </c>
      <c r="V2870" t="s">
        <v>11720</v>
      </c>
      <c r="W2870" t="s">
        <v>14544</v>
      </c>
      <c r="X2870">
        <v>12</v>
      </c>
      <c r="Y2870" t="s">
        <v>20282</v>
      </c>
      <c r="Z2870" t="s">
        <v>26077</v>
      </c>
      <c r="AA2870">
        <v>0.91329317484007388</v>
      </c>
      <c r="AB2870" t="str">
        <f>HYPERLINK("Melting_Curves/meltCurve_P84157_MXRA7.pdf", "Melting_Curves/meltCurve_P84157_MXRA7.pdf")</f>
        <v>Melting_Curves/meltCurve_P84157_MXRA7.pdf</v>
      </c>
    </row>
    <row r="2871" spans="1:28" x14ac:dyDescent="0.25">
      <c r="A2871" t="s">
        <v>2875</v>
      </c>
      <c r="B2871">
        <v>0.99334974765950101</v>
      </c>
      <c r="C2871">
        <v>0.97254564898419404</v>
      </c>
      <c r="D2871">
        <v>0.88094504998175505</v>
      </c>
      <c r="E2871">
        <v>0.74216425749867598</v>
      </c>
      <c r="F2871">
        <v>1.10660158980822</v>
      </c>
      <c r="G2871">
        <v>0.63827160828325002</v>
      </c>
      <c r="H2871">
        <v>0.74878966930257795</v>
      </c>
      <c r="I2871">
        <v>0.67090484763137204</v>
      </c>
      <c r="J2871">
        <v>1.0934535107377701</v>
      </c>
      <c r="K2871">
        <v>0.777482476651848</v>
      </c>
      <c r="L2871">
        <v>1790.1168143816899</v>
      </c>
      <c r="M2871">
        <v>39.866367693556001</v>
      </c>
      <c r="O2871">
        <v>44.790415523441297</v>
      </c>
      <c r="P2871">
        <v>-3.8799988803517003E-2</v>
      </c>
      <c r="Q2871">
        <v>0.82563115719258495</v>
      </c>
      <c r="R2871">
        <v>0.14702527083839101</v>
      </c>
      <c r="S2871" t="s">
        <v>8732</v>
      </c>
      <c r="T2871" t="s">
        <v>11720</v>
      </c>
      <c r="U2871" t="s">
        <v>11720</v>
      </c>
      <c r="V2871" t="s">
        <v>11720</v>
      </c>
      <c r="W2871" t="s">
        <v>14545</v>
      </c>
      <c r="X2871">
        <v>6</v>
      </c>
      <c r="Y2871" t="s">
        <v>20282</v>
      </c>
      <c r="Z2871" t="s">
        <v>26078</v>
      </c>
      <c r="AA2871">
        <v>0.85471088886591429</v>
      </c>
      <c r="AB2871" t="str">
        <f>HYPERLINK("Melting_Curves/meltCurve_P84157_3_MXRA7.pdf", "Melting_Curves/meltCurve_P84157_3_MXRA7.pdf")</f>
        <v>Melting_Curves/meltCurve_P84157_3_MXRA7.pdf</v>
      </c>
    </row>
    <row r="2872" spans="1:28" x14ac:dyDescent="0.25">
      <c r="A2872" t="s">
        <v>2876</v>
      </c>
      <c r="B2872">
        <v>0.99334974765950101</v>
      </c>
      <c r="C2872">
        <v>1.0261685894128301</v>
      </c>
      <c r="D2872">
        <v>0.93094038348761798</v>
      </c>
      <c r="E2872">
        <v>0.67510963221634601</v>
      </c>
      <c r="F2872">
        <v>0.316261092907547</v>
      </c>
      <c r="G2872">
        <v>0.21760459967231599</v>
      </c>
      <c r="H2872">
        <v>0.17421899108752001</v>
      </c>
      <c r="I2872">
        <v>0.14436167442397699</v>
      </c>
      <c r="J2872">
        <v>0.130354443792702</v>
      </c>
      <c r="K2872">
        <v>0.108325353333593</v>
      </c>
      <c r="L2872">
        <v>1388.03336630235</v>
      </c>
      <c r="M2872">
        <v>27.351337818136098</v>
      </c>
      <c r="N2872">
        <v>51.368448147700498</v>
      </c>
      <c r="O2872">
        <v>50.479337241741199</v>
      </c>
      <c r="P2872">
        <v>-0.116411920171542</v>
      </c>
      <c r="Q2872">
        <v>0.140613857656715</v>
      </c>
      <c r="R2872">
        <v>0.99574450792152103</v>
      </c>
      <c r="S2872" t="s">
        <v>8733</v>
      </c>
      <c r="T2872" t="s">
        <v>11720</v>
      </c>
      <c r="U2872" t="s">
        <v>11720</v>
      </c>
      <c r="V2872" t="s">
        <v>11720</v>
      </c>
      <c r="W2872" t="s">
        <v>14546</v>
      </c>
      <c r="X2872">
        <v>13</v>
      </c>
      <c r="Y2872" t="s">
        <v>20283</v>
      </c>
      <c r="Z2872" t="s">
        <v>26079</v>
      </c>
      <c r="AA2872">
        <v>0.45498664474724387</v>
      </c>
      <c r="AB2872" t="str">
        <f>HYPERLINK("Melting_Curves/meltCurve_P85037_FOXK1.pdf", "Melting_Curves/meltCurve_P85037_FOXK1.pdf")</f>
        <v>Melting_Curves/meltCurve_P85037_FOXK1.pdf</v>
      </c>
    </row>
    <row r="2873" spans="1:28" x14ac:dyDescent="0.25">
      <c r="A2873" t="s">
        <v>2877</v>
      </c>
      <c r="B2873">
        <v>0.99334974765950101</v>
      </c>
      <c r="C2873">
        <v>1.11361303463797</v>
      </c>
      <c r="D2873">
        <v>0.795217486949227</v>
      </c>
      <c r="E2873">
        <v>0.63797951956476096</v>
      </c>
      <c r="F2873">
        <v>0.80027276563054905</v>
      </c>
      <c r="G2873">
        <v>0.35119132692513899</v>
      </c>
      <c r="H2873">
        <v>0.30514340154384001</v>
      </c>
      <c r="I2873">
        <v>0.211415366498799</v>
      </c>
      <c r="J2873">
        <v>0.130014462182793</v>
      </c>
      <c r="K2873">
        <v>0.17334405342397</v>
      </c>
      <c r="L2873">
        <v>599.40491124546099</v>
      </c>
      <c r="M2873">
        <v>10.9199654893755</v>
      </c>
      <c r="N2873">
        <v>55.450741629432102</v>
      </c>
      <c r="O2873">
        <v>53.1462031337349</v>
      </c>
      <c r="P2873">
        <v>-4.87025804953043E-2</v>
      </c>
      <c r="Q2873">
        <v>5.2209687673884002E-2</v>
      </c>
      <c r="R2873">
        <v>0.92139931538374198</v>
      </c>
      <c r="S2873" t="s">
        <v>8734</v>
      </c>
      <c r="T2873" t="s">
        <v>11720</v>
      </c>
      <c r="U2873" t="s">
        <v>11720</v>
      </c>
      <c r="V2873" t="s">
        <v>11720</v>
      </c>
      <c r="W2873" t="s">
        <v>14547</v>
      </c>
      <c r="X2873">
        <v>1</v>
      </c>
      <c r="Y2873" t="s">
        <v>20284</v>
      </c>
      <c r="Z2873" t="s">
        <v>26080</v>
      </c>
      <c r="AA2873">
        <v>0.54657645438850389</v>
      </c>
      <c r="AB2873" t="str">
        <f>HYPERLINK("Melting_Curves/meltCurve_P86397_RPP14.pdf", "Melting_Curves/meltCurve_P86397_RPP14.pdf")</f>
        <v>Melting_Curves/meltCurve_P86397_RPP14.pdf</v>
      </c>
    </row>
    <row r="2874" spans="1:28" x14ac:dyDescent="0.25">
      <c r="A2874" t="s">
        <v>2878</v>
      </c>
      <c r="B2874">
        <v>0.99334974765950101</v>
      </c>
      <c r="C2874">
        <v>0.94182705743136197</v>
      </c>
      <c r="D2874">
        <v>0.86249793774348305</v>
      </c>
      <c r="E2874">
        <v>0.68329353237493695</v>
      </c>
      <c r="F2874">
        <v>0.51907857672923297</v>
      </c>
      <c r="G2874">
        <v>0.213386484722947</v>
      </c>
      <c r="H2874">
        <v>5.1401155765989803E-2</v>
      </c>
      <c r="I2874">
        <v>3.6704829177167601E-2</v>
      </c>
      <c r="J2874">
        <v>2.0622439022561799E-2</v>
      </c>
      <c r="K2874">
        <v>0</v>
      </c>
      <c r="L2874">
        <v>844.54467047763205</v>
      </c>
      <c r="M2874">
        <v>16.075456439737</v>
      </c>
      <c r="N2874">
        <v>52.536287022737</v>
      </c>
      <c r="O2874">
        <v>51.743462642099203</v>
      </c>
      <c r="P2874">
        <v>-7.7675002083358605E-2</v>
      </c>
      <c r="Q2874">
        <v>0</v>
      </c>
      <c r="R2874">
        <v>0.99420228058234705</v>
      </c>
      <c r="S2874" t="s">
        <v>8735</v>
      </c>
      <c r="T2874" t="s">
        <v>11720</v>
      </c>
      <c r="U2874" t="s">
        <v>11720</v>
      </c>
      <c r="V2874" t="s">
        <v>11720</v>
      </c>
      <c r="W2874" t="s">
        <v>14548</v>
      </c>
      <c r="X2874">
        <v>5</v>
      </c>
      <c r="Y2874" t="s">
        <v>20285</v>
      </c>
      <c r="Z2874" t="s">
        <v>26081</v>
      </c>
      <c r="AA2874">
        <v>0.43764277651717481</v>
      </c>
      <c r="AB2874" t="str">
        <f>HYPERLINK("Melting_Curves/meltCurve_P86791_CCZ1.pdf", "Melting_Curves/meltCurve_P86791_CCZ1.pdf")</f>
        <v>Melting_Curves/meltCurve_P86791_CCZ1.pdf</v>
      </c>
    </row>
    <row r="2875" spans="1:28" x14ac:dyDescent="0.25">
      <c r="A2875" t="s">
        <v>2879</v>
      </c>
      <c r="B2875">
        <v>0.99334974765950101</v>
      </c>
      <c r="C2875">
        <v>0.96776503743374098</v>
      </c>
      <c r="D2875">
        <v>0.77354283960991299</v>
      </c>
      <c r="E2875">
        <v>0.47049514854010699</v>
      </c>
      <c r="F2875">
        <v>0.29058438544067899</v>
      </c>
      <c r="G2875">
        <v>0.20861791030016899</v>
      </c>
      <c r="H2875">
        <v>0.19308939395268801</v>
      </c>
      <c r="I2875">
        <v>0.24017013794848699</v>
      </c>
      <c r="J2875">
        <v>0.25291422789137502</v>
      </c>
      <c r="K2875">
        <v>0.274876384171161</v>
      </c>
      <c r="L2875">
        <v>1124.0258676834601</v>
      </c>
      <c r="M2875">
        <v>23.433590374424899</v>
      </c>
      <c r="N2875">
        <v>49.255625347147202</v>
      </c>
      <c r="O2875">
        <v>47.6212241531533</v>
      </c>
      <c r="P2875">
        <v>-9.4822397096052002E-2</v>
      </c>
      <c r="Q2875">
        <v>0.22922948324712999</v>
      </c>
      <c r="R2875">
        <v>0.99212507087191304</v>
      </c>
      <c r="S2875" t="s">
        <v>8736</v>
      </c>
      <c r="T2875" t="s">
        <v>11720</v>
      </c>
      <c r="U2875" t="s">
        <v>11720</v>
      </c>
      <c r="V2875" t="s">
        <v>11720</v>
      </c>
      <c r="W2875" t="s">
        <v>14549</v>
      </c>
      <c r="X2875">
        <v>34</v>
      </c>
      <c r="Y2875" t="s">
        <v>20286</v>
      </c>
      <c r="Z2875" t="s">
        <v>26082</v>
      </c>
      <c r="AA2875">
        <v>0.44172580516818849</v>
      </c>
      <c r="AB2875" t="str">
        <f>HYPERLINK("Melting_Curves/meltCurve_P98082_3_DAB2.pdf", "Melting_Curves/meltCurve_P98082_3_DAB2.pdf")</f>
        <v>Melting_Curves/meltCurve_P98082_3_DAB2.pdf</v>
      </c>
    </row>
    <row r="2876" spans="1:28" x14ac:dyDescent="0.25">
      <c r="A2876" t="s">
        <v>2880</v>
      </c>
      <c r="B2876">
        <v>0.99334974765950101</v>
      </c>
      <c r="C2876">
        <v>0.92916019336979705</v>
      </c>
      <c r="D2876">
        <v>0.93965023131315095</v>
      </c>
      <c r="E2876">
        <v>0.90129257753085601</v>
      </c>
      <c r="F2876">
        <v>0.84628690481922197</v>
      </c>
      <c r="G2876">
        <v>0.58217843730095598</v>
      </c>
      <c r="H2876">
        <v>0.27849734996430803</v>
      </c>
      <c r="I2876">
        <v>0.17517643309521599</v>
      </c>
      <c r="J2876">
        <v>0.131010725990097</v>
      </c>
      <c r="K2876">
        <v>0.107471917678318</v>
      </c>
      <c r="L2876">
        <v>1033.02721598678</v>
      </c>
      <c r="M2876">
        <v>17.990605541181001</v>
      </c>
      <c r="N2876">
        <v>57.823526067605201</v>
      </c>
      <c r="O2876">
        <v>56.725013625375198</v>
      </c>
      <c r="P2876">
        <v>-7.4618863461240997E-2</v>
      </c>
      <c r="Q2876">
        <v>5.8942892884282297E-2</v>
      </c>
      <c r="R2876">
        <v>0.99191427108293895</v>
      </c>
      <c r="S2876" t="s">
        <v>8737</v>
      </c>
      <c r="T2876" t="s">
        <v>11720</v>
      </c>
      <c r="U2876" t="s">
        <v>11720</v>
      </c>
      <c r="V2876" t="s">
        <v>11720</v>
      </c>
      <c r="W2876" t="s">
        <v>14550</v>
      </c>
      <c r="X2876">
        <v>13</v>
      </c>
      <c r="Y2876" t="s">
        <v>20287</v>
      </c>
      <c r="Z2876" t="s">
        <v>26083</v>
      </c>
      <c r="AA2876">
        <v>0.61782267869242058</v>
      </c>
      <c r="AB2876" t="str">
        <f>HYPERLINK("Melting_Curves/meltCurve_P98155_2_VLDLR.pdf", "Melting_Curves/meltCurve_P98155_2_VLDLR.pdf")</f>
        <v>Melting_Curves/meltCurve_P98155_2_VLDLR.pdf</v>
      </c>
    </row>
    <row r="2877" spans="1:28" x14ac:dyDescent="0.25">
      <c r="A2877" t="s">
        <v>2881</v>
      </c>
      <c r="B2877">
        <v>0.99334974765950101</v>
      </c>
      <c r="C2877">
        <v>0.96493515463802904</v>
      </c>
      <c r="D2877">
        <v>0.94852852400138299</v>
      </c>
      <c r="E2877">
        <v>0.86961643528872301</v>
      </c>
      <c r="F2877">
        <v>0.89599789423966802</v>
      </c>
      <c r="G2877">
        <v>0.76561295946921404</v>
      </c>
      <c r="H2877">
        <v>0.64066326198287504</v>
      </c>
      <c r="I2877">
        <v>0.56869022306074102</v>
      </c>
      <c r="J2877">
        <v>0.54765485254930901</v>
      </c>
      <c r="K2877">
        <v>0.43560715122858201</v>
      </c>
      <c r="L2877">
        <v>434.47713500602799</v>
      </c>
      <c r="M2877">
        <v>6.5138492706070501</v>
      </c>
      <c r="N2877">
        <v>67.586530443702301</v>
      </c>
      <c r="O2877">
        <v>61.250480978000702</v>
      </c>
      <c r="P2877">
        <v>-2.5560345842828899E-2</v>
      </c>
      <c r="Q2877">
        <v>4.0923769645654799E-2</v>
      </c>
      <c r="R2877">
        <v>0.98512250442855598</v>
      </c>
      <c r="S2877" t="s">
        <v>8738</v>
      </c>
      <c r="T2877" t="s">
        <v>11720</v>
      </c>
      <c r="U2877" t="s">
        <v>11720</v>
      </c>
      <c r="V2877" t="s">
        <v>11720</v>
      </c>
      <c r="W2877" t="s">
        <v>14551</v>
      </c>
      <c r="X2877">
        <v>30</v>
      </c>
      <c r="Y2877" t="s">
        <v>20288</v>
      </c>
      <c r="Z2877" t="s">
        <v>26084</v>
      </c>
      <c r="AA2877">
        <v>0.77404418135510011</v>
      </c>
      <c r="AB2877" t="str">
        <f>HYPERLINK("Melting_Curves/meltCurve_P98160_HSPG2.pdf", "Melting_Curves/meltCurve_P98160_HSPG2.pdf")</f>
        <v>Melting_Curves/meltCurve_P98160_HSPG2.pdf</v>
      </c>
    </row>
    <row r="2878" spans="1:28" x14ac:dyDescent="0.25">
      <c r="A2878" t="s">
        <v>2882</v>
      </c>
      <c r="B2878">
        <v>0.99334974765950101</v>
      </c>
      <c r="C2878">
        <v>0.92184071591593897</v>
      </c>
      <c r="D2878">
        <v>0.83932134510661205</v>
      </c>
      <c r="E2878">
        <v>0.78817106411392002</v>
      </c>
      <c r="F2878">
        <v>0.60550977690882701</v>
      </c>
      <c r="G2878">
        <v>0.37940908874279</v>
      </c>
      <c r="H2878">
        <v>0.317073289919096</v>
      </c>
      <c r="I2878">
        <v>0.28650773656477002</v>
      </c>
      <c r="J2878">
        <v>0.215519034956248</v>
      </c>
      <c r="K2878">
        <v>0.198945235011185</v>
      </c>
      <c r="L2878">
        <v>600.42946559524898</v>
      </c>
      <c r="M2878">
        <v>11.2168413722091</v>
      </c>
      <c r="N2878">
        <v>55.1662923977769</v>
      </c>
      <c r="O2878">
        <v>51.912480756907698</v>
      </c>
      <c r="P2878">
        <v>-4.6385701447229997E-2</v>
      </c>
      <c r="Q2878">
        <v>0.14156099671303299</v>
      </c>
      <c r="R2878">
        <v>0.98928046437831596</v>
      </c>
      <c r="S2878" t="s">
        <v>8739</v>
      </c>
      <c r="T2878" t="s">
        <v>11720</v>
      </c>
      <c r="U2878" t="s">
        <v>11720</v>
      </c>
      <c r="V2878" t="s">
        <v>11720</v>
      </c>
      <c r="W2878" t="s">
        <v>14552</v>
      </c>
      <c r="X2878">
        <v>2</v>
      </c>
      <c r="Y2878" t="s">
        <v>20289</v>
      </c>
      <c r="Z2878" t="s">
        <v>26085</v>
      </c>
      <c r="AA2878">
        <v>0.55368718884479351</v>
      </c>
      <c r="AB2878" t="str">
        <f>HYPERLINK("Melting_Curves/meltCurve_P98170_XIAP.pdf", "Melting_Curves/meltCurve_P98170_XIAP.pdf")</f>
        <v>Melting_Curves/meltCurve_P98170_XIAP.pdf</v>
      </c>
    </row>
    <row r="2879" spans="1:28" x14ac:dyDescent="0.25">
      <c r="A2879" t="s">
        <v>2883</v>
      </c>
      <c r="B2879">
        <v>0.99334974765950101</v>
      </c>
      <c r="C2879">
        <v>0.83603514257950595</v>
      </c>
      <c r="D2879">
        <v>0.78443081997319097</v>
      </c>
      <c r="E2879">
        <v>0.73198855848153699</v>
      </c>
      <c r="F2879">
        <v>0.53292309738877897</v>
      </c>
      <c r="G2879">
        <v>0.36490630646778999</v>
      </c>
      <c r="H2879">
        <v>0.27542807690288601</v>
      </c>
      <c r="I2879">
        <v>0.280879131546867</v>
      </c>
      <c r="J2879">
        <v>0.254598269774228</v>
      </c>
      <c r="K2879">
        <v>0.21499339319275601</v>
      </c>
      <c r="L2879">
        <v>500.83267174992397</v>
      </c>
      <c r="M2879">
        <v>9.6321432699904506</v>
      </c>
      <c r="N2879">
        <v>53.916212494221199</v>
      </c>
      <c r="O2879">
        <v>49.903069985327001</v>
      </c>
      <c r="P2879">
        <v>-4.1270943728581498E-2</v>
      </c>
      <c r="Q2879">
        <v>0.145198901624532</v>
      </c>
      <c r="R2879">
        <v>0.97855064517280899</v>
      </c>
      <c r="S2879" t="s">
        <v>8740</v>
      </c>
      <c r="T2879" t="s">
        <v>11720</v>
      </c>
      <c r="U2879" t="s">
        <v>11720</v>
      </c>
      <c r="V2879" t="s">
        <v>11720</v>
      </c>
      <c r="W2879" t="s">
        <v>14553</v>
      </c>
      <c r="X2879">
        <v>9</v>
      </c>
      <c r="Y2879" t="s">
        <v>20290</v>
      </c>
      <c r="Z2879" t="s">
        <v>26086</v>
      </c>
      <c r="AA2879">
        <v>0.52079118306320149</v>
      </c>
      <c r="AB2879" t="str">
        <f>HYPERLINK("Melting_Curves/meltCurve_P98172_EFNB1.pdf", "Melting_Curves/meltCurve_P98172_EFNB1.pdf")</f>
        <v>Melting_Curves/meltCurve_P98172_EFNB1.pdf</v>
      </c>
    </row>
    <row r="2880" spans="1:28" x14ac:dyDescent="0.25">
      <c r="A2880" t="s">
        <v>2884</v>
      </c>
      <c r="B2880">
        <v>0.99334974765950101</v>
      </c>
      <c r="C2880">
        <v>0.86464474891389498</v>
      </c>
      <c r="D2880">
        <v>0.85122244443325301</v>
      </c>
      <c r="E2880">
        <v>0.61824039453366297</v>
      </c>
      <c r="F2880">
        <v>0.50561834011396101</v>
      </c>
      <c r="G2880">
        <v>0.33825965611633801</v>
      </c>
      <c r="H2880">
        <v>0.21250812773498801</v>
      </c>
      <c r="I2880">
        <v>0.162066009211043</v>
      </c>
      <c r="J2880">
        <v>0.143551417034541</v>
      </c>
      <c r="K2880">
        <v>0.11704422125187899</v>
      </c>
      <c r="L2880">
        <v>549.377401449476</v>
      </c>
      <c r="M2880">
        <v>10.5006064368515</v>
      </c>
      <c r="N2880">
        <v>52.846215462846502</v>
      </c>
      <c r="O2880">
        <v>50.528006230287097</v>
      </c>
      <c r="P2880">
        <v>-4.9388877034208703E-2</v>
      </c>
      <c r="Q2880">
        <v>4.9763724274570598E-2</v>
      </c>
      <c r="R2880">
        <v>0.99476711519859395</v>
      </c>
      <c r="S2880" t="s">
        <v>8741</v>
      </c>
      <c r="T2880" t="s">
        <v>11720</v>
      </c>
      <c r="U2880" t="s">
        <v>11720</v>
      </c>
      <c r="V2880" t="s">
        <v>11720</v>
      </c>
      <c r="W2880" t="s">
        <v>14554</v>
      </c>
      <c r="X2880">
        <v>3</v>
      </c>
      <c r="Y2880" t="s">
        <v>20291</v>
      </c>
      <c r="Z2880" t="s">
        <v>26087</v>
      </c>
      <c r="AA2880">
        <v>0.47315357217397569</v>
      </c>
      <c r="AB2880" t="str">
        <f>HYPERLINK("Melting_Curves/meltCurve_P98173_FAM3A.pdf", "Melting_Curves/meltCurve_P98173_FAM3A.pdf")</f>
        <v>Melting_Curves/meltCurve_P98173_FAM3A.pdf</v>
      </c>
    </row>
    <row r="2881" spans="1:28" x14ac:dyDescent="0.25">
      <c r="A2881" t="s">
        <v>2885</v>
      </c>
      <c r="B2881">
        <v>0.99334974765950101</v>
      </c>
      <c r="C2881">
        <v>1.0604934770407299</v>
      </c>
      <c r="D2881">
        <v>0.88171860692911197</v>
      </c>
      <c r="E2881">
        <v>0.71738923176967595</v>
      </c>
      <c r="F2881">
        <v>0.56698224445544199</v>
      </c>
      <c r="G2881">
        <v>0.42027713659360499</v>
      </c>
      <c r="H2881">
        <v>0.294283734186086</v>
      </c>
      <c r="I2881">
        <v>0.24750237275995399</v>
      </c>
      <c r="J2881">
        <v>0.25807223397404999</v>
      </c>
      <c r="K2881">
        <v>0.27282421943274099</v>
      </c>
      <c r="L2881">
        <v>810.85993768048297</v>
      </c>
      <c r="M2881">
        <v>15.598358672899</v>
      </c>
      <c r="N2881">
        <v>54.226258559513703</v>
      </c>
      <c r="O2881">
        <v>51.151759920177099</v>
      </c>
      <c r="P2881">
        <v>-5.8120132033150897E-2</v>
      </c>
      <c r="Q2881">
        <v>0.23769174497289999</v>
      </c>
      <c r="R2881">
        <v>0.988034548913309</v>
      </c>
      <c r="S2881" t="s">
        <v>8742</v>
      </c>
      <c r="T2881" t="s">
        <v>11720</v>
      </c>
      <c r="U2881" t="s">
        <v>11720</v>
      </c>
      <c r="V2881" t="s">
        <v>11720</v>
      </c>
      <c r="W2881" t="s">
        <v>14555</v>
      </c>
      <c r="X2881">
        <v>4</v>
      </c>
      <c r="Y2881" t="s">
        <v>20292</v>
      </c>
      <c r="Z2881" t="s">
        <v>26088</v>
      </c>
      <c r="AA2881">
        <v>0.55824893968243383</v>
      </c>
      <c r="AB2881" t="str">
        <f>HYPERLINK("Melting_Curves/meltCurve_P98175_2_RBM10.pdf", "Melting_Curves/meltCurve_P98175_2_RBM10.pdf")</f>
        <v>Melting_Curves/meltCurve_P98175_2_RBM10.pdf</v>
      </c>
    </row>
    <row r="2882" spans="1:28" x14ac:dyDescent="0.25">
      <c r="A2882" t="s">
        <v>2886</v>
      </c>
      <c r="B2882">
        <v>0.99334974765950101</v>
      </c>
      <c r="C2882">
        <v>1.09110877468873</v>
      </c>
      <c r="D2882">
        <v>0.83689744390543497</v>
      </c>
      <c r="E2882">
        <v>0.96337516852337202</v>
      </c>
      <c r="F2882">
        <v>1.0365493795302601</v>
      </c>
      <c r="G2882">
        <v>0.85733781218613003</v>
      </c>
      <c r="H2882">
        <v>1.0136454435539299</v>
      </c>
      <c r="I2882">
        <v>1.04485759626605</v>
      </c>
      <c r="J2882">
        <v>1.25357160273263</v>
      </c>
      <c r="K2882">
        <v>1.3467367779845001</v>
      </c>
      <c r="L2882">
        <v>3998.8986754848002</v>
      </c>
      <c r="M2882">
        <v>60.5680093473309</v>
      </c>
      <c r="O2882">
        <v>65.951421458497094</v>
      </c>
      <c r="P2882">
        <v>8.2193719972359802E-2</v>
      </c>
      <c r="Q2882">
        <v>1.3579969412397701</v>
      </c>
      <c r="R2882">
        <v>0.74237493033363799</v>
      </c>
      <c r="S2882" t="s">
        <v>8743</v>
      </c>
      <c r="T2882" t="s">
        <v>11720</v>
      </c>
      <c r="U2882" t="s">
        <v>11720</v>
      </c>
      <c r="V2882" t="s">
        <v>11720</v>
      </c>
      <c r="W2882" t="s">
        <v>14556</v>
      </c>
      <c r="X2882">
        <v>3</v>
      </c>
      <c r="Y2882" t="s">
        <v>20293</v>
      </c>
      <c r="Z2882" t="s">
        <v>26089</v>
      </c>
      <c r="AA2882">
        <v>1.0472241616065681</v>
      </c>
      <c r="AB2882" t="str">
        <f>HYPERLINK("Melting_Curves/meltCurve_P98179_RBM3.pdf", "Melting_Curves/meltCurve_P98179_RBM3.pdf")</f>
        <v>Melting_Curves/meltCurve_P98179_RBM3.pdf</v>
      </c>
    </row>
    <row r="2883" spans="1:28" x14ac:dyDescent="0.25">
      <c r="A2883" t="s">
        <v>2887</v>
      </c>
      <c r="B2883">
        <v>0.99334974765950101</v>
      </c>
      <c r="C2883">
        <v>0.896674328086147</v>
      </c>
      <c r="D2883">
        <v>0.68085344509147105</v>
      </c>
      <c r="E2883">
        <v>0.25020331281319402</v>
      </c>
      <c r="F2883">
        <v>7.8960413499474594E-2</v>
      </c>
      <c r="G2883">
        <v>4.15210171270688E-2</v>
      </c>
      <c r="H2883">
        <v>3.0644597549879998E-2</v>
      </c>
      <c r="I2883">
        <v>2.2677351486938599E-2</v>
      </c>
      <c r="J2883">
        <v>2.3942133277526201E-2</v>
      </c>
      <c r="K2883">
        <v>1.7624806299860001E-2</v>
      </c>
      <c r="L2883">
        <v>1085.8131268362699</v>
      </c>
      <c r="M2883">
        <v>22.9169866143592</v>
      </c>
      <c r="N2883">
        <v>47.459063121667597</v>
      </c>
      <c r="O2883">
        <v>47.023914947678797</v>
      </c>
      <c r="P2883">
        <v>-0.119565002214616</v>
      </c>
      <c r="Q2883">
        <v>1.8665198726563099E-2</v>
      </c>
      <c r="R2883">
        <v>0.99925885104355705</v>
      </c>
      <c r="S2883" t="s">
        <v>8744</v>
      </c>
      <c r="T2883" t="s">
        <v>11720</v>
      </c>
      <c r="U2883" t="s">
        <v>11720</v>
      </c>
      <c r="V2883" t="s">
        <v>11720</v>
      </c>
      <c r="W2883" t="s">
        <v>14557</v>
      </c>
      <c r="X2883">
        <v>9</v>
      </c>
      <c r="Y2883" t="s">
        <v>20294</v>
      </c>
      <c r="Z2883" t="s">
        <v>26090</v>
      </c>
      <c r="AA2883">
        <v>0.27061032745274172</v>
      </c>
      <c r="AB2883" t="str">
        <f>HYPERLINK("Melting_Curves/meltCurve_Q00013_2_MPP1.pdf", "Melting_Curves/meltCurve_Q00013_2_MPP1.pdf")</f>
        <v>Melting_Curves/meltCurve_Q00013_2_MPP1.pdf</v>
      </c>
    </row>
    <row r="2884" spans="1:28" x14ac:dyDescent="0.25">
      <c r="A2884" t="s">
        <v>2888</v>
      </c>
      <c r="B2884">
        <v>0.99334974765950101</v>
      </c>
      <c r="C2884">
        <v>0.98882037096490405</v>
      </c>
      <c r="D2884">
        <v>0.88085701912251602</v>
      </c>
      <c r="E2884">
        <v>0.75853177141623995</v>
      </c>
      <c r="F2884">
        <v>0.67763763325812099</v>
      </c>
      <c r="G2884">
        <v>0.33375408350788399</v>
      </c>
      <c r="H2884">
        <v>0.12585528008112501</v>
      </c>
      <c r="I2884">
        <v>7.5358717469213299E-2</v>
      </c>
      <c r="J2884">
        <v>7.8427571292237194E-2</v>
      </c>
      <c r="K2884">
        <v>6.1145146212668401E-2</v>
      </c>
      <c r="L2884">
        <v>815.92927147584396</v>
      </c>
      <c r="M2884">
        <v>14.9664817021832</v>
      </c>
      <c r="N2884">
        <v>54.517106182710798</v>
      </c>
      <c r="O2884">
        <v>53.571583698120797</v>
      </c>
      <c r="P2884">
        <v>-6.9850497281121998E-2</v>
      </c>
      <c r="Q2884">
        <v>0</v>
      </c>
      <c r="R2884">
        <v>0.99048293325402303</v>
      </c>
      <c r="S2884" t="s">
        <v>8745</v>
      </c>
      <c r="T2884" t="s">
        <v>11720</v>
      </c>
      <c r="U2884" t="s">
        <v>11720</v>
      </c>
      <c r="V2884" t="s">
        <v>11720</v>
      </c>
      <c r="W2884" t="s">
        <v>14558</v>
      </c>
      <c r="X2884">
        <v>28</v>
      </c>
      <c r="Y2884" t="s">
        <v>20295</v>
      </c>
      <c r="Z2884" t="s">
        <v>26091</v>
      </c>
      <c r="AA2884">
        <v>0.50386743019872815</v>
      </c>
      <c r="AB2884" t="str">
        <f>HYPERLINK("Melting_Curves/meltCurve_Q00169_PITPNA.pdf", "Melting_Curves/meltCurve_Q00169_PITPNA.pdf")</f>
        <v>Melting_Curves/meltCurve_Q00169_PITPNA.pdf</v>
      </c>
    </row>
    <row r="2885" spans="1:28" x14ac:dyDescent="0.25">
      <c r="A2885" t="s">
        <v>2889</v>
      </c>
      <c r="B2885">
        <v>0.99334974765950101</v>
      </c>
      <c r="C2885">
        <v>0.954743152469547</v>
      </c>
      <c r="D2885">
        <v>0.96489169191513302</v>
      </c>
      <c r="E2885">
        <v>1.1975994517411299</v>
      </c>
      <c r="F2885">
        <v>1.3475413191603001</v>
      </c>
      <c r="G2885">
        <v>1.3221117313272699</v>
      </c>
      <c r="H2885">
        <v>1.2960699427211899</v>
      </c>
      <c r="I2885">
        <v>1.85401100329658</v>
      </c>
      <c r="J2885">
        <v>2.0066357429167199</v>
      </c>
      <c r="K2885">
        <v>1.4545868486893001</v>
      </c>
      <c r="L2885">
        <v>1159.3154702867801</v>
      </c>
      <c r="M2885">
        <v>22.4457415015961</v>
      </c>
      <c r="O2885">
        <v>51.244958574544697</v>
      </c>
      <c r="P2885">
        <v>5.47522264498638E-2</v>
      </c>
      <c r="Q2885">
        <v>1.5</v>
      </c>
      <c r="R2885">
        <v>0.60886552952098505</v>
      </c>
      <c r="S2885" t="s">
        <v>8746</v>
      </c>
      <c r="T2885" t="s">
        <v>11720</v>
      </c>
      <c r="U2885" t="s">
        <v>11720</v>
      </c>
      <c r="V2885" t="s">
        <v>11720</v>
      </c>
      <c r="W2885" t="s">
        <v>14559</v>
      </c>
      <c r="X2885">
        <v>16</v>
      </c>
      <c r="Y2885" t="s">
        <v>20296</v>
      </c>
      <c r="Z2885" t="s">
        <v>26092</v>
      </c>
      <c r="AA2885">
        <v>1.30024645266468</v>
      </c>
      <c r="AB2885" t="str">
        <f>HYPERLINK("Melting_Curves/meltCurve_Q00325_2_SLC25A3.pdf", "Melting_Curves/meltCurve_Q00325_2_SLC25A3.pdf")</f>
        <v>Melting_Curves/meltCurve_Q00325_2_SLC25A3.pdf</v>
      </c>
    </row>
    <row r="2886" spans="1:28" x14ac:dyDescent="0.25">
      <c r="A2886" t="s">
        <v>2890</v>
      </c>
      <c r="B2886">
        <v>0.99334974765950101</v>
      </c>
      <c r="C2886">
        <v>1.06366157530371</v>
      </c>
      <c r="D2886">
        <v>0.49763511375733899</v>
      </c>
      <c r="E2886">
        <v>0.232111125792025</v>
      </c>
      <c r="F2886">
        <v>0.145894558032935</v>
      </c>
      <c r="G2886">
        <v>0.107060103594894</v>
      </c>
      <c r="H2886">
        <v>8.8759336726740495E-2</v>
      </c>
      <c r="I2886">
        <v>8.4685523060819098E-2</v>
      </c>
      <c r="J2886">
        <v>8.1556282215830403E-2</v>
      </c>
      <c r="K2886">
        <v>6.6822638401742199E-2</v>
      </c>
      <c r="L2886">
        <v>11487.444273209099</v>
      </c>
      <c r="M2886">
        <v>250</v>
      </c>
      <c r="N2886">
        <v>45.997995118405399</v>
      </c>
      <c r="O2886">
        <v>45.946837067781303</v>
      </c>
      <c r="P2886">
        <v>-1.2034697716771301</v>
      </c>
      <c r="Q2886">
        <v>0.11526993757033401</v>
      </c>
      <c r="R2886">
        <v>0.982295058474148</v>
      </c>
      <c r="S2886" t="s">
        <v>8747</v>
      </c>
      <c r="T2886" t="s">
        <v>11720</v>
      </c>
      <c r="U2886" t="s">
        <v>11720</v>
      </c>
      <c r="V2886" t="s">
        <v>11720</v>
      </c>
      <c r="W2886" t="s">
        <v>14560</v>
      </c>
      <c r="X2886">
        <v>49</v>
      </c>
      <c r="Y2886" t="s">
        <v>20297</v>
      </c>
      <c r="Z2886" t="s">
        <v>26093</v>
      </c>
      <c r="AA2886">
        <v>0.29080617184065799</v>
      </c>
      <c r="AB2886" t="str">
        <f>HYPERLINK("Melting_Curves/meltCurve_Q00341_HDLBP.pdf", "Melting_Curves/meltCurve_Q00341_HDLBP.pdf")</f>
        <v>Melting_Curves/meltCurve_Q00341_HDLBP.pdf</v>
      </c>
    </row>
    <row r="2887" spans="1:28" x14ac:dyDescent="0.25">
      <c r="A2887" t="s">
        <v>2891</v>
      </c>
      <c r="B2887">
        <v>0.99334974765950101</v>
      </c>
      <c r="C2887">
        <v>0.98604326205549397</v>
      </c>
      <c r="D2887">
        <v>0.91162778057661498</v>
      </c>
      <c r="E2887">
        <v>0.64091831995402304</v>
      </c>
      <c r="F2887">
        <v>0.53450357493545897</v>
      </c>
      <c r="G2887">
        <v>0.43618835469214401</v>
      </c>
      <c r="H2887">
        <v>0.39923656910315403</v>
      </c>
      <c r="I2887">
        <v>0.40179842936191201</v>
      </c>
      <c r="J2887">
        <v>0.31260100777909899</v>
      </c>
      <c r="K2887">
        <v>0.28800156928948001</v>
      </c>
      <c r="L2887">
        <v>832.42247654947596</v>
      </c>
      <c r="M2887">
        <v>16.563989353474099</v>
      </c>
      <c r="N2887">
        <v>53.8422768058035</v>
      </c>
      <c r="O2887">
        <v>49.539596486888101</v>
      </c>
      <c r="P2887">
        <v>-5.5660943880050301E-2</v>
      </c>
      <c r="Q2887">
        <v>0.33416230640830702</v>
      </c>
      <c r="R2887">
        <v>0.98472403537056796</v>
      </c>
      <c r="S2887" t="s">
        <v>8748</v>
      </c>
      <c r="T2887" t="s">
        <v>11720</v>
      </c>
      <c r="U2887" t="s">
        <v>11720</v>
      </c>
      <c r="V2887" t="s">
        <v>11720</v>
      </c>
      <c r="W2887" t="s">
        <v>14561</v>
      </c>
      <c r="X2887">
        <v>2</v>
      </c>
      <c r="Y2887" t="s">
        <v>20298</v>
      </c>
      <c r="Z2887" t="s">
        <v>26094</v>
      </c>
      <c r="AA2887">
        <v>0.57496455602697549</v>
      </c>
      <c r="AB2887" t="str">
        <f>HYPERLINK("Melting_Curves/meltCurve_Q00403_GTF2B.pdf", "Melting_Curves/meltCurve_Q00403_GTF2B.pdf")</f>
        <v>Melting_Curves/meltCurve_Q00403_GTF2B.pdf</v>
      </c>
    </row>
    <row r="2888" spans="1:28" x14ac:dyDescent="0.25">
      <c r="A2888" t="s">
        <v>2892</v>
      </c>
      <c r="B2888">
        <v>0.99334974765950101</v>
      </c>
      <c r="C2888">
        <v>0.98499889497934701</v>
      </c>
      <c r="D2888">
        <v>0.98302792831041996</v>
      </c>
      <c r="E2888">
        <v>0.82609075675631105</v>
      </c>
      <c r="F2888">
        <v>0.5440398205832</v>
      </c>
      <c r="G2888">
        <v>0.25309402203488901</v>
      </c>
      <c r="H2888">
        <v>0.14839006249005901</v>
      </c>
      <c r="I2888">
        <v>0.13446816511653101</v>
      </c>
      <c r="J2888">
        <v>0.104879138924739</v>
      </c>
      <c r="K2888">
        <v>8.4263543487491904E-2</v>
      </c>
      <c r="L2888">
        <v>1215.90009247738</v>
      </c>
      <c r="M2888">
        <v>22.932557818721499</v>
      </c>
      <c r="N2888">
        <v>53.541460420215699</v>
      </c>
      <c r="O2888">
        <v>52.622473359410201</v>
      </c>
      <c r="P2888">
        <v>-9.8059519512446305E-2</v>
      </c>
      <c r="Q2888">
        <v>9.9963439934006304E-2</v>
      </c>
      <c r="R2888">
        <v>0.99928012485226103</v>
      </c>
      <c r="S2888" t="s">
        <v>8749</v>
      </c>
      <c r="T2888" t="s">
        <v>11720</v>
      </c>
      <c r="U2888" t="s">
        <v>11720</v>
      </c>
      <c r="V2888" t="s">
        <v>11720</v>
      </c>
      <c r="W2888" t="s">
        <v>14562</v>
      </c>
      <c r="X2888">
        <v>13</v>
      </c>
      <c r="Y2888" t="s">
        <v>20299</v>
      </c>
      <c r="Z2888" t="s">
        <v>26095</v>
      </c>
      <c r="AA2888">
        <v>0.50032217112502242</v>
      </c>
      <c r="AB2888" t="str">
        <f>HYPERLINK("Melting_Curves/meltCurve_Q00534_CDK6.pdf", "Melting_Curves/meltCurve_Q00534_CDK6.pdf")</f>
        <v>Melting_Curves/meltCurve_Q00534_CDK6.pdf</v>
      </c>
    </row>
    <row r="2889" spans="1:28" x14ac:dyDescent="0.25">
      <c r="A2889" t="s">
        <v>2893</v>
      </c>
      <c r="B2889">
        <v>0.99334974765950101</v>
      </c>
      <c r="C2889">
        <v>0.94085269180377396</v>
      </c>
      <c r="D2889">
        <v>0.82722786499529299</v>
      </c>
      <c r="E2889">
        <v>0.41534872753456398</v>
      </c>
      <c r="F2889">
        <v>0.17908491100447599</v>
      </c>
      <c r="G2889">
        <v>0.13670249750650099</v>
      </c>
      <c r="H2889">
        <v>9.6260774060727E-2</v>
      </c>
      <c r="I2889">
        <v>7.0184603869426807E-2</v>
      </c>
      <c r="J2889">
        <v>5.7200991126418799E-2</v>
      </c>
      <c r="K2889">
        <v>3.79008715346872E-2</v>
      </c>
      <c r="L2889">
        <v>1103.7520604466699</v>
      </c>
      <c r="M2889">
        <v>22.592700314899702</v>
      </c>
      <c r="N2889">
        <v>49.1586060718558</v>
      </c>
      <c r="O2889">
        <v>48.476462273241701</v>
      </c>
      <c r="P2889">
        <v>-0.108914094036742</v>
      </c>
      <c r="Q2889">
        <v>6.5244642555136095E-2</v>
      </c>
      <c r="R2889">
        <v>0.99735169329920903</v>
      </c>
      <c r="S2889" t="s">
        <v>8750</v>
      </c>
      <c r="T2889" t="s">
        <v>11720</v>
      </c>
      <c r="U2889" t="s">
        <v>11720</v>
      </c>
      <c r="V2889" t="s">
        <v>11720</v>
      </c>
      <c r="W2889" t="s">
        <v>14563</v>
      </c>
      <c r="X2889">
        <v>12</v>
      </c>
      <c r="Y2889" t="s">
        <v>20300</v>
      </c>
      <c r="Z2889" t="s">
        <v>26096</v>
      </c>
      <c r="AA2889">
        <v>0.35133758132215731</v>
      </c>
      <c r="AB2889" t="str">
        <f>HYPERLINK("Melting_Curves/meltCurve_Q00535_CDK5.pdf", "Melting_Curves/meltCurve_Q00535_CDK5.pdf")</f>
        <v>Melting_Curves/meltCurve_Q00535_CDK5.pdf</v>
      </c>
    </row>
    <row r="2890" spans="1:28" x14ac:dyDescent="0.25">
      <c r="A2890" t="s">
        <v>2894</v>
      </c>
      <c r="B2890">
        <v>0.99334974765950101</v>
      </c>
      <c r="C2890">
        <v>0.93088836987231705</v>
      </c>
      <c r="D2890">
        <v>0.83262629326779303</v>
      </c>
      <c r="E2890">
        <v>0.51381405432025995</v>
      </c>
      <c r="F2890">
        <v>0.15969254889992501</v>
      </c>
      <c r="G2890">
        <v>0.107695256014622</v>
      </c>
      <c r="H2890">
        <v>7.4185989414949097E-2</v>
      </c>
      <c r="I2890">
        <v>5.5261885196806401E-2</v>
      </c>
      <c r="J2890">
        <v>4.8031136872393902E-2</v>
      </c>
      <c r="K2890">
        <v>3.6009956827361099E-2</v>
      </c>
      <c r="L2890">
        <v>1098.25407782618</v>
      </c>
      <c r="M2890">
        <v>22.199702617832099</v>
      </c>
      <c r="N2890">
        <v>49.677291475157404</v>
      </c>
      <c r="O2890">
        <v>49.075362848730201</v>
      </c>
      <c r="P2890">
        <v>-0.10812555507006801</v>
      </c>
      <c r="Q2890">
        <v>4.3917160433575103E-2</v>
      </c>
      <c r="R2890">
        <v>0.99418443963125502</v>
      </c>
      <c r="S2890" t="s">
        <v>8751</v>
      </c>
      <c r="T2890" t="s">
        <v>11720</v>
      </c>
      <c r="U2890" t="s">
        <v>11720</v>
      </c>
      <c r="V2890" t="s">
        <v>11720</v>
      </c>
      <c r="W2890" t="s">
        <v>14564</v>
      </c>
      <c r="X2890">
        <v>10</v>
      </c>
      <c r="Y2890" t="s">
        <v>20301</v>
      </c>
      <c r="Z2890" t="s">
        <v>26097</v>
      </c>
      <c r="AA2890">
        <v>0.35659177765574568</v>
      </c>
      <c r="AB2890" t="str">
        <f>HYPERLINK("Melting_Curves/meltCurve_Q00536_CDK16.pdf", "Melting_Curves/meltCurve_Q00536_CDK16.pdf")</f>
        <v>Melting_Curves/meltCurve_Q00536_CDK16.pdf</v>
      </c>
    </row>
    <row r="2891" spans="1:28" x14ac:dyDescent="0.25">
      <c r="A2891" t="s">
        <v>2895</v>
      </c>
      <c r="B2891">
        <v>0.99334974765950101</v>
      </c>
      <c r="C2891">
        <v>1.1258248450625501</v>
      </c>
      <c r="D2891">
        <v>1.1811133183896301</v>
      </c>
      <c r="E2891">
        <v>1.34175079212617</v>
      </c>
      <c r="F2891">
        <v>1.0607731316386999</v>
      </c>
      <c r="G2891">
        <v>0.85485306770677705</v>
      </c>
      <c r="H2891">
        <v>1.3317801178862201</v>
      </c>
      <c r="I2891">
        <v>0.86959891372887099</v>
      </c>
      <c r="J2891">
        <v>0.36082484250199898</v>
      </c>
      <c r="K2891">
        <v>0.257491829336634</v>
      </c>
      <c r="L2891">
        <v>5315.9727551774704</v>
      </c>
      <c r="M2891">
        <v>81.361189827180198</v>
      </c>
      <c r="N2891">
        <v>65.942606485076496</v>
      </c>
      <c r="O2891">
        <v>65.298502422642997</v>
      </c>
      <c r="P2891">
        <v>-0.22961248810282001</v>
      </c>
      <c r="Q2891">
        <v>0.26287462011332102</v>
      </c>
      <c r="R2891">
        <v>0.75590101349239402</v>
      </c>
      <c r="S2891" t="s">
        <v>8752</v>
      </c>
      <c r="T2891" t="s">
        <v>11720</v>
      </c>
      <c r="U2891" t="s">
        <v>11720</v>
      </c>
      <c r="V2891" t="s">
        <v>11720</v>
      </c>
      <c r="W2891" t="s">
        <v>14565</v>
      </c>
      <c r="X2891">
        <v>1</v>
      </c>
      <c r="Y2891" t="s">
        <v>20302</v>
      </c>
      <c r="Z2891" t="s">
        <v>26098</v>
      </c>
      <c r="AA2891">
        <v>0.88614592081658528</v>
      </c>
      <c r="AB2891" t="str">
        <f>HYPERLINK("Melting_Curves/meltCurve_Q00577_PURA.pdf", "Melting_Curves/meltCurve_Q00577_PURA.pdf")</f>
        <v>Melting_Curves/meltCurve_Q00577_PURA.pdf</v>
      </c>
    </row>
    <row r="2892" spans="1:28" x14ac:dyDescent="0.25">
      <c r="A2892" t="s">
        <v>2896</v>
      </c>
      <c r="B2892">
        <v>0.99334974765950101</v>
      </c>
      <c r="C2892">
        <v>0.95140514373010099</v>
      </c>
      <c r="D2892">
        <v>0.78122596638137398</v>
      </c>
      <c r="E2892">
        <v>0.613147479696315</v>
      </c>
      <c r="F2892">
        <v>0.52177839740308896</v>
      </c>
      <c r="G2892">
        <v>0.41047964279010402</v>
      </c>
      <c r="H2892">
        <v>0.35738265980209599</v>
      </c>
      <c r="I2892">
        <v>0.36336119797162297</v>
      </c>
      <c r="J2892">
        <v>0.510692379441264</v>
      </c>
      <c r="K2892">
        <v>0.67172898146262805</v>
      </c>
      <c r="L2892">
        <v>1028.76870102367</v>
      </c>
      <c r="M2892">
        <v>21.8401941482953</v>
      </c>
      <c r="N2892">
        <v>53.661547864836599</v>
      </c>
      <c r="O2892">
        <v>46.714798482071501</v>
      </c>
      <c r="P2892">
        <v>-6.2493837189780299E-2</v>
      </c>
      <c r="Q2892">
        <v>0.46533077206241302</v>
      </c>
      <c r="R2892">
        <v>0.84607484178117098</v>
      </c>
      <c r="S2892" t="s">
        <v>8753</v>
      </c>
      <c r="T2892" t="s">
        <v>11720</v>
      </c>
      <c r="U2892" t="s">
        <v>11720</v>
      </c>
      <c r="V2892" t="s">
        <v>11720</v>
      </c>
      <c r="W2892" t="s">
        <v>14566</v>
      </c>
      <c r="X2892">
        <v>8</v>
      </c>
      <c r="Y2892" t="s">
        <v>20303</v>
      </c>
      <c r="Z2892" t="s">
        <v>26099</v>
      </c>
      <c r="AA2892">
        <v>0.59836611725790445</v>
      </c>
      <c r="AB2892" t="str">
        <f>HYPERLINK("Melting_Curves/meltCurve_Q00587_2_CDC42EP1.pdf", "Melting_Curves/meltCurve_Q00587_2_CDC42EP1.pdf")</f>
        <v>Melting_Curves/meltCurve_Q00587_2_CDC42EP1.pdf</v>
      </c>
    </row>
    <row r="2893" spans="1:28" x14ac:dyDescent="0.25">
      <c r="A2893" t="s">
        <v>2897</v>
      </c>
      <c r="B2893">
        <v>0.99334974765950101</v>
      </c>
      <c r="C2893">
        <v>0.97096899814648296</v>
      </c>
      <c r="D2893">
        <v>1.2113823641083701</v>
      </c>
      <c r="E2893">
        <v>1.56690955213727</v>
      </c>
      <c r="F2893">
        <v>0.41132677178329602</v>
      </c>
      <c r="G2893">
        <v>0.24728873278927399</v>
      </c>
      <c r="H2893">
        <v>0.15389810255460101</v>
      </c>
      <c r="I2893">
        <v>0.13694648638308199</v>
      </c>
      <c r="J2893">
        <v>0.128658525922905</v>
      </c>
      <c r="K2893">
        <v>0.106590883340031</v>
      </c>
      <c r="L2893">
        <v>13206.002342019499</v>
      </c>
      <c r="M2893">
        <v>250</v>
      </c>
      <c r="N2893">
        <v>52.902331982286903</v>
      </c>
      <c r="O2893">
        <v>52.820651215800503</v>
      </c>
      <c r="P2893">
        <v>-1.0002290788953301</v>
      </c>
      <c r="Q2893">
        <v>0.15467633348135701</v>
      </c>
      <c r="R2893">
        <v>0.85647689896566204</v>
      </c>
      <c r="S2893" t="s">
        <v>8754</v>
      </c>
      <c r="T2893" t="s">
        <v>11720</v>
      </c>
      <c r="U2893" t="s">
        <v>11720</v>
      </c>
      <c r="V2893" t="s">
        <v>11720</v>
      </c>
      <c r="W2893" t="s">
        <v>14567</v>
      </c>
      <c r="X2893">
        <v>81</v>
      </c>
      <c r="Y2893" t="s">
        <v>20304</v>
      </c>
      <c r="Z2893" t="s">
        <v>26100</v>
      </c>
      <c r="AA2893">
        <v>0.51610265342733241</v>
      </c>
      <c r="AB2893" t="str">
        <f>HYPERLINK("Melting_Curves/meltCurve_Q00610_2_CLTC.pdf", "Melting_Curves/meltCurve_Q00610_2_CLTC.pdf")</f>
        <v>Melting_Curves/meltCurve_Q00610_2_CLTC.pdf</v>
      </c>
    </row>
    <row r="2894" spans="1:28" x14ac:dyDescent="0.25">
      <c r="A2894" t="s">
        <v>2898</v>
      </c>
      <c r="B2894">
        <v>0.99334974765950101</v>
      </c>
      <c r="C2894">
        <v>0.91661618320707405</v>
      </c>
      <c r="D2894">
        <v>0.64883239824549599</v>
      </c>
      <c r="E2894">
        <v>0.28903947503747002</v>
      </c>
      <c r="F2894">
        <v>0.212833060558314</v>
      </c>
      <c r="G2894">
        <v>0.16641096704063299</v>
      </c>
      <c r="H2894">
        <v>0.12598533927476299</v>
      </c>
      <c r="I2894">
        <v>0.101102831577686</v>
      </c>
      <c r="J2894">
        <v>0.112218781177717</v>
      </c>
      <c r="K2894">
        <v>9.5430214276253506E-2</v>
      </c>
      <c r="L2894">
        <v>1017.45232535437</v>
      </c>
      <c r="M2894">
        <v>21.6615225208275</v>
      </c>
      <c r="N2894">
        <v>47.553003514803699</v>
      </c>
      <c r="O2894">
        <v>46.575675241288202</v>
      </c>
      <c r="P2894">
        <v>-0.102723929111754</v>
      </c>
      <c r="Q2894">
        <v>0.116530649179746</v>
      </c>
      <c r="R2894">
        <v>0.99704626900330096</v>
      </c>
      <c r="S2894" t="s">
        <v>8755</v>
      </c>
      <c r="T2894" t="s">
        <v>11720</v>
      </c>
      <c r="U2894" t="s">
        <v>11720</v>
      </c>
      <c r="V2894" t="s">
        <v>11720</v>
      </c>
      <c r="W2894" t="s">
        <v>14568</v>
      </c>
      <c r="X2894">
        <v>8</v>
      </c>
      <c r="Y2894" t="s">
        <v>20305</v>
      </c>
      <c r="Z2894" t="s">
        <v>26101</v>
      </c>
      <c r="AA2894">
        <v>0.33265190725294441</v>
      </c>
      <c r="AB2894" t="str">
        <f>HYPERLINK("Melting_Curves/meltCurve_Q00653_4_NFKB2.pdf", "Melting_Curves/meltCurve_Q00653_4_NFKB2.pdf")</f>
        <v>Melting_Curves/meltCurve_Q00653_4_NFKB2.pdf</v>
      </c>
    </row>
    <row r="2895" spans="1:28" x14ac:dyDescent="0.25">
      <c r="A2895" t="s">
        <v>2899</v>
      </c>
      <c r="B2895">
        <v>0.99334974765950101</v>
      </c>
      <c r="C2895">
        <v>1.0646185410411499</v>
      </c>
      <c r="D2895">
        <v>0.91001648845512295</v>
      </c>
      <c r="E2895">
        <v>0.70061197050213198</v>
      </c>
      <c r="F2895">
        <v>0.48751173716708901</v>
      </c>
      <c r="G2895">
        <v>0.32073695223638798</v>
      </c>
      <c r="H2895">
        <v>0.274069705258014</v>
      </c>
      <c r="I2895">
        <v>0.293891731942238</v>
      </c>
      <c r="J2895">
        <v>0.32232447773909001</v>
      </c>
      <c r="K2895">
        <v>0.31995546474425302</v>
      </c>
      <c r="L2895">
        <v>1223.5301798273399</v>
      </c>
      <c r="M2895">
        <v>24.1777703382729</v>
      </c>
      <c r="N2895">
        <v>52.554747980225102</v>
      </c>
      <c r="O2895">
        <v>50.263202866569102</v>
      </c>
      <c r="P2895">
        <v>-8.4655916115729299E-2</v>
      </c>
      <c r="Q2895">
        <v>0.29604556817239902</v>
      </c>
      <c r="R2895">
        <v>0.98973949468350897</v>
      </c>
      <c r="S2895" t="s">
        <v>8756</v>
      </c>
      <c r="T2895" t="s">
        <v>11720</v>
      </c>
      <c r="U2895" t="s">
        <v>11720</v>
      </c>
      <c r="V2895" t="s">
        <v>11720</v>
      </c>
      <c r="W2895" t="s">
        <v>14569</v>
      </c>
      <c r="X2895">
        <v>19</v>
      </c>
      <c r="Y2895" t="s">
        <v>20306</v>
      </c>
      <c r="Z2895" t="s">
        <v>26102</v>
      </c>
      <c r="AA2895">
        <v>0.5516728605631781</v>
      </c>
      <c r="AB2895" t="str">
        <f>HYPERLINK("Melting_Curves/meltCurve_Q00688_FKBP3.pdf", "Melting_Curves/meltCurve_Q00688_FKBP3.pdf")</f>
        <v>Melting_Curves/meltCurve_Q00688_FKBP3.pdf</v>
      </c>
    </row>
    <row r="2896" spans="1:28" x14ac:dyDescent="0.25">
      <c r="A2896" t="s">
        <v>2900</v>
      </c>
      <c r="B2896">
        <v>0.99334974765950101</v>
      </c>
      <c r="C2896">
        <v>1.0371687715775799</v>
      </c>
      <c r="D2896">
        <v>1.0502629404574</v>
      </c>
      <c r="E2896">
        <v>1.01199872519613</v>
      </c>
      <c r="F2896">
        <v>1.09610310481398</v>
      </c>
      <c r="G2896">
        <v>1.03875279931979</v>
      </c>
      <c r="H2896">
        <v>1.1268315671189499</v>
      </c>
      <c r="I2896">
        <v>1.07647013589415</v>
      </c>
      <c r="J2896">
        <v>1.39748984981846</v>
      </c>
      <c r="K2896">
        <v>1.1742982284161401</v>
      </c>
      <c r="L2896">
        <v>500.50597101275503</v>
      </c>
      <c r="M2896">
        <v>7.1847447898788399</v>
      </c>
      <c r="O2896">
        <v>64.871885081901894</v>
      </c>
      <c r="P2896">
        <v>1.3867430353815101E-2</v>
      </c>
      <c r="Q2896">
        <v>1.5</v>
      </c>
      <c r="R2896">
        <v>0.54665448632194402</v>
      </c>
      <c r="S2896" t="s">
        <v>8757</v>
      </c>
      <c r="T2896" t="s">
        <v>11720</v>
      </c>
      <c r="U2896" t="s">
        <v>11720</v>
      </c>
      <c r="V2896" t="s">
        <v>11720</v>
      </c>
      <c r="W2896" t="s">
        <v>14570</v>
      </c>
      <c r="X2896">
        <v>11</v>
      </c>
      <c r="Y2896" t="s">
        <v>17894</v>
      </c>
      <c r="Z2896" t="s">
        <v>26103</v>
      </c>
      <c r="AA2896">
        <v>1.088610510696304</v>
      </c>
      <c r="AB2896" t="str">
        <f>HYPERLINK("Melting_Curves/meltCurve_Q00765_REEP5.pdf", "Melting_Curves/meltCurve_Q00765_REEP5.pdf")</f>
        <v>Melting_Curves/meltCurve_Q00765_REEP5.pdf</v>
      </c>
    </row>
    <row r="2897" spans="1:28" x14ac:dyDescent="0.25">
      <c r="A2897" t="s">
        <v>2901</v>
      </c>
      <c r="B2897">
        <v>0.99334974765950101</v>
      </c>
      <c r="C2897">
        <v>1.03293579849502</v>
      </c>
      <c r="D2897">
        <v>1.1832362683555699</v>
      </c>
      <c r="E2897">
        <v>1.32409018815727</v>
      </c>
      <c r="F2897">
        <v>1.31933520313321</v>
      </c>
      <c r="G2897">
        <v>1.2142858809433601</v>
      </c>
      <c r="H2897">
        <v>0.68641348145218795</v>
      </c>
      <c r="I2897">
        <v>0.33278142186770798</v>
      </c>
      <c r="J2897">
        <v>0.130230213658699</v>
      </c>
      <c r="K2897">
        <v>8.5032408358929001E-2</v>
      </c>
      <c r="L2897">
        <v>2791.7632496726701</v>
      </c>
      <c r="M2897">
        <v>44.887023968660699</v>
      </c>
      <c r="N2897">
        <v>62.494622670039</v>
      </c>
      <c r="O2897">
        <v>62.072262417155798</v>
      </c>
      <c r="P2897">
        <v>-0.16330062883020899</v>
      </c>
      <c r="Q2897">
        <v>9.67165712229964E-2</v>
      </c>
      <c r="R2897">
        <v>0.86025559917592398</v>
      </c>
      <c r="S2897" t="s">
        <v>8758</v>
      </c>
      <c r="T2897" t="s">
        <v>11720</v>
      </c>
      <c r="U2897" t="s">
        <v>11720</v>
      </c>
      <c r="V2897" t="s">
        <v>11720</v>
      </c>
      <c r="W2897" t="s">
        <v>14571</v>
      </c>
      <c r="X2897">
        <v>12</v>
      </c>
      <c r="Y2897" t="s">
        <v>20307</v>
      </c>
      <c r="Z2897" t="s">
        <v>26104</v>
      </c>
      <c r="AA2897">
        <v>0.76771224325093324</v>
      </c>
      <c r="AB2897" t="str">
        <f>HYPERLINK("Melting_Curves/meltCurve_Q00796_SORD.pdf", "Melting_Curves/meltCurve_Q00796_SORD.pdf")</f>
        <v>Melting_Curves/meltCurve_Q00796_SORD.pdf</v>
      </c>
    </row>
    <row r="2898" spans="1:28" x14ac:dyDescent="0.25">
      <c r="A2898" t="s">
        <v>2902</v>
      </c>
      <c r="B2898">
        <v>0.99334974765950101</v>
      </c>
      <c r="C2898">
        <v>1.0092087296583101</v>
      </c>
      <c r="D2898">
        <v>0.82413284854854996</v>
      </c>
      <c r="E2898">
        <v>0.59254358280830899</v>
      </c>
      <c r="F2898">
        <v>0.45457842378289198</v>
      </c>
      <c r="G2898">
        <v>0.374527008371351</v>
      </c>
      <c r="H2898">
        <v>0.348044825277806</v>
      </c>
      <c r="I2898">
        <v>0.38330439492827401</v>
      </c>
      <c r="J2898">
        <v>0.36603109301610898</v>
      </c>
      <c r="K2898">
        <v>0.30147060439275303</v>
      </c>
      <c r="L2898">
        <v>1000.56323322994</v>
      </c>
      <c r="M2898">
        <v>20.544737295027399</v>
      </c>
      <c r="N2898">
        <v>51.655470434970297</v>
      </c>
      <c r="O2898">
        <v>48.2472828842292</v>
      </c>
      <c r="P2898">
        <v>-6.9670726132138899E-2</v>
      </c>
      <c r="Q2898">
        <v>0.34555959663394697</v>
      </c>
      <c r="R2898">
        <v>0.99056564814724901</v>
      </c>
      <c r="S2898" t="s">
        <v>8759</v>
      </c>
      <c r="T2898" t="s">
        <v>11720</v>
      </c>
      <c r="U2898" t="s">
        <v>11720</v>
      </c>
      <c r="V2898" t="s">
        <v>11720</v>
      </c>
      <c r="W2898" t="s">
        <v>14572</v>
      </c>
      <c r="X2898">
        <v>11</v>
      </c>
      <c r="Y2898" t="s">
        <v>20308</v>
      </c>
      <c r="Z2898" t="s">
        <v>26105</v>
      </c>
      <c r="AA2898">
        <v>0.54408469012985272</v>
      </c>
      <c r="AB2898" t="str">
        <f>HYPERLINK("Melting_Curves/meltCurve_Q00839_2_HNRNPU.pdf", "Melting_Curves/meltCurve_Q00839_2_HNRNPU.pdf")</f>
        <v>Melting_Curves/meltCurve_Q00839_2_HNRNPU.pdf</v>
      </c>
    </row>
    <row r="2899" spans="1:28" x14ac:dyDescent="0.25">
      <c r="A2899" t="s">
        <v>2903</v>
      </c>
      <c r="B2899">
        <v>0.99334974765950101</v>
      </c>
      <c r="C2899">
        <v>0.79203177696997096</v>
      </c>
      <c r="D2899">
        <v>0.441489779604196</v>
      </c>
      <c r="E2899">
        <v>0.203264286069787</v>
      </c>
      <c r="F2899">
        <v>0.185603285791653</v>
      </c>
      <c r="G2899">
        <v>0.109915750390202</v>
      </c>
      <c r="H2899">
        <v>0.116694792131619</v>
      </c>
      <c r="I2899">
        <v>9.7757172562214903E-2</v>
      </c>
      <c r="J2899">
        <v>0.18296408285369001</v>
      </c>
      <c r="K2899">
        <v>0.15861117108123601</v>
      </c>
      <c r="L2899">
        <v>1146.86996018182</v>
      </c>
      <c r="M2899">
        <v>25.534735971206899</v>
      </c>
      <c r="N2899">
        <v>45.492144970216799</v>
      </c>
      <c r="O2899">
        <v>44.641358405276101</v>
      </c>
      <c r="P2899">
        <v>-0.12319004836955599</v>
      </c>
      <c r="Q2899">
        <v>0.13853770131384899</v>
      </c>
      <c r="R2899">
        <v>0.99171098861739904</v>
      </c>
      <c r="S2899" t="s">
        <v>8760</v>
      </c>
      <c r="T2899" t="s">
        <v>11720</v>
      </c>
      <c r="U2899" t="s">
        <v>11720</v>
      </c>
      <c r="V2899" t="s">
        <v>11720</v>
      </c>
      <c r="W2899" t="s">
        <v>14573</v>
      </c>
      <c r="X2899">
        <v>3</v>
      </c>
      <c r="Y2899" t="s">
        <v>20309</v>
      </c>
      <c r="Z2899" t="s">
        <v>26106</v>
      </c>
      <c r="AA2899">
        <v>0.28787961121322458</v>
      </c>
      <c r="AB2899" t="str">
        <f>HYPERLINK("Melting_Curves/meltCurve_Q00978_IRF9.pdf", "Melting_Curves/meltCurve_Q00978_IRF9.pdf")</f>
        <v>Melting_Curves/meltCurve_Q00978_IRF9.pdf</v>
      </c>
    </row>
    <row r="2900" spans="1:28" x14ac:dyDescent="0.25">
      <c r="A2900" t="s">
        <v>2904</v>
      </c>
      <c r="B2900">
        <v>0.99334974765950101</v>
      </c>
      <c r="C2900">
        <v>1.0308788221710701</v>
      </c>
      <c r="D2900">
        <v>1.14945386262574</v>
      </c>
      <c r="E2900">
        <v>1.85916657592029</v>
      </c>
      <c r="F2900">
        <v>1.78980295385049</v>
      </c>
      <c r="G2900">
        <v>1.1924313813058101</v>
      </c>
      <c r="H2900">
        <v>0.52375497488656497</v>
      </c>
      <c r="I2900">
        <v>0.44934119993782101</v>
      </c>
      <c r="J2900">
        <v>0.35109389684750603</v>
      </c>
      <c r="K2900">
        <v>0.31474975306786301</v>
      </c>
      <c r="L2900">
        <v>9406.6508959008206</v>
      </c>
      <c r="M2900">
        <v>155.34724795971701</v>
      </c>
      <c r="N2900">
        <v>61.087105073705203</v>
      </c>
      <c r="O2900">
        <v>60.542380835860101</v>
      </c>
      <c r="P2900">
        <v>-0.40308359333705102</v>
      </c>
      <c r="Q2900">
        <v>0.371636373899079</v>
      </c>
      <c r="R2900">
        <v>0.49417426414757798</v>
      </c>
      <c r="S2900" t="s">
        <v>8761</v>
      </c>
      <c r="T2900" t="s">
        <v>11720</v>
      </c>
      <c r="U2900" t="s">
        <v>11720</v>
      </c>
      <c r="V2900" t="s">
        <v>11720</v>
      </c>
      <c r="W2900" t="s">
        <v>14574</v>
      </c>
      <c r="X2900">
        <v>50</v>
      </c>
      <c r="Y2900" t="s">
        <v>20310</v>
      </c>
      <c r="Z2900" t="s">
        <v>26107</v>
      </c>
      <c r="AA2900">
        <v>0.80228902146290937</v>
      </c>
      <c r="AB2900" t="str">
        <f>HYPERLINK("Melting_Curves/meltCurve_Q01082_SPTBN1.pdf", "Melting_Curves/meltCurve_Q01082_SPTBN1.pdf")</f>
        <v>Melting_Curves/meltCurve_Q01082_SPTBN1.pdf</v>
      </c>
    </row>
    <row r="2901" spans="1:28" x14ac:dyDescent="0.25">
      <c r="A2901" t="s">
        <v>2905</v>
      </c>
      <c r="B2901">
        <v>0.99334974765950101</v>
      </c>
      <c r="C2901">
        <v>0.95616449129959002</v>
      </c>
      <c r="D2901">
        <v>0.86493083672308901</v>
      </c>
      <c r="E2901">
        <v>0.65710139105668397</v>
      </c>
      <c r="F2901">
        <v>0.487772664157612</v>
      </c>
      <c r="G2901">
        <v>0.25848718017188599</v>
      </c>
      <c r="H2901">
        <v>0.129557458480897</v>
      </c>
      <c r="I2901">
        <v>0.22095476293443</v>
      </c>
      <c r="J2901">
        <v>0.12965291380251801</v>
      </c>
      <c r="K2901">
        <v>0.10634363539229701</v>
      </c>
      <c r="L2901">
        <v>780.86599173078901</v>
      </c>
      <c r="M2901">
        <v>15.135968006076901</v>
      </c>
      <c r="N2901">
        <v>52.402881298983502</v>
      </c>
      <c r="O2901">
        <v>50.714724601051302</v>
      </c>
      <c r="P2901">
        <v>-6.6813717680083998E-2</v>
      </c>
      <c r="Q2901">
        <v>0.10462088304526999</v>
      </c>
      <c r="R2901">
        <v>0.99204293505201502</v>
      </c>
      <c r="S2901" t="s">
        <v>8762</v>
      </c>
      <c r="T2901" t="s">
        <v>11720</v>
      </c>
      <c r="U2901" t="s">
        <v>11720</v>
      </c>
      <c r="V2901" t="s">
        <v>11720</v>
      </c>
      <c r="W2901" t="s">
        <v>14575</v>
      </c>
      <c r="X2901">
        <v>9</v>
      </c>
      <c r="Y2901" t="s">
        <v>20311</v>
      </c>
      <c r="Z2901" t="s">
        <v>26108</v>
      </c>
      <c r="AA2901">
        <v>0.47054815988843568</v>
      </c>
      <c r="AB2901" t="str">
        <f>HYPERLINK("Melting_Curves/meltCurve_Q01085_2_TIAL1.pdf", "Melting_Curves/meltCurve_Q01085_2_TIAL1.pdf")</f>
        <v>Melting_Curves/meltCurve_Q01085_2_TIAL1.pdf</v>
      </c>
    </row>
    <row r="2902" spans="1:28" x14ac:dyDescent="0.25">
      <c r="A2902" t="s">
        <v>2906</v>
      </c>
      <c r="B2902">
        <v>0.99334974765950101</v>
      </c>
      <c r="C2902">
        <v>1.01988007777648</v>
      </c>
      <c r="D2902">
        <v>1.0088106999688899</v>
      </c>
      <c r="E2902">
        <v>0.89822941646822396</v>
      </c>
      <c r="F2902">
        <v>0.86561255542791804</v>
      </c>
      <c r="G2902">
        <v>0.716019208235393</v>
      </c>
      <c r="H2902">
        <v>0.67014789882656001</v>
      </c>
      <c r="I2902">
        <v>0.54401625115400598</v>
      </c>
      <c r="J2902">
        <v>0.40957118522970198</v>
      </c>
      <c r="K2902">
        <v>0.36127581447354701</v>
      </c>
      <c r="L2902">
        <v>534.39842380048003</v>
      </c>
      <c r="M2902">
        <v>8.2298081775220098</v>
      </c>
      <c r="N2902">
        <v>64.934491545630095</v>
      </c>
      <c r="O2902">
        <v>61.438864475643904</v>
      </c>
      <c r="P2902">
        <v>-3.3521864804968902E-2</v>
      </c>
      <c r="Q2902">
        <v>0</v>
      </c>
      <c r="R2902">
        <v>0.98573847074410303</v>
      </c>
      <c r="S2902" t="s">
        <v>8763</v>
      </c>
      <c r="T2902" t="s">
        <v>11720</v>
      </c>
      <c r="U2902" t="s">
        <v>11720</v>
      </c>
      <c r="V2902" t="s">
        <v>11720</v>
      </c>
      <c r="W2902" t="s">
        <v>14576</v>
      </c>
      <c r="X2902">
        <v>11</v>
      </c>
      <c r="Y2902" t="s">
        <v>20312</v>
      </c>
      <c r="Z2902" t="s">
        <v>26109</v>
      </c>
      <c r="AA2902">
        <v>0.75943198237624177</v>
      </c>
      <c r="AB2902" t="str">
        <f>HYPERLINK("Melting_Curves/meltCurve_Q01105_SET.pdf", "Melting_Curves/meltCurve_Q01105_SET.pdf")</f>
        <v>Melting_Curves/meltCurve_Q01105_SET.pdf</v>
      </c>
    </row>
    <row r="2903" spans="1:28" x14ac:dyDescent="0.25">
      <c r="A2903" t="s">
        <v>2907</v>
      </c>
      <c r="B2903">
        <v>0.99334974765950101</v>
      </c>
      <c r="C2903">
        <v>0.90583245644685295</v>
      </c>
      <c r="D2903">
        <v>0.91802167254307498</v>
      </c>
      <c r="E2903">
        <v>0.68587327089393002</v>
      </c>
      <c r="F2903">
        <v>0.51160347309958698</v>
      </c>
      <c r="G2903">
        <v>0.26373598547077198</v>
      </c>
      <c r="H2903">
        <v>0.116599796705398</v>
      </c>
      <c r="I2903">
        <v>7.6128170705597006E-2</v>
      </c>
      <c r="J2903">
        <v>8.8823143426391193E-2</v>
      </c>
      <c r="K2903">
        <v>6.2390552872596802E-2</v>
      </c>
      <c r="L2903">
        <v>778.86011450827004</v>
      </c>
      <c r="M2903">
        <v>14.788844452494301</v>
      </c>
      <c r="N2903">
        <v>52.866260895275197</v>
      </c>
      <c r="O2903">
        <v>51.730545997490502</v>
      </c>
      <c r="P2903">
        <v>-6.9525144807098094E-2</v>
      </c>
      <c r="Q2903">
        <v>2.7323698761740099E-2</v>
      </c>
      <c r="R2903">
        <v>0.99535286613801799</v>
      </c>
      <c r="S2903" t="s">
        <v>8764</v>
      </c>
      <c r="T2903" t="s">
        <v>11720</v>
      </c>
      <c r="U2903" t="s">
        <v>11720</v>
      </c>
      <c r="V2903" t="s">
        <v>11720</v>
      </c>
      <c r="W2903" t="s">
        <v>14577</v>
      </c>
      <c r="X2903">
        <v>5</v>
      </c>
      <c r="Y2903" t="s">
        <v>20313</v>
      </c>
      <c r="Z2903" t="s">
        <v>26110</v>
      </c>
      <c r="AA2903">
        <v>0.45961999981410512</v>
      </c>
      <c r="AB2903" t="str">
        <f>HYPERLINK("Melting_Curves/meltCurve_Q01415_GALK2.pdf", "Melting_Curves/meltCurve_Q01415_GALK2.pdf")</f>
        <v>Melting_Curves/meltCurve_Q01415_GALK2.pdf</v>
      </c>
    </row>
    <row r="2904" spans="1:28" x14ac:dyDescent="0.25">
      <c r="A2904" t="s">
        <v>2908</v>
      </c>
      <c r="B2904">
        <v>0.99334974765950101</v>
      </c>
      <c r="C2904">
        <v>0.97363696341915096</v>
      </c>
      <c r="D2904">
        <v>0.89921020523200701</v>
      </c>
      <c r="E2904">
        <v>0.76213300216539104</v>
      </c>
      <c r="F2904">
        <v>0.74617392964178397</v>
      </c>
      <c r="G2904">
        <v>0.50747539923368801</v>
      </c>
      <c r="H2904">
        <v>0.337930670411214</v>
      </c>
      <c r="I2904">
        <v>0.22835288171566101</v>
      </c>
      <c r="J2904">
        <v>0.28903005431699402</v>
      </c>
      <c r="K2904">
        <v>0.226677733857721</v>
      </c>
      <c r="L2904">
        <v>642.99078989801399</v>
      </c>
      <c r="M2904">
        <v>11.622053112565199</v>
      </c>
      <c r="N2904">
        <v>56.996312436552103</v>
      </c>
      <c r="O2904">
        <v>53.763204476973101</v>
      </c>
      <c r="P2904">
        <v>-4.62519698893923E-2</v>
      </c>
      <c r="Q2904">
        <v>0.14439358483313899</v>
      </c>
      <c r="R2904">
        <v>0.98409054470788504</v>
      </c>
      <c r="S2904" t="s">
        <v>8765</v>
      </c>
      <c r="T2904" t="s">
        <v>11720</v>
      </c>
      <c r="U2904" t="s">
        <v>11720</v>
      </c>
      <c r="V2904" t="s">
        <v>11720</v>
      </c>
      <c r="W2904" t="s">
        <v>14578</v>
      </c>
      <c r="X2904">
        <v>12</v>
      </c>
      <c r="Y2904" t="s">
        <v>20314</v>
      </c>
      <c r="Z2904" t="s">
        <v>26111</v>
      </c>
      <c r="AA2904">
        <v>0.60107693616409519</v>
      </c>
      <c r="AB2904" t="str">
        <f>HYPERLINK("Melting_Curves/meltCurve_Q01459_CTBS.pdf", "Melting_Curves/meltCurve_Q01459_CTBS.pdf")</f>
        <v>Melting_Curves/meltCurve_Q01459_CTBS.pdf</v>
      </c>
    </row>
    <row r="2905" spans="1:28" x14ac:dyDescent="0.25">
      <c r="A2905" t="s">
        <v>2909</v>
      </c>
      <c r="B2905">
        <v>0.99334974765950101</v>
      </c>
      <c r="C2905">
        <v>0.94642487714436896</v>
      </c>
      <c r="D2905">
        <v>0.88936231351904704</v>
      </c>
      <c r="E2905">
        <v>0.77687408012136705</v>
      </c>
      <c r="F2905">
        <v>0.65696430629407399</v>
      </c>
      <c r="G2905">
        <v>0.49890933189706099</v>
      </c>
      <c r="H2905">
        <v>0.210714394132378</v>
      </c>
      <c r="I2905">
        <v>0.14395757813364099</v>
      </c>
      <c r="J2905">
        <v>0.11350808004429599</v>
      </c>
      <c r="K2905">
        <v>0.102993201425765</v>
      </c>
      <c r="L2905">
        <v>659.21135904050504</v>
      </c>
      <c r="M2905">
        <v>11.841353906102601</v>
      </c>
      <c r="N2905">
        <v>55.670292976213602</v>
      </c>
      <c r="O2905">
        <v>54.153780500348198</v>
      </c>
      <c r="P2905">
        <v>-5.4679304627838599E-2</v>
      </c>
      <c r="Q2905">
        <v>0</v>
      </c>
      <c r="R2905">
        <v>0.99088707255917297</v>
      </c>
      <c r="S2905" t="s">
        <v>8766</v>
      </c>
      <c r="T2905" t="s">
        <v>11720</v>
      </c>
      <c r="U2905" t="s">
        <v>11720</v>
      </c>
      <c r="V2905" t="s">
        <v>11720</v>
      </c>
      <c r="W2905" t="s">
        <v>12695</v>
      </c>
      <c r="X2905">
        <v>22</v>
      </c>
      <c r="Y2905" t="s">
        <v>18487</v>
      </c>
      <c r="Z2905" t="s">
        <v>26112</v>
      </c>
      <c r="AA2905">
        <v>0.54392655367185827</v>
      </c>
      <c r="AB2905" t="str">
        <f>HYPERLINK("Melting_Curves/meltCurve_Q01469_FABP5.pdf", "Melting_Curves/meltCurve_Q01469_FABP5.pdf")</f>
        <v>Melting_Curves/meltCurve_Q01469_FABP5.pdf</v>
      </c>
    </row>
    <row r="2906" spans="1:28" x14ac:dyDescent="0.25">
      <c r="A2906" t="s">
        <v>2910</v>
      </c>
      <c r="B2906">
        <v>0.99334974765950101</v>
      </c>
      <c r="C2906">
        <v>1.06313890648455</v>
      </c>
      <c r="D2906">
        <v>1.2411734535113601</v>
      </c>
      <c r="E2906">
        <v>1.6752588684221299</v>
      </c>
      <c r="F2906">
        <v>1.9223346414095199</v>
      </c>
      <c r="G2906">
        <v>0.42372532066441299</v>
      </c>
      <c r="H2906">
        <v>0.22305409559143299</v>
      </c>
      <c r="I2906">
        <v>0.15888749881080499</v>
      </c>
      <c r="J2906">
        <v>0.14968830446761999</v>
      </c>
      <c r="K2906">
        <v>0.13139215722240999</v>
      </c>
      <c r="L2906">
        <v>14204.1867435188</v>
      </c>
      <c r="M2906">
        <v>250</v>
      </c>
      <c r="N2906">
        <v>56.908423645126803</v>
      </c>
      <c r="O2906">
        <v>56.8131092336438</v>
      </c>
      <c r="P2906">
        <v>-0.91775086415054996</v>
      </c>
      <c r="Q2906">
        <v>0.165755492356744</v>
      </c>
      <c r="R2906">
        <v>0.66351782367531198</v>
      </c>
      <c r="S2906" t="s">
        <v>8767</v>
      </c>
      <c r="T2906" t="s">
        <v>11720</v>
      </c>
      <c r="U2906" t="s">
        <v>11720</v>
      </c>
      <c r="V2906" t="s">
        <v>11720</v>
      </c>
      <c r="W2906" t="s">
        <v>14579</v>
      </c>
      <c r="X2906">
        <v>28</v>
      </c>
      <c r="Y2906" t="s">
        <v>20315</v>
      </c>
      <c r="Z2906" t="s">
        <v>26113</v>
      </c>
      <c r="AA2906">
        <v>0.63348130361940069</v>
      </c>
      <c r="AB2906" t="str">
        <f>HYPERLINK("Melting_Curves/meltCurve_Q01518_2_CAP1.pdf", "Melting_Curves/meltCurve_Q01518_2_CAP1.pdf")</f>
        <v>Melting_Curves/meltCurve_Q01518_2_CAP1.pdf</v>
      </c>
    </row>
    <row r="2907" spans="1:28" x14ac:dyDescent="0.25">
      <c r="A2907" t="s">
        <v>2911</v>
      </c>
      <c r="B2907">
        <v>0.99334974765950101</v>
      </c>
      <c r="C2907">
        <v>1.01938106396784</v>
      </c>
      <c r="D2907">
        <v>1.02910751258608</v>
      </c>
      <c r="E2907">
        <v>0.91546749719281895</v>
      </c>
      <c r="F2907">
        <v>0.48215294261875202</v>
      </c>
      <c r="G2907">
        <v>0.195867174314409</v>
      </c>
      <c r="H2907">
        <v>0.103201375442355</v>
      </c>
      <c r="I2907">
        <v>7.4247874517079093E-2</v>
      </c>
      <c r="J2907">
        <v>7.7023013448977995E-2</v>
      </c>
      <c r="K2907">
        <v>6.0753244240962997E-2</v>
      </c>
      <c r="L2907">
        <v>1855.82051709389</v>
      </c>
      <c r="M2907">
        <v>35.164479730125997</v>
      </c>
      <c r="N2907">
        <v>53.055861017484801</v>
      </c>
      <c r="O2907">
        <v>52.605624552898597</v>
      </c>
      <c r="P2907">
        <v>-0.15294129715266799</v>
      </c>
      <c r="Q2907">
        <v>8.4810050566714507E-2</v>
      </c>
      <c r="R2907">
        <v>0.996389918398077</v>
      </c>
      <c r="S2907" t="s">
        <v>8768</v>
      </c>
      <c r="T2907" t="s">
        <v>11720</v>
      </c>
      <c r="U2907" t="s">
        <v>11720</v>
      </c>
      <c r="V2907" t="s">
        <v>11720</v>
      </c>
      <c r="W2907" t="s">
        <v>14580</v>
      </c>
      <c r="X2907">
        <v>20</v>
      </c>
      <c r="Y2907" t="s">
        <v>20316</v>
      </c>
      <c r="Z2907" t="s">
        <v>26114</v>
      </c>
      <c r="AA2907">
        <v>0.47885916576749482</v>
      </c>
      <c r="AB2907" t="str">
        <f>HYPERLINK("Melting_Curves/meltCurve_Q01581_HMGCS1.pdf", "Melting_Curves/meltCurve_Q01581_HMGCS1.pdf")</f>
        <v>Melting_Curves/meltCurve_Q01581_HMGCS1.pdf</v>
      </c>
    </row>
    <row r="2908" spans="1:28" x14ac:dyDescent="0.25">
      <c r="A2908" t="s">
        <v>2912</v>
      </c>
      <c r="B2908">
        <v>0.99334974765950101</v>
      </c>
      <c r="C2908">
        <v>0.93880352111234799</v>
      </c>
      <c r="D2908">
        <v>1.0114418249235599</v>
      </c>
      <c r="E2908">
        <v>1.24297880418977</v>
      </c>
      <c r="F2908">
        <v>1.6091638086994799</v>
      </c>
      <c r="G2908">
        <v>1.2559338906166599</v>
      </c>
      <c r="H2908">
        <v>1.0621311977796699</v>
      </c>
      <c r="I2908">
        <v>0.68587922787440603</v>
      </c>
      <c r="J2908">
        <v>0.78993424689746505</v>
      </c>
      <c r="K2908">
        <v>0.51864026360720095</v>
      </c>
      <c r="L2908">
        <v>15000</v>
      </c>
      <c r="M2908">
        <v>236.66814275416999</v>
      </c>
      <c r="O2908">
        <v>63.375358234020901</v>
      </c>
      <c r="P2908">
        <v>-0.322786962503193</v>
      </c>
      <c r="Q2908">
        <v>0.65425443540822004</v>
      </c>
      <c r="R2908">
        <v>0.38384457098842101</v>
      </c>
      <c r="S2908" t="s">
        <v>8769</v>
      </c>
      <c r="T2908" t="s">
        <v>11720</v>
      </c>
      <c r="U2908" t="s">
        <v>11720</v>
      </c>
      <c r="V2908" t="s">
        <v>11720</v>
      </c>
      <c r="W2908" t="s">
        <v>14581</v>
      </c>
      <c r="X2908">
        <v>3</v>
      </c>
      <c r="Y2908" t="s">
        <v>20317</v>
      </c>
      <c r="Z2908" t="s">
        <v>26115</v>
      </c>
      <c r="AA2908">
        <v>0.9237470828090435</v>
      </c>
      <c r="AB2908" t="str">
        <f>HYPERLINK("Melting_Curves/meltCurve_Q01650_SLC7A5.pdf", "Melting_Curves/meltCurve_Q01650_SLC7A5.pdf")</f>
        <v>Melting_Curves/meltCurve_Q01650_SLC7A5.pdf</v>
      </c>
    </row>
    <row r="2909" spans="1:28" x14ac:dyDescent="0.25">
      <c r="A2909" t="s">
        <v>2913</v>
      </c>
      <c r="B2909">
        <v>0.99334974765950101</v>
      </c>
      <c r="C2909">
        <v>1.0194574349451</v>
      </c>
      <c r="D2909">
        <v>0.92422925701091896</v>
      </c>
      <c r="E2909">
        <v>0.84389980499702</v>
      </c>
      <c r="F2909">
        <v>0.70792647734317105</v>
      </c>
      <c r="G2909">
        <v>0.56063394689315305</v>
      </c>
      <c r="H2909">
        <v>0.48879351345856797</v>
      </c>
      <c r="I2909">
        <v>0.57824252196622905</v>
      </c>
      <c r="J2909">
        <v>0.48972607924362799</v>
      </c>
      <c r="K2909">
        <v>0.42729901860272701</v>
      </c>
      <c r="L2909">
        <v>871.01604267595303</v>
      </c>
      <c r="M2909">
        <v>16.659351958297201</v>
      </c>
      <c r="N2909">
        <v>63.044791229197401</v>
      </c>
      <c r="O2909">
        <v>51.547950672910801</v>
      </c>
      <c r="P2909">
        <v>-4.2752510240480199E-2</v>
      </c>
      <c r="Q2909">
        <v>0.47088990745922699</v>
      </c>
      <c r="R2909">
        <v>0.97243947374287798</v>
      </c>
      <c r="S2909" t="s">
        <v>8770</v>
      </c>
      <c r="T2909" t="s">
        <v>11720</v>
      </c>
      <c r="U2909" t="s">
        <v>11720</v>
      </c>
      <c r="V2909" t="s">
        <v>11720</v>
      </c>
      <c r="W2909" t="s">
        <v>14582</v>
      </c>
      <c r="X2909">
        <v>7</v>
      </c>
      <c r="Y2909" t="s">
        <v>20318</v>
      </c>
      <c r="Z2909" t="s">
        <v>26116</v>
      </c>
      <c r="AA2909">
        <v>0.69749689160380413</v>
      </c>
      <c r="AB2909" t="str">
        <f>HYPERLINK("Melting_Curves/meltCurve_Q01658_DR1.pdf", "Melting_Curves/meltCurve_Q01658_DR1.pdf")</f>
        <v>Melting_Curves/meltCurve_Q01658_DR1.pdf</v>
      </c>
    </row>
    <row r="2910" spans="1:28" x14ac:dyDescent="0.25">
      <c r="A2910" t="s">
        <v>2914</v>
      </c>
      <c r="B2910">
        <v>0.99334974765950101</v>
      </c>
      <c r="C2910">
        <v>1.0038353742561501</v>
      </c>
      <c r="D2910">
        <v>1.03933687470064</v>
      </c>
      <c r="E2910">
        <v>1.0973281278448801</v>
      </c>
      <c r="F2910">
        <v>1.38695333570454</v>
      </c>
      <c r="G2910">
        <v>1.99724248621893</v>
      </c>
      <c r="H2910">
        <v>2.0787071688926102</v>
      </c>
      <c r="I2910">
        <v>2.1960532246292899</v>
      </c>
      <c r="J2910">
        <v>1.51429620273421</v>
      </c>
      <c r="K2910">
        <v>0.442241157814667</v>
      </c>
      <c r="L2910">
        <v>2932.3199836919698</v>
      </c>
      <c r="M2910">
        <v>56.984127916416298</v>
      </c>
      <c r="O2910">
        <v>51.395294493559703</v>
      </c>
      <c r="P2910">
        <v>0.138592872378521</v>
      </c>
      <c r="Q2910">
        <v>1.5</v>
      </c>
      <c r="R2910">
        <v>0.24958053592377399</v>
      </c>
      <c r="S2910" t="s">
        <v>8771</v>
      </c>
      <c r="T2910" t="s">
        <v>11720</v>
      </c>
      <c r="U2910" t="s">
        <v>11720</v>
      </c>
      <c r="V2910" t="s">
        <v>11720</v>
      </c>
      <c r="W2910" t="s">
        <v>14583</v>
      </c>
      <c r="X2910">
        <v>45</v>
      </c>
      <c r="Y2910" t="s">
        <v>20319</v>
      </c>
      <c r="Z2910" t="s">
        <v>26117</v>
      </c>
      <c r="AA2910">
        <v>1.3081517053062359</v>
      </c>
      <c r="AB2910" t="str">
        <f>HYPERLINK("Melting_Curves/meltCurve_Q01813_PFKP.pdf", "Melting_Curves/meltCurve_Q01813_PFKP.pdf")</f>
        <v>Melting_Curves/meltCurve_Q01813_PFKP.pdf</v>
      </c>
    </row>
    <row r="2911" spans="1:28" x14ac:dyDescent="0.25">
      <c r="A2911" t="s">
        <v>2915</v>
      </c>
      <c r="B2911">
        <v>0.99334974765950101</v>
      </c>
      <c r="C2911">
        <v>0.93244544523393902</v>
      </c>
      <c r="D2911">
        <v>0.73486899270073902</v>
      </c>
      <c r="E2911">
        <v>0.34919429274795799</v>
      </c>
      <c r="F2911">
        <v>0.222284949323799</v>
      </c>
      <c r="G2911">
        <v>0.18367029775910901</v>
      </c>
      <c r="H2911">
        <v>0.165371084700251</v>
      </c>
      <c r="I2911">
        <v>0.153980654890677</v>
      </c>
      <c r="J2911">
        <v>0.12936808449171799</v>
      </c>
      <c r="K2911">
        <v>0.10451830799160899</v>
      </c>
      <c r="L2911">
        <v>1068.81289337823</v>
      </c>
      <c r="M2911">
        <v>22.4507787643137</v>
      </c>
      <c r="N2911">
        <v>48.315159746002699</v>
      </c>
      <c r="O2911">
        <v>47.234063175354201</v>
      </c>
      <c r="P2911">
        <v>-0.10216811184996299</v>
      </c>
      <c r="Q2911">
        <v>0.140214214131823</v>
      </c>
      <c r="R2911">
        <v>0.997631405762468</v>
      </c>
      <c r="S2911" t="s">
        <v>8772</v>
      </c>
      <c r="T2911" t="s">
        <v>11720</v>
      </c>
      <c r="U2911" t="s">
        <v>11720</v>
      </c>
      <c r="V2911" t="s">
        <v>11720</v>
      </c>
      <c r="W2911" t="s">
        <v>14584</v>
      </c>
      <c r="X2911">
        <v>3</v>
      </c>
      <c r="Y2911" t="s">
        <v>20320</v>
      </c>
      <c r="Z2911" t="s">
        <v>26118</v>
      </c>
      <c r="AA2911">
        <v>0.36783139684696248</v>
      </c>
      <c r="AB2911" t="str">
        <f>HYPERLINK("Melting_Curves/meltCurve_Q01850_CDR2.pdf", "Melting_Curves/meltCurve_Q01850_CDR2.pdf")</f>
        <v>Melting_Curves/meltCurve_Q01850_CDR2.pdf</v>
      </c>
    </row>
    <row r="2912" spans="1:28" x14ac:dyDescent="0.25">
      <c r="A2912" t="s">
        <v>2916</v>
      </c>
      <c r="B2912">
        <v>0.99334974765950101</v>
      </c>
      <c r="C2912">
        <v>0.94159208437465103</v>
      </c>
      <c r="D2912">
        <v>0.87515456971808703</v>
      </c>
      <c r="E2912">
        <v>0.61040542492965499</v>
      </c>
      <c r="F2912">
        <v>0.21092975549017001</v>
      </c>
      <c r="G2912">
        <v>0.13043332089604201</v>
      </c>
      <c r="H2912">
        <v>0.103944232831873</v>
      </c>
      <c r="I2912">
        <v>9.8400516825087797E-2</v>
      </c>
      <c r="J2912">
        <v>9.7151264972299298E-2</v>
      </c>
      <c r="K2912">
        <v>8.3385911258216705E-2</v>
      </c>
      <c r="L2912">
        <v>1336.43495637041</v>
      </c>
      <c r="M2912">
        <v>26.650727035197999</v>
      </c>
      <c r="N2912">
        <v>50.514360901010001</v>
      </c>
      <c r="O2912">
        <v>49.866494507735702</v>
      </c>
      <c r="P2912">
        <v>-0.12182069267147599</v>
      </c>
      <c r="Q2912">
        <v>8.8248834096325807E-2</v>
      </c>
      <c r="R2912">
        <v>0.99269739350583697</v>
      </c>
      <c r="S2912" t="s">
        <v>8773</v>
      </c>
      <c r="T2912" t="s">
        <v>11720</v>
      </c>
      <c r="U2912" t="s">
        <v>11720</v>
      </c>
      <c r="V2912" t="s">
        <v>11720</v>
      </c>
      <c r="W2912" t="s">
        <v>14585</v>
      </c>
      <c r="X2912">
        <v>16</v>
      </c>
      <c r="Y2912" t="s">
        <v>20321</v>
      </c>
      <c r="Z2912" t="s">
        <v>26119</v>
      </c>
      <c r="AA2912">
        <v>0.40378925467960142</v>
      </c>
      <c r="AB2912" t="str">
        <f>HYPERLINK("Melting_Curves/meltCurve_Q01968_OCRL.pdf", "Melting_Curves/meltCurve_Q01968_OCRL.pdf")</f>
        <v>Melting_Curves/meltCurve_Q01968_OCRL.pdf</v>
      </c>
    </row>
    <row r="2913" spans="1:28" x14ac:dyDescent="0.25">
      <c r="A2913" t="s">
        <v>2917</v>
      </c>
      <c r="B2913">
        <v>0.99334974765950101</v>
      </c>
      <c r="C2913">
        <v>1.01926917916569</v>
      </c>
      <c r="D2913">
        <v>1.08960117178648</v>
      </c>
      <c r="E2913">
        <v>0.92671995601496204</v>
      </c>
      <c r="F2913">
        <v>0.332004079640003</v>
      </c>
      <c r="G2913">
        <v>0.188090140038673</v>
      </c>
      <c r="H2913">
        <v>0.133975296174523</v>
      </c>
      <c r="I2913">
        <v>0.13286066577230601</v>
      </c>
      <c r="J2913">
        <v>0.11601479314038</v>
      </c>
      <c r="K2913">
        <v>0.112510292737697</v>
      </c>
      <c r="L2913">
        <v>3140.7108200460798</v>
      </c>
      <c r="M2913">
        <v>60.466281677010699</v>
      </c>
      <c r="N2913">
        <v>52.214439211551401</v>
      </c>
      <c r="O2913">
        <v>51.8848014831051</v>
      </c>
      <c r="P2913">
        <v>-0.25187483711644099</v>
      </c>
      <c r="Q2913">
        <v>0.135487064869806</v>
      </c>
      <c r="R2913">
        <v>0.99319983351837904</v>
      </c>
      <c r="S2913" t="s">
        <v>8774</v>
      </c>
      <c r="T2913" t="s">
        <v>11720</v>
      </c>
      <c r="U2913" t="s">
        <v>11720</v>
      </c>
      <c r="V2913" t="s">
        <v>11720</v>
      </c>
      <c r="W2913" t="s">
        <v>14586</v>
      </c>
      <c r="X2913">
        <v>15</v>
      </c>
      <c r="Y2913" t="s">
        <v>20322</v>
      </c>
      <c r="Z2913" t="s">
        <v>26120</v>
      </c>
      <c r="AA2913">
        <v>0.48095909909484519</v>
      </c>
      <c r="AB2913" t="str">
        <f>HYPERLINK("Melting_Curves/meltCurve_Q01970_PLCB3.pdf", "Melting_Curves/meltCurve_Q01970_PLCB3.pdf")</f>
        <v>Melting_Curves/meltCurve_Q01970_PLCB3.pdf</v>
      </c>
    </row>
    <row r="2914" spans="1:28" x14ac:dyDescent="0.25">
      <c r="A2914" t="s">
        <v>2918</v>
      </c>
      <c r="B2914">
        <v>0.99334974765950101</v>
      </c>
      <c r="C2914">
        <v>1.01143160917945</v>
      </c>
      <c r="D2914">
        <v>0.986462887109118</v>
      </c>
      <c r="E2914">
        <v>0.85950740685807603</v>
      </c>
      <c r="F2914">
        <v>0.48054871870677102</v>
      </c>
      <c r="G2914">
        <v>0.26929933459100702</v>
      </c>
      <c r="H2914">
        <v>0.26202959365988499</v>
      </c>
      <c r="I2914">
        <v>0.146141201663431</v>
      </c>
      <c r="J2914">
        <v>0.14515260373348499</v>
      </c>
      <c r="K2914">
        <v>0.1002061907855</v>
      </c>
      <c r="L2914">
        <v>1437.7759276255899</v>
      </c>
      <c r="M2914">
        <v>27.413046184779201</v>
      </c>
      <c r="N2914">
        <v>53.187789263419397</v>
      </c>
      <c r="O2914">
        <v>52.171882178573497</v>
      </c>
      <c r="P2914">
        <v>-0.110552534503704</v>
      </c>
      <c r="Q2914">
        <v>0.15840373093694701</v>
      </c>
      <c r="R2914">
        <v>0.98914961935434398</v>
      </c>
      <c r="S2914" t="s">
        <v>8775</v>
      </c>
      <c r="T2914" t="s">
        <v>11720</v>
      </c>
      <c r="U2914" t="s">
        <v>11720</v>
      </c>
      <c r="V2914" t="s">
        <v>11720</v>
      </c>
      <c r="W2914" t="s">
        <v>14587</v>
      </c>
      <c r="X2914">
        <v>1</v>
      </c>
      <c r="Y2914" t="s">
        <v>20323</v>
      </c>
      <c r="Z2914" t="s">
        <v>26121</v>
      </c>
      <c r="AA2914">
        <v>0.51408765796478817</v>
      </c>
      <c r="AB2914" t="str">
        <f>HYPERLINK("Melting_Curves/meltCurve_Q01974_ROR2.pdf", "Melting_Curves/meltCurve_Q01974_ROR2.pdf")</f>
        <v>Melting_Curves/meltCurve_Q01974_ROR2.pdf</v>
      </c>
    </row>
    <row r="2915" spans="1:28" x14ac:dyDescent="0.25">
      <c r="A2915" t="s">
        <v>2919</v>
      </c>
      <c r="B2915">
        <v>0.99334974765950101</v>
      </c>
      <c r="C2915">
        <v>0.95201285273099601</v>
      </c>
      <c r="D2915">
        <v>0.84751347053010895</v>
      </c>
      <c r="E2915">
        <v>0.67688524980798903</v>
      </c>
      <c r="F2915">
        <v>0.23187712181102099</v>
      </c>
      <c r="G2915">
        <v>0.13121333289430201</v>
      </c>
      <c r="H2915">
        <v>8.3237545328549697E-2</v>
      </c>
      <c r="I2915">
        <v>7.2654928627873094E-2</v>
      </c>
      <c r="J2915">
        <v>7.1598987317581297E-2</v>
      </c>
      <c r="K2915">
        <v>6.10191327461099E-2</v>
      </c>
      <c r="L2915">
        <v>1261.8227099164501</v>
      </c>
      <c r="M2915">
        <v>24.916066975966999</v>
      </c>
      <c r="N2915">
        <v>50.9204400971852</v>
      </c>
      <c r="O2915">
        <v>50.320101369141803</v>
      </c>
      <c r="P2915">
        <v>-0.115930636074285</v>
      </c>
      <c r="Q2915">
        <v>6.3486095228471096E-2</v>
      </c>
      <c r="R2915">
        <v>0.98795250145534297</v>
      </c>
      <c r="S2915" t="s">
        <v>8776</v>
      </c>
      <c r="T2915" t="s">
        <v>11720</v>
      </c>
      <c r="U2915" t="s">
        <v>11720</v>
      </c>
      <c r="V2915" t="s">
        <v>11720</v>
      </c>
      <c r="W2915" t="s">
        <v>14588</v>
      </c>
      <c r="X2915">
        <v>30</v>
      </c>
      <c r="Y2915" t="s">
        <v>20324</v>
      </c>
      <c r="Z2915" t="s">
        <v>26122</v>
      </c>
      <c r="AA2915">
        <v>0.40421179942050828</v>
      </c>
      <c r="AB2915" t="str">
        <f>HYPERLINK("Melting_Curves/meltCurve_Q01995_TAGLN.pdf", "Melting_Curves/meltCurve_Q01995_TAGLN.pdf")</f>
        <v>Melting_Curves/meltCurve_Q01995_TAGLN.pdf</v>
      </c>
    </row>
    <row r="2916" spans="1:28" x14ac:dyDescent="0.25">
      <c r="A2916" t="s">
        <v>2920</v>
      </c>
      <c r="B2916">
        <v>0.99334974765950101</v>
      </c>
      <c r="C2916">
        <v>0.89205802444980697</v>
      </c>
      <c r="D2916">
        <v>0.86406744645572298</v>
      </c>
      <c r="E2916">
        <v>0.72071340760404801</v>
      </c>
      <c r="F2916">
        <v>0.55247661002288395</v>
      </c>
      <c r="G2916">
        <v>0.51710735955145903</v>
      </c>
      <c r="H2916">
        <v>0.42696345971212202</v>
      </c>
      <c r="I2916">
        <v>0.51858457969601401</v>
      </c>
      <c r="J2916">
        <v>0.50488353399349395</v>
      </c>
      <c r="K2916">
        <v>0.31118883933491598</v>
      </c>
      <c r="L2916">
        <v>611.50504670091198</v>
      </c>
      <c r="M2916">
        <v>12.2639359239624</v>
      </c>
      <c r="N2916">
        <v>57.583077838896898</v>
      </c>
      <c r="O2916">
        <v>48.591925091711801</v>
      </c>
      <c r="P2916">
        <v>-3.7649485977198603E-2</v>
      </c>
      <c r="Q2916">
        <v>0.40343622249079902</v>
      </c>
      <c r="R2916">
        <v>0.93397845775019595</v>
      </c>
      <c r="S2916" t="s">
        <v>8777</v>
      </c>
      <c r="T2916" t="s">
        <v>11720</v>
      </c>
      <c r="U2916" t="s">
        <v>11720</v>
      </c>
      <c r="V2916" t="s">
        <v>11720</v>
      </c>
      <c r="W2916" t="s">
        <v>14589</v>
      </c>
      <c r="X2916">
        <v>5</v>
      </c>
      <c r="Y2916" t="s">
        <v>20325</v>
      </c>
      <c r="Z2916" t="s">
        <v>26123</v>
      </c>
      <c r="AA2916">
        <v>0.61965951960514043</v>
      </c>
      <c r="AB2916" t="str">
        <f>HYPERLINK("Melting_Curves/meltCurve_Q02083_2_NAAA.pdf", "Melting_Curves/meltCurve_Q02083_2_NAAA.pdf")</f>
        <v>Melting_Curves/meltCurve_Q02083_2_NAAA.pdf</v>
      </c>
    </row>
    <row r="2917" spans="1:28" x14ac:dyDescent="0.25">
      <c r="A2917" t="s">
        <v>2921</v>
      </c>
      <c r="B2917">
        <v>0.99334974765950101</v>
      </c>
      <c r="C2917">
        <v>0.94147584001838702</v>
      </c>
      <c r="D2917">
        <v>0.90084972839629696</v>
      </c>
      <c r="E2917">
        <v>0.83590050934179005</v>
      </c>
      <c r="F2917">
        <v>0.9088303989873</v>
      </c>
      <c r="G2917">
        <v>0.67605562668338304</v>
      </c>
      <c r="H2917">
        <v>0.53041989306283799</v>
      </c>
      <c r="I2917">
        <v>0.39012516095890498</v>
      </c>
      <c r="J2917">
        <v>0.23423618931112999</v>
      </c>
      <c r="K2917">
        <v>0.15183296578625799</v>
      </c>
      <c r="L2917">
        <v>688.14272757631602</v>
      </c>
      <c r="M2917">
        <v>11.292857775137501</v>
      </c>
      <c r="N2917">
        <v>60.936101527001597</v>
      </c>
      <c r="O2917">
        <v>59.119070554547797</v>
      </c>
      <c r="P2917">
        <v>-4.77692759636799E-2</v>
      </c>
      <c r="Q2917">
        <v>0</v>
      </c>
      <c r="R2917">
        <v>0.97297446634860096</v>
      </c>
      <c r="S2917" t="s">
        <v>8778</v>
      </c>
      <c r="T2917" t="s">
        <v>11720</v>
      </c>
      <c r="U2917" t="s">
        <v>11720</v>
      </c>
      <c r="V2917" t="s">
        <v>11720</v>
      </c>
      <c r="W2917" t="s">
        <v>14590</v>
      </c>
      <c r="X2917">
        <v>15</v>
      </c>
      <c r="Y2917" t="s">
        <v>20326</v>
      </c>
      <c r="Z2917" t="s">
        <v>26124</v>
      </c>
      <c r="AA2917">
        <v>0.69190388281926041</v>
      </c>
      <c r="AB2917" t="str">
        <f>HYPERLINK("Melting_Curves/meltCurve_Q02127_DHODH.pdf", "Melting_Curves/meltCurve_Q02127_DHODH.pdf")</f>
        <v>Melting_Curves/meltCurve_Q02127_DHODH.pdf</v>
      </c>
    </row>
    <row r="2918" spans="1:28" x14ac:dyDescent="0.25">
      <c r="A2918" t="s">
        <v>2922</v>
      </c>
      <c r="B2918">
        <v>0.99334974765950101</v>
      </c>
      <c r="C2918">
        <v>0.95170279688531301</v>
      </c>
      <c r="D2918">
        <v>0.85583434308260398</v>
      </c>
      <c r="E2918">
        <v>0.54824524567500399</v>
      </c>
      <c r="F2918">
        <v>0.18369055742138399</v>
      </c>
      <c r="G2918">
        <v>0.133611640015804</v>
      </c>
      <c r="H2918">
        <v>9.24614938735039E-2</v>
      </c>
      <c r="I2918">
        <v>7.7036600246473394E-2</v>
      </c>
      <c r="J2918">
        <v>5.9237988583968199E-2</v>
      </c>
      <c r="K2918">
        <v>5.0098220993627401E-2</v>
      </c>
      <c r="L2918">
        <v>1169.19146559213</v>
      </c>
      <c r="M2918">
        <v>23.502649696503799</v>
      </c>
      <c r="N2918">
        <v>50.036837242533203</v>
      </c>
      <c r="O2918">
        <v>49.391265251009798</v>
      </c>
      <c r="P2918">
        <v>-0.11139823899934501</v>
      </c>
      <c r="Q2918">
        <v>6.3594027422601507E-2</v>
      </c>
      <c r="R2918">
        <v>0.99446868556353496</v>
      </c>
      <c r="S2918" t="s">
        <v>8779</v>
      </c>
      <c r="T2918" t="s">
        <v>11720</v>
      </c>
      <c r="U2918" t="s">
        <v>11720</v>
      </c>
      <c r="V2918" t="s">
        <v>11720</v>
      </c>
      <c r="W2918" t="s">
        <v>14591</v>
      </c>
      <c r="X2918">
        <v>8</v>
      </c>
      <c r="Y2918" t="s">
        <v>20327</v>
      </c>
      <c r="Z2918" t="s">
        <v>26125</v>
      </c>
      <c r="AA2918">
        <v>0.37729630187168101</v>
      </c>
      <c r="AB2918" t="str">
        <f>HYPERLINK("Melting_Curves/meltCurve_Q02156_PRKCE.pdf", "Melting_Curves/meltCurve_Q02156_PRKCE.pdf")</f>
        <v>Melting_Curves/meltCurve_Q02156_PRKCE.pdf</v>
      </c>
    </row>
    <row r="2919" spans="1:28" x14ac:dyDescent="0.25">
      <c r="A2919" t="s">
        <v>2923</v>
      </c>
      <c r="B2919">
        <v>0.99334974765950101</v>
      </c>
      <c r="C2919">
        <v>1.0454714829104199</v>
      </c>
      <c r="D2919">
        <v>1.15039099005224</v>
      </c>
      <c r="E2919">
        <v>1.02070890058699</v>
      </c>
      <c r="F2919">
        <v>0.34314959654404797</v>
      </c>
      <c r="G2919">
        <v>0.18118508792917801</v>
      </c>
      <c r="H2919">
        <v>0.13474646386038</v>
      </c>
      <c r="I2919">
        <v>0.123341487574037</v>
      </c>
      <c r="J2919">
        <v>0.104328267516866</v>
      </c>
      <c r="K2919">
        <v>8.14201823926618E-2</v>
      </c>
      <c r="L2919">
        <v>13191.578409596599</v>
      </c>
      <c r="M2919">
        <v>250</v>
      </c>
      <c r="N2919">
        <v>52.827105787177103</v>
      </c>
      <c r="O2919">
        <v>52.762936934424197</v>
      </c>
      <c r="P2919">
        <v>-1.03647059021863</v>
      </c>
      <c r="Q2919">
        <v>0.125004282684296</v>
      </c>
      <c r="R2919">
        <v>0.98435820243865801</v>
      </c>
      <c r="S2919" t="s">
        <v>8780</v>
      </c>
      <c r="T2919" t="s">
        <v>11720</v>
      </c>
      <c r="U2919" t="s">
        <v>11720</v>
      </c>
      <c r="V2919" t="s">
        <v>11720</v>
      </c>
      <c r="W2919" t="s">
        <v>14592</v>
      </c>
      <c r="X2919">
        <v>19</v>
      </c>
      <c r="Y2919" t="s">
        <v>20328</v>
      </c>
      <c r="Z2919" t="s">
        <v>26126</v>
      </c>
      <c r="AA2919">
        <v>0.49743430282274947</v>
      </c>
      <c r="AB2919" t="str">
        <f>HYPERLINK("Melting_Curves/meltCurve_Q02252_ALDH6A1.pdf", "Melting_Curves/meltCurve_Q02252_ALDH6A1.pdf")</f>
        <v>Melting_Curves/meltCurve_Q02252_ALDH6A1.pdf</v>
      </c>
    </row>
    <row r="2920" spans="1:28" x14ac:dyDescent="0.25">
      <c r="A2920" t="s">
        <v>2924</v>
      </c>
      <c r="B2920">
        <v>0.99334974765950101</v>
      </c>
      <c r="C2920">
        <v>0.96038325244677702</v>
      </c>
      <c r="D2920">
        <v>0.88270635332324199</v>
      </c>
      <c r="E2920">
        <v>0.79475169192972095</v>
      </c>
      <c r="F2920">
        <v>0.559692402890274</v>
      </c>
      <c r="G2920">
        <v>0.36988133083279801</v>
      </c>
      <c r="H2920">
        <v>0.24128633660822499</v>
      </c>
      <c r="I2920">
        <v>0.195385957218081</v>
      </c>
      <c r="J2920">
        <v>9.6400748882014803E-2</v>
      </c>
      <c r="K2920">
        <v>0.15304245185361601</v>
      </c>
      <c r="L2920">
        <v>726.77724438717098</v>
      </c>
      <c r="M2920">
        <v>13.5419190523636</v>
      </c>
      <c r="N2920">
        <v>54.429586518579498</v>
      </c>
      <c r="O2920">
        <v>52.538921921578499</v>
      </c>
      <c r="P2920">
        <v>-5.8889758640849298E-2</v>
      </c>
      <c r="Q2920">
        <v>8.6233408607537698E-2</v>
      </c>
      <c r="R2920">
        <v>0.99411270733433299</v>
      </c>
      <c r="S2920" t="s">
        <v>8781</v>
      </c>
      <c r="T2920" t="s">
        <v>11720</v>
      </c>
      <c r="U2920" t="s">
        <v>11720</v>
      </c>
      <c r="V2920" t="s">
        <v>11720</v>
      </c>
      <c r="W2920" t="s">
        <v>14593</v>
      </c>
      <c r="X2920">
        <v>5</v>
      </c>
      <c r="Y2920" t="s">
        <v>20329</v>
      </c>
      <c r="Z2920" t="s">
        <v>26127</v>
      </c>
      <c r="AA2920">
        <v>0.52418055030789801</v>
      </c>
      <c r="AB2920" t="str">
        <f>HYPERLINK("Melting_Curves/meltCurve_Q02318_CYP27A1.pdf", "Melting_Curves/meltCurve_Q02318_CYP27A1.pdf")</f>
        <v>Melting_Curves/meltCurve_Q02318_CYP27A1.pdf</v>
      </c>
    </row>
    <row r="2921" spans="1:28" x14ac:dyDescent="0.25">
      <c r="A2921" t="s">
        <v>2925</v>
      </c>
      <c r="B2921">
        <v>0.99334974765950101</v>
      </c>
      <c r="C2921">
        <v>1.0462924120644199</v>
      </c>
      <c r="D2921">
        <v>0.88382911144700305</v>
      </c>
      <c r="E2921">
        <v>0.447947490191065</v>
      </c>
      <c r="F2921">
        <v>0.237669880290314</v>
      </c>
      <c r="G2921">
        <v>0.131529057432479</v>
      </c>
      <c r="H2921">
        <v>0.12316147714003101</v>
      </c>
      <c r="I2921">
        <v>0.11726251748804099</v>
      </c>
      <c r="J2921">
        <v>7.22581294206429E-2</v>
      </c>
      <c r="K2921">
        <v>8.6858393403756506E-2</v>
      </c>
      <c r="L2921">
        <v>1335.3632674283599</v>
      </c>
      <c r="M2921">
        <v>27.108957161040699</v>
      </c>
      <c r="N2921">
        <v>49.678186401092603</v>
      </c>
      <c r="O2921">
        <v>48.993416928870403</v>
      </c>
      <c r="P2921">
        <v>-0.12419256478139</v>
      </c>
      <c r="Q2921">
        <v>0.102207041036856</v>
      </c>
      <c r="R2921">
        <v>0.99579147878778096</v>
      </c>
      <c r="S2921" t="s">
        <v>8782</v>
      </c>
      <c r="T2921" t="s">
        <v>11720</v>
      </c>
      <c r="U2921" t="s">
        <v>11720</v>
      </c>
      <c r="V2921" t="s">
        <v>11720</v>
      </c>
      <c r="W2921" t="s">
        <v>14594</v>
      </c>
      <c r="X2921">
        <v>2</v>
      </c>
      <c r="Y2921" t="s">
        <v>20330</v>
      </c>
      <c r="Z2921" t="s">
        <v>26128</v>
      </c>
      <c r="AA2921">
        <v>0.38605197708898908</v>
      </c>
      <c r="AB2921" t="str">
        <f>HYPERLINK("Melting_Curves/meltCurve_Q02338_BDH1.pdf", "Melting_Curves/meltCurve_Q02338_BDH1.pdf")</f>
        <v>Melting_Curves/meltCurve_Q02338_BDH1.pdf</v>
      </c>
    </row>
    <row r="2922" spans="1:28" x14ac:dyDescent="0.25">
      <c r="A2922" t="s">
        <v>2926</v>
      </c>
      <c r="B2922">
        <v>0.99334974765950101</v>
      </c>
      <c r="C2922">
        <v>0.98926487224715098</v>
      </c>
      <c r="D2922">
        <v>1.00239818013491</v>
      </c>
      <c r="E2922">
        <v>1.09205132558274</v>
      </c>
      <c r="F2922">
        <v>1.34377589857076</v>
      </c>
      <c r="G2922">
        <v>1.13188980990484</v>
      </c>
      <c r="H2922">
        <v>0.889415560285855</v>
      </c>
      <c r="I2922">
        <v>0.59143646273874195</v>
      </c>
      <c r="J2922">
        <v>0.22329475763321299</v>
      </c>
      <c r="K2922">
        <v>0.181558870044498</v>
      </c>
      <c r="L2922">
        <v>2984.13546386794</v>
      </c>
      <c r="M2922">
        <v>46.633441307612898</v>
      </c>
      <c r="N2922">
        <v>64.493827379113497</v>
      </c>
      <c r="O2922">
        <v>63.873973977660803</v>
      </c>
      <c r="P2922">
        <v>-0.15471863866005101</v>
      </c>
      <c r="Q2922">
        <v>0.15232645246670001</v>
      </c>
      <c r="R2922">
        <v>0.89132450013817899</v>
      </c>
      <c r="S2922" t="s">
        <v>8783</v>
      </c>
      <c r="T2922" t="s">
        <v>11720</v>
      </c>
      <c r="U2922" t="s">
        <v>11720</v>
      </c>
      <c r="V2922" t="s">
        <v>11720</v>
      </c>
      <c r="W2922" t="s">
        <v>14595</v>
      </c>
      <c r="X2922">
        <v>15</v>
      </c>
      <c r="Y2922" t="s">
        <v>20331</v>
      </c>
      <c r="Z2922" t="s">
        <v>26129</v>
      </c>
      <c r="AA2922">
        <v>0.83209070312587119</v>
      </c>
      <c r="AB2922" t="str">
        <f>HYPERLINK("Melting_Curves/meltCurve_Q02388_2_COL7A1.pdf", "Melting_Curves/meltCurve_Q02388_2_COL7A1.pdf")</f>
        <v>Melting_Curves/meltCurve_Q02388_2_COL7A1.pdf</v>
      </c>
    </row>
    <row r="2923" spans="1:28" x14ac:dyDescent="0.25">
      <c r="A2923" t="s">
        <v>2927</v>
      </c>
      <c r="B2923">
        <v>0.99334974765950101</v>
      </c>
      <c r="C2923">
        <v>0.90342071839203397</v>
      </c>
      <c r="D2923">
        <v>0.94740914000352905</v>
      </c>
      <c r="E2923">
        <v>0.60862036295855104</v>
      </c>
      <c r="F2923">
        <v>0.316173631545624</v>
      </c>
      <c r="G2923">
        <v>0.18879439175738799</v>
      </c>
      <c r="H2923">
        <v>0.108123715407513</v>
      </c>
      <c r="I2923">
        <v>8.8537752384305904E-2</v>
      </c>
      <c r="J2923">
        <v>0.10508298015633</v>
      </c>
      <c r="K2923">
        <v>9.8516029352558196E-2</v>
      </c>
      <c r="L2923">
        <v>1156.48297476637</v>
      </c>
      <c r="M2923">
        <v>22.8632004558361</v>
      </c>
      <c r="N2923">
        <v>51.062365299740399</v>
      </c>
      <c r="O2923">
        <v>50.200521227536797</v>
      </c>
      <c r="P2923">
        <v>-0.10285891267078499</v>
      </c>
      <c r="Q2923">
        <v>9.6631802501214004E-2</v>
      </c>
      <c r="R2923">
        <v>0.99328579331992495</v>
      </c>
      <c r="S2923" t="s">
        <v>8784</v>
      </c>
      <c r="T2923" t="s">
        <v>11720</v>
      </c>
      <c r="U2923" t="s">
        <v>11720</v>
      </c>
      <c r="V2923" t="s">
        <v>11720</v>
      </c>
      <c r="W2923" t="s">
        <v>14596</v>
      </c>
      <c r="X2923">
        <v>5</v>
      </c>
      <c r="Y2923" t="s">
        <v>20332</v>
      </c>
      <c r="Z2923" t="s">
        <v>26130</v>
      </c>
      <c r="AA2923">
        <v>0.42499222448339941</v>
      </c>
      <c r="AB2923" t="str">
        <f>HYPERLINK("Melting_Curves/meltCurve_Q02410_APBA1.pdf", "Melting_Curves/meltCurve_Q02410_APBA1.pdf")</f>
        <v>Melting_Curves/meltCurve_Q02410_APBA1.pdf</v>
      </c>
    </row>
    <row r="2924" spans="1:28" x14ac:dyDescent="0.25">
      <c r="A2924" t="s">
        <v>2928</v>
      </c>
      <c r="B2924">
        <v>0.99334974765950101</v>
      </c>
      <c r="C2924">
        <v>1.22123326158713</v>
      </c>
      <c r="D2924">
        <v>0.93970898830612304</v>
      </c>
      <c r="E2924">
        <v>0.96050289880153294</v>
      </c>
      <c r="F2924">
        <v>0.90203610897152797</v>
      </c>
      <c r="G2924">
        <v>0.61234003653220104</v>
      </c>
      <c r="H2924">
        <v>0.45961197449673402</v>
      </c>
      <c r="I2924">
        <v>0.48588678414818598</v>
      </c>
      <c r="J2924">
        <v>0.25934845637639298</v>
      </c>
      <c r="K2924">
        <v>0.114577083552986</v>
      </c>
      <c r="L2924">
        <v>730.00690923811999</v>
      </c>
      <c r="M2924">
        <v>11.969535825843</v>
      </c>
      <c r="N2924">
        <v>60.988740120459902</v>
      </c>
      <c r="O2924">
        <v>59.3611897941744</v>
      </c>
      <c r="P2924">
        <v>-5.0422043017257299E-2</v>
      </c>
      <c r="Q2924">
        <v>0</v>
      </c>
      <c r="R2924">
        <v>0.92829134746694397</v>
      </c>
      <c r="S2924" t="s">
        <v>8785</v>
      </c>
      <c r="T2924" t="s">
        <v>11720</v>
      </c>
      <c r="U2924" t="s">
        <v>11720</v>
      </c>
      <c r="V2924" t="s">
        <v>11720</v>
      </c>
      <c r="W2924" t="s">
        <v>14597</v>
      </c>
      <c r="X2924">
        <v>6</v>
      </c>
      <c r="Y2924" t="s">
        <v>20333</v>
      </c>
      <c r="Z2924" t="s">
        <v>26131</v>
      </c>
      <c r="AA2924">
        <v>0.69558834012081638</v>
      </c>
      <c r="AB2924" t="str">
        <f>HYPERLINK("Melting_Curves/meltCurve_Q02543_RPL18A.pdf", "Melting_Curves/meltCurve_Q02543_RPL18A.pdf")</f>
        <v>Melting_Curves/meltCurve_Q02543_RPL18A.pdf</v>
      </c>
    </row>
    <row r="2925" spans="1:28" x14ac:dyDescent="0.25">
      <c r="A2925" t="s">
        <v>2929</v>
      </c>
      <c r="B2925">
        <v>0.99334974765950101</v>
      </c>
      <c r="C2925">
        <v>1.22485744772255</v>
      </c>
      <c r="D2925">
        <v>1.2735540392235101</v>
      </c>
      <c r="E2925">
        <v>1.3129389949976</v>
      </c>
      <c r="F2925">
        <v>1.6218423973353799</v>
      </c>
      <c r="G2925">
        <v>0.76849200279557495</v>
      </c>
      <c r="H2925">
        <v>0.65183288256463101</v>
      </c>
      <c r="I2925">
        <v>0.63270148480764699</v>
      </c>
      <c r="J2925">
        <v>0.497151072425496</v>
      </c>
      <c r="K2925">
        <v>0</v>
      </c>
      <c r="L2925">
        <v>1331.4925225872801</v>
      </c>
      <c r="M2925">
        <v>20.534782672768401</v>
      </c>
      <c r="N2925">
        <v>64.840841871999402</v>
      </c>
      <c r="O2925">
        <v>64.235291623258902</v>
      </c>
      <c r="P2925">
        <v>-7.9922490407356994E-2</v>
      </c>
      <c r="Q2925">
        <v>0</v>
      </c>
      <c r="R2925">
        <v>0.64499338624119495</v>
      </c>
      <c r="S2925" t="s">
        <v>8786</v>
      </c>
      <c r="T2925" t="s">
        <v>11720</v>
      </c>
      <c r="U2925" t="s">
        <v>11720</v>
      </c>
      <c r="V2925" t="s">
        <v>11720</v>
      </c>
      <c r="W2925" t="s">
        <v>14598</v>
      </c>
      <c r="X2925">
        <v>1</v>
      </c>
      <c r="Y2925" t="s">
        <v>20334</v>
      </c>
      <c r="Z2925" t="s">
        <v>26132</v>
      </c>
      <c r="AA2925">
        <v>0.81781999196550725</v>
      </c>
      <c r="AB2925" t="str">
        <f>HYPERLINK("Melting_Curves/meltCurve_Q02742_GCNT1.pdf", "Melting_Curves/meltCurve_Q02742_GCNT1.pdf")</f>
        <v>Melting_Curves/meltCurve_Q02742_GCNT1.pdf</v>
      </c>
    </row>
    <row r="2926" spans="1:28" x14ac:dyDescent="0.25">
      <c r="A2926" t="s">
        <v>2930</v>
      </c>
      <c r="B2926">
        <v>0.99334974765950101</v>
      </c>
      <c r="C2926">
        <v>0.96518756264857697</v>
      </c>
      <c r="D2926">
        <v>0.87210144858301697</v>
      </c>
      <c r="E2926">
        <v>0.72953485072273605</v>
      </c>
      <c r="F2926">
        <v>0.39175560471097798</v>
      </c>
      <c r="G2926">
        <v>0.13449134064313001</v>
      </c>
      <c r="H2926">
        <v>9.7968476360332304E-2</v>
      </c>
      <c r="I2926">
        <v>9.6909467302345301E-2</v>
      </c>
      <c r="J2926">
        <v>8.6906830863798801E-2</v>
      </c>
      <c r="K2926">
        <v>7.7865177045191997E-2</v>
      </c>
      <c r="L2926">
        <v>1163.43784652103</v>
      </c>
      <c r="M2926">
        <v>22.5709986279875</v>
      </c>
      <c r="N2926">
        <v>51.903373325079201</v>
      </c>
      <c r="O2926">
        <v>51.1462041970249</v>
      </c>
      <c r="P2926">
        <v>-0.102382090093002</v>
      </c>
      <c r="Q2926">
        <v>7.2021740244995802E-2</v>
      </c>
      <c r="R2926">
        <v>0.99407654798887202</v>
      </c>
      <c r="S2926" t="s">
        <v>8787</v>
      </c>
      <c r="T2926" t="s">
        <v>11720</v>
      </c>
      <c r="U2926" t="s">
        <v>11720</v>
      </c>
      <c r="V2926" t="s">
        <v>11720</v>
      </c>
      <c r="W2926" t="s">
        <v>14599</v>
      </c>
      <c r="X2926">
        <v>21</v>
      </c>
      <c r="Y2926" t="s">
        <v>20335</v>
      </c>
      <c r="Z2926" t="s">
        <v>26133</v>
      </c>
      <c r="AA2926">
        <v>0.43942471355552892</v>
      </c>
      <c r="AB2926" t="str">
        <f>HYPERLINK("Melting_Curves/meltCurve_Q02750_MAP2K1.pdf", "Melting_Curves/meltCurve_Q02750_MAP2K1.pdf")</f>
        <v>Melting_Curves/meltCurve_Q02750_MAP2K1.pdf</v>
      </c>
    </row>
    <row r="2927" spans="1:28" x14ac:dyDescent="0.25">
      <c r="A2927" t="s">
        <v>2931</v>
      </c>
      <c r="B2927">
        <v>0.99334974765950101</v>
      </c>
      <c r="C2927">
        <v>1.0083574410154299</v>
      </c>
      <c r="D2927">
        <v>0.95720222447894399</v>
      </c>
      <c r="E2927">
        <v>0.70695123118185499</v>
      </c>
      <c r="F2927">
        <v>0.22175090818562199</v>
      </c>
      <c r="G2927">
        <v>0.14929697006272299</v>
      </c>
      <c r="H2927">
        <v>0.10451603866644001</v>
      </c>
      <c r="I2927">
        <v>8.5847066412966105E-2</v>
      </c>
      <c r="J2927">
        <v>8.4243682237670203E-2</v>
      </c>
      <c r="K2927">
        <v>6.9944267333185706E-2</v>
      </c>
      <c r="L2927">
        <v>2124.2827145036099</v>
      </c>
      <c r="M2927">
        <v>41.783483014922098</v>
      </c>
      <c r="N2927">
        <v>51.0972071588684</v>
      </c>
      <c r="O2927">
        <v>50.7242353651176</v>
      </c>
      <c r="P2927">
        <v>-0.186420783214513</v>
      </c>
      <c r="Q2927">
        <v>9.4758984786499703E-2</v>
      </c>
      <c r="R2927">
        <v>0.99736131586384003</v>
      </c>
      <c r="S2927" t="s">
        <v>8788</v>
      </c>
      <c r="T2927" t="s">
        <v>11720</v>
      </c>
      <c r="U2927" t="s">
        <v>11720</v>
      </c>
      <c r="V2927" t="s">
        <v>11720</v>
      </c>
      <c r="W2927" t="s">
        <v>14600</v>
      </c>
      <c r="X2927">
        <v>24</v>
      </c>
      <c r="Y2927" t="s">
        <v>20336</v>
      </c>
      <c r="Z2927" t="s">
        <v>26134</v>
      </c>
      <c r="AA2927">
        <v>0.42477384898061321</v>
      </c>
      <c r="AB2927" t="str">
        <f>HYPERLINK("Melting_Curves/meltCurve_Q02790_FKBP4.pdf", "Melting_Curves/meltCurve_Q02790_FKBP4.pdf")</f>
        <v>Melting_Curves/meltCurve_Q02790_FKBP4.pdf</v>
      </c>
    </row>
    <row r="2928" spans="1:28" x14ac:dyDescent="0.25">
      <c r="A2928" t="s">
        <v>2932</v>
      </c>
      <c r="B2928">
        <v>0.99334974765950101</v>
      </c>
      <c r="C2928">
        <v>1.0433243654103499</v>
      </c>
      <c r="D2928">
        <v>1.24408166314608</v>
      </c>
      <c r="E2928">
        <v>1.2801225187399601</v>
      </c>
      <c r="F2928">
        <v>0.62044618670193497</v>
      </c>
      <c r="G2928">
        <v>0.356068956470803</v>
      </c>
      <c r="H2928">
        <v>0.24919004077242099</v>
      </c>
      <c r="I2928">
        <v>0.220088202764219</v>
      </c>
      <c r="J2928">
        <v>0.157904288375153</v>
      </c>
      <c r="K2928">
        <v>0.128691206780194</v>
      </c>
      <c r="L2928">
        <v>13252.5229248591</v>
      </c>
      <c r="M2928">
        <v>250</v>
      </c>
      <c r="N2928">
        <v>53.135149569815702</v>
      </c>
      <c r="O2928">
        <v>53.006698974715398</v>
      </c>
      <c r="P2928">
        <v>-0.91687878033513504</v>
      </c>
      <c r="Q2928">
        <v>0.222388514507285</v>
      </c>
      <c r="R2928">
        <v>0.91272265709278499</v>
      </c>
      <c r="S2928" t="s">
        <v>8789</v>
      </c>
      <c r="T2928" t="s">
        <v>11720</v>
      </c>
      <c r="U2928" t="s">
        <v>11720</v>
      </c>
      <c r="V2928" t="s">
        <v>11720</v>
      </c>
      <c r="W2928" t="s">
        <v>14601</v>
      </c>
      <c r="X2928">
        <v>21</v>
      </c>
      <c r="Y2928" t="s">
        <v>20337</v>
      </c>
      <c r="Z2928" t="s">
        <v>26135</v>
      </c>
      <c r="AA2928">
        <v>0.55968741493012741</v>
      </c>
      <c r="AB2928" t="str">
        <f>HYPERLINK("Melting_Curves/meltCurve_Q02809_PLOD1.pdf", "Melting_Curves/meltCurve_Q02809_PLOD1.pdf")</f>
        <v>Melting_Curves/meltCurve_Q02809_PLOD1.pdf</v>
      </c>
    </row>
    <row r="2929" spans="1:28" x14ac:dyDescent="0.25">
      <c r="A2929" t="s">
        <v>2933</v>
      </c>
      <c r="B2929">
        <v>0.99334974765950101</v>
      </c>
      <c r="C2929">
        <v>0.991148975715057</v>
      </c>
      <c r="D2929">
        <v>0.89968502561064101</v>
      </c>
      <c r="E2929">
        <v>0.84072995938452999</v>
      </c>
      <c r="F2929">
        <v>0.86783850993550304</v>
      </c>
      <c r="G2929">
        <v>0.69284635181084997</v>
      </c>
      <c r="H2929">
        <v>0.668852797158069</v>
      </c>
      <c r="I2929">
        <v>0.85598999790776498</v>
      </c>
      <c r="J2929">
        <v>0.79697325969501298</v>
      </c>
      <c r="K2929">
        <v>0.72631249153912403</v>
      </c>
      <c r="L2929">
        <v>791.493959527426</v>
      </c>
      <c r="M2929">
        <v>16.3652589472754</v>
      </c>
      <c r="O2929">
        <v>47.659424356573901</v>
      </c>
      <c r="P2929">
        <v>-2.1297898979196601E-2</v>
      </c>
      <c r="Q2929">
        <v>0.75192014812433705</v>
      </c>
      <c r="R2929">
        <v>0.72008179701373098</v>
      </c>
      <c r="S2929" t="s">
        <v>8790</v>
      </c>
      <c r="T2929" t="s">
        <v>11720</v>
      </c>
      <c r="U2929" t="s">
        <v>11720</v>
      </c>
      <c r="V2929" t="s">
        <v>11720</v>
      </c>
      <c r="W2929" t="s">
        <v>14602</v>
      </c>
      <c r="X2929">
        <v>56</v>
      </c>
      <c r="Y2929" t="s">
        <v>20338</v>
      </c>
      <c r="Z2929" t="s">
        <v>26136</v>
      </c>
      <c r="AA2929">
        <v>0.82637404582056484</v>
      </c>
      <c r="AB2929" t="str">
        <f>HYPERLINK("Melting_Curves/meltCurve_Q02818_NUCB1.pdf", "Melting_Curves/meltCurve_Q02818_NUCB1.pdf")</f>
        <v>Melting_Curves/meltCurve_Q02818_NUCB1.pdf</v>
      </c>
    </row>
    <row r="2930" spans="1:28" x14ac:dyDescent="0.25">
      <c r="A2930" t="s">
        <v>2934</v>
      </c>
      <c r="B2930">
        <v>0.99334974765950101</v>
      </c>
      <c r="C2930">
        <v>1.2152686282705301</v>
      </c>
      <c r="D2930">
        <v>1.04998795083948</v>
      </c>
      <c r="E2930">
        <v>1.0644677580965001</v>
      </c>
      <c r="F2930">
        <v>0.96848856185394305</v>
      </c>
      <c r="G2930">
        <v>0.79285036085923499</v>
      </c>
      <c r="H2930">
        <v>0.66776940318868505</v>
      </c>
      <c r="I2930">
        <v>0.74339190617662698</v>
      </c>
      <c r="J2930">
        <v>0.60395677253986801</v>
      </c>
      <c r="K2930">
        <v>0.62431886489750799</v>
      </c>
      <c r="L2930">
        <v>2055.1155057725</v>
      </c>
      <c r="M2930">
        <v>36.390255036899497</v>
      </c>
      <c r="O2930">
        <v>56.304608961578602</v>
      </c>
      <c r="P2930">
        <v>-5.62031941626982E-2</v>
      </c>
      <c r="Q2930">
        <v>0.65216082146559196</v>
      </c>
      <c r="R2930">
        <v>0.84269440975860899</v>
      </c>
      <c r="S2930" t="s">
        <v>8791</v>
      </c>
      <c r="T2930" t="s">
        <v>11720</v>
      </c>
      <c r="U2930" t="s">
        <v>11720</v>
      </c>
      <c r="V2930" t="s">
        <v>11720</v>
      </c>
      <c r="W2930" t="s">
        <v>14603</v>
      </c>
      <c r="X2930">
        <v>3</v>
      </c>
      <c r="Y2930" t="s">
        <v>20339</v>
      </c>
      <c r="Z2930" t="s">
        <v>26137</v>
      </c>
      <c r="AA2930">
        <v>0.84479265978714213</v>
      </c>
      <c r="AB2930" t="str">
        <f>HYPERLINK("Melting_Curves/meltCurve_Q02878_RPL6.pdf", "Melting_Curves/meltCurve_Q02878_RPL6.pdf")</f>
        <v>Melting_Curves/meltCurve_Q02878_RPL6.pdf</v>
      </c>
    </row>
    <row r="2931" spans="1:28" x14ac:dyDescent="0.25">
      <c r="A2931" t="s">
        <v>2935</v>
      </c>
      <c r="B2931">
        <v>0.99334974765950101</v>
      </c>
      <c r="C2931">
        <v>0.99785277065580102</v>
      </c>
      <c r="D2931">
        <v>0.90082312994417602</v>
      </c>
      <c r="E2931">
        <v>0.83086376126293604</v>
      </c>
      <c r="F2931">
        <v>0.87299917355599399</v>
      </c>
      <c r="G2931">
        <v>0.67802462404684105</v>
      </c>
      <c r="H2931">
        <v>0.69337203690120497</v>
      </c>
      <c r="I2931">
        <v>0.94829499409358498</v>
      </c>
      <c r="J2931">
        <v>0.98146363919171398</v>
      </c>
      <c r="K2931">
        <v>0.87792702555970203</v>
      </c>
      <c r="L2931">
        <v>4276.2490320323795</v>
      </c>
      <c r="M2931">
        <v>93.458503182050706</v>
      </c>
      <c r="O2931">
        <v>45.7346408077332</v>
      </c>
      <c r="P2931">
        <v>-8.1527718993731499E-2</v>
      </c>
      <c r="Q2931">
        <v>0.84041509169736905</v>
      </c>
      <c r="R2931">
        <v>0.31645828122702502</v>
      </c>
      <c r="S2931" t="s">
        <v>8792</v>
      </c>
      <c r="T2931" t="s">
        <v>11720</v>
      </c>
      <c r="U2931" t="s">
        <v>11720</v>
      </c>
      <c r="V2931" t="s">
        <v>11720</v>
      </c>
      <c r="W2931" t="s">
        <v>14604</v>
      </c>
      <c r="X2931">
        <v>95</v>
      </c>
      <c r="Y2931" t="s">
        <v>20340</v>
      </c>
      <c r="Z2931" t="s">
        <v>26138</v>
      </c>
      <c r="AA2931">
        <v>0.87112376392796298</v>
      </c>
      <c r="AB2931" t="str">
        <f>HYPERLINK("Melting_Curves/meltCurve_Q02952_3_AKAP12.pdf", "Melting_Curves/meltCurve_Q02952_3_AKAP12.pdf")</f>
        <v>Melting_Curves/meltCurve_Q02952_3_AKAP12.pdf</v>
      </c>
    </row>
    <row r="2932" spans="1:28" x14ac:dyDescent="0.25">
      <c r="A2932" t="s">
        <v>2936</v>
      </c>
      <c r="B2932">
        <v>0.99334974765950101</v>
      </c>
      <c r="C2932">
        <v>0.93652578684822096</v>
      </c>
      <c r="D2932">
        <v>0.71831661840846694</v>
      </c>
      <c r="E2932">
        <v>0.45188958567764798</v>
      </c>
      <c r="F2932">
        <v>0.34966804732466</v>
      </c>
      <c r="G2932">
        <v>0.240769082644472</v>
      </c>
      <c r="H2932">
        <v>0.22389773000039601</v>
      </c>
      <c r="I2932">
        <v>0.19493964044341799</v>
      </c>
      <c r="J2932">
        <v>0.20320255047385399</v>
      </c>
      <c r="K2932">
        <v>0.176556733694444</v>
      </c>
      <c r="L2932">
        <v>827.714549293098</v>
      </c>
      <c r="M2932">
        <v>17.2462579514388</v>
      </c>
      <c r="N2932">
        <v>49.382404885146798</v>
      </c>
      <c r="O2932">
        <v>47.362527272905297</v>
      </c>
      <c r="P2932">
        <v>-7.3547259686959299E-2</v>
      </c>
      <c r="Q2932">
        <v>0.192130687046698</v>
      </c>
      <c r="R2932">
        <v>0.99673304015696096</v>
      </c>
      <c r="S2932" t="s">
        <v>8793</v>
      </c>
      <c r="T2932" t="s">
        <v>11720</v>
      </c>
      <c r="U2932" t="s">
        <v>11720</v>
      </c>
      <c r="V2932" t="s">
        <v>11720</v>
      </c>
      <c r="W2932" t="s">
        <v>14605</v>
      </c>
      <c r="X2932">
        <v>41</v>
      </c>
      <c r="Y2932" t="s">
        <v>20341</v>
      </c>
      <c r="Z2932" t="s">
        <v>26139</v>
      </c>
      <c r="AA2932">
        <v>0.42306733561433918</v>
      </c>
      <c r="AB2932" t="str">
        <f>HYPERLINK("Melting_Curves/meltCurve_Q03001_DST.pdf", "Melting_Curves/meltCurve_Q03001_DST.pdf")</f>
        <v>Melting_Curves/meltCurve_Q03001_DST.pdf</v>
      </c>
    </row>
    <row r="2933" spans="1:28" x14ac:dyDescent="0.25">
      <c r="A2933" t="s">
        <v>2937</v>
      </c>
      <c r="B2933">
        <v>0.99334974765950101</v>
      </c>
      <c r="C2933">
        <v>1.0814564150169901</v>
      </c>
      <c r="D2933">
        <v>0.78929800547873297</v>
      </c>
      <c r="E2933">
        <v>0.57360254243733999</v>
      </c>
      <c r="F2933">
        <v>0.20060511130224901</v>
      </c>
      <c r="G2933">
        <v>0.11683789988226299</v>
      </c>
      <c r="H2933">
        <v>9.2176387414691197E-2</v>
      </c>
      <c r="I2933">
        <v>8.6947905771199499E-2</v>
      </c>
      <c r="J2933">
        <v>0.113070834563002</v>
      </c>
      <c r="K2933">
        <v>7.5316942483756394E-2</v>
      </c>
      <c r="L2933">
        <v>1162.3361318300999</v>
      </c>
      <c r="M2933">
        <v>23.387578033331302</v>
      </c>
      <c r="N2933">
        <v>50.075264565499602</v>
      </c>
      <c r="O2933">
        <v>49.339793157807897</v>
      </c>
      <c r="P2933">
        <v>-0.108952638364162</v>
      </c>
      <c r="Q2933">
        <v>8.0604854608211804E-2</v>
      </c>
      <c r="R2933">
        <v>0.98205583119590101</v>
      </c>
      <c r="S2933" t="s">
        <v>8794</v>
      </c>
      <c r="T2933" t="s">
        <v>11720</v>
      </c>
      <c r="U2933" t="s">
        <v>11720</v>
      </c>
      <c r="V2933" t="s">
        <v>11720</v>
      </c>
      <c r="W2933" t="s">
        <v>14606</v>
      </c>
      <c r="X2933">
        <v>7</v>
      </c>
      <c r="Y2933" t="s">
        <v>20341</v>
      </c>
      <c r="Z2933" t="s">
        <v>26140</v>
      </c>
      <c r="AA2933">
        <v>0.38721609462223749</v>
      </c>
      <c r="AB2933" t="str">
        <f>HYPERLINK("Melting_Curves/meltCurve_Q03001_3_DST.pdf", "Melting_Curves/meltCurve_Q03001_3_DST.pdf")</f>
        <v>Melting_Curves/meltCurve_Q03001_3_DST.pdf</v>
      </c>
    </row>
    <row r="2934" spans="1:28" x14ac:dyDescent="0.25">
      <c r="A2934" t="s">
        <v>2938</v>
      </c>
      <c r="B2934">
        <v>0.99334974765950101</v>
      </c>
      <c r="C2934">
        <v>0.89149026853921998</v>
      </c>
      <c r="D2934">
        <v>0.67002937175101596</v>
      </c>
      <c r="E2934">
        <v>0.37718741665219602</v>
      </c>
      <c r="F2934">
        <v>0.15791021771677799</v>
      </c>
      <c r="G2934">
        <v>8.9170405005820297E-2</v>
      </c>
      <c r="H2934">
        <v>7.0613975542861293E-2</v>
      </c>
      <c r="I2934">
        <v>5.4193016744882298E-2</v>
      </c>
      <c r="J2934">
        <v>7.6314815480273801E-2</v>
      </c>
      <c r="K2934">
        <v>5.4614615382682398E-2</v>
      </c>
      <c r="L2934">
        <v>872.50683341366801</v>
      </c>
      <c r="M2934">
        <v>18.261351074877702</v>
      </c>
      <c r="N2934">
        <v>48.064949286214897</v>
      </c>
      <c r="O2934">
        <v>47.2169985455062</v>
      </c>
      <c r="P2934">
        <v>-9.1713758585543897E-2</v>
      </c>
      <c r="Q2934">
        <v>5.1495262211593097E-2</v>
      </c>
      <c r="R2934">
        <v>0.99746905507570105</v>
      </c>
      <c r="S2934" t="s">
        <v>8795</v>
      </c>
      <c r="T2934" t="s">
        <v>11720</v>
      </c>
      <c r="U2934" t="s">
        <v>11720</v>
      </c>
      <c r="V2934" t="s">
        <v>11720</v>
      </c>
      <c r="W2934" t="s">
        <v>14607</v>
      </c>
      <c r="X2934">
        <v>14</v>
      </c>
      <c r="Y2934" t="s">
        <v>20342</v>
      </c>
      <c r="Z2934" t="s">
        <v>26141</v>
      </c>
      <c r="AA2934">
        <v>0.31387905699450552</v>
      </c>
      <c r="AB2934" t="str">
        <f>HYPERLINK("Melting_Curves/meltCurve_Q03013_GSTM4.pdf", "Melting_Curves/meltCurve_Q03013_GSTM4.pdf")</f>
        <v>Melting_Curves/meltCurve_Q03013_GSTM4.pdf</v>
      </c>
    </row>
    <row r="2935" spans="1:28" x14ac:dyDescent="0.25">
      <c r="A2935" t="s">
        <v>2939</v>
      </c>
      <c r="B2935">
        <v>0.99334974765950101</v>
      </c>
      <c r="C2935">
        <v>1.1293629030639301</v>
      </c>
      <c r="D2935">
        <v>0.97360544348440403</v>
      </c>
      <c r="E2935">
        <v>1.0488350706701599</v>
      </c>
      <c r="F2935">
        <v>1.3917169631617201</v>
      </c>
      <c r="G2935">
        <v>1.0389815865193199</v>
      </c>
      <c r="H2935">
        <v>1.12779798738244</v>
      </c>
      <c r="I2935">
        <v>1.43246435372765</v>
      </c>
      <c r="J2935">
        <v>1.2756095105577201</v>
      </c>
      <c r="K2935">
        <v>0.96265652913691602</v>
      </c>
      <c r="L2935">
        <v>12558.079112780701</v>
      </c>
      <c r="M2935">
        <v>250</v>
      </c>
      <c r="O2935">
        <v>50.229101929021397</v>
      </c>
      <c r="P2935">
        <v>0.25492079219684699</v>
      </c>
      <c r="Q2935">
        <v>1.2048710789882899</v>
      </c>
      <c r="R2935">
        <v>0.24499333093457301</v>
      </c>
      <c r="S2935" t="s">
        <v>8796</v>
      </c>
      <c r="T2935" t="s">
        <v>11720</v>
      </c>
      <c r="U2935" t="s">
        <v>11720</v>
      </c>
      <c r="V2935" t="s">
        <v>11720</v>
      </c>
      <c r="W2935" t="s">
        <v>14608</v>
      </c>
      <c r="X2935">
        <v>7</v>
      </c>
      <c r="Y2935" t="s">
        <v>20343</v>
      </c>
      <c r="Z2935" t="s">
        <v>26142</v>
      </c>
      <c r="AA2935">
        <v>1.134976161119148</v>
      </c>
      <c r="AB2935" t="str">
        <f>HYPERLINK("Melting_Curves/meltCurve_Q03135_CAV1.pdf", "Melting_Curves/meltCurve_Q03135_CAV1.pdf")</f>
        <v>Melting_Curves/meltCurve_Q03135_CAV1.pdf</v>
      </c>
    </row>
    <row r="2936" spans="1:28" x14ac:dyDescent="0.25">
      <c r="A2936" t="s">
        <v>2940</v>
      </c>
      <c r="B2936">
        <v>0.99334974765950101</v>
      </c>
      <c r="C2936">
        <v>0.983052725976028</v>
      </c>
      <c r="D2936">
        <v>0.95359792931054099</v>
      </c>
      <c r="E2936">
        <v>0.83872413139963398</v>
      </c>
      <c r="F2936">
        <v>0.70634218345425903</v>
      </c>
      <c r="G2936">
        <v>0.52667583371316495</v>
      </c>
      <c r="H2936">
        <v>0.46891195339174002</v>
      </c>
      <c r="I2936">
        <v>0.49538209684168499</v>
      </c>
      <c r="J2936">
        <v>0.38381794263011598</v>
      </c>
      <c r="K2936">
        <v>0.250755710065244</v>
      </c>
      <c r="L2936">
        <v>579.29661931016403</v>
      </c>
      <c r="M2936">
        <v>10.380811308296201</v>
      </c>
      <c r="N2936">
        <v>59.665996591436098</v>
      </c>
      <c r="O2936">
        <v>53.852811850683899</v>
      </c>
      <c r="P2936">
        <v>-3.6418033771817897E-2</v>
      </c>
      <c r="Q2936">
        <v>0.244611270933834</v>
      </c>
      <c r="R2936">
        <v>0.97045447515023198</v>
      </c>
      <c r="S2936" t="s">
        <v>8797</v>
      </c>
      <c r="T2936" t="s">
        <v>11720</v>
      </c>
      <c r="U2936" t="s">
        <v>11720</v>
      </c>
      <c r="V2936" t="s">
        <v>11720</v>
      </c>
      <c r="W2936" t="s">
        <v>14609</v>
      </c>
      <c r="X2936">
        <v>25</v>
      </c>
      <c r="Y2936" t="s">
        <v>20344</v>
      </c>
      <c r="Z2936" t="s">
        <v>26143</v>
      </c>
      <c r="AA2936">
        <v>0.65916293824740646</v>
      </c>
      <c r="AB2936" t="str">
        <f>HYPERLINK("Melting_Curves/meltCurve_Q03154_ACY1.pdf", "Melting_Curves/meltCurve_Q03154_ACY1.pdf")</f>
        <v>Melting_Curves/meltCurve_Q03154_ACY1.pdf</v>
      </c>
    </row>
    <row r="2937" spans="1:28" x14ac:dyDescent="0.25">
      <c r="A2937" t="s">
        <v>2941</v>
      </c>
      <c r="B2937">
        <v>0.99334974765950101</v>
      </c>
      <c r="C2937">
        <v>1.06977097364431</v>
      </c>
      <c r="D2937">
        <v>0.85298210531898</v>
      </c>
      <c r="E2937">
        <v>0.88760023619503403</v>
      </c>
      <c r="F2937">
        <v>0.410378348408802</v>
      </c>
      <c r="G2937">
        <v>0.10970741171157</v>
      </c>
      <c r="H2937">
        <v>8.1210737948108694E-2</v>
      </c>
      <c r="I2937">
        <v>6.0651622581102398E-2</v>
      </c>
      <c r="J2937">
        <v>6.9166946820983594E-2</v>
      </c>
      <c r="K2937">
        <v>3.1548996310808299E-2</v>
      </c>
      <c r="L2937">
        <v>2031.4104645894399</v>
      </c>
      <c r="M2937">
        <v>38.811840881832097</v>
      </c>
      <c r="N2937">
        <v>52.5164436748084</v>
      </c>
      <c r="O2937">
        <v>52.201594817578702</v>
      </c>
      <c r="P2937">
        <v>-0.17451063008675599</v>
      </c>
      <c r="Q2937">
        <v>6.1140959865698501E-2</v>
      </c>
      <c r="R2937">
        <v>0.98462492284304304</v>
      </c>
      <c r="S2937" t="s">
        <v>8798</v>
      </c>
      <c r="T2937" t="s">
        <v>11720</v>
      </c>
      <c r="U2937" t="s">
        <v>11720</v>
      </c>
      <c r="V2937" t="s">
        <v>11720</v>
      </c>
      <c r="W2937" t="s">
        <v>14610</v>
      </c>
      <c r="X2937">
        <v>3</v>
      </c>
      <c r="Y2937" t="s">
        <v>20345</v>
      </c>
      <c r="Z2937" t="s">
        <v>26144</v>
      </c>
      <c r="AA2937">
        <v>0.45093042452989213</v>
      </c>
      <c r="AB2937" t="str">
        <f>HYPERLINK("Melting_Curves/meltCurve_Q03169_TNFAIP2.pdf", "Melting_Curves/meltCurve_Q03169_TNFAIP2.pdf")</f>
        <v>Melting_Curves/meltCurve_Q03169_TNFAIP2.pdf</v>
      </c>
    </row>
    <row r="2938" spans="1:28" x14ac:dyDescent="0.25">
      <c r="A2938" t="s">
        <v>2942</v>
      </c>
      <c r="B2938">
        <v>0.99334974765950101</v>
      </c>
      <c r="C2938">
        <v>0.92343902822447999</v>
      </c>
      <c r="D2938">
        <v>0.88126086360675104</v>
      </c>
      <c r="E2938">
        <v>0.73954631721336295</v>
      </c>
      <c r="F2938">
        <v>0.58875792624892598</v>
      </c>
      <c r="G2938">
        <v>0.430549288509401</v>
      </c>
      <c r="H2938">
        <v>0.28273170287758698</v>
      </c>
      <c r="I2938">
        <v>0.16053189765894399</v>
      </c>
      <c r="J2938">
        <v>9.7778415729295506E-2</v>
      </c>
      <c r="K2938">
        <v>9.0422122060340601E-2</v>
      </c>
      <c r="L2938">
        <v>582.338202772518</v>
      </c>
      <c r="M2938">
        <v>10.5986094458591</v>
      </c>
      <c r="N2938">
        <v>54.944774175884703</v>
      </c>
      <c r="O2938">
        <v>53.096953090504101</v>
      </c>
      <c r="P2938">
        <v>-4.9921578542398003E-2</v>
      </c>
      <c r="Q2938">
        <v>0</v>
      </c>
      <c r="R2938">
        <v>0.99672094602825501</v>
      </c>
      <c r="S2938" t="s">
        <v>8799</v>
      </c>
      <c r="T2938" t="s">
        <v>11720</v>
      </c>
      <c r="U2938" t="s">
        <v>11720</v>
      </c>
      <c r="V2938" t="s">
        <v>11720</v>
      </c>
      <c r="W2938" t="s">
        <v>14611</v>
      </c>
      <c r="X2938">
        <v>6</v>
      </c>
      <c r="Y2938" t="s">
        <v>20346</v>
      </c>
      <c r="Z2938" t="s">
        <v>26145</v>
      </c>
      <c r="AA2938">
        <v>0.52359981013359069</v>
      </c>
      <c r="AB2938" t="str">
        <f>HYPERLINK("Melting_Curves/meltCurve_Q03393_PTS.pdf", "Melting_Curves/meltCurve_Q03393_PTS.pdf")</f>
        <v>Melting_Curves/meltCurve_Q03393_PTS.pdf</v>
      </c>
    </row>
    <row r="2939" spans="1:28" x14ac:dyDescent="0.25">
      <c r="A2939" t="s">
        <v>2943</v>
      </c>
      <c r="B2939">
        <v>0.99334974765950101</v>
      </c>
      <c r="C2939">
        <v>0.98873075217635797</v>
      </c>
      <c r="D2939">
        <v>0.83329027077312601</v>
      </c>
      <c r="E2939">
        <v>0.81780380588234403</v>
      </c>
      <c r="F2939">
        <v>1.0807482205147501</v>
      </c>
      <c r="G2939">
        <v>0.85993257612247598</v>
      </c>
      <c r="H2939">
        <v>0.66728573747528896</v>
      </c>
      <c r="I2939">
        <v>0.78041886817026695</v>
      </c>
      <c r="J2939">
        <v>0.66041932206933296</v>
      </c>
      <c r="K2939">
        <v>0.45950734096591</v>
      </c>
      <c r="L2939">
        <v>491.99930389218099</v>
      </c>
      <c r="M2939">
        <v>6.8927662633683298</v>
      </c>
      <c r="O2939">
        <v>66.096430333150494</v>
      </c>
      <c r="P2939">
        <v>-2.6122013607260301E-2</v>
      </c>
      <c r="Q2939">
        <v>0</v>
      </c>
      <c r="R2939">
        <v>0.70353723121663603</v>
      </c>
      <c r="S2939" t="s">
        <v>8800</v>
      </c>
      <c r="T2939" t="s">
        <v>11720</v>
      </c>
      <c r="U2939" t="s">
        <v>11720</v>
      </c>
      <c r="V2939" t="s">
        <v>11720</v>
      </c>
      <c r="W2939" t="s">
        <v>14612</v>
      </c>
      <c r="X2939">
        <v>9</v>
      </c>
      <c r="Y2939" t="s">
        <v>20347</v>
      </c>
      <c r="Z2939" t="s">
        <v>26146</v>
      </c>
      <c r="AA2939">
        <v>0.84060821047457834</v>
      </c>
      <c r="AB2939" t="str">
        <f>HYPERLINK("Melting_Curves/meltCurve_Q03405_PLAUR.pdf", "Melting_Curves/meltCurve_Q03405_PLAUR.pdf")</f>
        <v>Melting_Curves/meltCurve_Q03405_PLAUR.pdf</v>
      </c>
    </row>
    <row r="2940" spans="1:28" x14ac:dyDescent="0.25">
      <c r="A2940" t="s">
        <v>2944</v>
      </c>
      <c r="B2940">
        <v>0.99334974765950101</v>
      </c>
      <c r="C2940">
        <v>0.91892992853146105</v>
      </c>
      <c r="D2940">
        <v>0.76699332230380601</v>
      </c>
      <c r="E2940">
        <v>0.35999695089699202</v>
      </c>
      <c r="F2940">
        <v>0.32146717496681798</v>
      </c>
      <c r="G2940">
        <v>0.21424604218420701</v>
      </c>
      <c r="H2940">
        <v>0.16618117873757601</v>
      </c>
      <c r="I2940">
        <v>0.13121480751230699</v>
      </c>
      <c r="J2940">
        <v>0.16209100392367001</v>
      </c>
      <c r="K2940">
        <v>0.13071322460287399</v>
      </c>
      <c r="L2940">
        <v>930.47906158075295</v>
      </c>
      <c r="M2940">
        <v>19.393833772073702</v>
      </c>
      <c r="N2940">
        <v>48.884482038319199</v>
      </c>
      <c r="O2940">
        <v>47.476709895574999</v>
      </c>
      <c r="P2940">
        <v>-8.6703721510123205E-2</v>
      </c>
      <c r="Q2940">
        <v>0.151017553378652</v>
      </c>
      <c r="R2940">
        <v>0.991661188357567</v>
      </c>
      <c r="S2940" t="s">
        <v>8801</v>
      </c>
      <c r="T2940" t="s">
        <v>11720</v>
      </c>
      <c r="U2940" t="s">
        <v>11720</v>
      </c>
      <c r="V2940" t="s">
        <v>11720</v>
      </c>
      <c r="W2940" t="s">
        <v>14613</v>
      </c>
      <c r="X2940">
        <v>5</v>
      </c>
      <c r="Y2940" t="s">
        <v>20348</v>
      </c>
      <c r="Z2940" t="s">
        <v>26147</v>
      </c>
      <c r="AA2940">
        <v>0.38967696350851588</v>
      </c>
      <c r="AB2940" t="str">
        <f>HYPERLINK("Melting_Curves/meltCurve_Q03519_TAP2.pdf", "Melting_Curves/meltCurve_Q03519_TAP2.pdf")</f>
        <v>Melting_Curves/meltCurve_Q03519_TAP2.pdf</v>
      </c>
    </row>
    <row r="2941" spans="1:28" x14ac:dyDescent="0.25">
      <c r="A2941" t="s">
        <v>2945</v>
      </c>
      <c r="B2941">
        <v>0.99334974765950101</v>
      </c>
      <c r="C2941">
        <v>0.99285788746303705</v>
      </c>
      <c r="D2941">
        <v>0.94938783460847997</v>
      </c>
      <c r="E2941">
        <v>0.708736281514869</v>
      </c>
      <c r="F2941">
        <v>0.19517683112842299</v>
      </c>
      <c r="G2941">
        <v>0.133229345947948</v>
      </c>
      <c r="H2941">
        <v>0.10215595357884499</v>
      </c>
      <c r="I2941">
        <v>9.45021005261098E-2</v>
      </c>
      <c r="J2941">
        <v>0.10342943929196401</v>
      </c>
      <c r="K2941">
        <v>0.10556291087905401</v>
      </c>
      <c r="L2941">
        <v>2494.6773376770502</v>
      </c>
      <c r="M2941">
        <v>49.185459406527499</v>
      </c>
      <c r="N2941">
        <v>50.966380793716397</v>
      </c>
      <c r="O2941">
        <v>50.636171728659598</v>
      </c>
      <c r="P2941">
        <v>-0.21712534492546701</v>
      </c>
      <c r="Q2941">
        <v>0.10588302366234</v>
      </c>
      <c r="R2941">
        <v>0.99815517409852395</v>
      </c>
      <c r="S2941" t="s">
        <v>8802</v>
      </c>
      <c r="T2941" t="s">
        <v>11720</v>
      </c>
      <c r="U2941" t="s">
        <v>11720</v>
      </c>
      <c r="V2941" t="s">
        <v>11720</v>
      </c>
      <c r="W2941" t="s">
        <v>14614</v>
      </c>
      <c r="X2941">
        <v>31</v>
      </c>
      <c r="Y2941" t="s">
        <v>20349</v>
      </c>
      <c r="Z2941" t="s">
        <v>26148</v>
      </c>
      <c r="AA2941">
        <v>0.42744280184016992</v>
      </c>
      <c r="AB2941" t="str">
        <f>HYPERLINK("Melting_Curves/meltCurve_Q04446_GBE1.pdf", "Melting_Curves/meltCurve_Q04446_GBE1.pdf")</f>
        <v>Melting_Curves/meltCurve_Q04446_GBE1.pdf</v>
      </c>
    </row>
    <row r="2942" spans="1:28" x14ac:dyDescent="0.25">
      <c r="A2942" t="s">
        <v>2946</v>
      </c>
      <c r="B2942">
        <v>0.99334974765950101</v>
      </c>
      <c r="C2942">
        <v>0.93021832504928403</v>
      </c>
      <c r="D2942">
        <v>0.92435925912902805</v>
      </c>
      <c r="E2942">
        <v>0.66888771238662803</v>
      </c>
      <c r="F2942">
        <v>0.31025776535465599</v>
      </c>
      <c r="G2942">
        <v>0.25217800569828203</v>
      </c>
      <c r="H2942">
        <v>0.200774513659254</v>
      </c>
      <c r="I2942">
        <v>0.155109044647363</v>
      </c>
      <c r="J2942">
        <v>0.15132556801160299</v>
      </c>
      <c r="K2942">
        <v>9.9154160425933599E-2</v>
      </c>
      <c r="L2942">
        <v>1200.6121375684299</v>
      </c>
      <c r="M2942">
        <v>23.725615002773299</v>
      </c>
      <c r="N2942">
        <v>51.372362984798301</v>
      </c>
      <c r="O2942">
        <v>50.248656384423498</v>
      </c>
      <c r="P2942">
        <v>-0.10041258908219999</v>
      </c>
      <c r="Q2942">
        <v>0.149355803195276</v>
      </c>
      <c r="R2942">
        <v>0.98857216006819904</v>
      </c>
      <c r="S2942" t="s">
        <v>8803</v>
      </c>
      <c r="T2942" t="s">
        <v>11720</v>
      </c>
      <c r="U2942" t="s">
        <v>11720</v>
      </c>
      <c r="V2942" t="s">
        <v>11720</v>
      </c>
      <c r="W2942" t="s">
        <v>14615</v>
      </c>
      <c r="X2942">
        <v>11</v>
      </c>
      <c r="Y2942" t="s">
        <v>20350</v>
      </c>
      <c r="Z2942" t="s">
        <v>26149</v>
      </c>
      <c r="AA2942">
        <v>0.45851724617045692</v>
      </c>
      <c r="AB2942" t="str">
        <f>HYPERLINK("Melting_Curves/meltCurve_Q04656_5_ATP7A.pdf", "Melting_Curves/meltCurve_Q04656_5_ATP7A.pdf")</f>
        <v>Melting_Curves/meltCurve_Q04656_5_ATP7A.pdf</v>
      </c>
    </row>
    <row r="2943" spans="1:28" x14ac:dyDescent="0.25">
      <c r="A2943" t="s">
        <v>2947</v>
      </c>
      <c r="B2943">
        <v>0.99334974765950101</v>
      </c>
      <c r="C2943">
        <v>0.83707786657176197</v>
      </c>
      <c r="D2943">
        <v>0.56972237423378302</v>
      </c>
      <c r="E2943">
        <v>0.41591398737586699</v>
      </c>
      <c r="F2943">
        <v>0.36298282681797001</v>
      </c>
      <c r="G2943">
        <v>0.35084121335198798</v>
      </c>
      <c r="H2943">
        <v>0.32680960925677399</v>
      </c>
      <c r="I2943">
        <v>0.35958429109913298</v>
      </c>
      <c r="J2943">
        <v>0.32670693640592902</v>
      </c>
      <c r="K2943">
        <v>0.30391318940386303</v>
      </c>
      <c r="L2943">
        <v>1056.5196404502101</v>
      </c>
      <c r="M2943">
        <v>23.493060853213901</v>
      </c>
      <c r="N2943">
        <v>47.216698373498403</v>
      </c>
      <c r="O2943">
        <v>44.649523368257</v>
      </c>
      <c r="P2943">
        <v>-8.7294552074843296E-2</v>
      </c>
      <c r="Q2943">
        <v>0.33638401393730999</v>
      </c>
      <c r="R2943">
        <v>0.99356306470215305</v>
      </c>
      <c r="S2943" t="s">
        <v>8804</v>
      </c>
      <c r="T2943" t="s">
        <v>11720</v>
      </c>
      <c r="U2943" t="s">
        <v>11720</v>
      </c>
      <c r="V2943" t="s">
        <v>11720</v>
      </c>
      <c r="W2943" t="s">
        <v>14616</v>
      </c>
      <c r="X2943">
        <v>35</v>
      </c>
      <c r="Y2943" t="s">
        <v>20351</v>
      </c>
      <c r="Z2943" t="s">
        <v>26150</v>
      </c>
      <c r="AA2943">
        <v>0.4540564971665107</v>
      </c>
      <c r="AB2943" t="str">
        <f>HYPERLINK("Melting_Curves/meltCurve_Q04721_NOTCH2.pdf", "Melting_Curves/meltCurve_Q04721_NOTCH2.pdf")</f>
        <v>Melting_Curves/meltCurve_Q04721_NOTCH2.pdf</v>
      </c>
    </row>
    <row r="2944" spans="1:28" x14ac:dyDescent="0.25">
      <c r="A2944" t="s">
        <v>2948</v>
      </c>
      <c r="B2944">
        <v>0.99334974765950101</v>
      </c>
      <c r="C2944">
        <v>0.93380515866375602</v>
      </c>
      <c r="D2944">
        <v>0.867507025360165</v>
      </c>
      <c r="E2944">
        <v>0.68370146921922104</v>
      </c>
      <c r="F2944">
        <v>0.46109883790223999</v>
      </c>
      <c r="G2944">
        <v>0.32712928443691502</v>
      </c>
      <c r="H2944">
        <v>0.17454340547007999</v>
      </c>
      <c r="I2944">
        <v>0.11276500828639099</v>
      </c>
      <c r="J2944">
        <v>9.5320635195534006E-2</v>
      </c>
      <c r="K2944">
        <v>7.3796044829081295E-2</v>
      </c>
      <c r="L2944">
        <v>658.14036440921097</v>
      </c>
      <c r="M2944">
        <v>12.507556568417799</v>
      </c>
      <c r="N2944">
        <v>52.884174391574099</v>
      </c>
      <c r="O2944">
        <v>51.328649465489598</v>
      </c>
      <c r="P2944">
        <v>-5.9082241896952901E-2</v>
      </c>
      <c r="Q2944">
        <v>3.0349595314976999E-2</v>
      </c>
      <c r="R2944">
        <v>0.99789679628280403</v>
      </c>
      <c r="S2944" t="s">
        <v>8805</v>
      </c>
      <c r="T2944" t="s">
        <v>11720</v>
      </c>
      <c r="U2944" t="s">
        <v>11720</v>
      </c>
      <c r="V2944" t="s">
        <v>11720</v>
      </c>
      <c r="W2944" t="s">
        <v>14617</v>
      </c>
      <c r="X2944">
        <v>13</v>
      </c>
      <c r="Y2944" t="s">
        <v>20352</v>
      </c>
      <c r="Z2944" t="s">
        <v>26151</v>
      </c>
      <c r="AA2944">
        <v>0.46525822873783917</v>
      </c>
      <c r="AB2944" t="str">
        <f>HYPERLINK("Melting_Curves/meltCurve_Q04760_GLO1.pdf", "Melting_Curves/meltCurve_Q04760_GLO1.pdf")</f>
        <v>Melting_Curves/meltCurve_Q04760_GLO1.pdf</v>
      </c>
    </row>
    <row r="2945" spans="1:28" x14ac:dyDescent="0.25">
      <c r="A2945" t="s">
        <v>2949</v>
      </c>
      <c r="B2945">
        <v>0.99334974765950101</v>
      </c>
      <c r="C2945">
        <v>0.85504770127091501</v>
      </c>
      <c r="D2945">
        <v>0.72801890029559402</v>
      </c>
      <c r="E2945">
        <v>0.41307199009482198</v>
      </c>
      <c r="F2945">
        <v>0.26035671346146799</v>
      </c>
      <c r="G2945">
        <v>0.170829084672075</v>
      </c>
      <c r="H2945">
        <v>0.13401470282047001</v>
      </c>
      <c r="I2945">
        <v>0.11512575016663699</v>
      </c>
      <c r="J2945">
        <v>0.109117351216329</v>
      </c>
      <c r="K2945">
        <v>8.9169387190467395E-2</v>
      </c>
      <c r="L2945">
        <v>766.034316888582</v>
      </c>
      <c r="M2945">
        <v>15.9075077143332</v>
      </c>
      <c r="N2945">
        <v>48.805005649983698</v>
      </c>
      <c r="O2945">
        <v>47.413795982514202</v>
      </c>
      <c r="P2945">
        <v>-7.58810276318444E-2</v>
      </c>
      <c r="Q2945">
        <v>9.5391242055304901E-2</v>
      </c>
      <c r="R2945">
        <v>0.99768298238016495</v>
      </c>
      <c r="S2945" t="s">
        <v>8806</v>
      </c>
      <c r="T2945" t="s">
        <v>11720</v>
      </c>
      <c r="U2945" t="s">
        <v>11720</v>
      </c>
      <c r="V2945" t="s">
        <v>11720</v>
      </c>
      <c r="W2945" t="s">
        <v>14618</v>
      </c>
      <c r="X2945">
        <v>5</v>
      </c>
      <c r="Y2945" t="s">
        <v>20353</v>
      </c>
      <c r="Z2945" t="s">
        <v>26152</v>
      </c>
      <c r="AA2945">
        <v>0.36187618817073658</v>
      </c>
      <c r="AB2945" t="str">
        <f>HYPERLINK("Melting_Curves/meltCurve_Q04771_ACVR1.pdf", "Melting_Curves/meltCurve_Q04771_ACVR1.pdf")</f>
        <v>Melting_Curves/meltCurve_Q04771_ACVR1.pdf</v>
      </c>
    </row>
    <row r="2946" spans="1:28" x14ac:dyDescent="0.25">
      <c r="A2946" t="s">
        <v>2950</v>
      </c>
      <c r="B2946">
        <v>0.99334974765950101</v>
      </c>
      <c r="C2946">
        <v>0.82914349926798803</v>
      </c>
      <c r="D2946">
        <v>0.54526098908065601</v>
      </c>
      <c r="E2946">
        <v>0.29772747703858798</v>
      </c>
      <c r="F2946">
        <v>0.21742902581679899</v>
      </c>
      <c r="G2946">
        <v>0.130201431647986</v>
      </c>
      <c r="H2946">
        <v>9.7691543801741498E-2</v>
      </c>
      <c r="I2946">
        <v>7.7476927092256995E-2</v>
      </c>
      <c r="J2946">
        <v>7.0604383548227206E-2</v>
      </c>
      <c r="K2946">
        <v>5.7124579785952902E-2</v>
      </c>
      <c r="L2946">
        <v>775.380238581443</v>
      </c>
      <c r="M2946">
        <v>16.665817132848002</v>
      </c>
      <c r="N2946">
        <v>46.985239354593702</v>
      </c>
      <c r="O2946">
        <v>45.870819463558</v>
      </c>
      <c r="P2946">
        <v>-8.3997937665923506E-2</v>
      </c>
      <c r="Q2946">
        <v>7.5281921813672104E-2</v>
      </c>
      <c r="R2946">
        <v>0.99420150732625501</v>
      </c>
      <c r="S2946" t="s">
        <v>8807</v>
      </c>
      <c r="T2946" t="s">
        <v>11720</v>
      </c>
      <c r="U2946" t="s">
        <v>11720</v>
      </c>
      <c r="V2946" t="s">
        <v>11720</v>
      </c>
      <c r="W2946" t="s">
        <v>14619</v>
      </c>
      <c r="X2946">
        <v>23</v>
      </c>
      <c r="Y2946" t="s">
        <v>20354</v>
      </c>
      <c r="Z2946" t="s">
        <v>26153</v>
      </c>
      <c r="AA2946">
        <v>0.29714285870190588</v>
      </c>
      <c r="AB2946" t="str">
        <f>HYPERLINK("Melting_Curves/meltCurve_Q04828_AKR1C1.pdf", "Melting_Curves/meltCurve_Q04828_AKR1C1.pdf")</f>
        <v>Melting_Curves/meltCurve_Q04828_AKR1C1.pdf</v>
      </c>
    </row>
    <row r="2947" spans="1:28" x14ac:dyDescent="0.25">
      <c r="A2947" t="s">
        <v>2951</v>
      </c>
      <c r="B2947">
        <v>0.99334974765950101</v>
      </c>
      <c r="C2947">
        <v>0.85075665480135798</v>
      </c>
      <c r="D2947">
        <v>0.89324627290033398</v>
      </c>
      <c r="E2947">
        <v>0.74915555253546795</v>
      </c>
      <c r="F2947">
        <v>1.08055414667108</v>
      </c>
      <c r="G2947">
        <v>0.56107051927107898</v>
      </c>
      <c r="H2947">
        <v>0.57373810793888103</v>
      </c>
      <c r="I2947">
        <v>0.699725376450689</v>
      </c>
      <c r="J2947">
        <v>1.04869421254814</v>
      </c>
      <c r="K2947">
        <v>0.94441365173815695</v>
      </c>
      <c r="L2947">
        <v>767.81880631394597</v>
      </c>
      <c r="M2947">
        <v>17.908049857159199</v>
      </c>
      <c r="O2947">
        <v>42.351701161998903</v>
      </c>
      <c r="P2947">
        <v>-2.0424480655370399E-2</v>
      </c>
      <c r="Q2947">
        <v>0.80679795069805604</v>
      </c>
      <c r="R2947">
        <v>8.8226518719914798E-2</v>
      </c>
      <c r="S2947" t="s">
        <v>8808</v>
      </c>
      <c r="T2947" t="s">
        <v>11720</v>
      </c>
      <c r="U2947" t="s">
        <v>11720</v>
      </c>
      <c r="V2947" t="s">
        <v>11720</v>
      </c>
      <c r="W2947" t="s">
        <v>14620</v>
      </c>
      <c r="X2947">
        <v>12</v>
      </c>
      <c r="Y2947" t="s">
        <v>20355</v>
      </c>
      <c r="Z2947" t="s">
        <v>26154</v>
      </c>
      <c r="AA2947">
        <v>0.83119332679546731</v>
      </c>
      <c r="AB2947" t="str">
        <f>HYPERLINK("Melting_Curves/meltCurve_Q04837_SSBP1.pdf", "Melting_Curves/meltCurve_Q04837_SSBP1.pdf")</f>
        <v>Melting_Curves/meltCurve_Q04837_SSBP1.pdf</v>
      </c>
    </row>
    <row r="2948" spans="1:28" x14ac:dyDescent="0.25">
      <c r="A2948" t="s">
        <v>2952</v>
      </c>
      <c r="B2948">
        <v>0.99334974765950101</v>
      </c>
      <c r="C2948">
        <v>0.91313746297681297</v>
      </c>
      <c r="D2948">
        <v>0.82385145530146398</v>
      </c>
      <c r="E2948">
        <v>0.41811708844934298</v>
      </c>
      <c r="F2948">
        <v>0.30421595130838402</v>
      </c>
      <c r="G2948">
        <v>0.25997422083440203</v>
      </c>
      <c r="H2948">
        <v>0.161062384438939</v>
      </c>
      <c r="I2948">
        <v>0.23087837652426599</v>
      </c>
      <c r="J2948">
        <v>0.114944247420911</v>
      </c>
      <c r="K2948">
        <v>9.9096064279763599E-2</v>
      </c>
      <c r="L2948">
        <v>923.77272510453099</v>
      </c>
      <c r="M2948">
        <v>19.021124935970601</v>
      </c>
      <c r="N2948">
        <v>49.521248410666402</v>
      </c>
      <c r="O2948">
        <v>48.038378103248803</v>
      </c>
      <c r="P2948">
        <v>-8.37863141412305E-2</v>
      </c>
      <c r="Q2948">
        <v>0.153614933073729</v>
      </c>
      <c r="R2948">
        <v>0.98334008583388899</v>
      </c>
      <c r="S2948" t="s">
        <v>8809</v>
      </c>
      <c r="T2948" t="s">
        <v>11720</v>
      </c>
      <c r="U2948" t="s">
        <v>11720</v>
      </c>
      <c r="V2948" t="s">
        <v>11720</v>
      </c>
      <c r="W2948" t="s">
        <v>14621</v>
      </c>
      <c r="X2948">
        <v>3</v>
      </c>
      <c r="Y2948" t="s">
        <v>20356</v>
      </c>
      <c r="Z2948" t="s">
        <v>26155</v>
      </c>
      <c r="AA2948">
        <v>0.40848944432329898</v>
      </c>
      <c r="AB2948" t="str">
        <f>HYPERLINK("Melting_Curves/meltCurve_Q04912_2_MST1R.pdf", "Melting_Curves/meltCurve_Q04912_2_MST1R.pdf")</f>
        <v>Melting_Curves/meltCurve_Q04912_2_MST1R.pdf</v>
      </c>
    </row>
    <row r="2949" spans="1:28" x14ac:dyDescent="0.25">
      <c r="A2949" t="s">
        <v>2953</v>
      </c>
      <c r="B2949">
        <v>0.99334974765950101</v>
      </c>
      <c r="C2949">
        <v>1.0128036339066999</v>
      </c>
      <c r="D2949">
        <v>0.937994421989369</v>
      </c>
      <c r="E2949">
        <v>0.89816505662925195</v>
      </c>
      <c r="F2949">
        <v>0.52295497253782497</v>
      </c>
      <c r="G2949">
        <v>0.23236374395895601</v>
      </c>
      <c r="H2949">
        <v>0.112308089745339</v>
      </c>
      <c r="I2949">
        <v>8.7014718567870394E-2</v>
      </c>
      <c r="J2949">
        <v>9.97641609470626E-2</v>
      </c>
      <c r="K2949">
        <v>6.9475242360418299E-2</v>
      </c>
      <c r="L2949">
        <v>1465.1669784173801</v>
      </c>
      <c r="M2949">
        <v>27.602496905223902</v>
      </c>
      <c r="N2949">
        <v>53.448447891558097</v>
      </c>
      <c r="O2949">
        <v>52.804696504393597</v>
      </c>
      <c r="P2949">
        <v>-0.119388133579271</v>
      </c>
      <c r="Q2949">
        <v>8.6430948794169599E-2</v>
      </c>
      <c r="R2949">
        <v>0.99605021665579596</v>
      </c>
      <c r="S2949" t="s">
        <v>8810</v>
      </c>
      <c r="T2949" t="s">
        <v>11720</v>
      </c>
      <c r="U2949" t="s">
        <v>11720</v>
      </c>
      <c r="V2949" t="s">
        <v>11720</v>
      </c>
      <c r="W2949" t="s">
        <v>14622</v>
      </c>
      <c r="X2949">
        <v>18</v>
      </c>
      <c r="Y2949" t="s">
        <v>20357</v>
      </c>
      <c r="Z2949" t="s">
        <v>26156</v>
      </c>
      <c r="AA2949">
        <v>0.49174855689348512</v>
      </c>
      <c r="AB2949" t="str">
        <f>HYPERLINK("Melting_Curves/meltCurve_Q04917_YWHAH.pdf", "Melting_Curves/meltCurve_Q04917_YWHAH.pdf")</f>
        <v>Melting_Curves/meltCurve_Q04917_YWHAH.pdf</v>
      </c>
    </row>
    <row r="2950" spans="1:28" x14ac:dyDescent="0.25">
      <c r="A2950" t="s">
        <v>2954</v>
      </c>
      <c r="B2950">
        <v>0.99334974765950101</v>
      </c>
      <c r="C2950">
        <v>0.938603380105685</v>
      </c>
      <c r="D2950">
        <v>0.76088522633892997</v>
      </c>
      <c r="E2950">
        <v>0.92676905763199102</v>
      </c>
      <c r="F2950">
        <v>1.08412733606733</v>
      </c>
      <c r="G2950">
        <v>0.97405810950022897</v>
      </c>
      <c r="H2950">
        <v>1.12156229157127</v>
      </c>
      <c r="I2950">
        <v>1.2326014260563101</v>
      </c>
      <c r="J2950">
        <v>1.4276591175017299</v>
      </c>
      <c r="K2950">
        <v>1.09478681262561</v>
      </c>
      <c r="L2950">
        <v>4953.9661345506802</v>
      </c>
      <c r="M2950">
        <v>81.106861591034402</v>
      </c>
      <c r="O2950">
        <v>61.042405753944202</v>
      </c>
      <c r="P2950">
        <v>8.43861855075555E-2</v>
      </c>
      <c r="Q2950">
        <v>1.2540418371415301</v>
      </c>
      <c r="R2950">
        <v>0.572709057625439</v>
      </c>
      <c r="S2950" t="s">
        <v>8811</v>
      </c>
      <c r="T2950" t="s">
        <v>11720</v>
      </c>
      <c r="U2950" t="s">
        <v>11720</v>
      </c>
      <c r="V2950" t="s">
        <v>11720</v>
      </c>
      <c r="W2950" t="s">
        <v>14623</v>
      </c>
      <c r="X2950">
        <v>1</v>
      </c>
      <c r="Y2950" t="s">
        <v>20358</v>
      </c>
      <c r="Z2950" t="s">
        <v>26157</v>
      </c>
      <c r="AA2950">
        <v>1.075280449771383</v>
      </c>
      <c r="AB2950" t="str">
        <f>HYPERLINK("Melting_Curves/meltCurve_Q04941_PLP2.pdf", "Melting_Curves/meltCurve_Q04941_PLP2.pdf")</f>
        <v>Melting_Curves/meltCurve_Q04941_PLP2.pdf</v>
      </c>
    </row>
    <row r="2951" spans="1:28" x14ac:dyDescent="0.25">
      <c r="A2951" t="s">
        <v>2955</v>
      </c>
      <c r="B2951">
        <v>0.99334974765950101</v>
      </c>
      <c r="C2951">
        <v>1.0241916571460099</v>
      </c>
      <c r="D2951">
        <v>0.995512777088017</v>
      </c>
      <c r="E2951">
        <v>0.88901121787086201</v>
      </c>
      <c r="F2951">
        <v>1.15639940751818</v>
      </c>
      <c r="G2951">
        <v>0.65957643549192002</v>
      </c>
      <c r="H2951">
        <v>0.49912188190129197</v>
      </c>
      <c r="I2951">
        <v>0.38640603601215101</v>
      </c>
      <c r="J2951">
        <v>0.380364759408511</v>
      </c>
      <c r="K2951">
        <v>0.22424823424075399</v>
      </c>
      <c r="L2951">
        <v>1661.79391036273</v>
      </c>
      <c r="M2951">
        <v>28.6241088020859</v>
      </c>
      <c r="N2951">
        <v>60.130215071209598</v>
      </c>
      <c r="O2951">
        <v>57.774602343102202</v>
      </c>
      <c r="P2951">
        <v>-8.5000321658089295E-2</v>
      </c>
      <c r="Q2951">
        <v>0.313750358372206</v>
      </c>
      <c r="R2951">
        <v>0.92604803498599697</v>
      </c>
      <c r="S2951" t="s">
        <v>8812</v>
      </c>
      <c r="T2951" t="s">
        <v>11720</v>
      </c>
      <c r="U2951" t="s">
        <v>11720</v>
      </c>
      <c r="V2951" t="s">
        <v>11720</v>
      </c>
      <c r="W2951" t="s">
        <v>14624</v>
      </c>
      <c r="X2951">
        <v>7</v>
      </c>
      <c r="Y2951" t="s">
        <v>20359</v>
      </c>
      <c r="Z2951" t="s">
        <v>26158</v>
      </c>
      <c r="AA2951">
        <v>0.73164345130866382</v>
      </c>
      <c r="AB2951" t="str">
        <f>HYPERLINK("Melting_Curves/meltCurve_Q05048_CSTF1.pdf", "Melting_Curves/meltCurve_Q05048_CSTF1.pdf")</f>
        <v>Melting_Curves/meltCurve_Q05048_CSTF1.pdf</v>
      </c>
    </row>
    <row r="2952" spans="1:28" x14ac:dyDescent="0.25">
      <c r="A2952" t="s">
        <v>2956</v>
      </c>
      <c r="B2952">
        <v>0.99334974765950101</v>
      </c>
      <c r="C2952">
        <v>1.02462539630196</v>
      </c>
      <c r="D2952">
        <v>1.07021120065528</v>
      </c>
      <c r="E2952">
        <v>0.96285370109687995</v>
      </c>
      <c r="F2952">
        <v>0.720996396269452</v>
      </c>
      <c r="G2952">
        <v>0.277737831053321</v>
      </c>
      <c r="H2952">
        <v>0.17279647306894999</v>
      </c>
      <c r="I2952">
        <v>0.142560380698765</v>
      </c>
      <c r="J2952">
        <v>0.13088703583172301</v>
      </c>
      <c r="K2952">
        <v>9.7620350292124694E-2</v>
      </c>
      <c r="L2952">
        <v>1776.85301048105</v>
      </c>
      <c r="M2952">
        <v>32.736401419348901</v>
      </c>
      <c r="N2952">
        <v>54.770221259183003</v>
      </c>
      <c r="O2952">
        <v>54.076252157713199</v>
      </c>
      <c r="P2952">
        <v>-0.13204359941961999</v>
      </c>
      <c r="Q2952">
        <v>0.12752901394956301</v>
      </c>
      <c r="R2952">
        <v>0.99537756192542604</v>
      </c>
      <c r="S2952" t="s">
        <v>8813</v>
      </c>
      <c r="T2952" t="s">
        <v>11720</v>
      </c>
      <c r="U2952" t="s">
        <v>11720</v>
      </c>
      <c r="V2952" t="s">
        <v>11720</v>
      </c>
      <c r="W2952" t="s">
        <v>14625</v>
      </c>
      <c r="X2952">
        <v>21</v>
      </c>
      <c r="Y2952" t="s">
        <v>20360</v>
      </c>
      <c r="Z2952" t="s">
        <v>26159</v>
      </c>
      <c r="AA2952">
        <v>0.54760958015257066</v>
      </c>
      <c r="AB2952" t="str">
        <f>HYPERLINK("Melting_Curves/meltCurve_Q05086_3_UBE3A.pdf", "Melting_Curves/meltCurve_Q05086_3_UBE3A.pdf")</f>
        <v>Melting_Curves/meltCurve_Q05086_3_UBE3A.pdf</v>
      </c>
    </row>
    <row r="2953" spans="1:28" x14ac:dyDescent="0.25">
      <c r="A2953" t="s">
        <v>2957</v>
      </c>
      <c r="B2953">
        <v>0.99334974765950101</v>
      </c>
      <c r="C2953">
        <v>1.02135212571663</v>
      </c>
      <c r="D2953">
        <v>1.12603455617924</v>
      </c>
      <c r="E2953">
        <v>0.45597213682361198</v>
      </c>
      <c r="F2953">
        <v>0.348921878844278</v>
      </c>
      <c r="G2953">
        <v>0.28646046312531898</v>
      </c>
      <c r="H2953">
        <v>0.19562317631290599</v>
      </c>
      <c r="I2953">
        <v>0.18113355207064399</v>
      </c>
      <c r="J2953">
        <v>0.10493766231865</v>
      </c>
      <c r="K2953">
        <v>8.5212892972694201E-2</v>
      </c>
      <c r="L2953">
        <v>2689.4225131633102</v>
      </c>
      <c r="M2953">
        <v>54.381667049443898</v>
      </c>
      <c r="N2953">
        <v>49.905077784610199</v>
      </c>
      <c r="O2953">
        <v>49.387840561785403</v>
      </c>
      <c r="P2953">
        <v>-0.22188456128436501</v>
      </c>
      <c r="Q2953">
        <v>0.19396419696022299</v>
      </c>
      <c r="R2953">
        <v>0.95524129089060605</v>
      </c>
      <c r="S2953" t="s">
        <v>8814</v>
      </c>
      <c r="T2953" t="s">
        <v>11720</v>
      </c>
      <c r="U2953" t="s">
        <v>11720</v>
      </c>
      <c r="V2953" t="s">
        <v>11720</v>
      </c>
      <c r="W2953" t="s">
        <v>14626</v>
      </c>
      <c r="X2953">
        <v>9</v>
      </c>
      <c r="Y2953" t="s">
        <v>20361</v>
      </c>
      <c r="Z2953" t="s">
        <v>26160</v>
      </c>
      <c r="AA2953">
        <v>0.44947368093475581</v>
      </c>
      <c r="AB2953" t="str">
        <f>HYPERLINK("Melting_Curves/meltCurve_Q05193_3_DNM1.pdf", "Melting_Curves/meltCurve_Q05193_3_DNM1.pdf")</f>
        <v>Melting_Curves/meltCurve_Q05193_3_DNM1.pdf</v>
      </c>
    </row>
    <row r="2954" spans="1:28" x14ac:dyDescent="0.25">
      <c r="A2954" t="s">
        <v>2958</v>
      </c>
      <c r="B2954">
        <v>0.99334974765950101</v>
      </c>
      <c r="C2954">
        <v>0.963006635336499</v>
      </c>
      <c r="D2954">
        <v>0.94645743748422495</v>
      </c>
      <c r="E2954">
        <v>0.49151319893546103</v>
      </c>
      <c r="F2954">
        <v>0.16729809659077799</v>
      </c>
      <c r="G2954">
        <v>0.10813930811835901</v>
      </c>
      <c r="H2954">
        <v>8.8518920451795796E-2</v>
      </c>
      <c r="I2954">
        <v>9.9207745925449106E-2</v>
      </c>
      <c r="J2954">
        <v>9.8917603428636397E-2</v>
      </c>
      <c r="K2954">
        <v>8.2157052660605898E-2</v>
      </c>
      <c r="L2954">
        <v>1782.8297187211499</v>
      </c>
      <c r="M2954">
        <v>35.916294491364802</v>
      </c>
      <c r="N2954">
        <v>49.921324209359497</v>
      </c>
      <c r="O2954">
        <v>49.4853391052864</v>
      </c>
      <c r="P2954">
        <v>-0.16474420501255299</v>
      </c>
      <c r="Q2954">
        <v>9.2067104621992399E-2</v>
      </c>
      <c r="R2954">
        <v>0.99895328468343003</v>
      </c>
      <c r="S2954" t="s">
        <v>8815</v>
      </c>
      <c r="T2954" t="s">
        <v>11720</v>
      </c>
      <c r="U2954" t="s">
        <v>11720</v>
      </c>
      <c r="V2954" t="s">
        <v>11720</v>
      </c>
      <c r="W2954" t="s">
        <v>14627</v>
      </c>
      <c r="X2954">
        <v>26</v>
      </c>
      <c r="Y2954" t="s">
        <v>20362</v>
      </c>
      <c r="Z2954" t="s">
        <v>26161</v>
      </c>
      <c r="AA2954">
        <v>0.38764503014190349</v>
      </c>
      <c r="AB2954" t="str">
        <f>HYPERLINK("Melting_Curves/meltCurve_Q05209_PTPN12.pdf", "Melting_Curves/meltCurve_Q05209_PTPN12.pdf")</f>
        <v>Melting_Curves/meltCurve_Q05209_PTPN12.pdf</v>
      </c>
    </row>
    <row r="2955" spans="1:28" x14ac:dyDescent="0.25">
      <c r="A2955" t="s">
        <v>2959</v>
      </c>
      <c r="B2955">
        <v>0.99334974765950101</v>
      </c>
      <c r="C2955">
        <v>1.0156695352466101</v>
      </c>
      <c r="D2955">
        <v>0.91150304565754303</v>
      </c>
      <c r="E2955">
        <v>0.66343610055402802</v>
      </c>
      <c r="F2955">
        <v>0.402569172913331</v>
      </c>
      <c r="G2955">
        <v>0.31631861558838598</v>
      </c>
      <c r="H2955">
        <v>0.23453796262681501</v>
      </c>
      <c r="I2955">
        <v>0.195171847591011</v>
      </c>
      <c r="J2955">
        <v>0.21216319316928201</v>
      </c>
      <c r="K2955">
        <v>0.24095266869108301</v>
      </c>
      <c r="L2955">
        <v>1117.83390027318</v>
      </c>
      <c r="M2955">
        <v>22.1237014505665</v>
      </c>
      <c r="N2955">
        <v>51.879550837451603</v>
      </c>
      <c r="O2955">
        <v>50.119151324254702</v>
      </c>
      <c r="P2955">
        <v>-8.6166840111139995E-2</v>
      </c>
      <c r="Q2955">
        <v>0.21920577691033899</v>
      </c>
      <c r="R2955">
        <v>0.99568217501807699</v>
      </c>
      <c r="S2955" t="s">
        <v>8816</v>
      </c>
      <c r="T2955" t="s">
        <v>11720</v>
      </c>
      <c r="U2955" t="s">
        <v>11720</v>
      </c>
      <c r="V2955" t="s">
        <v>11720</v>
      </c>
      <c r="W2955" t="s">
        <v>14628</v>
      </c>
      <c r="X2955">
        <v>8</v>
      </c>
      <c r="Y2955" t="s">
        <v>20363</v>
      </c>
      <c r="Z2955" t="s">
        <v>26162</v>
      </c>
      <c r="AA2955">
        <v>0.5021036979877942</v>
      </c>
      <c r="AB2955" t="str">
        <f>HYPERLINK("Melting_Curves/meltCurve_Q05519_2_SRSF11.pdf", "Melting_Curves/meltCurve_Q05519_2_SRSF11.pdf")</f>
        <v>Melting_Curves/meltCurve_Q05519_2_SRSF11.pdf</v>
      </c>
    </row>
    <row r="2956" spans="1:28" x14ac:dyDescent="0.25">
      <c r="A2956" t="s">
        <v>2960</v>
      </c>
      <c r="B2956">
        <v>0.99334974765950101</v>
      </c>
      <c r="C2956">
        <v>0.98560825860038204</v>
      </c>
      <c r="D2956">
        <v>0.82343593558884798</v>
      </c>
      <c r="E2956">
        <v>0.88778333033916501</v>
      </c>
      <c r="F2956">
        <v>0.74877390019002699</v>
      </c>
      <c r="G2956">
        <v>0.63694734378622897</v>
      </c>
      <c r="H2956">
        <v>0.29089793973309602</v>
      </c>
      <c r="I2956">
        <v>0.19992643019044701</v>
      </c>
      <c r="J2956">
        <v>0.12225893288180099</v>
      </c>
      <c r="K2956">
        <v>5.3309927549450797E-2</v>
      </c>
      <c r="L2956">
        <v>782.96310181539104</v>
      </c>
      <c r="M2956">
        <v>13.553282332701601</v>
      </c>
      <c r="N2956">
        <v>57.769260837708799</v>
      </c>
      <c r="O2956">
        <v>56.555125558257998</v>
      </c>
      <c r="P2956">
        <v>-5.9920819391046799E-2</v>
      </c>
      <c r="Q2956">
        <v>0</v>
      </c>
      <c r="R2956">
        <v>0.97327915235905305</v>
      </c>
      <c r="S2956" t="s">
        <v>8817</v>
      </c>
      <c r="T2956" t="s">
        <v>11720</v>
      </c>
      <c r="U2956" t="s">
        <v>11720</v>
      </c>
      <c r="V2956" t="s">
        <v>11720</v>
      </c>
      <c r="W2956" t="s">
        <v>14629</v>
      </c>
      <c r="X2956">
        <v>16</v>
      </c>
      <c r="Y2956" t="s">
        <v>20364</v>
      </c>
      <c r="Z2956" t="s">
        <v>26163</v>
      </c>
      <c r="AA2956">
        <v>0.6065082940993457</v>
      </c>
      <c r="AB2956" t="str">
        <f>HYPERLINK("Melting_Curves/meltCurve_Q05639_EEF1A2.pdf", "Melting_Curves/meltCurve_Q05639_EEF1A2.pdf")</f>
        <v>Melting_Curves/meltCurve_Q05639_EEF1A2.pdf</v>
      </c>
    </row>
    <row r="2957" spans="1:28" x14ac:dyDescent="0.25">
      <c r="A2957" t="s">
        <v>2961</v>
      </c>
      <c r="B2957">
        <v>0.99334974765950101</v>
      </c>
      <c r="C2957">
        <v>0.94734346553974103</v>
      </c>
      <c r="D2957">
        <v>0.95742881319964801</v>
      </c>
      <c r="E2957">
        <v>0.74617822771859799</v>
      </c>
      <c r="F2957">
        <v>0.31444124404697898</v>
      </c>
      <c r="G2957">
        <v>0.124462854282565</v>
      </c>
      <c r="H2957">
        <v>9.0164501727941604E-2</v>
      </c>
      <c r="I2957">
        <v>7.4544195954876297E-2</v>
      </c>
      <c r="J2957">
        <v>7.6023803250661798E-2</v>
      </c>
      <c r="K2957">
        <v>7.8821354664058596E-2</v>
      </c>
      <c r="L2957">
        <v>1706.1508624773501</v>
      </c>
      <c r="M2957">
        <v>33.209900286475701</v>
      </c>
      <c r="N2957">
        <v>51.644936998003601</v>
      </c>
      <c r="O2957">
        <v>51.189558052908197</v>
      </c>
      <c r="P2957">
        <v>-0.149258559796804</v>
      </c>
      <c r="Q2957">
        <v>7.9738698355040799E-2</v>
      </c>
      <c r="R2957">
        <v>0.99765450052685001</v>
      </c>
      <c r="S2957" t="s">
        <v>8818</v>
      </c>
      <c r="T2957" t="s">
        <v>11720</v>
      </c>
      <c r="U2957" t="s">
        <v>11720</v>
      </c>
      <c r="V2957" t="s">
        <v>11720</v>
      </c>
      <c r="W2957" t="s">
        <v>14630</v>
      </c>
      <c r="X2957">
        <v>33</v>
      </c>
      <c r="Y2957" t="s">
        <v>20365</v>
      </c>
      <c r="Z2957" t="s">
        <v>26164</v>
      </c>
      <c r="AA2957">
        <v>0.4334136800396064</v>
      </c>
      <c r="AB2957" t="str">
        <f>HYPERLINK("Melting_Curves/meltCurve_Q05655_PRKCD.pdf", "Melting_Curves/meltCurve_Q05655_PRKCD.pdf")</f>
        <v>Melting_Curves/meltCurve_Q05655_PRKCD.pdf</v>
      </c>
    </row>
    <row r="2958" spans="1:28" x14ac:dyDescent="0.25">
      <c r="A2958" t="s">
        <v>2962</v>
      </c>
      <c r="B2958">
        <v>0.99334974765950101</v>
      </c>
      <c r="C2958">
        <v>0.99539124857967698</v>
      </c>
      <c r="D2958">
        <v>0.94763115098013695</v>
      </c>
      <c r="E2958">
        <v>0.81975254097063299</v>
      </c>
      <c r="F2958">
        <v>0.25963350724318301</v>
      </c>
      <c r="G2958">
        <v>0.16010690566708499</v>
      </c>
      <c r="H2958">
        <v>0.10579112276571501</v>
      </c>
      <c r="I2958">
        <v>8.4936469246676694E-2</v>
      </c>
      <c r="J2958">
        <v>7.7753401144668E-2</v>
      </c>
      <c r="K2958">
        <v>6.4171072487950107E-2</v>
      </c>
      <c r="L2958">
        <v>2463.8003883496599</v>
      </c>
      <c r="M2958">
        <v>47.928639035888402</v>
      </c>
      <c r="N2958">
        <v>51.633945969288497</v>
      </c>
      <c r="O2958">
        <v>51.316350834425798</v>
      </c>
      <c r="P2958">
        <v>-0.21119621350818901</v>
      </c>
      <c r="Q2958">
        <v>9.5504712320667901E-2</v>
      </c>
      <c r="R2958">
        <v>0.99554175478816997</v>
      </c>
      <c r="S2958" t="s">
        <v>8819</v>
      </c>
      <c r="T2958" t="s">
        <v>11720</v>
      </c>
      <c r="U2958" t="s">
        <v>11720</v>
      </c>
      <c r="V2958" t="s">
        <v>11720</v>
      </c>
      <c r="W2958" t="s">
        <v>14631</v>
      </c>
      <c r="X2958">
        <v>42</v>
      </c>
      <c r="Y2958" t="s">
        <v>20366</v>
      </c>
      <c r="Z2958" t="s">
        <v>26165</v>
      </c>
      <c r="AA2958">
        <v>0.44161474130483752</v>
      </c>
      <c r="AB2958" t="str">
        <f>HYPERLINK("Melting_Curves/meltCurve_Q06124_PTPN11.pdf", "Melting_Curves/meltCurve_Q06124_PTPN11.pdf")</f>
        <v>Melting_Curves/meltCurve_Q06124_PTPN11.pdf</v>
      </c>
    </row>
    <row r="2959" spans="1:28" x14ac:dyDescent="0.25">
      <c r="A2959" t="s">
        <v>2963</v>
      </c>
      <c r="B2959">
        <v>0.99334974765950101</v>
      </c>
      <c r="C2959">
        <v>0.97684478472130298</v>
      </c>
      <c r="D2959">
        <v>0.98713740043922105</v>
      </c>
      <c r="E2959">
        <v>0.94651634828229103</v>
      </c>
      <c r="F2959">
        <v>0.95094065162641495</v>
      </c>
      <c r="G2959">
        <v>0.86409935672522697</v>
      </c>
      <c r="H2959">
        <v>0.78854052091008298</v>
      </c>
      <c r="I2959">
        <v>0.78325294669288203</v>
      </c>
      <c r="J2959">
        <v>0.39855489821632301</v>
      </c>
      <c r="K2959">
        <v>0.15092063416468701</v>
      </c>
      <c r="L2959">
        <v>1590.55658164427</v>
      </c>
      <c r="M2959">
        <v>24.104895568629001</v>
      </c>
      <c r="N2959">
        <v>65.984794302511006</v>
      </c>
      <c r="O2959">
        <v>65.535691816233296</v>
      </c>
      <c r="P2959">
        <v>-9.1954742969416706E-2</v>
      </c>
      <c r="Q2959">
        <v>0</v>
      </c>
      <c r="R2959">
        <v>0.94515423326635695</v>
      </c>
      <c r="S2959" t="s">
        <v>8820</v>
      </c>
      <c r="T2959" t="s">
        <v>11720</v>
      </c>
      <c r="U2959" t="s">
        <v>11720</v>
      </c>
      <c r="V2959" t="s">
        <v>11720</v>
      </c>
      <c r="W2959" t="s">
        <v>14632</v>
      </c>
      <c r="X2959">
        <v>9</v>
      </c>
      <c r="Y2959" t="s">
        <v>20367</v>
      </c>
      <c r="Z2959" t="s">
        <v>26166</v>
      </c>
      <c r="AA2959">
        <v>0.85343972054980666</v>
      </c>
      <c r="AB2959" t="str">
        <f>HYPERLINK("Melting_Curves/meltCurve_Q06136_KDSR.pdf", "Melting_Curves/meltCurve_Q06136_KDSR.pdf")</f>
        <v>Melting_Curves/meltCurve_Q06136_KDSR.pdf</v>
      </c>
    </row>
    <row r="2960" spans="1:28" x14ac:dyDescent="0.25">
      <c r="A2960" t="s">
        <v>2964</v>
      </c>
      <c r="B2960">
        <v>0.99334974765950101</v>
      </c>
      <c r="C2960">
        <v>0.98279023993847703</v>
      </c>
      <c r="D2960">
        <v>1.0111855661982001</v>
      </c>
      <c r="E2960">
        <v>0.90828932506391402</v>
      </c>
      <c r="F2960">
        <v>0.45836393049479301</v>
      </c>
      <c r="G2960">
        <v>0.30451091518219903</v>
      </c>
      <c r="H2960">
        <v>0.25745338224152597</v>
      </c>
      <c r="I2960">
        <v>0.18147956824144101</v>
      </c>
      <c r="J2960">
        <v>0.22447035083134401</v>
      </c>
      <c r="K2960">
        <v>0.19390508078004101</v>
      </c>
      <c r="L2960">
        <v>2328.9983206963698</v>
      </c>
      <c r="M2960">
        <v>44.718210252011701</v>
      </c>
      <c r="N2960">
        <v>52.797183885502697</v>
      </c>
      <c r="O2960">
        <v>51.977807400195701</v>
      </c>
      <c r="P2960">
        <v>-0.16620627208045799</v>
      </c>
      <c r="Q2960">
        <v>0.22724738871841399</v>
      </c>
      <c r="R2960">
        <v>0.99306004259630298</v>
      </c>
      <c r="S2960" t="s">
        <v>8821</v>
      </c>
      <c r="T2960" t="s">
        <v>11720</v>
      </c>
      <c r="U2960" t="s">
        <v>11720</v>
      </c>
      <c r="V2960" t="s">
        <v>11720</v>
      </c>
      <c r="W2960" t="s">
        <v>14633</v>
      </c>
      <c r="X2960">
        <v>3</v>
      </c>
      <c r="Y2960" t="s">
        <v>20368</v>
      </c>
      <c r="Z2960" t="s">
        <v>26167</v>
      </c>
      <c r="AA2960">
        <v>0.54067365091401187</v>
      </c>
      <c r="AB2960" t="str">
        <f>HYPERLINK("Melting_Curves/meltCurve_Q06190_PPP2R3A.pdf", "Melting_Curves/meltCurve_Q06190_PPP2R3A.pdf")</f>
        <v>Melting_Curves/meltCurve_Q06190_PPP2R3A.pdf</v>
      </c>
    </row>
    <row r="2961" spans="1:28" x14ac:dyDescent="0.25">
      <c r="A2961" t="s">
        <v>2965</v>
      </c>
      <c r="B2961">
        <v>0.99334974765950101</v>
      </c>
      <c r="C2961">
        <v>0.97699035588748995</v>
      </c>
      <c r="D2961">
        <v>0.98362767393901895</v>
      </c>
      <c r="E2961">
        <v>1.01940194769556</v>
      </c>
      <c r="F2961">
        <v>0.85717681580233096</v>
      </c>
      <c r="G2961">
        <v>1.11928194516198</v>
      </c>
      <c r="H2961">
        <v>0.94320086144914494</v>
      </c>
      <c r="I2961">
        <v>0.89512875280640203</v>
      </c>
      <c r="J2961">
        <v>0.33108194639876098</v>
      </c>
      <c r="K2961">
        <v>0.13711481721746299</v>
      </c>
      <c r="L2961">
        <v>4420.4460183170404</v>
      </c>
      <c r="M2961">
        <v>67.119990948765803</v>
      </c>
      <c r="N2961">
        <v>66.129077429923697</v>
      </c>
      <c r="O2961">
        <v>65.800471807200296</v>
      </c>
      <c r="P2961">
        <v>-0.224426072270658</v>
      </c>
      <c r="Q2961">
        <v>0.119944026821364</v>
      </c>
      <c r="R2961">
        <v>0.95880153384365996</v>
      </c>
      <c r="S2961" t="s">
        <v>8822</v>
      </c>
      <c r="T2961" t="s">
        <v>11720</v>
      </c>
      <c r="U2961" t="s">
        <v>11720</v>
      </c>
      <c r="V2961" t="s">
        <v>11720</v>
      </c>
      <c r="W2961" t="s">
        <v>14634</v>
      </c>
      <c r="X2961">
        <v>12</v>
      </c>
      <c r="Y2961" t="s">
        <v>20369</v>
      </c>
      <c r="Z2961" t="s">
        <v>26168</v>
      </c>
      <c r="AA2961">
        <v>0.8793061451496077</v>
      </c>
      <c r="AB2961" t="str">
        <f>HYPERLINK("Melting_Curves/meltCurve_Q06203_PPAT.pdf", "Melting_Curves/meltCurve_Q06203_PPAT.pdf")</f>
        <v>Melting_Curves/meltCurve_Q06203_PPAT.pdf</v>
      </c>
    </row>
    <row r="2962" spans="1:28" x14ac:dyDescent="0.25">
      <c r="A2962" t="s">
        <v>2966</v>
      </c>
      <c r="B2962">
        <v>0.99334974765950101</v>
      </c>
      <c r="C2962">
        <v>1.15308672293434</v>
      </c>
      <c r="D2962">
        <v>1.2822498227742001</v>
      </c>
      <c r="E2962">
        <v>1.7205238930715501</v>
      </c>
      <c r="F2962">
        <v>1.3108664928224101</v>
      </c>
      <c r="G2962">
        <v>0.67500747301195896</v>
      </c>
      <c r="H2962">
        <v>0.24519804870598899</v>
      </c>
      <c r="I2962">
        <v>0.20925241497314701</v>
      </c>
      <c r="J2962">
        <v>0.143064352631639</v>
      </c>
      <c r="K2962">
        <v>9.8391684401469906E-2</v>
      </c>
      <c r="L2962">
        <v>4496.7734348055101</v>
      </c>
      <c r="M2962">
        <v>78.429363842256905</v>
      </c>
      <c r="N2962">
        <v>57.644297462697502</v>
      </c>
      <c r="O2962">
        <v>57.298085870886801</v>
      </c>
      <c r="P2962">
        <v>-0.283478830167952</v>
      </c>
      <c r="Q2962">
        <v>0.17159638845477901</v>
      </c>
      <c r="R2962">
        <v>0.76366500807186599</v>
      </c>
      <c r="S2962" t="s">
        <v>8823</v>
      </c>
      <c r="T2962" t="s">
        <v>11720</v>
      </c>
      <c r="U2962" t="s">
        <v>11720</v>
      </c>
      <c r="V2962" t="s">
        <v>11720</v>
      </c>
      <c r="W2962" t="s">
        <v>14635</v>
      </c>
      <c r="X2962">
        <v>22</v>
      </c>
      <c r="Y2962" t="s">
        <v>20370</v>
      </c>
      <c r="Z2962" t="s">
        <v>26169</v>
      </c>
      <c r="AA2962">
        <v>0.65113337099350199</v>
      </c>
      <c r="AB2962" t="str">
        <f>HYPERLINK("Melting_Curves/meltCurve_Q06210_2_GFPT1.pdf", "Melting_Curves/meltCurve_Q06210_2_GFPT1.pdf")</f>
        <v>Melting_Curves/meltCurve_Q06210_2_GFPT1.pdf</v>
      </c>
    </row>
    <row r="2963" spans="1:28" x14ac:dyDescent="0.25">
      <c r="A2963" t="s">
        <v>2967</v>
      </c>
      <c r="B2963">
        <v>0.99334974765950101</v>
      </c>
      <c r="C2963">
        <v>1.0599962724627101</v>
      </c>
      <c r="D2963">
        <v>1.2763339156375899</v>
      </c>
      <c r="E2963">
        <v>1.7267158023217499</v>
      </c>
      <c r="F2963">
        <v>1.9015114359379901</v>
      </c>
      <c r="G2963">
        <v>1.7074707710577099</v>
      </c>
      <c r="H2963">
        <v>0.94355352168014905</v>
      </c>
      <c r="I2963">
        <v>0.52658059910807598</v>
      </c>
      <c r="J2963">
        <v>0.285619770011181</v>
      </c>
      <c r="K2963">
        <v>0.26867738632015598</v>
      </c>
      <c r="L2963">
        <v>4395.6838649312103</v>
      </c>
      <c r="M2963">
        <v>69.299416620567797</v>
      </c>
      <c r="N2963">
        <v>64.141444349032994</v>
      </c>
      <c r="O2963">
        <v>63.377548967043701</v>
      </c>
      <c r="P2963">
        <v>-0.200071569191207</v>
      </c>
      <c r="Q2963">
        <v>0.26810095004224099</v>
      </c>
      <c r="R2963">
        <v>0.38913237893867603</v>
      </c>
      <c r="S2963" t="s">
        <v>8824</v>
      </c>
      <c r="T2963" t="s">
        <v>11720</v>
      </c>
      <c r="U2963" t="s">
        <v>11720</v>
      </c>
      <c r="V2963" t="s">
        <v>11720</v>
      </c>
      <c r="W2963" t="s">
        <v>14636</v>
      </c>
      <c r="X2963">
        <v>3</v>
      </c>
      <c r="Y2963" t="s">
        <v>20371</v>
      </c>
      <c r="Z2963" t="s">
        <v>26170</v>
      </c>
      <c r="AA2963">
        <v>0.84074291637236975</v>
      </c>
      <c r="AB2963" t="str">
        <f>HYPERLINK("Melting_Curves/meltCurve_Q06265_EXOSC9.pdf", "Melting_Curves/meltCurve_Q06265_EXOSC9.pdf")</f>
        <v>Melting_Curves/meltCurve_Q06265_EXOSC9.pdf</v>
      </c>
    </row>
    <row r="2964" spans="1:28" x14ac:dyDescent="0.25">
      <c r="A2964" t="s">
        <v>2968</v>
      </c>
      <c r="B2964">
        <v>0.99334974765950101</v>
      </c>
      <c r="C2964">
        <v>0.97739046011417896</v>
      </c>
      <c r="D2964">
        <v>0.837709279616911</v>
      </c>
      <c r="E2964">
        <v>0.68592739408480996</v>
      </c>
      <c r="F2964">
        <v>0.63353184261168205</v>
      </c>
      <c r="G2964">
        <v>0.80056124016225705</v>
      </c>
      <c r="H2964">
        <v>0.68765047517725897</v>
      </c>
      <c r="I2964">
        <v>0.77015037800071295</v>
      </c>
      <c r="J2964">
        <v>0.306060640330856</v>
      </c>
      <c r="K2964">
        <v>0.22078248110568</v>
      </c>
      <c r="L2964">
        <v>338.62300452452098</v>
      </c>
      <c r="M2964">
        <v>5.24995326616349</v>
      </c>
      <c r="N2964">
        <v>64.500204321843</v>
      </c>
      <c r="O2964">
        <v>56.9164457246778</v>
      </c>
      <c r="P2964">
        <v>-2.31793677243801E-2</v>
      </c>
      <c r="Q2964">
        <v>0</v>
      </c>
      <c r="R2964">
        <v>0.674967965564786</v>
      </c>
      <c r="S2964" t="s">
        <v>8825</v>
      </c>
      <c r="T2964" t="s">
        <v>11720</v>
      </c>
      <c r="U2964" t="s">
        <v>11720</v>
      </c>
      <c r="V2964" t="s">
        <v>11720</v>
      </c>
      <c r="W2964" t="s">
        <v>14637</v>
      </c>
      <c r="X2964">
        <v>9</v>
      </c>
      <c r="Y2964" t="s">
        <v>20372</v>
      </c>
      <c r="Z2964" t="s">
        <v>26171</v>
      </c>
      <c r="AA2964">
        <v>0.70177508363583185</v>
      </c>
      <c r="AB2964" t="str">
        <f>HYPERLINK("Melting_Curves/meltCurve_Q06278_AOX1.pdf", "Melting_Curves/meltCurve_Q06278_AOX1.pdf")</f>
        <v>Melting_Curves/meltCurve_Q06278_AOX1.pdf</v>
      </c>
    </row>
    <row r="2965" spans="1:28" x14ac:dyDescent="0.25">
      <c r="A2965" t="s">
        <v>2969</v>
      </c>
      <c r="B2965">
        <v>0.99334974765950101</v>
      </c>
      <c r="C2965">
        <v>0.86052504403580299</v>
      </c>
      <c r="D2965">
        <v>0.98895959787184795</v>
      </c>
      <c r="E2965">
        <v>1.05493635083</v>
      </c>
      <c r="F2965">
        <v>0.90729508915703705</v>
      </c>
      <c r="G2965">
        <v>0.59249832760508203</v>
      </c>
      <c r="H2965">
        <v>0.40137663370606302</v>
      </c>
      <c r="I2965">
        <v>0.34980087995379999</v>
      </c>
      <c r="J2965">
        <v>0.27929630592097099</v>
      </c>
      <c r="K2965">
        <v>0.197958611090054</v>
      </c>
      <c r="L2965">
        <v>1342.9322774929101</v>
      </c>
      <c r="M2965">
        <v>23.514731796690999</v>
      </c>
      <c r="N2965">
        <v>58.7974166219133</v>
      </c>
      <c r="O2965">
        <v>56.702028789978002</v>
      </c>
      <c r="P2965">
        <v>-7.8240329468472897E-2</v>
      </c>
      <c r="Q2965">
        <v>0.245356589656549</v>
      </c>
      <c r="R2965">
        <v>0.96633352677919404</v>
      </c>
      <c r="S2965" t="s">
        <v>8826</v>
      </c>
      <c r="T2965" t="s">
        <v>11720</v>
      </c>
      <c r="U2965" t="s">
        <v>11720</v>
      </c>
      <c r="V2965" t="s">
        <v>11720</v>
      </c>
      <c r="W2965" t="s">
        <v>14638</v>
      </c>
      <c r="X2965">
        <v>20</v>
      </c>
      <c r="Y2965" t="s">
        <v>20373</v>
      </c>
      <c r="Z2965" t="s">
        <v>26172</v>
      </c>
      <c r="AA2965">
        <v>0.68318531889865897</v>
      </c>
      <c r="AB2965" t="str">
        <f>HYPERLINK("Melting_Curves/meltCurve_Q06323_PSME1.pdf", "Melting_Curves/meltCurve_Q06323_PSME1.pdf")</f>
        <v>Melting_Curves/meltCurve_Q06323_PSME1.pdf</v>
      </c>
    </row>
    <row r="2966" spans="1:28" x14ac:dyDescent="0.25">
      <c r="A2966" t="s">
        <v>2970</v>
      </c>
      <c r="B2966">
        <v>0.99334974765950101</v>
      </c>
      <c r="C2966">
        <v>0.99250094172290204</v>
      </c>
      <c r="D2966">
        <v>0.98756496005906702</v>
      </c>
      <c r="E2966">
        <v>0.82544176891499299</v>
      </c>
      <c r="F2966">
        <v>0.72729312853929695</v>
      </c>
      <c r="G2966">
        <v>0.50758114116799102</v>
      </c>
      <c r="H2966">
        <v>0.233420713151653</v>
      </c>
      <c r="I2966">
        <v>0.14824515819752199</v>
      </c>
      <c r="J2966">
        <v>0.125651230141264</v>
      </c>
      <c r="K2966">
        <v>0.116389621254483</v>
      </c>
      <c r="L2966">
        <v>846.99895623357804</v>
      </c>
      <c r="M2966">
        <v>15.1012830845065</v>
      </c>
      <c r="N2966">
        <v>56.4550357165555</v>
      </c>
      <c r="O2966">
        <v>55.131917576951203</v>
      </c>
      <c r="P2966">
        <v>-6.5281366690761095E-2</v>
      </c>
      <c r="Q2966">
        <v>4.6774297328018903E-2</v>
      </c>
      <c r="R2966">
        <v>0.99513061933980096</v>
      </c>
      <c r="S2966" t="s">
        <v>8827</v>
      </c>
      <c r="T2966" t="s">
        <v>11720</v>
      </c>
      <c r="U2966" t="s">
        <v>11720</v>
      </c>
      <c r="V2966" t="s">
        <v>11720</v>
      </c>
      <c r="W2966" t="s">
        <v>14639</v>
      </c>
      <c r="X2966">
        <v>5</v>
      </c>
      <c r="Y2966" t="s">
        <v>20374</v>
      </c>
      <c r="Z2966" t="s">
        <v>26173</v>
      </c>
      <c r="AA2966">
        <v>0.57462684362060268</v>
      </c>
      <c r="AB2966" t="str">
        <f>HYPERLINK("Melting_Curves/meltCurve_Q06330_RBPJ.pdf", "Melting_Curves/meltCurve_Q06330_RBPJ.pdf")</f>
        <v>Melting_Curves/meltCurve_Q06330_RBPJ.pdf</v>
      </c>
    </row>
    <row r="2967" spans="1:28" x14ac:dyDescent="0.25">
      <c r="A2967" t="s">
        <v>2971</v>
      </c>
      <c r="B2967">
        <v>0.99334974765950101</v>
      </c>
      <c r="C2967">
        <v>1.0286510279233601</v>
      </c>
      <c r="D2967">
        <v>0.95125716176462305</v>
      </c>
      <c r="E2967">
        <v>0.93927198563202197</v>
      </c>
      <c r="F2967">
        <v>0.94292407522593802</v>
      </c>
      <c r="G2967">
        <v>0.69234925271315195</v>
      </c>
      <c r="H2967">
        <v>0.58576916386026401</v>
      </c>
      <c r="I2967">
        <v>0.64183310972136698</v>
      </c>
      <c r="J2967">
        <v>0.59968702528909101</v>
      </c>
      <c r="K2967">
        <v>0.49538381317008201</v>
      </c>
      <c r="L2967">
        <v>1612.7251974549699</v>
      </c>
      <c r="M2967">
        <v>29.032110717235199</v>
      </c>
      <c r="O2967">
        <v>55.288157713611398</v>
      </c>
      <c r="P2967">
        <v>-5.6700056710367701E-2</v>
      </c>
      <c r="Q2967">
        <v>0.56808956984552605</v>
      </c>
      <c r="R2967">
        <v>0.95428451657615698</v>
      </c>
      <c r="S2967" t="s">
        <v>8828</v>
      </c>
      <c r="T2967" t="s">
        <v>11720</v>
      </c>
      <c r="U2967" t="s">
        <v>11720</v>
      </c>
      <c r="V2967" t="s">
        <v>11720</v>
      </c>
      <c r="W2967" t="s">
        <v>14640</v>
      </c>
      <c r="X2967">
        <v>17</v>
      </c>
      <c r="Y2967" t="s">
        <v>20375</v>
      </c>
      <c r="Z2967" t="s">
        <v>26174</v>
      </c>
      <c r="AA2967">
        <v>0.79501385485568998</v>
      </c>
      <c r="AB2967" t="str">
        <f>HYPERLINK("Melting_Curves/meltCurve_Q06481_3_APLP2.pdf", "Melting_Curves/meltCurve_Q06481_3_APLP2.pdf")</f>
        <v>Melting_Curves/meltCurve_Q06481_3_APLP2.pdf</v>
      </c>
    </row>
    <row r="2968" spans="1:28" x14ac:dyDescent="0.25">
      <c r="A2968" t="s">
        <v>2972</v>
      </c>
      <c r="B2968">
        <v>0.99334974765950101</v>
      </c>
      <c r="C2968">
        <v>1.0010593819004701</v>
      </c>
      <c r="D2968">
        <v>0.74247127871930696</v>
      </c>
      <c r="E2968">
        <v>0.35819395137718102</v>
      </c>
      <c r="F2968">
        <v>0.23643796773980599</v>
      </c>
      <c r="G2968">
        <v>0.174292439178382</v>
      </c>
      <c r="H2968">
        <v>0.12287908824804</v>
      </c>
      <c r="I2968">
        <v>0.140777446398717</v>
      </c>
      <c r="J2968">
        <v>0.110700852535637</v>
      </c>
      <c r="K2968">
        <v>9.0787190787566696E-2</v>
      </c>
      <c r="L2968">
        <v>1107.18539138702</v>
      </c>
      <c r="M2968">
        <v>23.0848900429196</v>
      </c>
      <c r="N2968">
        <v>48.559226099443897</v>
      </c>
      <c r="O2968">
        <v>47.6059381561425</v>
      </c>
      <c r="P2968">
        <v>-0.106237444630017</v>
      </c>
      <c r="Q2968">
        <v>0.12367995328282599</v>
      </c>
      <c r="R2968">
        <v>0.99468562478004996</v>
      </c>
      <c r="S2968" t="s">
        <v>8829</v>
      </c>
      <c r="T2968" t="s">
        <v>11720</v>
      </c>
      <c r="U2968" t="s">
        <v>11720</v>
      </c>
      <c r="V2968" t="s">
        <v>11720</v>
      </c>
      <c r="W2968" t="s">
        <v>14641</v>
      </c>
      <c r="X2968">
        <v>5</v>
      </c>
      <c r="Y2968" t="s">
        <v>20376</v>
      </c>
      <c r="Z2968" t="s">
        <v>26175</v>
      </c>
      <c r="AA2968">
        <v>0.3654199441941316</v>
      </c>
      <c r="AB2968" t="str">
        <f>HYPERLINK("Melting_Curves/meltCurve_Q06546_GABPA.pdf", "Melting_Curves/meltCurve_Q06546_GABPA.pdf")</f>
        <v>Melting_Curves/meltCurve_Q06546_GABPA.pdf</v>
      </c>
    </row>
    <row r="2969" spans="1:28" x14ac:dyDescent="0.25">
      <c r="A2969" t="s">
        <v>2973</v>
      </c>
      <c r="B2969">
        <v>0.99334974765950101</v>
      </c>
      <c r="C2969">
        <v>0.97787073797329205</v>
      </c>
      <c r="D2969">
        <v>0.75624273512328899</v>
      </c>
      <c r="E2969">
        <v>0.43845254867386302</v>
      </c>
      <c r="F2969">
        <v>0.33737385255758401</v>
      </c>
      <c r="G2969">
        <v>0.163555292644182</v>
      </c>
      <c r="H2969">
        <v>0.13817161243439199</v>
      </c>
      <c r="I2969">
        <v>0.104943537098031</v>
      </c>
      <c r="J2969">
        <v>0.105982355200461</v>
      </c>
      <c r="K2969">
        <v>6.4237452590490102E-2</v>
      </c>
      <c r="L2969">
        <v>821.23039533510996</v>
      </c>
      <c r="M2969">
        <v>16.737784889872401</v>
      </c>
      <c r="N2969">
        <v>49.643223305822502</v>
      </c>
      <c r="O2969">
        <v>48.380148798298301</v>
      </c>
      <c r="P2969">
        <v>-7.8829701390081802E-2</v>
      </c>
      <c r="Q2969">
        <v>8.8638718090925703E-2</v>
      </c>
      <c r="R2969">
        <v>0.993584338598133</v>
      </c>
      <c r="S2969" t="s">
        <v>8830</v>
      </c>
      <c r="T2969" t="s">
        <v>11720</v>
      </c>
      <c r="U2969" t="s">
        <v>11720</v>
      </c>
      <c r="V2969" t="s">
        <v>11720</v>
      </c>
      <c r="W2969" t="s">
        <v>14642</v>
      </c>
      <c r="X2969">
        <v>3</v>
      </c>
      <c r="Y2969" t="s">
        <v>20377</v>
      </c>
      <c r="Z2969" t="s">
        <v>26176</v>
      </c>
      <c r="AA2969">
        <v>0.38219892122199112</v>
      </c>
      <c r="AB2969" t="str">
        <f>HYPERLINK("Melting_Curves/meltCurve_Q06587_RING1.pdf", "Melting_Curves/meltCurve_Q06587_RING1.pdf")</f>
        <v>Melting_Curves/meltCurve_Q06587_RING1.pdf</v>
      </c>
    </row>
    <row r="2970" spans="1:28" x14ac:dyDescent="0.25">
      <c r="A2970" t="s">
        <v>2974</v>
      </c>
      <c r="B2970">
        <v>0.99334974765950101</v>
      </c>
      <c r="C2970">
        <v>1.0591630930963201</v>
      </c>
      <c r="D2970">
        <v>1.2259867333599901</v>
      </c>
      <c r="E2970">
        <v>1.3323630873558701</v>
      </c>
      <c r="F2970">
        <v>0.81083798240988803</v>
      </c>
      <c r="G2970">
        <v>0.42133457890784398</v>
      </c>
      <c r="H2970">
        <v>0.296100554462151</v>
      </c>
      <c r="I2970">
        <v>0.30005341469528901</v>
      </c>
      <c r="J2970">
        <v>0.26745955366454599</v>
      </c>
      <c r="K2970">
        <v>0.19610481515240599</v>
      </c>
      <c r="L2970">
        <v>2336.6923572552901</v>
      </c>
      <c r="M2970">
        <v>42.516909516274801</v>
      </c>
      <c r="N2970">
        <v>55.953823836226199</v>
      </c>
      <c r="O2970">
        <v>54.837965466752102</v>
      </c>
      <c r="P2970">
        <v>-0.14242903710142901</v>
      </c>
      <c r="Q2970">
        <v>0.26518593171093602</v>
      </c>
      <c r="R2970">
        <v>0.89499211342715301</v>
      </c>
      <c r="S2970" t="s">
        <v>8831</v>
      </c>
      <c r="T2970" t="s">
        <v>11720</v>
      </c>
      <c r="U2970" t="s">
        <v>11720</v>
      </c>
      <c r="V2970" t="s">
        <v>11720</v>
      </c>
      <c r="W2970" t="s">
        <v>14643</v>
      </c>
      <c r="X2970">
        <v>22</v>
      </c>
      <c r="Y2970" t="s">
        <v>20378</v>
      </c>
      <c r="Z2970" t="s">
        <v>26177</v>
      </c>
      <c r="AA2970">
        <v>0.63405498225728418</v>
      </c>
      <c r="AB2970" t="str">
        <f>HYPERLINK("Melting_Curves/meltCurve_Q06830_PRDX1.pdf", "Melting_Curves/meltCurve_Q06830_PRDX1.pdf")</f>
        <v>Melting_Curves/meltCurve_Q06830_PRDX1.pdf</v>
      </c>
    </row>
    <row r="2971" spans="1:28" x14ac:dyDescent="0.25">
      <c r="A2971" t="s">
        <v>2975</v>
      </c>
      <c r="B2971">
        <v>0.99334974765950101</v>
      </c>
      <c r="C2971">
        <v>1.0405440786440101</v>
      </c>
      <c r="D2971">
        <v>1.09541633337413</v>
      </c>
      <c r="E2971">
        <v>0.95008534932454602</v>
      </c>
      <c r="F2971">
        <v>0.41292532042339097</v>
      </c>
      <c r="G2971">
        <v>0.174315866203689</v>
      </c>
      <c r="H2971">
        <v>0.13738606077752</v>
      </c>
      <c r="I2971">
        <v>0.13709818665423401</v>
      </c>
      <c r="J2971">
        <v>0.160915479406433</v>
      </c>
      <c r="K2971">
        <v>0.142367500852011</v>
      </c>
      <c r="L2971">
        <v>3124.3700745334199</v>
      </c>
      <c r="M2971">
        <v>59.743525371794497</v>
      </c>
      <c r="N2971">
        <v>52.607935773808599</v>
      </c>
      <c r="O2971">
        <v>52.2378816699445</v>
      </c>
      <c r="P2971">
        <v>-0.24331955507976299</v>
      </c>
      <c r="Q2971">
        <v>0.148996130581312</v>
      </c>
      <c r="R2971">
        <v>0.99315669645062399</v>
      </c>
      <c r="S2971" t="s">
        <v>8832</v>
      </c>
      <c r="T2971" t="s">
        <v>11720</v>
      </c>
      <c r="U2971" t="s">
        <v>11720</v>
      </c>
      <c r="V2971" t="s">
        <v>11720</v>
      </c>
      <c r="W2971" t="s">
        <v>14644</v>
      </c>
      <c r="X2971">
        <v>4</v>
      </c>
      <c r="Y2971" t="s">
        <v>20379</v>
      </c>
      <c r="Z2971" t="s">
        <v>26178</v>
      </c>
      <c r="AA2971">
        <v>0.49917768916838118</v>
      </c>
      <c r="AB2971" t="str">
        <f>HYPERLINK("Melting_Curves/meltCurve_Q07021_C1QBP.pdf", "Melting_Curves/meltCurve_Q07021_C1QBP.pdf")</f>
        <v>Melting_Curves/meltCurve_Q07021_C1QBP.pdf</v>
      </c>
    </row>
    <row r="2972" spans="1:28" x14ac:dyDescent="0.25">
      <c r="A2972" t="s">
        <v>2976</v>
      </c>
      <c r="B2972">
        <v>0.99334974765950101</v>
      </c>
      <c r="C2972">
        <v>1.08358737097433</v>
      </c>
      <c r="D2972">
        <v>0.99437507580992002</v>
      </c>
      <c r="E2972">
        <v>1.05630025222612</v>
      </c>
      <c r="F2972">
        <v>1.0778526237420301</v>
      </c>
      <c r="G2972">
        <v>0.72851790363691404</v>
      </c>
      <c r="H2972">
        <v>0.66067660159893604</v>
      </c>
      <c r="I2972">
        <v>0.69734129527168998</v>
      </c>
      <c r="J2972">
        <v>0.78952704163010001</v>
      </c>
      <c r="K2972">
        <v>0.79656157471051703</v>
      </c>
      <c r="L2972">
        <v>13804.000303250799</v>
      </c>
      <c r="M2972">
        <v>250</v>
      </c>
      <c r="O2972">
        <v>55.212477096920203</v>
      </c>
      <c r="P2972">
        <v>-0.30053832420939802</v>
      </c>
      <c r="Q2972">
        <v>0.73450459963905002</v>
      </c>
      <c r="R2972">
        <v>0.88290293331006198</v>
      </c>
      <c r="S2972" t="s">
        <v>8833</v>
      </c>
      <c r="T2972" t="s">
        <v>11720</v>
      </c>
      <c r="U2972" t="s">
        <v>11720</v>
      </c>
      <c r="V2972" t="s">
        <v>11720</v>
      </c>
      <c r="W2972" t="s">
        <v>14645</v>
      </c>
      <c r="X2972">
        <v>33</v>
      </c>
      <c r="Y2972" t="s">
        <v>20380</v>
      </c>
      <c r="Z2972" t="s">
        <v>26179</v>
      </c>
      <c r="AA2972">
        <v>0.86918960479694374</v>
      </c>
      <c r="AB2972" t="str">
        <f>HYPERLINK("Melting_Curves/meltCurve_Q07065_CKAP4.pdf", "Melting_Curves/meltCurve_Q07065_CKAP4.pdf")</f>
        <v>Melting_Curves/meltCurve_Q07065_CKAP4.pdf</v>
      </c>
    </row>
    <row r="2973" spans="1:28" x14ac:dyDescent="0.25">
      <c r="A2973" t="s">
        <v>2977</v>
      </c>
      <c r="B2973">
        <v>0.99334974765950101</v>
      </c>
      <c r="C2973">
        <v>1.05034852716128</v>
      </c>
      <c r="D2973">
        <v>1.0511615769584499</v>
      </c>
      <c r="E2973">
        <v>1.15618384980015</v>
      </c>
      <c r="F2973">
        <v>1.29878024198702</v>
      </c>
      <c r="G2973">
        <v>1.1335017029593599</v>
      </c>
      <c r="H2973">
        <v>1.0009762057287399</v>
      </c>
      <c r="I2973">
        <v>0.81277738710883096</v>
      </c>
      <c r="J2973">
        <v>0.67211775106257698</v>
      </c>
      <c r="K2973">
        <v>0.57247614658630197</v>
      </c>
      <c r="L2973">
        <v>2932.11128930937</v>
      </c>
      <c r="M2973">
        <v>45.369283627274498</v>
      </c>
      <c r="O2973">
        <v>64.502492643682999</v>
      </c>
      <c r="P2973">
        <v>-7.4656816261358394E-2</v>
      </c>
      <c r="Q2973">
        <v>0.57543570391939103</v>
      </c>
      <c r="R2973">
        <v>0.69453470620819002</v>
      </c>
      <c r="S2973" t="s">
        <v>8834</v>
      </c>
      <c r="T2973" t="s">
        <v>11720</v>
      </c>
      <c r="U2973" t="s">
        <v>11720</v>
      </c>
      <c r="V2973" t="s">
        <v>11720</v>
      </c>
      <c r="W2973" t="s">
        <v>14646</v>
      </c>
      <c r="X2973">
        <v>10</v>
      </c>
      <c r="Y2973" t="s">
        <v>20381</v>
      </c>
      <c r="Z2973" t="s">
        <v>26180</v>
      </c>
      <c r="AA2973">
        <v>0.92468845463985372</v>
      </c>
      <c r="AB2973" t="str">
        <f>HYPERLINK("Melting_Curves/meltCurve_Q07092_2_COL16A1.pdf", "Melting_Curves/meltCurve_Q07092_2_COL16A1.pdf")</f>
        <v>Melting_Curves/meltCurve_Q07092_2_COL16A1.pdf</v>
      </c>
    </row>
    <row r="2974" spans="1:28" x14ac:dyDescent="0.25">
      <c r="A2974" t="s">
        <v>2978</v>
      </c>
      <c r="B2974">
        <v>0.99334974765950101</v>
      </c>
      <c r="C2974">
        <v>0.90309973685497602</v>
      </c>
      <c r="D2974">
        <v>0.83380773691621002</v>
      </c>
      <c r="E2974">
        <v>0.52516835082100999</v>
      </c>
      <c r="F2974">
        <v>0.30961337564882901</v>
      </c>
      <c r="G2974">
        <v>0.216775099575816</v>
      </c>
      <c r="H2974">
        <v>0.16715945942176</v>
      </c>
      <c r="I2974">
        <v>0.171204978238333</v>
      </c>
      <c r="J2974">
        <v>0.112180722295462</v>
      </c>
      <c r="K2974">
        <v>9.4065044065737999E-2</v>
      </c>
      <c r="L2974">
        <v>836.31144409670799</v>
      </c>
      <c r="M2974">
        <v>16.892915711538901</v>
      </c>
      <c r="N2974">
        <v>50.303736836792602</v>
      </c>
      <c r="O2974">
        <v>48.828496353850802</v>
      </c>
      <c r="P2974">
        <v>-7.6339799815638501E-2</v>
      </c>
      <c r="Q2974">
        <v>0.117423764906902</v>
      </c>
      <c r="R2974">
        <v>0.99519480187820697</v>
      </c>
      <c r="S2974" t="s">
        <v>8835</v>
      </c>
      <c r="T2974" t="s">
        <v>11720</v>
      </c>
      <c r="U2974" t="s">
        <v>11720</v>
      </c>
      <c r="V2974" t="s">
        <v>11720</v>
      </c>
      <c r="W2974" t="s">
        <v>14647</v>
      </c>
      <c r="X2974">
        <v>6</v>
      </c>
      <c r="Y2974" t="s">
        <v>20382</v>
      </c>
      <c r="Z2974" t="s">
        <v>26181</v>
      </c>
      <c r="AA2974">
        <v>0.41423119042672663</v>
      </c>
      <c r="AB2974" t="str">
        <f>HYPERLINK("Melting_Curves/meltCurve_Q07352_ZFP36L1.pdf", "Melting_Curves/meltCurve_Q07352_ZFP36L1.pdf")</f>
        <v>Melting_Curves/meltCurve_Q07352_ZFP36L1.pdf</v>
      </c>
    </row>
    <row r="2975" spans="1:28" x14ac:dyDescent="0.25">
      <c r="A2975" t="s">
        <v>2979</v>
      </c>
      <c r="B2975">
        <v>0.99334974765950101</v>
      </c>
      <c r="C2975">
        <v>1.0014419186642201</v>
      </c>
      <c r="D2975">
        <v>0.90111876867156904</v>
      </c>
      <c r="E2975">
        <v>0.78959698589718497</v>
      </c>
      <c r="F2975">
        <v>1.0116962079238001</v>
      </c>
      <c r="G2975">
        <v>0.97474026346445797</v>
      </c>
      <c r="H2975">
        <v>0.88705505764447201</v>
      </c>
      <c r="I2975">
        <v>0.92870567319191399</v>
      </c>
      <c r="J2975">
        <v>0.91995404746354703</v>
      </c>
      <c r="K2975">
        <v>0.49888196941658702</v>
      </c>
      <c r="L2975">
        <v>3485.6367407441699</v>
      </c>
      <c r="M2975">
        <v>49.786699269222702</v>
      </c>
      <c r="O2975">
        <v>69.898732324399802</v>
      </c>
      <c r="P2975">
        <v>-0.17806741359473399</v>
      </c>
      <c r="Q2975">
        <v>0</v>
      </c>
      <c r="R2975">
        <v>0.66008128337251704</v>
      </c>
      <c r="S2975" t="s">
        <v>8836</v>
      </c>
      <c r="T2975" t="s">
        <v>11720</v>
      </c>
      <c r="U2975" t="s">
        <v>11720</v>
      </c>
      <c r="V2975" t="s">
        <v>11720</v>
      </c>
      <c r="W2975" t="s">
        <v>14648</v>
      </c>
      <c r="X2975">
        <v>2</v>
      </c>
      <c r="Y2975" t="s">
        <v>20383</v>
      </c>
      <c r="Z2975" t="s">
        <v>26182</v>
      </c>
      <c r="AA2975">
        <v>0.96915319819345191</v>
      </c>
      <c r="AB2975" t="str">
        <f>HYPERLINK("Melting_Curves/meltCurve_Q07507_DPT.pdf", "Melting_Curves/meltCurve_Q07507_DPT.pdf")</f>
        <v>Melting_Curves/meltCurve_Q07507_DPT.pdf</v>
      </c>
    </row>
    <row r="2976" spans="1:28" x14ac:dyDescent="0.25">
      <c r="A2976" t="s">
        <v>2980</v>
      </c>
      <c r="B2976">
        <v>0.99334974765950101</v>
      </c>
      <c r="C2976">
        <v>0.99156905246142701</v>
      </c>
      <c r="D2976">
        <v>0.91327951215210001</v>
      </c>
      <c r="E2976">
        <v>0.83853218064662105</v>
      </c>
      <c r="F2976">
        <v>0.85624322255808905</v>
      </c>
      <c r="G2976">
        <v>0.70069424519533197</v>
      </c>
      <c r="H2976">
        <v>0.74200528036160396</v>
      </c>
      <c r="I2976">
        <v>0.86572809671217499</v>
      </c>
      <c r="J2976">
        <v>1.0231434964458399</v>
      </c>
      <c r="K2976">
        <v>0.76023618495834</v>
      </c>
      <c r="L2976">
        <v>1556.4991600651001</v>
      </c>
      <c r="M2976">
        <v>33.760200167300702</v>
      </c>
      <c r="O2976">
        <v>45.943684788055698</v>
      </c>
      <c r="P2976">
        <v>-3.2248446784138803E-2</v>
      </c>
      <c r="Q2976">
        <v>0.82445521876045103</v>
      </c>
      <c r="R2976">
        <v>0.39752648745747998</v>
      </c>
      <c r="S2976" t="s">
        <v>8837</v>
      </c>
      <c r="T2976" t="s">
        <v>11720</v>
      </c>
      <c r="U2976" t="s">
        <v>11720</v>
      </c>
      <c r="V2976" t="s">
        <v>11720</v>
      </c>
      <c r="W2976" t="s">
        <v>14649</v>
      </c>
      <c r="X2976">
        <v>11</v>
      </c>
      <c r="Y2976" t="s">
        <v>20384</v>
      </c>
      <c r="Z2976" t="s">
        <v>26183</v>
      </c>
      <c r="AA2976">
        <v>0.86099727525342429</v>
      </c>
      <c r="AB2976" t="str">
        <f>HYPERLINK("Melting_Curves/meltCurve_Q07812_5_BAX.pdf", "Melting_Curves/meltCurve_Q07812_5_BAX.pdf")</f>
        <v>Melting_Curves/meltCurve_Q07812_5_BAX.pdf</v>
      </c>
    </row>
    <row r="2977" spans="1:28" x14ac:dyDescent="0.25">
      <c r="A2977" t="s">
        <v>2981</v>
      </c>
      <c r="B2977">
        <v>0.99334974765950101</v>
      </c>
      <c r="C2977">
        <v>1.25601025248897</v>
      </c>
      <c r="D2977">
        <v>0.80545085878985401</v>
      </c>
      <c r="E2977">
        <v>1.19955993428616</v>
      </c>
      <c r="F2977">
        <v>0.42704620735000298</v>
      </c>
      <c r="G2977">
        <v>0.22327321018442201</v>
      </c>
      <c r="H2977">
        <v>0.15892799169261901</v>
      </c>
      <c r="I2977">
        <v>0.262273191781903</v>
      </c>
      <c r="J2977">
        <v>0.31451121074798599</v>
      </c>
      <c r="K2977">
        <v>0.32476153514961498</v>
      </c>
      <c r="L2977">
        <v>13185.6976781787</v>
      </c>
      <c r="M2977">
        <v>250</v>
      </c>
      <c r="N2977">
        <v>52.895251354842799</v>
      </c>
      <c r="O2977">
        <v>52.739415544476998</v>
      </c>
      <c r="P2977">
        <v>-0.88080557018963201</v>
      </c>
      <c r="Q2977">
        <v>0.25674926547861898</v>
      </c>
      <c r="R2977">
        <v>0.90030278435479005</v>
      </c>
      <c r="S2977" t="s">
        <v>8838</v>
      </c>
      <c r="T2977" t="s">
        <v>11720</v>
      </c>
      <c r="U2977" t="s">
        <v>11720</v>
      </c>
      <c r="V2977" t="s">
        <v>11720</v>
      </c>
      <c r="W2977" t="s">
        <v>14650</v>
      </c>
      <c r="X2977">
        <v>29</v>
      </c>
      <c r="Y2977" t="s">
        <v>20385</v>
      </c>
      <c r="Z2977" t="s">
        <v>26184</v>
      </c>
      <c r="AA2977">
        <v>0.57252101473307937</v>
      </c>
      <c r="AB2977" t="str">
        <f>HYPERLINK("Melting_Curves/meltCurve_Q07866_6_KLC1.pdf", "Melting_Curves/meltCurve_Q07866_6_KLC1.pdf")</f>
        <v>Melting_Curves/meltCurve_Q07866_6_KLC1.pdf</v>
      </c>
    </row>
    <row r="2978" spans="1:28" x14ac:dyDescent="0.25">
      <c r="A2978" t="s">
        <v>2982</v>
      </c>
      <c r="B2978">
        <v>0.99334974765950101</v>
      </c>
      <c r="C2978">
        <v>0.83579265235642497</v>
      </c>
      <c r="D2978">
        <v>0.66591644549015006</v>
      </c>
      <c r="E2978">
        <v>0.22337335265763</v>
      </c>
      <c r="F2978">
        <v>0.23775721885647899</v>
      </c>
      <c r="G2978">
        <v>0.15325169568378499</v>
      </c>
      <c r="H2978">
        <v>8.0440839599455499E-2</v>
      </c>
      <c r="I2978">
        <v>5.9088955607899799E-2</v>
      </c>
      <c r="J2978">
        <v>5.42145229787908E-2</v>
      </c>
      <c r="K2978">
        <v>4.3295475714981498E-2</v>
      </c>
      <c r="L2978">
        <v>854.81609494347799</v>
      </c>
      <c r="M2978">
        <v>18.173673912998801</v>
      </c>
      <c r="N2978">
        <v>47.408295579120299</v>
      </c>
      <c r="O2978">
        <v>46.477546255135003</v>
      </c>
      <c r="P2978">
        <v>-9.12575704164241E-2</v>
      </c>
      <c r="Q2978">
        <v>6.6512037119307005E-2</v>
      </c>
      <c r="R2978">
        <v>0.98506226356396698</v>
      </c>
      <c r="S2978" t="s">
        <v>8839</v>
      </c>
      <c r="T2978" t="s">
        <v>11720</v>
      </c>
      <c r="U2978" t="s">
        <v>11720</v>
      </c>
      <c r="V2978" t="s">
        <v>11720</v>
      </c>
      <c r="W2978" t="s">
        <v>14651</v>
      </c>
      <c r="X2978">
        <v>1</v>
      </c>
      <c r="Y2978" t="s">
        <v>20386</v>
      </c>
      <c r="Z2978" t="s">
        <v>26185</v>
      </c>
      <c r="AA2978">
        <v>0.30228147913623332</v>
      </c>
      <c r="AB2978" t="str">
        <f>HYPERLINK("Melting_Curves/meltCurve_Q07912_TNK2.pdf", "Melting_Curves/meltCurve_Q07912_TNK2.pdf")</f>
        <v>Melting_Curves/meltCurve_Q07912_TNK2.pdf</v>
      </c>
    </row>
    <row r="2979" spans="1:28" x14ac:dyDescent="0.25">
      <c r="A2979" t="s">
        <v>2983</v>
      </c>
      <c r="B2979">
        <v>0.99334974765950101</v>
      </c>
      <c r="C2979">
        <v>1.01770757094564</v>
      </c>
      <c r="D2979">
        <v>1.1088837306004</v>
      </c>
      <c r="E2979">
        <v>1.28454514854018</v>
      </c>
      <c r="F2979">
        <v>1.1026705187407599</v>
      </c>
      <c r="G2979">
        <v>0.81754340264949199</v>
      </c>
      <c r="H2979">
        <v>0.59870104653114697</v>
      </c>
      <c r="I2979">
        <v>0.64342124419286295</v>
      </c>
      <c r="J2979">
        <v>0.50855566819071496</v>
      </c>
      <c r="K2979">
        <v>0.425977717157629</v>
      </c>
      <c r="L2979">
        <v>1882.60930334671</v>
      </c>
      <c r="M2979">
        <v>32.119320176324202</v>
      </c>
      <c r="O2979">
        <v>58.387206182837197</v>
      </c>
      <c r="P2979">
        <v>-6.8260289516226993E-2</v>
      </c>
      <c r="Q2979">
        <v>0.50366241798800104</v>
      </c>
      <c r="R2979">
        <v>0.83350110088559604</v>
      </c>
      <c r="S2979" t="s">
        <v>8840</v>
      </c>
      <c r="T2979" t="s">
        <v>11720</v>
      </c>
      <c r="U2979" t="s">
        <v>11720</v>
      </c>
      <c r="V2979" t="s">
        <v>11720</v>
      </c>
      <c r="W2979" t="s">
        <v>14652</v>
      </c>
      <c r="X2979">
        <v>135</v>
      </c>
      <c r="Y2979" t="s">
        <v>20387</v>
      </c>
      <c r="Z2979" t="s">
        <v>26186</v>
      </c>
      <c r="AA2979">
        <v>0.81449116463706817</v>
      </c>
      <c r="AB2979" t="str">
        <f>HYPERLINK("Melting_Curves/meltCurve_Q07954_LRP1.pdf", "Melting_Curves/meltCurve_Q07954_LRP1.pdf")</f>
        <v>Melting_Curves/meltCurve_Q07954_LRP1.pdf</v>
      </c>
    </row>
    <row r="2980" spans="1:28" x14ac:dyDescent="0.25">
      <c r="A2980" t="s">
        <v>2984</v>
      </c>
      <c r="B2980">
        <v>0.99334974765950101</v>
      </c>
      <c r="C2980">
        <v>0.94888936831830395</v>
      </c>
      <c r="D2980">
        <v>0.86822251168501596</v>
      </c>
      <c r="E2980">
        <v>0.70463182531695401</v>
      </c>
      <c r="F2980">
        <v>0.33234488780572502</v>
      </c>
      <c r="G2980">
        <v>0.137282591884266</v>
      </c>
      <c r="H2980">
        <v>8.4391916118053203E-2</v>
      </c>
      <c r="I2980">
        <v>7.2667237242166102E-2</v>
      </c>
      <c r="J2980">
        <v>7.3671020141870297E-2</v>
      </c>
      <c r="K2980">
        <v>6.1719543046529698E-2</v>
      </c>
      <c r="L2980">
        <v>1131.6164128057701</v>
      </c>
      <c r="M2980">
        <v>22.092990016897399</v>
      </c>
      <c r="N2980">
        <v>51.506588978622801</v>
      </c>
      <c r="O2980">
        <v>50.806495060101497</v>
      </c>
      <c r="P2980">
        <v>-0.10243899238191601</v>
      </c>
      <c r="Q2980">
        <v>5.7718795979258601E-2</v>
      </c>
      <c r="R2980">
        <v>0.99384701885982096</v>
      </c>
      <c r="S2980" t="s">
        <v>8841</v>
      </c>
      <c r="T2980" t="s">
        <v>11720</v>
      </c>
      <c r="U2980" t="s">
        <v>11720</v>
      </c>
      <c r="V2980" t="s">
        <v>11720</v>
      </c>
      <c r="W2980" t="s">
        <v>14653</v>
      </c>
      <c r="X2980">
        <v>28</v>
      </c>
      <c r="Y2980" t="s">
        <v>20388</v>
      </c>
      <c r="Z2980" t="s">
        <v>26187</v>
      </c>
      <c r="AA2980">
        <v>0.42099020415458921</v>
      </c>
      <c r="AB2980" t="str">
        <f>HYPERLINK("Melting_Curves/meltCurve_Q07960_ARHGAP1.pdf", "Melting_Curves/meltCurve_Q07960_ARHGAP1.pdf")</f>
        <v>Melting_Curves/meltCurve_Q07960_ARHGAP1.pdf</v>
      </c>
    </row>
    <row r="2981" spans="1:28" x14ac:dyDescent="0.25">
      <c r="A2981" t="s">
        <v>2985</v>
      </c>
      <c r="B2981">
        <v>0.99334974765950101</v>
      </c>
      <c r="C2981">
        <v>0.571191657124972</v>
      </c>
      <c r="D2981">
        <v>0.99628418399051699</v>
      </c>
      <c r="E2981">
        <v>0.53832221416406301</v>
      </c>
      <c r="F2981">
        <v>0.87335259625917705</v>
      </c>
      <c r="G2981">
        <v>0.52523765001436296</v>
      </c>
      <c r="H2981">
        <v>0.15546584789739801</v>
      </c>
      <c r="I2981">
        <v>8.8832772003097499E-2</v>
      </c>
      <c r="J2981">
        <v>6.14771098096457E-2</v>
      </c>
      <c r="K2981">
        <v>3.8214586921868202E-2</v>
      </c>
      <c r="L2981">
        <v>638.77718380169904</v>
      </c>
      <c r="M2981">
        <v>11.5560690117501</v>
      </c>
      <c r="N2981">
        <v>55.276338616596</v>
      </c>
      <c r="O2981">
        <v>53.698825051989999</v>
      </c>
      <c r="P2981">
        <v>-5.38153878160747E-2</v>
      </c>
      <c r="Q2981">
        <v>0</v>
      </c>
      <c r="R2981">
        <v>0.76308249583823595</v>
      </c>
      <c r="S2981" t="s">
        <v>8842</v>
      </c>
      <c r="T2981" t="s">
        <v>11720</v>
      </c>
      <c r="U2981" t="s">
        <v>11720</v>
      </c>
      <c r="V2981" t="s">
        <v>11720</v>
      </c>
      <c r="W2981" t="s">
        <v>14654</v>
      </c>
      <c r="X2981">
        <v>23</v>
      </c>
      <c r="Y2981" t="s">
        <v>20389</v>
      </c>
      <c r="Z2981" t="s">
        <v>26188</v>
      </c>
      <c r="AA2981">
        <v>0.53236082725815093</v>
      </c>
      <c r="AB2981" t="str">
        <f>HYPERLINK("Melting_Curves/meltCurve_Q08209_2_PPP3CA.pdf", "Melting_Curves/meltCurve_Q08209_2_PPP3CA.pdf")</f>
        <v>Melting_Curves/meltCurve_Q08209_2_PPP3CA.pdf</v>
      </c>
    </row>
    <row r="2982" spans="1:28" x14ac:dyDescent="0.25">
      <c r="A2982" t="s">
        <v>2986</v>
      </c>
      <c r="B2982">
        <v>0.99334974765950101</v>
      </c>
      <c r="C2982">
        <v>0.90603186961327498</v>
      </c>
      <c r="D2982">
        <v>1.0681260373316801</v>
      </c>
      <c r="E2982">
        <v>0.88636215112578798</v>
      </c>
      <c r="F2982">
        <v>0.68246361720717197</v>
      </c>
      <c r="G2982">
        <v>0.85699437828408298</v>
      </c>
      <c r="H2982">
        <v>0.64745339626782095</v>
      </c>
      <c r="I2982">
        <v>0.86451808829576804</v>
      </c>
      <c r="J2982">
        <v>0.64826069601135305</v>
      </c>
      <c r="K2982">
        <v>0.96960027924010095</v>
      </c>
      <c r="L2982">
        <v>12497.5235484322</v>
      </c>
      <c r="M2982">
        <v>250</v>
      </c>
      <c r="O2982">
        <v>49.986893750318501</v>
      </c>
      <c r="P2982">
        <v>-0.27730382756076399</v>
      </c>
      <c r="Q2982">
        <v>0.77821508256843097</v>
      </c>
      <c r="R2982">
        <v>0.456793883647934</v>
      </c>
      <c r="S2982" t="s">
        <v>8843</v>
      </c>
      <c r="T2982" t="s">
        <v>11720</v>
      </c>
      <c r="U2982" t="s">
        <v>11720</v>
      </c>
      <c r="V2982" t="s">
        <v>11720</v>
      </c>
      <c r="W2982" t="s">
        <v>14655</v>
      </c>
      <c r="X2982">
        <v>1</v>
      </c>
      <c r="Y2982" t="s">
        <v>20390</v>
      </c>
      <c r="Z2982" t="s">
        <v>26189</v>
      </c>
      <c r="AA2982">
        <v>0.85208961402971206</v>
      </c>
      <c r="AB2982" t="str">
        <f>HYPERLINK("Melting_Curves/meltCurve_Q08211_DHX9.pdf", "Melting_Curves/meltCurve_Q08211_DHX9.pdf")</f>
        <v>Melting_Curves/meltCurve_Q08211_DHX9.pdf</v>
      </c>
    </row>
    <row r="2983" spans="1:28" x14ac:dyDescent="0.25">
      <c r="A2983" t="s">
        <v>2987</v>
      </c>
      <c r="B2983">
        <v>0.99334974765950101</v>
      </c>
      <c r="C2983">
        <v>1.05277632002115</v>
      </c>
      <c r="D2983">
        <v>1.1188050350058001</v>
      </c>
      <c r="E2983">
        <v>1.2138049173396901</v>
      </c>
      <c r="F2983">
        <v>0.966118005641733</v>
      </c>
      <c r="G2983">
        <v>0.52854356788548895</v>
      </c>
      <c r="H2983">
        <v>0.18322550618696701</v>
      </c>
      <c r="I2983">
        <v>0.138034947762779</v>
      </c>
      <c r="J2983">
        <v>0.13621374679421</v>
      </c>
      <c r="K2983">
        <v>0.10414441775458599</v>
      </c>
      <c r="L2983">
        <v>2611.6597760368199</v>
      </c>
      <c r="M2983">
        <v>45.9655831169664</v>
      </c>
      <c r="N2983">
        <v>57.190041333703903</v>
      </c>
      <c r="O2983">
        <v>56.710487972665497</v>
      </c>
      <c r="P2983">
        <v>-0.17643017276286199</v>
      </c>
      <c r="Q2983">
        <v>0.12931112641710199</v>
      </c>
      <c r="R2983">
        <v>0.96736526244813204</v>
      </c>
      <c r="S2983" t="s">
        <v>8844</v>
      </c>
      <c r="T2983" t="s">
        <v>11720</v>
      </c>
      <c r="U2983" t="s">
        <v>11720</v>
      </c>
      <c r="V2983" t="s">
        <v>11720</v>
      </c>
      <c r="W2983" t="s">
        <v>14656</v>
      </c>
      <c r="X2983">
        <v>18</v>
      </c>
      <c r="Y2983" t="s">
        <v>20391</v>
      </c>
      <c r="Z2983" t="s">
        <v>26190</v>
      </c>
      <c r="AA2983">
        <v>0.61998595616706453</v>
      </c>
      <c r="AB2983" t="str">
        <f>HYPERLINK("Melting_Curves/meltCurve_Q08257_CRYZ.pdf", "Melting_Curves/meltCurve_Q08257_CRYZ.pdf")</f>
        <v>Melting_Curves/meltCurve_Q08257_CRYZ.pdf</v>
      </c>
    </row>
    <row r="2984" spans="1:28" x14ac:dyDescent="0.25">
      <c r="A2984" t="s">
        <v>2988</v>
      </c>
      <c r="B2984">
        <v>0.99334974765950101</v>
      </c>
      <c r="C2984">
        <v>0.91321685570114297</v>
      </c>
      <c r="D2984">
        <v>0.83457214380966105</v>
      </c>
      <c r="E2984">
        <v>0.97171756297122502</v>
      </c>
      <c r="F2984">
        <v>1.0541870349953699</v>
      </c>
      <c r="G2984">
        <v>0.90078825402760299</v>
      </c>
      <c r="H2984">
        <v>0.88766867503961</v>
      </c>
      <c r="I2984">
        <v>0.82561177654260998</v>
      </c>
      <c r="J2984">
        <v>1.01126687709718</v>
      </c>
      <c r="K2984">
        <v>0.72671782769110105</v>
      </c>
      <c r="L2984">
        <v>193.171130273568</v>
      </c>
      <c r="M2984">
        <v>1.0719271198612099</v>
      </c>
      <c r="O2984">
        <v>68.220885132285801</v>
      </c>
      <c r="P2984">
        <v>-5.1996627830657397E-3</v>
      </c>
      <c r="Q2984">
        <v>0</v>
      </c>
      <c r="R2984">
        <v>0.161815079372683</v>
      </c>
      <c r="S2984" t="s">
        <v>8845</v>
      </c>
      <c r="T2984" t="s">
        <v>11720</v>
      </c>
      <c r="U2984" t="s">
        <v>11720</v>
      </c>
      <c r="V2984" t="s">
        <v>11720</v>
      </c>
      <c r="W2984" t="s">
        <v>14657</v>
      </c>
      <c r="X2984">
        <v>6</v>
      </c>
      <c r="Y2984" t="s">
        <v>20392</v>
      </c>
      <c r="Z2984" t="s">
        <v>26191</v>
      </c>
      <c r="AA2984">
        <v>0.91676536401706044</v>
      </c>
      <c r="AB2984" t="str">
        <f>HYPERLINK("Melting_Curves/meltCurve_Q08357_SLC20A2.pdf", "Melting_Curves/meltCurve_Q08357_SLC20A2.pdf")</f>
        <v>Melting_Curves/meltCurve_Q08357_SLC20A2.pdf</v>
      </c>
    </row>
    <row r="2985" spans="1:28" x14ac:dyDescent="0.25">
      <c r="A2985" t="s">
        <v>2989</v>
      </c>
      <c r="B2985">
        <v>0.99334974765950101</v>
      </c>
      <c r="C2985">
        <v>1.0262581210414501</v>
      </c>
      <c r="D2985">
        <v>1.1187286564746499</v>
      </c>
      <c r="E2985">
        <v>1.1225915712249399</v>
      </c>
      <c r="F2985">
        <v>1.2110257068700501</v>
      </c>
      <c r="G2985">
        <v>0.64964083552917795</v>
      </c>
      <c r="H2985">
        <v>0.51367514392612201</v>
      </c>
      <c r="I2985">
        <v>0.57840111577217002</v>
      </c>
      <c r="J2985">
        <v>0.53411189908408896</v>
      </c>
      <c r="K2985">
        <v>0.49180080427073902</v>
      </c>
      <c r="L2985">
        <v>14188.9945605009</v>
      </c>
      <c r="M2985">
        <v>250</v>
      </c>
      <c r="O2985">
        <v>56.752346258158802</v>
      </c>
      <c r="P2985">
        <v>-0.518153429741255</v>
      </c>
      <c r="Q2985">
        <v>0.52949723498398804</v>
      </c>
      <c r="R2985">
        <v>0.89897804535352399</v>
      </c>
      <c r="S2985" t="s">
        <v>8846</v>
      </c>
      <c r="T2985" t="s">
        <v>11720</v>
      </c>
      <c r="U2985" t="s">
        <v>11720</v>
      </c>
      <c r="V2985" t="s">
        <v>11720</v>
      </c>
      <c r="W2985" t="s">
        <v>14658</v>
      </c>
      <c r="X2985">
        <v>51</v>
      </c>
      <c r="Y2985" t="s">
        <v>20393</v>
      </c>
      <c r="Z2985" t="s">
        <v>26192</v>
      </c>
      <c r="AA2985">
        <v>0.79233523626285018</v>
      </c>
      <c r="AB2985" t="str">
        <f>HYPERLINK("Melting_Curves/meltCurve_Q08378_GOLGA3.pdf", "Melting_Curves/meltCurve_Q08378_GOLGA3.pdf")</f>
        <v>Melting_Curves/meltCurve_Q08378_GOLGA3.pdf</v>
      </c>
    </row>
    <row r="2986" spans="1:28" x14ac:dyDescent="0.25">
      <c r="A2986" t="s">
        <v>2990</v>
      </c>
      <c r="B2986">
        <v>0.99334974765950101</v>
      </c>
      <c r="C2986">
        <v>1.01870172534576</v>
      </c>
      <c r="D2986">
        <v>1.1159679912540801</v>
      </c>
      <c r="E2986">
        <v>0.79690257993009295</v>
      </c>
      <c r="F2986">
        <v>0.59248220918465</v>
      </c>
      <c r="G2986">
        <v>0.41976171140902102</v>
      </c>
      <c r="H2986">
        <v>0.35557191656362003</v>
      </c>
      <c r="I2986">
        <v>0.35669608865997898</v>
      </c>
      <c r="J2986">
        <v>0.41906542581177297</v>
      </c>
      <c r="K2986">
        <v>0.38548714985764498</v>
      </c>
      <c r="L2986">
        <v>1606.4795180390399</v>
      </c>
      <c r="M2986">
        <v>31.122266860456801</v>
      </c>
      <c r="N2986">
        <v>54.1156893639766</v>
      </c>
      <c r="O2986">
        <v>51.406622439156102</v>
      </c>
      <c r="P2986">
        <v>-9.3674492878942806E-2</v>
      </c>
      <c r="Q2986">
        <v>0.38109109988622197</v>
      </c>
      <c r="R2986">
        <v>0.97378317585199103</v>
      </c>
      <c r="S2986" t="s">
        <v>8847</v>
      </c>
      <c r="T2986" t="s">
        <v>11720</v>
      </c>
      <c r="U2986" t="s">
        <v>11720</v>
      </c>
      <c r="V2986" t="s">
        <v>11720</v>
      </c>
      <c r="W2986" t="s">
        <v>14659</v>
      </c>
      <c r="X2986">
        <v>27</v>
      </c>
      <c r="Y2986" t="s">
        <v>20394</v>
      </c>
      <c r="Z2986" t="s">
        <v>26193</v>
      </c>
      <c r="AA2986">
        <v>0.62443385560237696</v>
      </c>
      <c r="AB2986" t="str">
        <f>HYPERLINK("Melting_Curves/meltCurve_Q08379_GOLGA2.pdf", "Melting_Curves/meltCurve_Q08379_GOLGA2.pdf")</f>
        <v>Melting_Curves/meltCurve_Q08379_GOLGA2.pdf</v>
      </c>
    </row>
    <row r="2987" spans="1:28" x14ac:dyDescent="0.25">
      <c r="A2987" t="s">
        <v>2991</v>
      </c>
      <c r="B2987">
        <v>0.99334974765950101</v>
      </c>
      <c r="C2987">
        <v>0.960410179913185</v>
      </c>
      <c r="D2987">
        <v>0.89432765597796204</v>
      </c>
      <c r="E2987">
        <v>0.73328544742651502</v>
      </c>
      <c r="F2987">
        <v>0.88558831428877705</v>
      </c>
      <c r="G2987">
        <v>0.63768345048604902</v>
      </c>
      <c r="H2987">
        <v>0.73236704634746697</v>
      </c>
      <c r="I2987">
        <v>0.66830656265460897</v>
      </c>
      <c r="J2987">
        <v>1.1385518318858301</v>
      </c>
      <c r="K2987">
        <v>0.87502259826666695</v>
      </c>
      <c r="L2987">
        <v>1764.3771115342699</v>
      </c>
      <c r="M2987">
        <v>38.9483351028139</v>
      </c>
      <c r="O2987">
        <v>45.181519752094502</v>
      </c>
      <c r="P2987">
        <v>-4.0777696910424002E-2</v>
      </c>
      <c r="Q2987">
        <v>0.81078583251470404</v>
      </c>
      <c r="R2987">
        <v>0.19705533986766199</v>
      </c>
      <c r="S2987" t="s">
        <v>8848</v>
      </c>
      <c r="T2987" t="s">
        <v>11720</v>
      </c>
      <c r="U2987" t="s">
        <v>11720</v>
      </c>
      <c r="V2987" t="s">
        <v>11720</v>
      </c>
      <c r="W2987" t="s">
        <v>14660</v>
      </c>
      <c r="X2987">
        <v>4</v>
      </c>
      <c r="Y2987" t="s">
        <v>20395</v>
      </c>
      <c r="Z2987" t="s">
        <v>26194</v>
      </c>
      <c r="AA2987">
        <v>0.84487320433524571</v>
      </c>
      <c r="AB2987" t="str">
        <f>HYPERLINK("Melting_Curves/meltCurve_Q08380_LGALS3BP.pdf", "Melting_Curves/meltCurve_Q08380_LGALS3BP.pdf")</f>
        <v>Melting_Curves/meltCurve_Q08380_LGALS3BP.pdf</v>
      </c>
    </row>
    <row r="2988" spans="1:28" x14ac:dyDescent="0.25">
      <c r="A2988" t="s">
        <v>2992</v>
      </c>
      <c r="B2988">
        <v>0.99334974765950101</v>
      </c>
      <c r="C2988">
        <v>0.97921881876790895</v>
      </c>
      <c r="D2988">
        <v>0.99302005005836402</v>
      </c>
      <c r="E2988">
        <v>0.77434219588953301</v>
      </c>
      <c r="F2988">
        <v>0.313001831874054</v>
      </c>
      <c r="G2988">
        <v>0.20326035440249801</v>
      </c>
      <c r="H2988">
        <v>0.15515253324049399</v>
      </c>
      <c r="I2988">
        <v>0.13269215292644401</v>
      </c>
      <c r="J2988">
        <v>0.17619136337607</v>
      </c>
      <c r="K2988">
        <v>0.158560852434078</v>
      </c>
      <c r="L2988">
        <v>2170.8449231018199</v>
      </c>
      <c r="M2988">
        <v>42.431992005041799</v>
      </c>
      <c r="N2988">
        <v>51.637031020343798</v>
      </c>
      <c r="O2988">
        <v>51.047330641573303</v>
      </c>
      <c r="P2988">
        <v>-0.17414503192699701</v>
      </c>
      <c r="Q2988">
        <v>0.16198850458648001</v>
      </c>
      <c r="R2988">
        <v>0.99814600187222002</v>
      </c>
      <c r="S2988" t="s">
        <v>8849</v>
      </c>
      <c r="T2988" t="s">
        <v>11720</v>
      </c>
      <c r="U2988" t="s">
        <v>11720</v>
      </c>
      <c r="V2988" t="s">
        <v>11720</v>
      </c>
      <c r="W2988" t="s">
        <v>14661</v>
      </c>
      <c r="X2988">
        <v>14</v>
      </c>
      <c r="Y2988" t="s">
        <v>20396</v>
      </c>
      <c r="Z2988" t="s">
        <v>26195</v>
      </c>
      <c r="AA2988">
        <v>0.47637581478750568</v>
      </c>
      <c r="AB2988" t="str">
        <f>HYPERLINK("Melting_Curves/meltCurve_Q08426_EHHADH.pdf", "Melting_Curves/meltCurve_Q08426_EHHADH.pdf")</f>
        <v>Melting_Curves/meltCurve_Q08426_EHHADH.pdf</v>
      </c>
    </row>
    <row r="2989" spans="1:28" x14ac:dyDescent="0.25">
      <c r="A2989" t="s">
        <v>2993</v>
      </c>
      <c r="B2989">
        <v>0.99334974765950101</v>
      </c>
      <c r="C2989">
        <v>0.85065097116041699</v>
      </c>
      <c r="D2989">
        <v>0.87533946914415095</v>
      </c>
      <c r="E2989">
        <v>0.76659178671420303</v>
      </c>
      <c r="F2989">
        <v>0.66082096534213597</v>
      </c>
      <c r="G2989">
        <v>0.70886539126366399</v>
      </c>
      <c r="H2989">
        <v>0.57384228411171201</v>
      </c>
      <c r="I2989">
        <v>0.75102344980538405</v>
      </c>
      <c r="J2989">
        <v>0.57760760271061395</v>
      </c>
      <c r="K2989">
        <v>0.62396532284920403</v>
      </c>
      <c r="L2989">
        <v>533.13961698184301</v>
      </c>
      <c r="M2989">
        <v>11.266884415683201</v>
      </c>
      <c r="O2989">
        <v>45.901992546573403</v>
      </c>
      <c r="P2989">
        <v>-2.3436134225065401E-2</v>
      </c>
      <c r="Q2989">
        <v>0.61819640008059396</v>
      </c>
      <c r="R2989">
        <v>0.81751870100506896</v>
      </c>
      <c r="S2989" t="s">
        <v>8850</v>
      </c>
      <c r="T2989" t="s">
        <v>11720</v>
      </c>
      <c r="U2989" t="s">
        <v>11720</v>
      </c>
      <c r="V2989" t="s">
        <v>11720</v>
      </c>
      <c r="W2989" t="s">
        <v>14662</v>
      </c>
      <c r="X2989">
        <v>3</v>
      </c>
      <c r="Y2989" t="s">
        <v>20397</v>
      </c>
      <c r="Z2989" t="s">
        <v>26196</v>
      </c>
      <c r="AA2989">
        <v>0.72885926052090422</v>
      </c>
      <c r="AB2989" t="str">
        <f>HYPERLINK("Melting_Curves/meltCurve_Q08629_SPOCK1.pdf", "Melting_Curves/meltCurve_Q08629_SPOCK1.pdf")</f>
        <v>Melting_Curves/meltCurve_Q08629_SPOCK1.pdf</v>
      </c>
    </row>
    <row r="2990" spans="1:28" x14ac:dyDescent="0.25">
      <c r="A2990" t="s">
        <v>2994</v>
      </c>
      <c r="B2990">
        <v>0.99334974765950101</v>
      </c>
      <c r="C2990">
        <v>0.94437857212323895</v>
      </c>
      <c r="D2990">
        <v>0.95310145634656196</v>
      </c>
      <c r="E2990">
        <v>0.84639347314254099</v>
      </c>
      <c r="F2990">
        <v>0.893913717651454</v>
      </c>
      <c r="G2990">
        <v>0.76221767528248396</v>
      </c>
      <c r="H2990">
        <v>0.81209085032495998</v>
      </c>
      <c r="I2990">
        <v>0.98125675083993502</v>
      </c>
      <c r="J2990">
        <v>1.05745316401918</v>
      </c>
      <c r="K2990">
        <v>0.77818326500660595</v>
      </c>
      <c r="L2990">
        <v>1049.1281110238599</v>
      </c>
      <c r="M2990">
        <v>23.450101484620902</v>
      </c>
      <c r="O2990">
        <v>44.417215089751103</v>
      </c>
      <c r="P2990">
        <v>-1.62680198211019E-2</v>
      </c>
      <c r="Q2990">
        <v>0.876748081049886</v>
      </c>
      <c r="R2990">
        <v>0.16893937735402401</v>
      </c>
      <c r="S2990" t="s">
        <v>8851</v>
      </c>
      <c r="T2990" t="s">
        <v>11720</v>
      </c>
      <c r="U2990" t="s">
        <v>11720</v>
      </c>
      <c r="V2990" t="s">
        <v>11720</v>
      </c>
      <c r="W2990" t="s">
        <v>14663</v>
      </c>
      <c r="X2990">
        <v>5</v>
      </c>
      <c r="Y2990" t="s">
        <v>20398</v>
      </c>
      <c r="Z2990" t="s">
        <v>26197</v>
      </c>
      <c r="AA2990">
        <v>0.89769251534829164</v>
      </c>
      <c r="AB2990" t="str">
        <f>HYPERLINK("Melting_Curves/meltCurve_Q08722_CD47.pdf", "Melting_Curves/meltCurve_Q08722_CD47.pdf")</f>
        <v>Melting_Curves/meltCurve_Q08722_CD47.pdf</v>
      </c>
    </row>
    <row r="2991" spans="1:28" x14ac:dyDescent="0.25">
      <c r="A2991" t="s">
        <v>2995</v>
      </c>
      <c r="B2991">
        <v>0.99334974765950101</v>
      </c>
      <c r="C2991">
        <v>0.94120004616486097</v>
      </c>
      <c r="D2991">
        <v>0.71089491851242603</v>
      </c>
      <c r="E2991">
        <v>0.24422353719926099</v>
      </c>
      <c r="F2991">
        <v>0.158374462891475</v>
      </c>
      <c r="G2991">
        <v>7.9816164697400702E-2</v>
      </c>
      <c r="H2991">
        <v>6.2205172832580799E-2</v>
      </c>
      <c r="I2991">
        <v>5.0410877478123499E-2</v>
      </c>
      <c r="J2991">
        <v>4.7132899037603398E-2</v>
      </c>
      <c r="K2991">
        <v>4.06659689934388E-2</v>
      </c>
      <c r="L2991">
        <v>1170.82016449399</v>
      </c>
      <c r="M2991">
        <v>24.6591650227709</v>
      </c>
      <c r="N2991">
        <v>47.706480642184097</v>
      </c>
      <c r="O2991">
        <v>47.171176499414102</v>
      </c>
      <c r="P2991">
        <v>-0.123476298384585</v>
      </c>
      <c r="Q2991">
        <v>5.5209034618496397E-2</v>
      </c>
      <c r="R2991">
        <v>0.99833001634899698</v>
      </c>
      <c r="S2991" t="s">
        <v>8852</v>
      </c>
      <c r="T2991" t="s">
        <v>11720</v>
      </c>
      <c r="U2991" t="s">
        <v>11720</v>
      </c>
      <c r="V2991" t="s">
        <v>11720</v>
      </c>
      <c r="W2991" t="s">
        <v>14664</v>
      </c>
      <c r="X2991">
        <v>19</v>
      </c>
      <c r="Y2991" t="s">
        <v>20399</v>
      </c>
      <c r="Z2991" t="s">
        <v>26198</v>
      </c>
      <c r="AA2991">
        <v>0.29940988103210292</v>
      </c>
      <c r="AB2991" t="str">
        <f>HYPERLINK("Melting_Curves/meltCurve_Q08752_PPID.pdf", "Melting_Curves/meltCurve_Q08752_PPID.pdf")</f>
        <v>Melting_Curves/meltCurve_Q08752_PPID.pdf</v>
      </c>
    </row>
    <row r="2992" spans="1:28" x14ac:dyDescent="0.25">
      <c r="A2992" t="s">
        <v>2996</v>
      </c>
      <c r="B2992">
        <v>0.99334974765950101</v>
      </c>
      <c r="C2992">
        <v>0.93069107691677999</v>
      </c>
      <c r="D2992">
        <v>0.77041690832466503</v>
      </c>
      <c r="E2992">
        <v>0.600589554212698</v>
      </c>
      <c r="F2992">
        <v>0.403585621039392</v>
      </c>
      <c r="G2992">
        <v>0.234088630969154</v>
      </c>
      <c r="H2992">
        <v>0.18420940877714501</v>
      </c>
      <c r="I2992">
        <v>0.17245414835224501</v>
      </c>
      <c r="J2992">
        <v>0.20571034275834199</v>
      </c>
      <c r="K2992">
        <v>0.16956950793382</v>
      </c>
      <c r="L2992">
        <v>738.52556555839499</v>
      </c>
      <c r="M2992">
        <v>14.8275130700191</v>
      </c>
      <c r="N2992">
        <v>51.054672746194598</v>
      </c>
      <c r="O2992">
        <v>48.928144247818103</v>
      </c>
      <c r="P2992">
        <v>-6.4260079700021996E-2</v>
      </c>
      <c r="Q2992">
        <v>0.15190252131892501</v>
      </c>
      <c r="R2992">
        <v>0.99415018303373803</v>
      </c>
      <c r="S2992" t="s">
        <v>8853</v>
      </c>
      <c r="T2992" t="s">
        <v>11720</v>
      </c>
      <c r="U2992" t="s">
        <v>11720</v>
      </c>
      <c r="V2992" t="s">
        <v>11720</v>
      </c>
      <c r="W2992" t="s">
        <v>14665</v>
      </c>
      <c r="X2992">
        <v>8</v>
      </c>
      <c r="Y2992" t="s">
        <v>20400</v>
      </c>
      <c r="Z2992" t="s">
        <v>26199</v>
      </c>
      <c r="AA2992">
        <v>0.44994396735879699</v>
      </c>
      <c r="AB2992" t="str">
        <f>HYPERLINK("Melting_Curves/meltCurve_Q08AD1_2_CAMSAP2.pdf", "Melting_Curves/meltCurve_Q08AD1_2_CAMSAP2.pdf")</f>
        <v>Melting_Curves/meltCurve_Q08AD1_2_CAMSAP2.pdf</v>
      </c>
    </row>
    <row r="2993" spans="1:28" x14ac:dyDescent="0.25">
      <c r="A2993" t="s">
        <v>2997</v>
      </c>
      <c r="B2993">
        <v>0.99334974765950101</v>
      </c>
      <c r="C2993">
        <v>1.0599915924593699</v>
      </c>
      <c r="D2993">
        <v>1.2126891170783201</v>
      </c>
      <c r="E2993">
        <v>1.40567122944858</v>
      </c>
      <c r="F2993">
        <v>1.24420255332233</v>
      </c>
      <c r="G2993">
        <v>1.2536854490360301</v>
      </c>
      <c r="H2993">
        <v>0.98551691989762202</v>
      </c>
      <c r="I2993">
        <v>0.81197004136796802</v>
      </c>
      <c r="J2993">
        <v>0.27371671479411203</v>
      </c>
      <c r="K2993">
        <v>0.143724961213712</v>
      </c>
      <c r="L2993">
        <v>4174.0451668571504</v>
      </c>
      <c r="M2993">
        <v>63.935273174032602</v>
      </c>
      <c r="N2993">
        <v>65.600625791805001</v>
      </c>
      <c r="O2993">
        <v>65.221702457977898</v>
      </c>
      <c r="P2993">
        <v>-0.212666079097549</v>
      </c>
      <c r="Q2993">
        <v>0.13221991194982</v>
      </c>
      <c r="R2993">
        <v>0.78850679135564905</v>
      </c>
      <c r="S2993" t="s">
        <v>8854</v>
      </c>
      <c r="T2993" t="s">
        <v>11720</v>
      </c>
      <c r="U2993" t="s">
        <v>11720</v>
      </c>
      <c r="V2993" t="s">
        <v>11720</v>
      </c>
      <c r="W2993" t="s">
        <v>14666</v>
      </c>
      <c r="X2993">
        <v>1</v>
      </c>
      <c r="Y2993" t="s">
        <v>20401</v>
      </c>
      <c r="Z2993" t="s">
        <v>26200</v>
      </c>
      <c r="AA2993">
        <v>0.86468185067509951</v>
      </c>
      <c r="AB2993" t="str">
        <f>HYPERLINK("Melting_Curves/meltCurve_Q08AE8_2_SPIRE1.pdf", "Melting_Curves/meltCurve_Q08AE8_2_SPIRE1.pdf")</f>
        <v>Melting_Curves/meltCurve_Q08AE8_2_SPIRE1.pdf</v>
      </c>
    </row>
    <row r="2994" spans="1:28" x14ac:dyDescent="0.25">
      <c r="A2994" t="s">
        <v>2998</v>
      </c>
      <c r="B2994">
        <v>0.99334974765950101</v>
      </c>
      <c r="C2994">
        <v>0.83669730573104695</v>
      </c>
      <c r="D2994">
        <v>0.740577224722898</v>
      </c>
      <c r="E2994">
        <v>0.52986227233387595</v>
      </c>
      <c r="F2994">
        <v>0.199636231705134</v>
      </c>
      <c r="G2994">
        <v>0.12818861741830401</v>
      </c>
      <c r="H2994">
        <v>0.106663725696934</v>
      </c>
      <c r="I2994">
        <v>9.5956621672423595E-2</v>
      </c>
      <c r="J2994">
        <v>8.8031206166194906E-2</v>
      </c>
      <c r="K2994">
        <v>5.6416365966212703E-2</v>
      </c>
      <c r="L2994">
        <v>750.14370291629905</v>
      </c>
      <c r="M2994">
        <v>15.339003097965801</v>
      </c>
      <c r="N2994">
        <v>49.274209084773197</v>
      </c>
      <c r="O2994">
        <v>48.0957408019326</v>
      </c>
      <c r="P2994">
        <v>-7.54027572621669E-2</v>
      </c>
      <c r="Q2994">
        <v>5.4380310141307502E-2</v>
      </c>
      <c r="R2994">
        <v>0.98439743276084701</v>
      </c>
      <c r="S2994" t="s">
        <v>8855</v>
      </c>
      <c r="T2994" t="s">
        <v>11720</v>
      </c>
      <c r="U2994" t="s">
        <v>11720</v>
      </c>
      <c r="V2994" t="s">
        <v>11720</v>
      </c>
      <c r="W2994" t="s">
        <v>14667</v>
      </c>
      <c r="X2994">
        <v>8</v>
      </c>
      <c r="Y2994" t="s">
        <v>20402</v>
      </c>
      <c r="Z2994" t="s">
        <v>26201</v>
      </c>
      <c r="AA2994">
        <v>0.35749976873002132</v>
      </c>
      <c r="AB2994" t="str">
        <f>HYPERLINK("Melting_Curves/meltCurve_Q08AF3_SLFN5.pdf", "Melting_Curves/meltCurve_Q08AF3_SLFN5.pdf")</f>
        <v>Melting_Curves/meltCurve_Q08AF3_SLFN5.pdf</v>
      </c>
    </row>
    <row r="2995" spans="1:28" x14ac:dyDescent="0.25">
      <c r="A2995" t="s">
        <v>2999</v>
      </c>
      <c r="B2995">
        <v>0.99334974765950101</v>
      </c>
      <c r="C2995">
        <v>0.95732721173341495</v>
      </c>
      <c r="D2995">
        <v>0.90722447582560395</v>
      </c>
      <c r="E2995">
        <v>0.75151535429414895</v>
      </c>
      <c r="F2995">
        <v>0.78375571325007498</v>
      </c>
      <c r="G2995">
        <v>0.91119714862075996</v>
      </c>
      <c r="H2995">
        <v>0.81880788078642397</v>
      </c>
      <c r="I2995">
        <v>0.87863733327766602</v>
      </c>
      <c r="J2995">
        <v>0.92120989803266395</v>
      </c>
      <c r="K2995">
        <v>0.81653687817236797</v>
      </c>
      <c r="L2995">
        <v>1651.60528533967</v>
      </c>
      <c r="M2995">
        <v>36.884663348334399</v>
      </c>
      <c r="O2995">
        <v>44.6465610306889</v>
      </c>
      <c r="P2995">
        <v>-3.2654971719518797E-2</v>
      </c>
      <c r="Q2995">
        <v>0.841893345688982</v>
      </c>
      <c r="R2995">
        <v>0.51984643080681703</v>
      </c>
      <c r="S2995" t="s">
        <v>8856</v>
      </c>
      <c r="T2995" t="s">
        <v>11720</v>
      </c>
      <c r="U2995" t="s">
        <v>11720</v>
      </c>
      <c r="V2995" t="s">
        <v>11720</v>
      </c>
      <c r="W2995" t="s">
        <v>14668</v>
      </c>
      <c r="X2995">
        <v>5</v>
      </c>
      <c r="Y2995" t="s">
        <v>20403</v>
      </c>
      <c r="Z2995" t="s">
        <v>26202</v>
      </c>
      <c r="AA2995">
        <v>0.86770787190501453</v>
      </c>
      <c r="AB2995" t="str">
        <f>HYPERLINK("Melting_Curves/meltCurve_Q08AG7_MZT1.pdf", "Melting_Curves/meltCurve_Q08AG7_MZT1.pdf")</f>
        <v>Melting_Curves/meltCurve_Q08AG7_MZT1.pdf</v>
      </c>
    </row>
    <row r="2996" spans="1:28" x14ac:dyDescent="0.25">
      <c r="A2996" t="s">
        <v>3000</v>
      </c>
      <c r="B2996">
        <v>0.99334974765950101</v>
      </c>
      <c r="C2996">
        <v>1.0497266119512101</v>
      </c>
      <c r="D2996">
        <v>1.31721289942485</v>
      </c>
      <c r="E2996">
        <v>2.2118380145571299</v>
      </c>
      <c r="F2996">
        <v>1.9580942431125801</v>
      </c>
      <c r="G2996">
        <v>0.55237990304287599</v>
      </c>
      <c r="H2996">
        <v>0.27634074454325402</v>
      </c>
      <c r="I2996">
        <v>0.200970453359025</v>
      </c>
      <c r="J2996">
        <v>0.18248594526053799</v>
      </c>
      <c r="K2996">
        <v>0.147869606909631</v>
      </c>
      <c r="L2996">
        <v>14236.052739839301</v>
      </c>
      <c r="M2996">
        <v>250</v>
      </c>
      <c r="N2996">
        <v>57.062275350610797</v>
      </c>
      <c r="O2996">
        <v>56.940567219747301</v>
      </c>
      <c r="P2996">
        <v>-0.87600478223126399</v>
      </c>
      <c r="Q2996">
        <v>0.20191665831142699</v>
      </c>
      <c r="R2996">
        <v>0.51234383848449805</v>
      </c>
      <c r="S2996" t="s">
        <v>8857</v>
      </c>
      <c r="T2996" t="s">
        <v>11720</v>
      </c>
      <c r="U2996" t="s">
        <v>11720</v>
      </c>
      <c r="V2996" t="s">
        <v>11720</v>
      </c>
      <c r="W2996" t="s">
        <v>14669</v>
      </c>
      <c r="X2996">
        <v>17</v>
      </c>
      <c r="Y2996" t="s">
        <v>20404</v>
      </c>
      <c r="Z2996" t="s">
        <v>26203</v>
      </c>
      <c r="AA2996">
        <v>0.65275949922172449</v>
      </c>
      <c r="AB2996" t="str">
        <f>HYPERLINK("Melting_Curves/meltCurve_Q08AM6_VAC14.pdf", "Melting_Curves/meltCurve_Q08AM6_VAC14.pdf")</f>
        <v>Melting_Curves/meltCurve_Q08AM6_VAC14.pdf</v>
      </c>
    </row>
    <row r="2997" spans="1:28" x14ac:dyDescent="0.25">
      <c r="A2997" t="s">
        <v>3001</v>
      </c>
      <c r="B2997">
        <v>0.99334974765950101</v>
      </c>
      <c r="C2997">
        <v>1.08109206721132</v>
      </c>
      <c r="D2997">
        <v>1.34864250438626</v>
      </c>
      <c r="E2997">
        <v>1.5011101895311001</v>
      </c>
      <c r="F2997">
        <v>1.2966595499465901</v>
      </c>
      <c r="G2997">
        <v>1.0984296148739201</v>
      </c>
      <c r="H2997">
        <v>0.64862106364570105</v>
      </c>
      <c r="I2997">
        <v>0.33998701056070901</v>
      </c>
      <c r="J2997">
        <v>0.239801224798663</v>
      </c>
      <c r="K2997">
        <v>0.196510733933454</v>
      </c>
      <c r="L2997">
        <v>3213.0114295683902</v>
      </c>
      <c r="M2997">
        <v>52.371247093280701</v>
      </c>
      <c r="N2997">
        <v>62.059798074549498</v>
      </c>
      <c r="O2997">
        <v>61.261419906152</v>
      </c>
      <c r="P2997">
        <v>-0.16559933562062501</v>
      </c>
      <c r="Q2997">
        <v>0.22515931324315899</v>
      </c>
      <c r="R2997">
        <v>0.77035027984944104</v>
      </c>
      <c r="S2997" t="s">
        <v>8858</v>
      </c>
      <c r="T2997" t="s">
        <v>11720</v>
      </c>
      <c r="U2997" t="s">
        <v>11720</v>
      </c>
      <c r="V2997" t="s">
        <v>11720</v>
      </c>
      <c r="W2997" t="s">
        <v>14670</v>
      </c>
      <c r="X2997">
        <v>2</v>
      </c>
      <c r="Y2997" t="s">
        <v>20405</v>
      </c>
      <c r="Z2997" t="s">
        <v>26204</v>
      </c>
      <c r="AA2997">
        <v>0.77845165643546943</v>
      </c>
      <c r="AB2997" t="str">
        <f>HYPERLINK("Melting_Curves/meltCurve_Q08E86_KIAA0100.pdf", "Melting_Curves/meltCurve_Q08E86_KIAA0100.pdf")</f>
        <v>Melting_Curves/meltCurve_Q08E86_KIAA0100.pdf</v>
      </c>
    </row>
    <row r="2998" spans="1:28" x14ac:dyDescent="0.25">
      <c r="A2998" t="s">
        <v>3002</v>
      </c>
      <c r="B2998">
        <v>0.99334974765950101</v>
      </c>
      <c r="C2998">
        <v>0.96771486310710597</v>
      </c>
      <c r="D2998">
        <v>0.96124181382557405</v>
      </c>
      <c r="E2998">
        <v>0.77818113227293395</v>
      </c>
      <c r="F2998">
        <v>0.51582055306530095</v>
      </c>
      <c r="G2998">
        <v>0.284554115767157</v>
      </c>
      <c r="H2998">
        <v>0.142521729479785</v>
      </c>
      <c r="I2998">
        <v>0.121040973376861</v>
      </c>
      <c r="J2998">
        <v>0.104779047180001</v>
      </c>
      <c r="K2998">
        <v>8.4116713414996894E-2</v>
      </c>
      <c r="L2998">
        <v>1003.4039636991801</v>
      </c>
      <c r="M2998">
        <v>18.9751209753647</v>
      </c>
      <c r="N2998">
        <v>53.393819619971801</v>
      </c>
      <c r="O2998">
        <v>52.303162622259798</v>
      </c>
      <c r="P2998">
        <v>-8.3132073041779497E-2</v>
      </c>
      <c r="Q2998">
        <v>8.3453305753752594E-2</v>
      </c>
      <c r="R2998">
        <v>0.99901415591653497</v>
      </c>
      <c r="S2998" t="s">
        <v>8859</v>
      </c>
      <c r="T2998" t="s">
        <v>11720</v>
      </c>
      <c r="U2998" t="s">
        <v>11720</v>
      </c>
      <c r="V2998" t="s">
        <v>11720</v>
      </c>
      <c r="W2998" t="s">
        <v>14671</v>
      </c>
      <c r="X2998">
        <v>28</v>
      </c>
      <c r="Y2998" t="s">
        <v>20406</v>
      </c>
      <c r="Z2998" t="s">
        <v>26205</v>
      </c>
      <c r="AA2998">
        <v>0.4907503199836275</v>
      </c>
      <c r="AB2998" t="str">
        <f>HYPERLINK("Melting_Curves/meltCurve_Q08J23_NSUN2.pdf", "Melting_Curves/meltCurve_Q08J23_NSUN2.pdf")</f>
        <v>Melting_Curves/meltCurve_Q08J23_NSUN2.pdf</v>
      </c>
    </row>
    <row r="2999" spans="1:28" x14ac:dyDescent="0.25">
      <c r="A2999" t="s">
        <v>3003</v>
      </c>
      <c r="B2999">
        <v>0.99334974765950101</v>
      </c>
      <c r="C2999">
        <v>0.972854222139514</v>
      </c>
      <c r="D2999">
        <v>1.0610683918449499</v>
      </c>
      <c r="E2999">
        <v>1.1072551459290301</v>
      </c>
      <c r="F2999">
        <v>1.10747596611837</v>
      </c>
      <c r="G2999">
        <v>0.98827051594569804</v>
      </c>
      <c r="H2999">
        <v>0.404681769669888</v>
      </c>
      <c r="I2999">
        <v>0.21832382523670199</v>
      </c>
      <c r="J2999">
        <v>0.166175803742034</v>
      </c>
      <c r="K2999">
        <v>0.138258597256774</v>
      </c>
      <c r="L2999">
        <v>3752.2601868290899</v>
      </c>
      <c r="M2999">
        <v>62.392934148913497</v>
      </c>
      <c r="N2999">
        <v>60.530594695111901</v>
      </c>
      <c r="O2999">
        <v>60.077473436311003</v>
      </c>
      <c r="P2999">
        <v>-0.21653711009881901</v>
      </c>
      <c r="Q2999">
        <v>0.165995122971342</v>
      </c>
      <c r="R2999">
        <v>0.98167870615046704</v>
      </c>
      <c r="S2999" t="s">
        <v>8860</v>
      </c>
      <c r="T2999" t="s">
        <v>11720</v>
      </c>
      <c r="U2999" t="s">
        <v>11720</v>
      </c>
      <c r="V2999" t="s">
        <v>11720</v>
      </c>
      <c r="W2999" t="s">
        <v>14672</v>
      </c>
      <c r="X2999">
        <v>12</v>
      </c>
      <c r="Y2999" t="s">
        <v>20407</v>
      </c>
      <c r="Z2999" t="s">
        <v>26206</v>
      </c>
      <c r="AA2999">
        <v>0.7272799393519811</v>
      </c>
      <c r="AB2999" t="str">
        <f>HYPERLINK("Melting_Curves/meltCurve_Q09028_3_RBBP4.pdf", "Melting_Curves/meltCurve_Q09028_3_RBBP4.pdf")</f>
        <v>Melting_Curves/meltCurve_Q09028_3_RBBP4.pdf</v>
      </c>
    </row>
    <row r="3000" spans="1:28" x14ac:dyDescent="0.25">
      <c r="A3000" t="s">
        <v>3004</v>
      </c>
      <c r="B3000">
        <v>0.99334974765950101</v>
      </c>
      <c r="C3000">
        <v>1.2022678563468701</v>
      </c>
      <c r="D3000">
        <v>1.2310884121532599</v>
      </c>
      <c r="E3000">
        <v>1.10178276176165</v>
      </c>
      <c r="F3000">
        <v>1.46786304911633</v>
      </c>
      <c r="G3000">
        <v>0.98750796297295995</v>
      </c>
      <c r="H3000">
        <v>1.0526740185897701</v>
      </c>
      <c r="I3000">
        <v>1.6757978633362001</v>
      </c>
      <c r="J3000">
        <v>2.1191007925869201</v>
      </c>
      <c r="K3000">
        <v>1.42868666014344</v>
      </c>
      <c r="L3000">
        <v>481.84589863091702</v>
      </c>
      <c r="M3000">
        <v>9.4400738284530199</v>
      </c>
      <c r="O3000">
        <v>48.9093764894033</v>
      </c>
      <c r="P3000">
        <v>2.41410602239823E-2</v>
      </c>
      <c r="Q3000">
        <v>1.5</v>
      </c>
      <c r="R3000">
        <v>0.265804462844697</v>
      </c>
      <c r="S3000" t="s">
        <v>8861</v>
      </c>
      <c r="T3000" t="s">
        <v>11720</v>
      </c>
      <c r="U3000" t="s">
        <v>11720</v>
      </c>
      <c r="V3000" t="s">
        <v>11720</v>
      </c>
      <c r="W3000" t="s">
        <v>14673</v>
      </c>
      <c r="X3000">
        <v>3</v>
      </c>
      <c r="Y3000" t="s">
        <v>20408</v>
      </c>
      <c r="Z3000" t="s">
        <v>26207</v>
      </c>
      <c r="AA3000">
        <v>1.293755495935728</v>
      </c>
      <c r="AB3000" t="str">
        <f>HYPERLINK("Melting_Curves/meltCurve_Q09161_NCBP1.pdf", "Melting_Curves/meltCurve_Q09161_NCBP1.pdf")</f>
        <v>Melting_Curves/meltCurve_Q09161_NCBP1.pdf</v>
      </c>
    </row>
    <row r="3001" spans="1:28" x14ac:dyDescent="0.25">
      <c r="A3001" t="s">
        <v>3005</v>
      </c>
      <c r="B3001">
        <v>0.99334974765950101</v>
      </c>
      <c r="C3001">
        <v>0.99132778549351896</v>
      </c>
      <c r="D3001">
        <v>1.03652880992371</v>
      </c>
      <c r="E3001">
        <v>0.987550900373101</v>
      </c>
      <c r="F3001">
        <v>0.97876940024936598</v>
      </c>
      <c r="G3001">
        <v>0.56155707642137498</v>
      </c>
      <c r="H3001">
        <v>0.17107100519312099</v>
      </c>
      <c r="I3001">
        <v>0.14315374619599</v>
      </c>
      <c r="J3001">
        <v>0.14763193743627201</v>
      </c>
      <c r="K3001">
        <v>0.112340050107781</v>
      </c>
      <c r="L3001">
        <v>2662.18545781788</v>
      </c>
      <c r="M3001">
        <v>46.723476665261401</v>
      </c>
      <c r="N3001">
        <v>57.355216348153498</v>
      </c>
      <c r="O3001">
        <v>56.873388961241098</v>
      </c>
      <c r="P3001">
        <v>-0.178183121379068</v>
      </c>
      <c r="Q3001">
        <v>0.13243898956862801</v>
      </c>
      <c r="R3001">
        <v>0.99862034735306504</v>
      </c>
      <c r="S3001" t="s">
        <v>8862</v>
      </c>
      <c r="T3001" t="s">
        <v>11720</v>
      </c>
      <c r="U3001" t="s">
        <v>11720</v>
      </c>
      <c r="V3001" t="s">
        <v>11720</v>
      </c>
      <c r="W3001" t="s">
        <v>14674</v>
      </c>
      <c r="X3001">
        <v>20</v>
      </c>
      <c r="Y3001" t="s">
        <v>20409</v>
      </c>
      <c r="Z3001" t="s">
        <v>26208</v>
      </c>
      <c r="AA3001">
        <v>0.62589491430208666</v>
      </c>
      <c r="AB3001" t="str">
        <f>HYPERLINK("Melting_Curves/meltCurve_Q09328_MGAT5.pdf", "Melting_Curves/meltCurve_Q09328_MGAT5.pdf")</f>
        <v>Melting_Curves/meltCurve_Q09328_MGAT5.pdf</v>
      </c>
    </row>
    <row r="3002" spans="1:28" x14ac:dyDescent="0.25">
      <c r="A3002" t="s">
        <v>3006</v>
      </c>
      <c r="B3002">
        <v>0.99334974765950101</v>
      </c>
      <c r="C3002">
        <v>0.98158962026032603</v>
      </c>
      <c r="D3002">
        <v>0.93653743690435898</v>
      </c>
      <c r="E3002">
        <v>0.84236568843793003</v>
      </c>
      <c r="F3002">
        <v>0.80102549337609996</v>
      </c>
      <c r="G3002">
        <v>0.71461835563515197</v>
      </c>
      <c r="H3002">
        <v>0.73536616798219401</v>
      </c>
      <c r="I3002">
        <v>1.04849319880854</v>
      </c>
      <c r="J3002">
        <v>0.81353968547894495</v>
      </c>
      <c r="K3002">
        <v>0.82979035967146297</v>
      </c>
      <c r="L3002">
        <v>1749.8540701889699</v>
      </c>
      <c r="M3002">
        <v>37.521705659958897</v>
      </c>
      <c r="O3002">
        <v>46.503927813467001</v>
      </c>
      <c r="P3002">
        <v>-3.5432764315686101E-2</v>
      </c>
      <c r="Q3002">
        <v>0.82434087001859102</v>
      </c>
      <c r="R3002">
        <v>0.388764915056723</v>
      </c>
      <c r="S3002" t="s">
        <v>8863</v>
      </c>
      <c r="T3002" t="s">
        <v>11720</v>
      </c>
      <c r="U3002" t="s">
        <v>11720</v>
      </c>
      <c r="V3002" t="s">
        <v>11720</v>
      </c>
      <c r="W3002" t="s">
        <v>14675</v>
      </c>
      <c r="X3002">
        <v>498</v>
      </c>
      <c r="Y3002" t="s">
        <v>20410</v>
      </c>
      <c r="Z3002" t="s">
        <v>26209</v>
      </c>
      <c r="AA3002">
        <v>0.86384995951615362</v>
      </c>
      <c r="AB3002" t="str">
        <f>HYPERLINK("Melting_Curves/meltCurve_Q09666_AHNAK.pdf", "Melting_Curves/meltCurve_Q09666_AHNAK.pdf")</f>
        <v>Melting_Curves/meltCurve_Q09666_AHNAK.pdf</v>
      </c>
    </row>
    <row r="3003" spans="1:28" x14ac:dyDescent="0.25">
      <c r="A3003" t="s">
        <v>3007</v>
      </c>
      <c r="B3003">
        <v>0.99334974765950101</v>
      </c>
      <c r="C3003">
        <v>0.82787267270528797</v>
      </c>
      <c r="D3003">
        <v>0.77215411843251702</v>
      </c>
      <c r="E3003">
        <v>0.78998504741211595</v>
      </c>
      <c r="F3003">
        <v>1.44514486377495</v>
      </c>
      <c r="G3003">
        <v>0.76612831154598005</v>
      </c>
      <c r="H3003">
        <v>0.97880396089497601</v>
      </c>
      <c r="I3003">
        <v>1.0527655828386699</v>
      </c>
      <c r="J3003">
        <v>1.7503532752208</v>
      </c>
      <c r="K3003">
        <v>1.3444048786398299</v>
      </c>
      <c r="L3003">
        <v>15000</v>
      </c>
      <c r="M3003">
        <v>232.250598127046</v>
      </c>
      <c r="O3003">
        <v>64.580620761338906</v>
      </c>
      <c r="P3003">
        <v>0.44953616859587098</v>
      </c>
      <c r="Q3003">
        <v>1.5</v>
      </c>
      <c r="R3003">
        <v>0.539334456523901</v>
      </c>
      <c r="S3003" t="s">
        <v>8864</v>
      </c>
      <c r="T3003" t="s">
        <v>11720</v>
      </c>
      <c r="U3003" t="s">
        <v>11720</v>
      </c>
      <c r="V3003" t="s">
        <v>11720</v>
      </c>
      <c r="W3003" t="s">
        <v>14676</v>
      </c>
      <c r="X3003">
        <v>8</v>
      </c>
      <c r="Y3003" t="s">
        <v>20410</v>
      </c>
      <c r="Z3003" t="s">
        <v>26210</v>
      </c>
      <c r="AA3003">
        <v>1.090177505299496</v>
      </c>
      <c r="AB3003" t="str">
        <f>HYPERLINK("Melting_Curves/meltCurve_Q09666_2_AHNAK.pdf", "Melting_Curves/meltCurve_Q09666_2_AHNAK.pdf")</f>
        <v>Melting_Curves/meltCurve_Q09666_2_AHNAK.pdf</v>
      </c>
    </row>
    <row r="3004" spans="1:28" x14ac:dyDescent="0.25">
      <c r="A3004" t="s">
        <v>3008</v>
      </c>
      <c r="B3004">
        <v>0.99334974765950101</v>
      </c>
      <c r="C3004">
        <v>0.99824074707601795</v>
      </c>
      <c r="D3004">
        <v>1.01361307660448</v>
      </c>
      <c r="E3004">
        <v>0.96651911015240799</v>
      </c>
      <c r="F3004">
        <v>0.35756403087694499</v>
      </c>
      <c r="G3004">
        <v>0.21514434069527699</v>
      </c>
      <c r="H3004">
        <v>0.15256423424405899</v>
      </c>
      <c r="I3004">
        <v>0.15854088706733499</v>
      </c>
      <c r="J3004">
        <v>0.123388736074818</v>
      </c>
      <c r="K3004">
        <v>0.10881763566981401</v>
      </c>
      <c r="L3004">
        <v>3707.8094789636302</v>
      </c>
      <c r="M3004">
        <v>71.082409837662794</v>
      </c>
      <c r="N3004">
        <v>52.427353978447698</v>
      </c>
      <c r="O3004">
        <v>52.120873968109898</v>
      </c>
      <c r="P3004">
        <v>-0.28945817218859798</v>
      </c>
      <c r="Q3004">
        <v>0.15102412976379201</v>
      </c>
      <c r="R3004">
        <v>0.99582002484293997</v>
      </c>
      <c r="S3004" t="s">
        <v>8865</v>
      </c>
      <c r="T3004" t="s">
        <v>11720</v>
      </c>
      <c r="U3004" t="s">
        <v>11720</v>
      </c>
      <c r="V3004" t="s">
        <v>11720</v>
      </c>
      <c r="W3004" t="s">
        <v>14677</v>
      </c>
      <c r="X3004">
        <v>8</v>
      </c>
      <c r="Y3004" t="s">
        <v>20411</v>
      </c>
      <c r="Z3004" t="s">
        <v>26211</v>
      </c>
      <c r="AA3004">
        <v>0.49616623521272252</v>
      </c>
      <c r="AB3004" t="str">
        <f>HYPERLINK("Melting_Curves/meltCurve_Q0JRZ9_FCHO2.pdf", "Melting_Curves/meltCurve_Q0JRZ9_FCHO2.pdf")</f>
        <v>Melting_Curves/meltCurve_Q0JRZ9_FCHO2.pdf</v>
      </c>
    </row>
    <row r="3005" spans="1:28" x14ac:dyDescent="0.25">
      <c r="A3005" t="s">
        <v>3009</v>
      </c>
      <c r="B3005">
        <v>0.99334974765950101</v>
      </c>
      <c r="C3005">
        <v>0.90410469017444695</v>
      </c>
      <c r="D3005">
        <v>0.59564377456680695</v>
      </c>
      <c r="E3005">
        <v>0.36916202099551498</v>
      </c>
      <c r="F3005">
        <v>0.26099002104397201</v>
      </c>
      <c r="G3005">
        <v>0.121388874755762</v>
      </c>
      <c r="H3005">
        <v>0.108415119498048</v>
      </c>
      <c r="I3005">
        <v>9.1151356658840804E-2</v>
      </c>
      <c r="J3005">
        <v>9.0909703779175802E-2</v>
      </c>
      <c r="K3005">
        <v>8.1474915360295205E-2</v>
      </c>
      <c r="L3005">
        <v>776.08697868362401</v>
      </c>
      <c r="M3005">
        <v>16.374524027475498</v>
      </c>
      <c r="N3005">
        <v>47.933694155714903</v>
      </c>
      <c r="O3005">
        <v>46.705997154133001</v>
      </c>
      <c r="P3005">
        <v>-8.0298835504989799E-2</v>
      </c>
      <c r="Q3005">
        <v>8.3901178467663706E-2</v>
      </c>
      <c r="R3005">
        <v>0.99223767122606299</v>
      </c>
      <c r="S3005" t="s">
        <v>8866</v>
      </c>
      <c r="T3005" t="s">
        <v>11720</v>
      </c>
      <c r="U3005" t="s">
        <v>11720</v>
      </c>
      <c r="V3005" t="s">
        <v>11720</v>
      </c>
      <c r="W3005" t="s">
        <v>14678</v>
      </c>
      <c r="X3005">
        <v>3</v>
      </c>
      <c r="Y3005" t="s">
        <v>20412</v>
      </c>
      <c r="Z3005" t="s">
        <v>26212</v>
      </c>
      <c r="AA3005">
        <v>0.33004300297439709</v>
      </c>
      <c r="AB3005" t="str">
        <f>HYPERLINK("Melting_Curves/meltCurve_Q0VDF9_HSPA14.pdf", "Melting_Curves/meltCurve_Q0VDF9_HSPA14.pdf")</f>
        <v>Melting_Curves/meltCurve_Q0VDF9_HSPA14.pdf</v>
      </c>
    </row>
    <row r="3006" spans="1:28" x14ac:dyDescent="0.25">
      <c r="A3006" t="s">
        <v>3010</v>
      </c>
      <c r="B3006">
        <v>0.99334974765950101</v>
      </c>
      <c r="C3006">
        <v>0.933232961551405</v>
      </c>
      <c r="D3006">
        <v>0.95036492243974602</v>
      </c>
      <c r="E3006">
        <v>0.81572356108938404</v>
      </c>
      <c r="F3006">
        <v>0.63640184344418305</v>
      </c>
      <c r="G3006">
        <v>0.18048197403494601</v>
      </c>
      <c r="H3006">
        <v>9.2274853591462605E-2</v>
      </c>
      <c r="I3006">
        <v>5.8097758669322902E-2</v>
      </c>
      <c r="J3006">
        <v>5.8332682810769802E-2</v>
      </c>
      <c r="K3006">
        <v>3.6099794643690897E-2</v>
      </c>
      <c r="L3006">
        <v>1274.6825027581301</v>
      </c>
      <c r="M3006">
        <v>23.7648027315925</v>
      </c>
      <c r="N3006">
        <v>53.800723534894402</v>
      </c>
      <c r="O3006">
        <v>53.261946046015801</v>
      </c>
      <c r="P3006">
        <v>-0.107666900403787</v>
      </c>
      <c r="Q3006">
        <v>3.4798774321305702E-2</v>
      </c>
      <c r="R3006">
        <v>0.99289968766933001</v>
      </c>
      <c r="S3006" t="s">
        <v>8867</v>
      </c>
      <c r="T3006" t="s">
        <v>11720</v>
      </c>
      <c r="U3006" t="s">
        <v>11720</v>
      </c>
      <c r="V3006" t="s">
        <v>11720</v>
      </c>
      <c r="W3006" t="s">
        <v>14679</v>
      </c>
      <c r="X3006">
        <v>14</v>
      </c>
      <c r="Y3006" t="s">
        <v>20413</v>
      </c>
      <c r="Z3006" t="s">
        <v>26213</v>
      </c>
      <c r="AA3006">
        <v>0.48334423956240652</v>
      </c>
      <c r="AB3006" t="str">
        <f>HYPERLINK("Melting_Curves/meltCurve_Q0VDG4_SCRN3.pdf", "Melting_Curves/meltCurve_Q0VDG4_SCRN3.pdf")</f>
        <v>Melting_Curves/meltCurve_Q0VDG4_SCRN3.pdf</v>
      </c>
    </row>
    <row r="3007" spans="1:28" x14ac:dyDescent="0.25">
      <c r="A3007" t="s">
        <v>3011</v>
      </c>
      <c r="B3007">
        <v>0.99334974765950101</v>
      </c>
      <c r="C3007">
        <v>0.90700824140250103</v>
      </c>
      <c r="D3007">
        <v>0.80069821601995295</v>
      </c>
      <c r="E3007">
        <v>0.475706176020255</v>
      </c>
      <c r="F3007">
        <v>0.162248870552093</v>
      </c>
      <c r="G3007">
        <v>0.110395907258904</v>
      </c>
      <c r="H3007">
        <v>8.9470502152860606E-2</v>
      </c>
      <c r="I3007">
        <v>8.0095556020647302E-2</v>
      </c>
      <c r="J3007">
        <v>5.5334425555769701E-2</v>
      </c>
      <c r="K3007">
        <v>4.9274812520113599E-2</v>
      </c>
      <c r="L3007">
        <v>1002.94200182423</v>
      </c>
      <c r="M3007">
        <v>20.470034436624999</v>
      </c>
      <c r="N3007">
        <v>49.279518647324601</v>
      </c>
      <c r="O3007">
        <v>48.535219528971197</v>
      </c>
      <c r="P3007">
        <v>-9.9577524717274296E-2</v>
      </c>
      <c r="Q3007">
        <v>5.5619992177222903E-2</v>
      </c>
      <c r="R3007">
        <v>0.99402847269481298</v>
      </c>
      <c r="S3007" t="s">
        <v>8868</v>
      </c>
      <c r="T3007" t="s">
        <v>11720</v>
      </c>
      <c r="U3007" t="s">
        <v>11720</v>
      </c>
      <c r="V3007" t="s">
        <v>11720</v>
      </c>
      <c r="W3007" t="s">
        <v>14680</v>
      </c>
      <c r="X3007">
        <v>4</v>
      </c>
      <c r="Y3007" t="s">
        <v>20414</v>
      </c>
      <c r="Z3007" t="s">
        <v>26214</v>
      </c>
      <c r="AA3007">
        <v>0.35141399831943332</v>
      </c>
      <c r="AB3007" t="str">
        <f>HYPERLINK("Melting_Curves/meltCurve_Q0VG06_FAAP100.pdf", "Melting_Curves/meltCurve_Q0VG06_FAAP100.pdf")</f>
        <v>Melting_Curves/meltCurve_Q0VG06_FAAP100.pdf</v>
      </c>
    </row>
    <row r="3008" spans="1:28" x14ac:dyDescent="0.25">
      <c r="A3008" t="s">
        <v>3012</v>
      </c>
      <c r="B3008">
        <v>0.99334974765950101</v>
      </c>
      <c r="C3008">
        <v>0.86815537461498904</v>
      </c>
      <c r="D3008">
        <v>0.78564715887016501</v>
      </c>
      <c r="E3008">
        <v>0.87039493583377903</v>
      </c>
      <c r="F3008">
        <v>0.67802960144112701</v>
      </c>
      <c r="G3008">
        <v>0.71180998034028198</v>
      </c>
      <c r="H3008">
        <v>0.41592601883046199</v>
      </c>
      <c r="I3008">
        <v>0.24495950177567799</v>
      </c>
      <c r="J3008">
        <v>0.106978585051756</v>
      </c>
      <c r="K3008">
        <v>5.2208080327864802E-2</v>
      </c>
      <c r="L3008">
        <v>647.81994910843503</v>
      </c>
      <c r="M3008">
        <v>11.1335276634133</v>
      </c>
      <c r="N3008">
        <v>58.1863928510693</v>
      </c>
      <c r="O3008">
        <v>56.403865845697901</v>
      </c>
      <c r="P3008">
        <v>-4.9363253414918998E-2</v>
      </c>
      <c r="Q3008">
        <v>0</v>
      </c>
      <c r="R3008">
        <v>0.91999644428228899</v>
      </c>
      <c r="S3008" t="s">
        <v>8869</v>
      </c>
      <c r="T3008" t="s">
        <v>11720</v>
      </c>
      <c r="U3008" t="s">
        <v>11720</v>
      </c>
      <c r="V3008" t="s">
        <v>11720</v>
      </c>
      <c r="W3008" t="s">
        <v>14681</v>
      </c>
      <c r="X3008">
        <v>2</v>
      </c>
      <c r="Y3008" t="s">
        <v>20415</v>
      </c>
      <c r="Z3008" t="s">
        <v>26215</v>
      </c>
      <c r="AA3008">
        <v>0.61705723034366555</v>
      </c>
      <c r="AB3008" t="str">
        <f>HYPERLINK("Melting_Curves/meltCurve_Q0VGL1_LAMTOR4.pdf", "Melting_Curves/meltCurve_Q0VGL1_LAMTOR4.pdf")</f>
        <v>Melting_Curves/meltCurve_Q0VGL1_LAMTOR4.pdf</v>
      </c>
    </row>
    <row r="3009" spans="1:28" x14ac:dyDescent="0.25">
      <c r="A3009" t="s">
        <v>3013</v>
      </c>
      <c r="B3009">
        <v>0.99334974765950101</v>
      </c>
      <c r="C3009">
        <v>1.04802367473445</v>
      </c>
      <c r="D3009">
        <v>0.82762971210163805</v>
      </c>
      <c r="E3009">
        <v>0.78738542065084005</v>
      </c>
      <c r="F3009">
        <v>1.22867653541587</v>
      </c>
      <c r="G3009">
        <v>0.60650257753317705</v>
      </c>
      <c r="H3009">
        <v>0.71794662583246005</v>
      </c>
      <c r="I3009">
        <v>0.64786535012178603</v>
      </c>
      <c r="J3009">
        <v>0.86217908524988596</v>
      </c>
      <c r="K3009">
        <v>0.52508345551499103</v>
      </c>
      <c r="L3009">
        <v>418.69305903491102</v>
      </c>
      <c r="M3009">
        <v>6.6653419406080596</v>
      </c>
      <c r="O3009">
        <v>57.885456787243299</v>
      </c>
      <c r="P3009">
        <v>-1.6272039198007501E-2</v>
      </c>
      <c r="Q3009">
        <v>0.43598948115575498</v>
      </c>
      <c r="R3009">
        <v>0.38762660456624698</v>
      </c>
      <c r="S3009" t="s">
        <v>8870</v>
      </c>
      <c r="T3009" t="s">
        <v>11720</v>
      </c>
      <c r="U3009" t="s">
        <v>11720</v>
      </c>
      <c r="V3009" t="s">
        <v>11720</v>
      </c>
      <c r="W3009" t="s">
        <v>14682</v>
      </c>
      <c r="X3009">
        <v>30</v>
      </c>
      <c r="Y3009" t="s">
        <v>20416</v>
      </c>
      <c r="Z3009" t="s">
        <v>26216</v>
      </c>
      <c r="AA3009">
        <v>0.82936504353928109</v>
      </c>
      <c r="AB3009" t="str">
        <f>HYPERLINK("Melting_Curves/meltCurve_Q0ZGT2_4_NEXN.pdf", "Melting_Curves/meltCurve_Q0ZGT2_4_NEXN.pdf")</f>
        <v>Melting_Curves/meltCurve_Q0ZGT2_4_NEXN.pdf</v>
      </c>
    </row>
    <row r="3010" spans="1:28" x14ac:dyDescent="0.25">
      <c r="A3010" t="s">
        <v>3014</v>
      </c>
      <c r="B3010">
        <v>0.99334974765950101</v>
      </c>
      <c r="C3010">
        <v>0.89274392162490201</v>
      </c>
      <c r="D3010">
        <v>0.869441713035359</v>
      </c>
      <c r="E3010">
        <v>0.94712015922478099</v>
      </c>
      <c r="F3010">
        <v>0.55155481106275295</v>
      </c>
      <c r="G3010">
        <v>0.204417106424025</v>
      </c>
      <c r="H3010">
        <v>0.128055838118983</v>
      </c>
      <c r="I3010">
        <v>0.116045510421123</v>
      </c>
      <c r="J3010">
        <v>9.0407396811344395E-2</v>
      </c>
      <c r="K3010">
        <v>6.6926157654125296E-2</v>
      </c>
      <c r="L3010">
        <v>1762.51858746786</v>
      </c>
      <c r="M3010">
        <v>33.147045015769002</v>
      </c>
      <c r="N3010">
        <v>53.527016256997598</v>
      </c>
      <c r="O3010">
        <v>52.980308248535202</v>
      </c>
      <c r="P3010">
        <v>-0.141006155939426</v>
      </c>
      <c r="Q3010">
        <v>9.8499803862724403E-2</v>
      </c>
      <c r="R3010">
        <v>0.97836400638013199</v>
      </c>
      <c r="S3010" t="s">
        <v>8871</v>
      </c>
      <c r="T3010" t="s">
        <v>11720</v>
      </c>
      <c r="U3010" t="s">
        <v>11720</v>
      </c>
      <c r="V3010" t="s">
        <v>11720</v>
      </c>
      <c r="W3010" t="s">
        <v>14683</v>
      </c>
      <c r="X3010">
        <v>9</v>
      </c>
      <c r="Y3010" t="s">
        <v>20417</v>
      </c>
      <c r="Z3010" t="s">
        <v>26217</v>
      </c>
      <c r="AA3010">
        <v>0.4991554044369923</v>
      </c>
      <c r="AB3010" t="str">
        <f>HYPERLINK("Melting_Curves/meltCurve_Q10469_MGAT2.pdf", "Melting_Curves/meltCurve_Q10469_MGAT2.pdf")</f>
        <v>Melting_Curves/meltCurve_Q10469_MGAT2.pdf</v>
      </c>
    </row>
    <row r="3011" spans="1:28" x14ac:dyDescent="0.25">
      <c r="A3011" t="s">
        <v>3015</v>
      </c>
      <c r="B3011">
        <v>0.99334974765950101</v>
      </c>
      <c r="C3011">
        <v>0.90540540937487901</v>
      </c>
      <c r="D3011">
        <v>0.834879596796821</v>
      </c>
      <c r="E3011">
        <v>0.72562907253978903</v>
      </c>
      <c r="F3011">
        <v>0.17857621869875301</v>
      </c>
      <c r="G3011">
        <v>0.15931626314489</v>
      </c>
      <c r="H3011">
        <v>0.103092659887925</v>
      </c>
      <c r="I3011">
        <v>9.6977541502600906E-2</v>
      </c>
      <c r="J3011">
        <v>8.93426223503727E-2</v>
      </c>
      <c r="K3011">
        <v>6.90028596657494E-2</v>
      </c>
      <c r="L3011">
        <v>2517.6652425720699</v>
      </c>
      <c r="M3011">
        <v>49.592333655478001</v>
      </c>
      <c r="N3011">
        <v>50.995768040394701</v>
      </c>
      <c r="O3011">
        <v>50.684894078790599</v>
      </c>
      <c r="P3011">
        <v>-0.22023620805754601</v>
      </c>
      <c r="Q3011">
        <v>9.9648237406361306E-2</v>
      </c>
      <c r="R3011">
        <v>0.97181952334280197</v>
      </c>
      <c r="S3011" t="s">
        <v>8872</v>
      </c>
      <c r="T3011" t="s">
        <v>11720</v>
      </c>
      <c r="U3011" t="s">
        <v>11720</v>
      </c>
      <c r="V3011" t="s">
        <v>11720</v>
      </c>
      <c r="W3011" t="s">
        <v>14684</v>
      </c>
      <c r="X3011">
        <v>25</v>
      </c>
      <c r="Y3011" t="s">
        <v>20418</v>
      </c>
      <c r="Z3011" t="s">
        <v>26218</v>
      </c>
      <c r="AA3011">
        <v>0.42484093295697101</v>
      </c>
      <c r="AB3011" t="str">
        <f>HYPERLINK("Melting_Curves/meltCurve_Q10471_GALNT2.pdf", "Melting_Curves/meltCurve_Q10471_GALNT2.pdf")</f>
        <v>Melting_Curves/meltCurve_Q10471_GALNT2.pdf</v>
      </c>
    </row>
    <row r="3012" spans="1:28" x14ac:dyDescent="0.25">
      <c r="A3012" t="s">
        <v>3016</v>
      </c>
      <c r="B3012">
        <v>0.99334974765950101</v>
      </c>
      <c r="C3012">
        <v>0.91894293381072401</v>
      </c>
      <c r="D3012">
        <v>1.14761191219657</v>
      </c>
      <c r="E3012">
        <v>0.91044704807368004</v>
      </c>
      <c r="F3012">
        <v>0.739913668304927</v>
      </c>
      <c r="G3012">
        <v>0.71439204365886699</v>
      </c>
      <c r="H3012">
        <v>0.13246349774979899</v>
      </c>
      <c r="I3012">
        <v>0.10329626413219101</v>
      </c>
      <c r="J3012">
        <v>8.7468954900471393E-2</v>
      </c>
      <c r="K3012">
        <v>7.49229423194962E-2</v>
      </c>
      <c r="L3012">
        <v>1229.95456446137</v>
      </c>
      <c r="M3012">
        <v>21.345354415291499</v>
      </c>
      <c r="N3012">
        <v>57.715152673995597</v>
      </c>
      <c r="O3012">
        <v>57.123066228156702</v>
      </c>
      <c r="P3012">
        <v>-9.1833099708423294E-2</v>
      </c>
      <c r="Q3012">
        <v>1.6993466099531999E-2</v>
      </c>
      <c r="R3012">
        <v>0.94875008238695202</v>
      </c>
      <c r="S3012" t="s">
        <v>8873</v>
      </c>
      <c r="T3012" t="s">
        <v>11720</v>
      </c>
      <c r="U3012" t="s">
        <v>11720</v>
      </c>
      <c r="V3012" t="s">
        <v>11720</v>
      </c>
      <c r="W3012" t="s">
        <v>14685</v>
      </c>
      <c r="X3012">
        <v>35</v>
      </c>
      <c r="Y3012" t="s">
        <v>20419</v>
      </c>
      <c r="Z3012" t="s">
        <v>26219</v>
      </c>
      <c r="AA3012">
        <v>0.60510471454798465</v>
      </c>
      <c r="AB3012" t="str">
        <f>HYPERLINK("Melting_Curves/meltCurve_Q10567_2_AP1B1.pdf", "Melting_Curves/meltCurve_Q10567_2_AP1B1.pdf")</f>
        <v>Melting_Curves/meltCurve_Q10567_2_AP1B1.pdf</v>
      </c>
    </row>
    <row r="3013" spans="1:28" x14ac:dyDescent="0.25">
      <c r="A3013" t="s">
        <v>3017</v>
      </c>
      <c r="B3013">
        <v>0.99334974765950101</v>
      </c>
      <c r="C3013">
        <v>0.96857896116680098</v>
      </c>
      <c r="D3013">
        <v>1.0798397294952899</v>
      </c>
      <c r="E3013">
        <v>0.88997244726796598</v>
      </c>
      <c r="F3013">
        <v>0.70604570778449305</v>
      </c>
      <c r="G3013">
        <v>0.58012930336469704</v>
      </c>
      <c r="H3013">
        <v>0.17231003556294899</v>
      </c>
      <c r="I3013">
        <v>0.100947015274356</v>
      </c>
      <c r="J3013">
        <v>8.6094219599565494E-2</v>
      </c>
      <c r="K3013">
        <v>6.8732216592720705E-2</v>
      </c>
      <c r="L3013">
        <v>979.082948836269</v>
      </c>
      <c r="M3013">
        <v>17.259143296251501</v>
      </c>
      <c r="N3013">
        <v>56.771589382819599</v>
      </c>
      <c r="O3013">
        <v>55.983217781051501</v>
      </c>
      <c r="P3013">
        <v>-7.6574201446985499E-2</v>
      </c>
      <c r="Q3013">
        <v>6.5276062458179997E-3</v>
      </c>
      <c r="R3013">
        <v>0.98092880659174997</v>
      </c>
      <c r="S3013" t="s">
        <v>8874</v>
      </c>
      <c r="T3013" t="s">
        <v>11720</v>
      </c>
      <c r="U3013" t="s">
        <v>11720</v>
      </c>
      <c r="V3013" t="s">
        <v>11720</v>
      </c>
      <c r="W3013" t="s">
        <v>14686</v>
      </c>
      <c r="X3013">
        <v>35</v>
      </c>
      <c r="Y3013" t="s">
        <v>20419</v>
      </c>
      <c r="Z3013" t="s">
        <v>26220</v>
      </c>
      <c r="AA3013">
        <v>0.57503260059530892</v>
      </c>
      <c r="AB3013" t="str">
        <f>HYPERLINK("Melting_Curves/meltCurve_Q10567_3_AP1B1.pdf", "Melting_Curves/meltCurve_Q10567_3_AP1B1.pdf")</f>
        <v>Melting_Curves/meltCurve_Q10567_3_AP1B1.pdf</v>
      </c>
    </row>
    <row r="3014" spans="1:28" x14ac:dyDescent="0.25">
      <c r="A3014" t="s">
        <v>3018</v>
      </c>
      <c r="B3014">
        <v>0.99334974765950101</v>
      </c>
      <c r="C3014">
        <v>0.95448024752175298</v>
      </c>
      <c r="D3014">
        <v>0.93986344101889496</v>
      </c>
      <c r="E3014">
        <v>0.83567732344885604</v>
      </c>
      <c r="F3014">
        <v>0.33830415083406301</v>
      </c>
      <c r="G3014">
        <v>0.141133685253231</v>
      </c>
      <c r="H3014">
        <v>0.101664506922702</v>
      </c>
      <c r="I3014">
        <v>7.5224006947919295E-2</v>
      </c>
      <c r="J3014">
        <v>6.7112450992345099E-2</v>
      </c>
      <c r="K3014">
        <v>4.8272703992228799E-2</v>
      </c>
      <c r="L3014">
        <v>2019.0608825547999</v>
      </c>
      <c r="M3014">
        <v>38.958590864975598</v>
      </c>
      <c r="N3014">
        <v>52.0559315457756</v>
      </c>
      <c r="O3014">
        <v>51.689833269619001</v>
      </c>
      <c r="P3014">
        <v>-0.17352058118442701</v>
      </c>
      <c r="Q3014">
        <v>7.9101285151290196E-2</v>
      </c>
      <c r="R3014">
        <v>0.99493886134421705</v>
      </c>
      <c r="S3014" t="s">
        <v>8875</v>
      </c>
      <c r="T3014" t="s">
        <v>11720</v>
      </c>
      <c r="U3014" t="s">
        <v>11720</v>
      </c>
      <c r="V3014" t="s">
        <v>11720</v>
      </c>
      <c r="W3014" t="s">
        <v>14687</v>
      </c>
      <c r="X3014">
        <v>21</v>
      </c>
      <c r="Y3014" t="s">
        <v>20420</v>
      </c>
      <c r="Z3014" t="s">
        <v>26221</v>
      </c>
      <c r="AA3014">
        <v>0.44559138294660161</v>
      </c>
      <c r="AB3014" t="str">
        <f>HYPERLINK("Melting_Curves/meltCurve_Q10713_PMPCA.pdf", "Melting_Curves/meltCurve_Q10713_PMPCA.pdf")</f>
        <v>Melting_Curves/meltCurve_Q10713_PMPCA.pdf</v>
      </c>
    </row>
    <row r="3015" spans="1:28" x14ac:dyDescent="0.25">
      <c r="A3015" t="s">
        <v>3019</v>
      </c>
      <c r="B3015">
        <v>0.99334974765950101</v>
      </c>
      <c r="C3015">
        <v>0.96136113813839397</v>
      </c>
      <c r="D3015">
        <v>0.93608372929787098</v>
      </c>
      <c r="E3015">
        <v>0.83719186000090895</v>
      </c>
      <c r="F3015">
        <v>0.79316131815994895</v>
      </c>
      <c r="G3015">
        <v>0.35899216837115699</v>
      </c>
      <c r="H3015">
        <v>0.23586734911415499</v>
      </c>
      <c r="I3015">
        <v>0.26973877459321899</v>
      </c>
      <c r="J3015">
        <v>0.25998162304724598</v>
      </c>
      <c r="K3015">
        <v>0.18576430064945099</v>
      </c>
      <c r="L3015">
        <v>1334.71315788576</v>
      </c>
      <c r="M3015">
        <v>24.583465058242101</v>
      </c>
      <c r="N3015">
        <v>55.559609015021401</v>
      </c>
      <c r="O3015">
        <v>53.937669782365496</v>
      </c>
      <c r="P3015">
        <v>-8.9503670129517807E-2</v>
      </c>
      <c r="Q3015">
        <v>0.21450426272359099</v>
      </c>
      <c r="R3015">
        <v>0.97955808930604205</v>
      </c>
      <c r="S3015" t="s">
        <v>8876</v>
      </c>
      <c r="T3015" t="s">
        <v>11720</v>
      </c>
      <c r="U3015" t="s">
        <v>11720</v>
      </c>
      <c r="V3015" t="s">
        <v>11720</v>
      </c>
      <c r="W3015" t="s">
        <v>14688</v>
      </c>
      <c r="X3015">
        <v>2</v>
      </c>
      <c r="Y3015" t="s">
        <v>20421</v>
      </c>
      <c r="Z3015" t="s">
        <v>26222</v>
      </c>
      <c r="AA3015">
        <v>0.59623956476145989</v>
      </c>
      <c r="AB3015" t="str">
        <f>HYPERLINK("Melting_Curves/meltCurve_Q11201_ST3GAL1.pdf", "Melting_Curves/meltCurve_Q11201_ST3GAL1.pdf")</f>
        <v>Melting_Curves/meltCurve_Q11201_ST3GAL1.pdf</v>
      </c>
    </row>
    <row r="3016" spans="1:28" x14ac:dyDescent="0.25">
      <c r="A3016" t="s">
        <v>3020</v>
      </c>
      <c r="B3016">
        <v>0.99334974765950101</v>
      </c>
      <c r="C3016">
        <v>1.04620494999349</v>
      </c>
      <c r="D3016">
        <v>0.948946860129953</v>
      </c>
      <c r="E3016">
        <v>0.98308544063471404</v>
      </c>
      <c r="F3016">
        <v>1.0849252287536399</v>
      </c>
      <c r="G3016">
        <v>0.62434638092239503</v>
      </c>
      <c r="H3016">
        <v>0.59937083383352296</v>
      </c>
      <c r="I3016">
        <v>0.499865511564203</v>
      </c>
      <c r="J3016">
        <v>0.43714369425781402</v>
      </c>
      <c r="K3016">
        <v>0.37698328783027302</v>
      </c>
      <c r="L3016">
        <v>9651.0710443247699</v>
      </c>
      <c r="M3016">
        <v>170.26198265024999</v>
      </c>
      <c r="N3016">
        <v>57.748330365577097</v>
      </c>
      <c r="O3016">
        <v>56.675832880161302</v>
      </c>
      <c r="P3016">
        <v>-0.39178542367808</v>
      </c>
      <c r="Q3016">
        <v>0.478338858747685</v>
      </c>
      <c r="R3016">
        <v>0.942965885724668</v>
      </c>
      <c r="S3016" t="s">
        <v>8877</v>
      </c>
      <c r="T3016" t="s">
        <v>11720</v>
      </c>
      <c r="U3016" t="s">
        <v>11720</v>
      </c>
      <c r="V3016" t="s">
        <v>11720</v>
      </c>
      <c r="W3016" t="s">
        <v>14689</v>
      </c>
      <c r="X3016">
        <v>2</v>
      </c>
      <c r="Y3016" t="s">
        <v>20422</v>
      </c>
      <c r="Z3016" t="s">
        <v>26223</v>
      </c>
      <c r="AA3016">
        <v>0.76855787574354484</v>
      </c>
      <c r="AB3016" t="str">
        <f>HYPERLINK("Melting_Curves/meltCurve_Q11206_3_ST3GAL4.pdf", "Melting_Curves/meltCurve_Q11206_3_ST3GAL4.pdf")</f>
        <v>Melting_Curves/meltCurve_Q11206_3_ST3GAL4.pdf</v>
      </c>
    </row>
    <row r="3017" spans="1:28" x14ac:dyDescent="0.25">
      <c r="A3017" t="s">
        <v>3021</v>
      </c>
      <c r="B3017">
        <v>0.99334974765950101</v>
      </c>
      <c r="C3017">
        <v>0.93438972880743199</v>
      </c>
      <c r="D3017">
        <v>0.94165197143201496</v>
      </c>
      <c r="E3017">
        <v>0.77553003491569505</v>
      </c>
      <c r="F3017">
        <v>0.214395128681203</v>
      </c>
      <c r="G3017">
        <v>0.101682677242113</v>
      </c>
      <c r="H3017">
        <v>6.2023294200933499E-2</v>
      </c>
      <c r="I3017">
        <v>5.75174962958271E-2</v>
      </c>
      <c r="J3017">
        <v>5.25674062063324E-2</v>
      </c>
      <c r="K3017">
        <v>4.0504756070949E-2</v>
      </c>
      <c r="L3017">
        <v>2380.7561359439001</v>
      </c>
      <c r="M3017">
        <v>46.489304789300498</v>
      </c>
      <c r="N3017">
        <v>51.352008192853198</v>
      </c>
      <c r="O3017">
        <v>51.116345659507502</v>
      </c>
      <c r="P3017">
        <v>-0.213731126487166</v>
      </c>
      <c r="Q3017">
        <v>5.9986631768267101E-2</v>
      </c>
      <c r="R3017">
        <v>0.99471418547339796</v>
      </c>
      <c r="S3017" t="s">
        <v>8878</v>
      </c>
      <c r="T3017" t="s">
        <v>11720</v>
      </c>
      <c r="U3017" t="s">
        <v>11720</v>
      </c>
      <c r="V3017" t="s">
        <v>11720</v>
      </c>
      <c r="W3017" t="s">
        <v>14690</v>
      </c>
      <c r="X3017">
        <v>24</v>
      </c>
      <c r="Y3017" t="s">
        <v>20423</v>
      </c>
      <c r="Z3017" t="s">
        <v>26224</v>
      </c>
      <c r="AA3017">
        <v>0.4137226713064186</v>
      </c>
      <c r="AB3017" t="str">
        <f>HYPERLINK("Melting_Curves/meltCurve_Q12765_SCRN1.pdf", "Melting_Curves/meltCurve_Q12765_SCRN1.pdf")</f>
        <v>Melting_Curves/meltCurve_Q12765_SCRN1.pdf</v>
      </c>
    </row>
    <row r="3018" spans="1:28" x14ac:dyDescent="0.25">
      <c r="A3018" t="s">
        <v>3022</v>
      </c>
      <c r="B3018">
        <v>0.99334974765950101</v>
      </c>
      <c r="C3018">
        <v>0.99648240985270098</v>
      </c>
      <c r="D3018">
        <v>1.0715251738985601</v>
      </c>
      <c r="E3018">
        <v>1.05270154989758</v>
      </c>
      <c r="F3018">
        <v>2.3691382564277301</v>
      </c>
      <c r="G3018">
        <v>0.87449624099756795</v>
      </c>
      <c r="H3018">
        <v>0.32191993792614898</v>
      </c>
      <c r="I3018">
        <v>0.20335141039349899</v>
      </c>
      <c r="J3018">
        <v>0.14749995028337101</v>
      </c>
      <c r="K3018">
        <v>0.108069945305779</v>
      </c>
      <c r="L3018">
        <v>3199.6426803886602</v>
      </c>
      <c r="M3018">
        <v>53.860097943889699</v>
      </c>
      <c r="N3018">
        <v>59.793878591724997</v>
      </c>
      <c r="O3018">
        <v>59.324827301364301</v>
      </c>
      <c r="P3018">
        <v>-0.193545988332503</v>
      </c>
      <c r="Q3018">
        <v>0.147266711754865</v>
      </c>
      <c r="R3018">
        <v>0.54631598428221495</v>
      </c>
      <c r="S3018" t="s">
        <v>8879</v>
      </c>
      <c r="T3018" t="s">
        <v>11720</v>
      </c>
      <c r="U3018" t="s">
        <v>11720</v>
      </c>
      <c r="V3018" t="s">
        <v>11720</v>
      </c>
      <c r="W3018" t="s">
        <v>14691</v>
      </c>
      <c r="X3018">
        <v>8</v>
      </c>
      <c r="Y3018" t="s">
        <v>20424</v>
      </c>
      <c r="Z3018" t="s">
        <v>26225</v>
      </c>
      <c r="AA3018">
        <v>0.70079821154901867</v>
      </c>
      <c r="AB3018" t="str">
        <f>HYPERLINK("Melting_Curves/meltCurve_Q12792_TWF1.pdf", "Melting_Curves/meltCurve_Q12792_TWF1.pdf")</f>
        <v>Melting_Curves/meltCurve_Q12792_TWF1.pdf</v>
      </c>
    </row>
    <row r="3019" spans="1:28" x14ac:dyDescent="0.25">
      <c r="A3019" t="s">
        <v>3023</v>
      </c>
      <c r="B3019">
        <v>0.99334974765950101</v>
      </c>
      <c r="C3019">
        <v>1.05385904564958</v>
      </c>
      <c r="D3019">
        <v>1.0495960595239699</v>
      </c>
      <c r="E3019">
        <v>0.94066697638443297</v>
      </c>
      <c r="F3019">
        <v>0.43191526135471398</v>
      </c>
      <c r="G3019">
        <v>0.37972169315973697</v>
      </c>
      <c r="H3019">
        <v>0.29828865495845702</v>
      </c>
      <c r="I3019">
        <v>0.30006265339869498</v>
      </c>
      <c r="J3019">
        <v>0.243380700814853</v>
      </c>
      <c r="K3019">
        <v>0.21265596208385801</v>
      </c>
      <c r="L3019">
        <v>3218.30783770977</v>
      </c>
      <c r="M3019">
        <v>62.0426350677401</v>
      </c>
      <c r="N3019">
        <v>52.590291015076602</v>
      </c>
      <c r="O3019">
        <v>51.818710583483899</v>
      </c>
      <c r="P3019">
        <v>-0.213837257693511</v>
      </c>
      <c r="Q3019">
        <v>0.28560308135429302</v>
      </c>
      <c r="R3019">
        <v>0.98243829253269399</v>
      </c>
      <c r="S3019" t="s">
        <v>8880</v>
      </c>
      <c r="T3019" t="s">
        <v>11720</v>
      </c>
      <c r="U3019" t="s">
        <v>11720</v>
      </c>
      <c r="V3019" t="s">
        <v>11720</v>
      </c>
      <c r="W3019" t="s">
        <v>14692</v>
      </c>
      <c r="X3019">
        <v>33</v>
      </c>
      <c r="Y3019" t="s">
        <v>20425</v>
      </c>
      <c r="Z3019" t="s">
        <v>26226</v>
      </c>
      <c r="AA3019">
        <v>0.56938569073622891</v>
      </c>
      <c r="AB3019" t="str">
        <f>HYPERLINK("Melting_Curves/meltCurve_Q12797_ASPH.pdf", "Melting_Curves/meltCurve_Q12797_ASPH.pdf")</f>
        <v>Melting_Curves/meltCurve_Q12797_ASPH.pdf</v>
      </c>
    </row>
    <row r="3020" spans="1:28" x14ac:dyDescent="0.25">
      <c r="A3020" t="s">
        <v>3024</v>
      </c>
      <c r="B3020">
        <v>0.99334974765950101</v>
      </c>
      <c r="C3020">
        <v>0.97485751323629999</v>
      </c>
      <c r="D3020">
        <v>0.859816109745144</v>
      </c>
      <c r="E3020">
        <v>0.64465223939085303</v>
      </c>
      <c r="F3020">
        <v>0.40638224609882201</v>
      </c>
      <c r="G3020">
        <v>0.24671181314927601</v>
      </c>
      <c r="H3020">
        <v>0.18559437762167599</v>
      </c>
      <c r="I3020">
        <v>0.188570327017831</v>
      </c>
      <c r="J3020">
        <v>0.20529338761600299</v>
      </c>
      <c r="K3020">
        <v>0.20418804783067299</v>
      </c>
      <c r="L3020">
        <v>972.35433686266299</v>
      </c>
      <c r="M3020">
        <v>19.2958916397228</v>
      </c>
      <c r="N3020">
        <v>51.595973694561501</v>
      </c>
      <c r="O3020">
        <v>49.859915947818799</v>
      </c>
      <c r="P3020">
        <v>-7.9213029561523193E-2</v>
      </c>
      <c r="Q3020">
        <v>0.18129584241299501</v>
      </c>
      <c r="R3020">
        <v>0.99738561313222096</v>
      </c>
      <c r="S3020" t="s">
        <v>8881</v>
      </c>
      <c r="T3020" t="s">
        <v>11720</v>
      </c>
      <c r="U3020" t="s">
        <v>11720</v>
      </c>
      <c r="V3020" t="s">
        <v>11720</v>
      </c>
      <c r="W3020" t="s">
        <v>14693</v>
      </c>
      <c r="X3020">
        <v>16</v>
      </c>
      <c r="Y3020" t="s">
        <v>20426</v>
      </c>
      <c r="Z3020" t="s">
        <v>26227</v>
      </c>
      <c r="AA3020">
        <v>0.47707845211221589</v>
      </c>
      <c r="AB3020" t="str">
        <f>HYPERLINK("Melting_Curves/meltCurve_Q12802_4_AKAP13.pdf", "Melting_Curves/meltCurve_Q12802_4_AKAP13.pdf")</f>
        <v>Melting_Curves/meltCurve_Q12802_4_AKAP13.pdf</v>
      </c>
    </row>
    <row r="3021" spans="1:28" x14ac:dyDescent="0.25">
      <c r="A3021" t="s">
        <v>3025</v>
      </c>
      <c r="B3021">
        <v>0.99334974765950101</v>
      </c>
      <c r="C3021">
        <v>0.98813350241542797</v>
      </c>
      <c r="D3021">
        <v>0.97210905573898199</v>
      </c>
      <c r="E3021">
        <v>0.87619576802843901</v>
      </c>
      <c r="F3021">
        <v>1.24604377744052</v>
      </c>
      <c r="G3021">
        <v>0.50331425133517105</v>
      </c>
      <c r="H3021">
        <v>0.39104606451934998</v>
      </c>
      <c r="I3021">
        <v>0.28423829421860702</v>
      </c>
      <c r="J3021">
        <v>0.393140184088141</v>
      </c>
      <c r="K3021">
        <v>0.302500213848925</v>
      </c>
      <c r="L3021">
        <v>14185.6386878516</v>
      </c>
      <c r="M3021">
        <v>250</v>
      </c>
      <c r="N3021">
        <v>57.006291526632303</v>
      </c>
      <c r="O3021">
        <v>56.738923632123999</v>
      </c>
      <c r="P3021">
        <v>-0.72400565201293698</v>
      </c>
      <c r="Q3021">
        <v>0.34273117871249298</v>
      </c>
      <c r="R3021">
        <v>0.92332030732554404</v>
      </c>
      <c r="S3021" t="s">
        <v>8882</v>
      </c>
      <c r="T3021" t="s">
        <v>11720</v>
      </c>
      <c r="U3021" t="s">
        <v>11720</v>
      </c>
      <c r="V3021" t="s">
        <v>11720</v>
      </c>
      <c r="W3021" t="s">
        <v>14694</v>
      </c>
      <c r="X3021">
        <v>10</v>
      </c>
      <c r="Y3021" t="s">
        <v>20427</v>
      </c>
      <c r="Z3021" t="s">
        <v>26228</v>
      </c>
      <c r="AA3021">
        <v>0.70960860528036496</v>
      </c>
      <c r="AB3021" t="str">
        <f>HYPERLINK("Melting_Curves/meltCurve_Q12805_2_EFEMP1.pdf", "Melting_Curves/meltCurve_Q12805_2_EFEMP1.pdf")</f>
        <v>Melting_Curves/meltCurve_Q12805_2_EFEMP1.pdf</v>
      </c>
    </row>
    <row r="3022" spans="1:28" x14ac:dyDescent="0.25">
      <c r="A3022" t="s">
        <v>3026</v>
      </c>
      <c r="B3022">
        <v>0.99334974765950101</v>
      </c>
      <c r="C3022">
        <v>1.0002321376660099</v>
      </c>
      <c r="D3022">
        <v>0.91733606881674801</v>
      </c>
      <c r="E3022">
        <v>0.82337485585890602</v>
      </c>
      <c r="F3022">
        <v>0.81681886644808099</v>
      </c>
      <c r="G3022">
        <v>0.69150458123875802</v>
      </c>
      <c r="H3022">
        <v>0.69649385290399302</v>
      </c>
      <c r="I3022">
        <v>0.90064182987918195</v>
      </c>
      <c r="J3022">
        <v>0.95946234345827697</v>
      </c>
      <c r="K3022">
        <v>0.91639773481654996</v>
      </c>
      <c r="L3022">
        <v>11502.926599852</v>
      </c>
      <c r="M3022">
        <v>250</v>
      </c>
      <c r="O3022">
        <v>46.008761861414499</v>
      </c>
      <c r="P3022">
        <v>-0.231963956108973</v>
      </c>
      <c r="Q3022">
        <v>0.82924200917857604</v>
      </c>
      <c r="R3022">
        <v>0.40884297655415602</v>
      </c>
      <c r="S3022" t="s">
        <v>8883</v>
      </c>
      <c r="T3022" t="s">
        <v>11720</v>
      </c>
      <c r="U3022" t="s">
        <v>11720</v>
      </c>
      <c r="V3022" t="s">
        <v>11720</v>
      </c>
      <c r="W3022" t="s">
        <v>14695</v>
      </c>
      <c r="X3022">
        <v>35</v>
      </c>
      <c r="Y3022" t="s">
        <v>20428</v>
      </c>
      <c r="Z3022" t="s">
        <v>26229</v>
      </c>
      <c r="AA3022">
        <v>0.86347402806277906</v>
      </c>
      <c r="AB3022" t="str">
        <f>HYPERLINK("Melting_Curves/meltCurve_Q12841_FSTL1.pdf", "Melting_Curves/meltCurve_Q12841_FSTL1.pdf")</f>
        <v>Melting_Curves/meltCurve_Q12841_FSTL1.pdf</v>
      </c>
    </row>
    <row r="3023" spans="1:28" x14ac:dyDescent="0.25">
      <c r="A3023" t="s">
        <v>3027</v>
      </c>
      <c r="B3023">
        <v>0.99334974765950101</v>
      </c>
      <c r="C3023">
        <v>0.94780069547021895</v>
      </c>
      <c r="D3023">
        <v>0.88079551250220001</v>
      </c>
      <c r="E3023">
        <v>0.73238674315668595</v>
      </c>
      <c r="F3023">
        <v>0.44631430205515199</v>
      </c>
      <c r="G3023">
        <v>0.27646704970737401</v>
      </c>
      <c r="H3023">
        <v>0.179179302751519</v>
      </c>
      <c r="I3023">
        <v>0.19277266750042299</v>
      </c>
      <c r="J3023">
        <v>0.167672176351919</v>
      </c>
      <c r="K3023">
        <v>0.145866971779016</v>
      </c>
      <c r="L3023">
        <v>920.91356434365696</v>
      </c>
      <c r="M3023">
        <v>17.8596441362936</v>
      </c>
      <c r="N3023">
        <v>52.579032099127701</v>
      </c>
      <c r="O3023">
        <v>50.9304979614625</v>
      </c>
      <c r="P3023">
        <v>-7.4887087029826396E-2</v>
      </c>
      <c r="Q3023">
        <v>0.14581891164545699</v>
      </c>
      <c r="R3023">
        <v>0.99538169268363696</v>
      </c>
      <c r="S3023" t="s">
        <v>8884</v>
      </c>
      <c r="T3023" t="s">
        <v>11720</v>
      </c>
      <c r="U3023" t="s">
        <v>11720</v>
      </c>
      <c r="V3023" t="s">
        <v>11720</v>
      </c>
      <c r="W3023" t="s">
        <v>14696</v>
      </c>
      <c r="X3023">
        <v>10</v>
      </c>
      <c r="Y3023" t="s">
        <v>20429</v>
      </c>
      <c r="Z3023" t="s">
        <v>26230</v>
      </c>
      <c r="AA3023">
        <v>0.48956773131022568</v>
      </c>
      <c r="AB3023" t="str">
        <f>HYPERLINK("Melting_Curves/meltCurve_Q12846_STX4.pdf", "Melting_Curves/meltCurve_Q12846_STX4.pdf")</f>
        <v>Melting_Curves/meltCurve_Q12846_STX4.pdf</v>
      </c>
    </row>
    <row r="3024" spans="1:28" x14ac:dyDescent="0.25">
      <c r="A3024" t="s">
        <v>3028</v>
      </c>
      <c r="B3024">
        <v>0.99334974765950101</v>
      </c>
      <c r="C3024">
        <v>0.90846866302974905</v>
      </c>
      <c r="D3024">
        <v>0.81867353251992903</v>
      </c>
      <c r="E3024">
        <v>0.37579776344175603</v>
      </c>
      <c r="F3024">
        <v>0.243043489574297</v>
      </c>
      <c r="G3024">
        <v>0.13232090402105801</v>
      </c>
      <c r="H3024">
        <v>9.6859427566670903E-2</v>
      </c>
      <c r="I3024">
        <v>9.5399075124802293E-2</v>
      </c>
      <c r="J3024">
        <v>9.9703410656730301E-2</v>
      </c>
      <c r="K3024">
        <v>8.4874868981188095E-2</v>
      </c>
      <c r="L3024">
        <v>1041.8806981873799</v>
      </c>
      <c r="M3024">
        <v>21.475265268824302</v>
      </c>
      <c r="N3024">
        <v>48.9793502067606</v>
      </c>
      <c r="O3024">
        <v>48.100587822664203</v>
      </c>
      <c r="P3024">
        <v>-0.10134621016275</v>
      </c>
      <c r="Q3024">
        <v>9.2036070900100894E-2</v>
      </c>
      <c r="R3024">
        <v>0.99653108725503203</v>
      </c>
      <c r="S3024" t="s">
        <v>8885</v>
      </c>
      <c r="T3024" t="s">
        <v>11720</v>
      </c>
      <c r="U3024" t="s">
        <v>11720</v>
      </c>
      <c r="V3024" t="s">
        <v>11720</v>
      </c>
      <c r="W3024" t="s">
        <v>14697</v>
      </c>
      <c r="X3024">
        <v>6</v>
      </c>
      <c r="Y3024" t="s">
        <v>20430</v>
      </c>
      <c r="Z3024" t="s">
        <v>26231</v>
      </c>
      <c r="AA3024">
        <v>0.36078683299509612</v>
      </c>
      <c r="AB3024" t="str">
        <f>HYPERLINK("Melting_Curves/meltCurve_Q12849_GRSF1.pdf", "Melting_Curves/meltCurve_Q12849_GRSF1.pdf")</f>
        <v>Melting_Curves/meltCurve_Q12849_GRSF1.pdf</v>
      </c>
    </row>
    <row r="3025" spans="1:28" x14ac:dyDescent="0.25">
      <c r="A3025" t="s">
        <v>3029</v>
      </c>
      <c r="B3025">
        <v>0.99334974765950101</v>
      </c>
      <c r="C3025">
        <v>0.97716400602185605</v>
      </c>
      <c r="D3025">
        <v>0.82235740489451004</v>
      </c>
      <c r="E3025">
        <v>0.748630223782209</v>
      </c>
      <c r="F3025">
        <v>0.458762174886094</v>
      </c>
      <c r="G3025">
        <v>0.29940461340157998</v>
      </c>
      <c r="H3025">
        <v>0.21721322980972699</v>
      </c>
      <c r="I3025">
        <v>0.25633944050319302</v>
      </c>
      <c r="J3025">
        <v>0.19978799947606299</v>
      </c>
      <c r="K3025">
        <v>0.186672674698866</v>
      </c>
      <c r="L3025">
        <v>835.39207706867103</v>
      </c>
      <c r="M3025">
        <v>16.277221337126999</v>
      </c>
      <c r="N3025">
        <v>52.792901503127901</v>
      </c>
      <c r="O3025">
        <v>50.566882314994203</v>
      </c>
      <c r="P3025">
        <v>-6.5813974089000304E-2</v>
      </c>
      <c r="Q3025">
        <v>0.18222811256115501</v>
      </c>
      <c r="R3025">
        <v>0.98653771011849301</v>
      </c>
      <c r="S3025" t="s">
        <v>8886</v>
      </c>
      <c r="T3025" t="s">
        <v>11720</v>
      </c>
      <c r="U3025" t="s">
        <v>11720</v>
      </c>
      <c r="V3025" t="s">
        <v>11720</v>
      </c>
      <c r="W3025" t="s">
        <v>14698</v>
      </c>
      <c r="X3025">
        <v>3</v>
      </c>
      <c r="Y3025" t="s">
        <v>20431</v>
      </c>
      <c r="Z3025" t="s">
        <v>26232</v>
      </c>
      <c r="AA3025">
        <v>0.5072154020322942</v>
      </c>
      <c r="AB3025" t="str">
        <f>HYPERLINK("Melting_Curves/meltCurve_Q12872_SFSWAP.pdf", "Melting_Curves/meltCurve_Q12872_SFSWAP.pdf")</f>
        <v>Melting_Curves/meltCurve_Q12872_SFSWAP.pdf</v>
      </c>
    </row>
    <row r="3026" spans="1:28" x14ac:dyDescent="0.25">
      <c r="A3026" t="s">
        <v>3030</v>
      </c>
      <c r="B3026">
        <v>0.99334974765950101</v>
      </c>
      <c r="C3026">
        <v>1.0374151764325701</v>
      </c>
      <c r="D3026">
        <v>0.92206321264564095</v>
      </c>
      <c r="E3026">
        <v>0.58942002436062602</v>
      </c>
      <c r="F3026">
        <v>0.29132324549781502</v>
      </c>
      <c r="G3026">
        <v>0.12908502022828899</v>
      </c>
      <c r="H3026">
        <v>0.13047694996348899</v>
      </c>
      <c r="I3026">
        <v>9.4599091261461099E-2</v>
      </c>
      <c r="J3026">
        <v>8.5192898497689601E-2</v>
      </c>
      <c r="K3026">
        <v>6.2774162219631405E-2</v>
      </c>
      <c r="L3026">
        <v>1292.1311252647899</v>
      </c>
      <c r="M3026">
        <v>25.635191761846901</v>
      </c>
      <c r="N3026">
        <v>50.788717858718499</v>
      </c>
      <c r="O3026">
        <v>50.100862351862602</v>
      </c>
      <c r="P3026">
        <v>-0.11664657629592599</v>
      </c>
      <c r="Q3026">
        <v>8.8125042066817094E-2</v>
      </c>
      <c r="R3026">
        <v>0.99732373876396696</v>
      </c>
      <c r="S3026" t="s">
        <v>8887</v>
      </c>
      <c r="T3026" t="s">
        <v>11720</v>
      </c>
      <c r="U3026" t="s">
        <v>11720</v>
      </c>
      <c r="V3026" t="s">
        <v>11720</v>
      </c>
      <c r="W3026" t="s">
        <v>14699</v>
      </c>
      <c r="X3026">
        <v>7</v>
      </c>
      <c r="Y3026" t="s">
        <v>20432</v>
      </c>
      <c r="Z3026" t="s">
        <v>26233</v>
      </c>
      <c r="AA3026">
        <v>0.41216597855880532</v>
      </c>
      <c r="AB3026" t="str">
        <f>HYPERLINK("Melting_Curves/meltCurve_Q12874_SF3A3.pdf", "Melting_Curves/meltCurve_Q12874_SF3A3.pdf")</f>
        <v>Melting_Curves/meltCurve_Q12874_SF3A3.pdf</v>
      </c>
    </row>
    <row r="3027" spans="1:28" x14ac:dyDescent="0.25">
      <c r="A3027" t="s">
        <v>3031</v>
      </c>
      <c r="B3027">
        <v>0.99334974765950101</v>
      </c>
      <c r="C3027">
        <v>1.0227165950414101</v>
      </c>
      <c r="D3027">
        <v>1.1495828750278201</v>
      </c>
      <c r="E3027">
        <v>1.5390011916508299</v>
      </c>
      <c r="F3027">
        <v>0.99353072586730096</v>
      </c>
      <c r="G3027">
        <v>0.33471222629160302</v>
      </c>
      <c r="H3027">
        <v>0.22892199418151701</v>
      </c>
      <c r="I3027">
        <v>0.19170131620573599</v>
      </c>
      <c r="J3027">
        <v>0.17637479073469101</v>
      </c>
      <c r="K3027">
        <v>0.15900326856003899</v>
      </c>
      <c r="L3027">
        <v>4831.7594187582499</v>
      </c>
      <c r="M3027">
        <v>86.281897469358199</v>
      </c>
      <c r="N3027">
        <v>56.309037419562998</v>
      </c>
      <c r="O3027">
        <v>55.969602508878097</v>
      </c>
      <c r="P3027">
        <v>-0.31265143279577401</v>
      </c>
      <c r="Q3027">
        <v>0.188753010858181</v>
      </c>
      <c r="R3027">
        <v>0.86597946272648896</v>
      </c>
      <c r="S3027" t="s">
        <v>8888</v>
      </c>
      <c r="T3027" t="s">
        <v>11720</v>
      </c>
      <c r="U3027" t="s">
        <v>11720</v>
      </c>
      <c r="V3027" t="s">
        <v>11720</v>
      </c>
      <c r="W3027" t="s">
        <v>14700</v>
      </c>
      <c r="X3027">
        <v>13</v>
      </c>
      <c r="Y3027" t="s">
        <v>20433</v>
      </c>
      <c r="Z3027" t="s">
        <v>26234</v>
      </c>
      <c r="AA3027">
        <v>0.62208010737101194</v>
      </c>
      <c r="AB3027" t="str">
        <f>HYPERLINK("Melting_Curves/meltCurve_Q12882_DPYD.pdf", "Melting_Curves/meltCurve_Q12882_DPYD.pdf")</f>
        <v>Melting_Curves/meltCurve_Q12882_DPYD.pdf</v>
      </c>
    </row>
    <row r="3028" spans="1:28" x14ac:dyDescent="0.25">
      <c r="A3028" t="s">
        <v>3032</v>
      </c>
      <c r="B3028">
        <v>0.99334974765950101</v>
      </c>
      <c r="C3028">
        <v>0.97893544342504701</v>
      </c>
      <c r="D3028">
        <v>1.0641803628233999</v>
      </c>
      <c r="E3028">
        <v>1.3436699212076499</v>
      </c>
      <c r="F3028">
        <v>1.2172871631890501</v>
      </c>
      <c r="G3028">
        <v>1.2826659754315499</v>
      </c>
      <c r="H3028">
        <v>1.10156628418747</v>
      </c>
      <c r="I3028">
        <v>1.35745951786917</v>
      </c>
      <c r="J3028">
        <v>0.74286370574774097</v>
      </c>
      <c r="K3028">
        <v>0.51468243196957197</v>
      </c>
      <c r="L3028">
        <v>15000</v>
      </c>
      <c r="M3028">
        <v>223.99950920688201</v>
      </c>
      <c r="O3028">
        <v>66.959086323225307</v>
      </c>
      <c r="P3028">
        <v>-0.40592051652994499</v>
      </c>
      <c r="Q3028">
        <v>0.51464053872699</v>
      </c>
      <c r="R3028">
        <v>0.406806278162478</v>
      </c>
      <c r="S3028" t="s">
        <v>8889</v>
      </c>
      <c r="T3028" t="s">
        <v>11720</v>
      </c>
      <c r="U3028" t="s">
        <v>11720</v>
      </c>
      <c r="V3028" t="s">
        <v>11720</v>
      </c>
      <c r="W3028" t="s">
        <v>14701</v>
      </c>
      <c r="X3028">
        <v>20</v>
      </c>
      <c r="Y3028" t="s">
        <v>20434</v>
      </c>
      <c r="Z3028" t="s">
        <v>26235</v>
      </c>
      <c r="AA3028">
        <v>0.95095935060245174</v>
      </c>
      <c r="AB3028" t="str">
        <f>HYPERLINK("Melting_Curves/meltCurve_Q12884_FAP.pdf", "Melting_Curves/meltCurve_Q12884_FAP.pdf")</f>
        <v>Melting_Curves/meltCurve_Q12884_FAP.pdf</v>
      </c>
    </row>
    <row r="3029" spans="1:28" x14ac:dyDescent="0.25">
      <c r="A3029" t="s">
        <v>3033</v>
      </c>
      <c r="B3029">
        <v>0.99334974765950101</v>
      </c>
      <c r="C3029">
        <v>1.0414090158959</v>
      </c>
      <c r="D3029">
        <v>0.92978130506127599</v>
      </c>
      <c r="E3029">
        <v>0.74175297212590996</v>
      </c>
      <c r="F3029">
        <v>0.74528558916631804</v>
      </c>
      <c r="G3029">
        <v>0.64942714818889102</v>
      </c>
      <c r="H3029">
        <v>0.61884286806312805</v>
      </c>
      <c r="I3029">
        <v>0.71453152292178301</v>
      </c>
      <c r="J3029">
        <v>0.64552595789863998</v>
      </c>
      <c r="K3029">
        <v>0.54004195630406904</v>
      </c>
      <c r="L3029">
        <v>1025.9189650411799</v>
      </c>
      <c r="M3029">
        <v>20.878411788865598</v>
      </c>
      <c r="O3029">
        <v>48.693652928078897</v>
      </c>
      <c r="P3029">
        <v>-3.9542329197361399E-2</v>
      </c>
      <c r="Q3029">
        <v>0.63111983202765298</v>
      </c>
      <c r="R3029">
        <v>0.91174128666569798</v>
      </c>
      <c r="S3029" t="s">
        <v>8890</v>
      </c>
      <c r="T3029" t="s">
        <v>11720</v>
      </c>
      <c r="U3029" t="s">
        <v>11720</v>
      </c>
      <c r="V3029" t="s">
        <v>11720</v>
      </c>
      <c r="W3029" t="s">
        <v>14702</v>
      </c>
      <c r="X3029">
        <v>31</v>
      </c>
      <c r="Y3029" t="s">
        <v>20435</v>
      </c>
      <c r="Z3029" t="s">
        <v>26236</v>
      </c>
      <c r="AA3029">
        <v>0.74820837163203646</v>
      </c>
      <c r="AB3029" t="str">
        <f>HYPERLINK("Melting_Curves/meltCurve_Q12888_TP53BP1.pdf", "Melting_Curves/meltCurve_Q12888_TP53BP1.pdf")</f>
        <v>Melting_Curves/meltCurve_Q12888_TP53BP1.pdf</v>
      </c>
    </row>
    <row r="3030" spans="1:28" x14ac:dyDescent="0.25">
      <c r="A3030" t="s">
        <v>3034</v>
      </c>
      <c r="B3030">
        <v>0.99334974765950101</v>
      </c>
      <c r="C3030">
        <v>1.0333763806793901</v>
      </c>
      <c r="D3030">
        <v>0.90359768757812398</v>
      </c>
      <c r="E3030">
        <v>0.810261944255394</v>
      </c>
      <c r="F3030">
        <v>0.97340493659612504</v>
      </c>
      <c r="G3030">
        <v>0.583417791216986</v>
      </c>
      <c r="H3030">
        <v>0.39581117152960299</v>
      </c>
      <c r="I3030">
        <v>0.30935107256677402</v>
      </c>
      <c r="J3030">
        <v>0.34195025563336801</v>
      </c>
      <c r="K3030">
        <v>0.14106451622558999</v>
      </c>
      <c r="L3030">
        <v>810.84594487531001</v>
      </c>
      <c r="M3030">
        <v>13.9134068048398</v>
      </c>
      <c r="N3030">
        <v>59.473347507997502</v>
      </c>
      <c r="O3030">
        <v>57.113718070418699</v>
      </c>
      <c r="P3030">
        <v>-5.3481292950495703E-2</v>
      </c>
      <c r="Q3030">
        <v>0.12196867052803601</v>
      </c>
      <c r="R3030">
        <v>0.94226677867478503</v>
      </c>
      <c r="S3030" t="s">
        <v>8891</v>
      </c>
      <c r="T3030" t="s">
        <v>11720</v>
      </c>
      <c r="U3030" t="s">
        <v>11720</v>
      </c>
      <c r="V3030" t="s">
        <v>11720</v>
      </c>
      <c r="W3030" t="s">
        <v>14703</v>
      </c>
      <c r="X3030">
        <v>2</v>
      </c>
      <c r="Y3030" t="s">
        <v>20436</v>
      </c>
      <c r="Z3030" t="s">
        <v>26237</v>
      </c>
      <c r="AA3030">
        <v>0.66795660076327401</v>
      </c>
      <c r="AB3030" t="str">
        <f>HYPERLINK("Melting_Curves/meltCurve_Q12893_TMEM115.pdf", "Melting_Curves/meltCurve_Q12893_TMEM115.pdf")</f>
        <v>Melting_Curves/meltCurve_Q12893_TMEM115.pdf</v>
      </c>
    </row>
    <row r="3031" spans="1:28" x14ac:dyDescent="0.25">
      <c r="A3031" t="s">
        <v>3035</v>
      </c>
      <c r="B3031">
        <v>0.99334974765950101</v>
      </c>
      <c r="C3031">
        <v>0.96037606431764599</v>
      </c>
      <c r="D3031">
        <v>0.92972852467148703</v>
      </c>
      <c r="E3031">
        <v>0.79242429198487896</v>
      </c>
      <c r="F3031">
        <v>0.65202497224920497</v>
      </c>
      <c r="G3031">
        <v>0.57582849721268603</v>
      </c>
      <c r="H3031">
        <v>0.33459287949705102</v>
      </c>
      <c r="I3031">
        <v>7.6810734166303296E-2</v>
      </c>
      <c r="J3031">
        <v>5.4670014139993103E-2</v>
      </c>
      <c r="K3031">
        <v>1.64262824341193E-2</v>
      </c>
      <c r="L3031">
        <v>746.60188191886095</v>
      </c>
      <c r="M3031">
        <v>13.2404606778694</v>
      </c>
      <c r="N3031">
        <v>56.387907691936903</v>
      </c>
      <c r="O3031">
        <v>55.1481811902093</v>
      </c>
      <c r="P3031">
        <v>-6.0032055349798698E-2</v>
      </c>
      <c r="Q3031">
        <v>0</v>
      </c>
      <c r="R3031">
        <v>0.97261897418445098</v>
      </c>
      <c r="S3031" t="s">
        <v>8892</v>
      </c>
      <c r="T3031" t="s">
        <v>11720</v>
      </c>
      <c r="U3031" t="s">
        <v>11720</v>
      </c>
      <c r="V3031" t="s">
        <v>11720</v>
      </c>
      <c r="W3031" t="s">
        <v>14704</v>
      </c>
      <c r="X3031">
        <v>7</v>
      </c>
      <c r="Y3031" t="s">
        <v>20437</v>
      </c>
      <c r="Z3031" t="s">
        <v>26238</v>
      </c>
      <c r="AA3031">
        <v>0.56466759077541828</v>
      </c>
      <c r="AB3031" t="str">
        <f>HYPERLINK("Melting_Curves/meltCurve_Q12905_ILF2.pdf", "Melting_Curves/meltCurve_Q12905_ILF2.pdf")</f>
        <v>Melting_Curves/meltCurve_Q12905_ILF2.pdf</v>
      </c>
    </row>
    <row r="3032" spans="1:28" x14ac:dyDescent="0.25">
      <c r="A3032" t="s">
        <v>3036</v>
      </c>
      <c r="B3032">
        <v>0.99334974765950101</v>
      </c>
      <c r="C3032">
        <v>1.0570794732750901</v>
      </c>
      <c r="D3032">
        <v>1.19766122250317</v>
      </c>
      <c r="E3032">
        <v>1.3850194401379601</v>
      </c>
      <c r="F3032">
        <v>1.4318293326165299</v>
      </c>
      <c r="G3032">
        <v>1.3317398382596199</v>
      </c>
      <c r="H3032">
        <v>0.80433408478940405</v>
      </c>
      <c r="I3032">
        <v>0.19727570558324301</v>
      </c>
      <c r="J3032">
        <v>0.184941209115701</v>
      </c>
      <c r="K3032">
        <v>0.11454973324602299</v>
      </c>
      <c r="L3032">
        <v>5449.83336569937</v>
      </c>
      <c r="M3032">
        <v>88.119770705054194</v>
      </c>
      <c r="N3032">
        <v>62.099504316025502</v>
      </c>
      <c r="O3032">
        <v>61.813922495124402</v>
      </c>
      <c r="P3032">
        <v>-0.302508767819128</v>
      </c>
      <c r="Q3032">
        <v>0.15118930250922399</v>
      </c>
      <c r="R3032">
        <v>0.79992268404779399</v>
      </c>
      <c r="S3032" t="s">
        <v>8893</v>
      </c>
      <c r="T3032" t="s">
        <v>11720</v>
      </c>
      <c r="U3032" t="s">
        <v>11720</v>
      </c>
      <c r="V3032" t="s">
        <v>11720</v>
      </c>
      <c r="W3032" t="s">
        <v>14705</v>
      </c>
      <c r="X3032">
        <v>13</v>
      </c>
      <c r="Y3032" t="s">
        <v>20438</v>
      </c>
      <c r="Z3032" t="s">
        <v>26239</v>
      </c>
      <c r="AA3032">
        <v>0.77002797553703384</v>
      </c>
      <c r="AB3032" t="str">
        <f>HYPERLINK("Melting_Curves/meltCurve_Q12906_ILF3.pdf", "Melting_Curves/meltCurve_Q12906_ILF3.pdf")</f>
        <v>Melting_Curves/meltCurve_Q12906_ILF3.pdf</v>
      </c>
    </row>
    <row r="3033" spans="1:28" x14ac:dyDescent="0.25">
      <c r="A3033" t="s">
        <v>3037</v>
      </c>
      <c r="B3033">
        <v>0.99334974765950101</v>
      </c>
      <c r="C3033">
        <v>0.95453522977046301</v>
      </c>
      <c r="D3033">
        <v>0.83481981890758705</v>
      </c>
      <c r="E3033">
        <v>0.71092184473397302</v>
      </c>
      <c r="F3033">
        <v>0.26395868416913498</v>
      </c>
      <c r="G3033">
        <v>0.16588707873501901</v>
      </c>
      <c r="H3033">
        <v>0.13234884738598601</v>
      </c>
      <c r="I3033">
        <v>0.12280999554303</v>
      </c>
      <c r="J3033">
        <v>0.10328513257682199</v>
      </c>
      <c r="K3033">
        <v>8.8139004397618806E-2</v>
      </c>
      <c r="L3033">
        <v>1222.06712072348</v>
      </c>
      <c r="M3033">
        <v>24.095650236785701</v>
      </c>
      <c r="N3033">
        <v>51.193088219563201</v>
      </c>
      <c r="O3033">
        <v>50.371877741908797</v>
      </c>
      <c r="P3033">
        <v>-0.107594077480006</v>
      </c>
      <c r="Q3033">
        <v>0.100313700813164</v>
      </c>
      <c r="R3033">
        <v>0.98267836402870001</v>
      </c>
      <c r="S3033" t="s">
        <v>8894</v>
      </c>
      <c r="T3033" t="s">
        <v>11720</v>
      </c>
      <c r="U3033" t="s">
        <v>11720</v>
      </c>
      <c r="V3033" t="s">
        <v>11720</v>
      </c>
      <c r="W3033" t="s">
        <v>14706</v>
      </c>
      <c r="X3033">
        <v>21</v>
      </c>
      <c r="Y3033" t="s">
        <v>20439</v>
      </c>
      <c r="Z3033" t="s">
        <v>26240</v>
      </c>
      <c r="AA3033">
        <v>0.43043579814760152</v>
      </c>
      <c r="AB3033" t="str">
        <f>HYPERLINK("Melting_Curves/meltCurve_Q12907_LMAN2.pdf", "Melting_Curves/meltCurve_Q12907_LMAN2.pdf")</f>
        <v>Melting_Curves/meltCurve_Q12907_LMAN2.pdf</v>
      </c>
    </row>
    <row r="3034" spans="1:28" x14ac:dyDescent="0.25">
      <c r="A3034" t="s">
        <v>3038</v>
      </c>
      <c r="B3034">
        <v>0.99334974765950101</v>
      </c>
      <c r="C3034">
        <v>0.59679245084572397</v>
      </c>
      <c r="D3034">
        <v>0.24236482440076501</v>
      </c>
      <c r="E3034">
        <v>0.14725052193834501</v>
      </c>
      <c r="F3034">
        <v>8.2805778553903295E-2</v>
      </c>
      <c r="G3034">
        <v>2.7530243842261898E-2</v>
      </c>
      <c r="H3034">
        <v>2.3346920417611099E-2</v>
      </c>
      <c r="I3034">
        <v>6.41637478504785E-2</v>
      </c>
      <c r="J3034">
        <v>0</v>
      </c>
      <c r="K3034">
        <v>0</v>
      </c>
      <c r="L3034">
        <v>1146.56455570361</v>
      </c>
      <c r="M3034">
        <v>26.254868395333101</v>
      </c>
      <c r="N3034">
        <v>43.814657441046499</v>
      </c>
      <c r="O3034">
        <v>43.419564595861999</v>
      </c>
      <c r="P3034">
        <v>-0.144918121421375</v>
      </c>
      <c r="Q3034">
        <v>4.1364594379449997E-2</v>
      </c>
      <c r="R3034">
        <v>0.98201133259834905</v>
      </c>
      <c r="S3034" t="s">
        <v>8895</v>
      </c>
      <c r="T3034" t="s">
        <v>11720</v>
      </c>
      <c r="U3034" t="s">
        <v>11720</v>
      </c>
      <c r="V3034" t="s">
        <v>11720</v>
      </c>
      <c r="W3034" t="s">
        <v>14707</v>
      </c>
      <c r="X3034">
        <v>1</v>
      </c>
      <c r="Y3034" t="s">
        <v>20440</v>
      </c>
      <c r="Z3034" t="s">
        <v>26241</v>
      </c>
      <c r="AA3034">
        <v>0.16903725555663779</v>
      </c>
      <c r="AB3034" t="str">
        <f>HYPERLINK("Melting_Curves/meltCurve_Q12923_2_PTPN13.pdf", "Melting_Curves/meltCurve_Q12923_2_PTPN13.pdf")</f>
        <v>Melting_Curves/meltCurve_Q12923_2_PTPN13.pdf</v>
      </c>
    </row>
    <row r="3035" spans="1:28" x14ac:dyDescent="0.25">
      <c r="A3035" t="s">
        <v>3039</v>
      </c>
      <c r="B3035">
        <v>0.99334974765950101</v>
      </c>
      <c r="C3035">
        <v>0.98374520962228096</v>
      </c>
      <c r="D3035">
        <v>0.81843721786779999</v>
      </c>
      <c r="E3035">
        <v>0.50081706657621206</v>
      </c>
      <c r="F3035">
        <v>0.27224979738424399</v>
      </c>
      <c r="G3035">
        <v>0.19988321000550299</v>
      </c>
      <c r="H3035">
        <v>0.161027351621051</v>
      </c>
      <c r="I3035">
        <v>0.152911115090996</v>
      </c>
      <c r="J3035">
        <v>0.13857202483091399</v>
      </c>
      <c r="K3035">
        <v>0.12467355879250699</v>
      </c>
      <c r="L3035">
        <v>1035.0824927318099</v>
      </c>
      <c r="M3035">
        <v>21.081939797188099</v>
      </c>
      <c r="N3035">
        <v>49.872665072864699</v>
      </c>
      <c r="O3035">
        <v>48.662703902696002</v>
      </c>
      <c r="P3035">
        <v>-9.3187804361679893E-2</v>
      </c>
      <c r="Q3035">
        <v>0.13961414889769899</v>
      </c>
      <c r="R3035">
        <v>0.99845005369923201</v>
      </c>
      <c r="S3035" t="s">
        <v>8896</v>
      </c>
      <c r="T3035" t="s">
        <v>11720</v>
      </c>
      <c r="U3035" t="s">
        <v>11720</v>
      </c>
      <c r="V3035" t="s">
        <v>11720</v>
      </c>
      <c r="W3035" t="s">
        <v>14708</v>
      </c>
      <c r="X3035">
        <v>15</v>
      </c>
      <c r="Y3035" t="s">
        <v>20441</v>
      </c>
      <c r="Z3035" t="s">
        <v>26242</v>
      </c>
      <c r="AA3035">
        <v>0.41136164066783071</v>
      </c>
      <c r="AB3035" t="str">
        <f>HYPERLINK("Melting_Curves/meltCurve_Q12929_EPS8.pdf", "Melting_Curves/meltCurve_Q12929_EPS8.pdf")</f>
        <v>Melting_Curves/meltCurve_Q12929_EPS8.pdf</v>
      </c>
    </row>
    <row r="3036" spans="1:28" x14ac:dyDescent="0.25">
      <c r="A3036" t="s">
        <v>3040</v>
      </c>
      <c r="B3036">
        <v>0.99334974765950101</v>
      </c>
      <c r="C3036">
        <v>0.942774190448881</v>
      </c>
      <c r="D3036">
        <v>0.99206582581675395</v>
      </c>
      <c r="E3036">
        <v>0.96928860941506301</v>
      </c>
      <c r="F3036">
        <v>0.40976650968425199</v>
      </c>
      <c r="G3036">
        <v>0.132685581582488</v>
      </c>
      <c r="H3036">
        <v>8.8644296157852395E-2</v>
      </c>
      <c r="I3036">
        <v>7.3126568108462103E-2</v>
      </c>
      <c r="J3036">
        <v>7.2037765288547495E-2</v>
      </c>
      <c r="K3036">
        <v>6.0020570378230498E-2</v>
      </c>
      <c r="L3036">
        <v>3242.5939355586502</v>
      </c>
      <c r="M3036">
        <v>61.759478227009502</v>
      </c>
      <c r="N3036">
        <v>52.659382274095698</v>
      </c>
      <c r="O3036">
        <v>52.448618316358498</v>
      </c>
      <c r="P3036">
        <v>-0.26980008361206098</v>
      </c>
      <c r="Q3036">
        <v>8.3500247007940107E-2</v>
      </c>
      <c r="R3036">
        <v>0.99656329248653597</v>
      </c>
      <c r="S3036" t="s">
        <v>8897</v>
      </c>
      <c r="T3036" t="s">
        <v>11720</v>
      </c>
      <c r="U3036" t="s">
        <v>11720</v>
      </c>
      <c r="V3036" t="s">
        <v>11720</v>
      </c>
      <c r="W3036" t="s">
        <v>14709</v>
      </c>
      <c r="X3036">
        <v>13</v>
      </c>
      <c r="Y3036" t="s">
        <v>20442</v>
      </c>
      <c r="Z3036" t="s">
        <v>26243</v>
      </c>
      <c r="AA3036">
        <v>0.46687314557333293</v>
      </c>
      <c r="AB3036" t="str">
        <f>HYPERLINK("Melting_Curves/meltCurve_Q12959_5_DLG1.pdf", "Melting_Curves/meltCurve_Q12959_5_DLG1.pdf")</f>
        <v>Melting_Curves/meltCurve_Q12959_5_DLG1.pdf</v>
      </c>
    </row>
    <row r="3037" spans="1:28" x14ac:dyDescent="0.25">
      <c r="A3037" t="s">
        <v>3041</v>
      </c>
      <c r="B3037">
        <v>0.99334974765950101</v>
      </c>
      <c r="C3037">
        <v>0.94376921120545298</v>
      </c>
      <c r="D3037">
        <v>0.75298973563442495</v>
      </c>
      <c r="E3037">
        <v>0.76794302059301101</v>
      </c>
      <c r="F3037">
        <v>0.76301071701307399</v>
      </c>
      <c r="G3037">
        <v>0.64198169513201897</v>
      </c>
      <c r="H3037">
        <v>0.60309291109540197</v>
      </c>
      <c r="I3037">
        <v>0.69543402778683505</v>
      </c>
      <c r="J3037">
        <v>0.77009599463760903</v>
      </c>
      <c r="K3037">
        <v>0.62944319824980299</v>
      </c>
      <c r="L3037">
        <v>865.73503570179503</v>
      </c>
      <c r="M3037">
        <v>19.176248992077301</v>
      </c>
      <c r="O3037">
        <v>44.663856377515501</v>
      </c>
      <c r="P3037">
        <v>-3.4248989426530999E-2</v>
      </c>
      <c r="Q3037">
        <v>0.68093175425293395</v>
      </c>
      <c r="R3037">
        <v>0.797801452742817</v>
      </c>
      <c r="S3037" t="s">
        <v>8898</v>
      </c>
      <c r="T3037" t="s">
        <v>11720</v>
      </c>
      <c r="U3037" t="s">
        <v>11720</v>
      </c>
      <c r="V3037" t="s">
        <v>11720</v>
      </c>
      <c r="W3037" t="s">
        <v>14710</v>
      </c>
      <c r="X3037">
        <v>4</v>
      </c>
      <c r="Y3037" t="s">
        <v>20443</v>
      </c>
      <c r="Z3037" t="s">
        <v>26244</v>
      </c>
      <c r="AA3037">
        <v>0.74152471705773593</v>
      </c>
      <c r="AB3037" t="str">
        <f>HYPERLINK("Melting_Curves/meltCurve_Q12962_TAF10.pdf", "Melting_Curves/meltCurve_Q12962_TAF10.pdf")</f>
        <v>Melting_Curves/meltCurve_Q12962_TAF10.pdf</v>
      </c>
    </row>
    <row r="3038" spans="1:28" x14ac:dyDescent="0.25">
      <c r="A3038" t="s">
        <v>3042</v>
      </c>
      <c r="B3038">
        <v>0.99334974765950101</v>
      </c>
      <c r="C3038">
        <v>0.969774847589847</v>
      </c>
      <c r="D3038">
        <v>1.1046772166736401</v>
      </c>
      <c r="E3038">
        <v>0.71472621058881203</v>
      </c>
      <c r="F3038">
        <v>0.25212193876596301</v>
      </c>
      <c r="G3038">
        <v>0.16047978854707201</v>
      </c>
      <c r="H3038">
        <v>0.108077791214272</v>
      </c>
      <c r="I3038">
        <v>9.8908286778384494E-2</v>
      </c>
      <c r="J3038">
        <v>7.8356752247973602E-2</v>
      </c>
      <c r="K3038">
        <v>8.0285965913731203E-2</v>
      </c>
      <c r="L3038">
        <v>2178.870076741</v>
      </c>
      <c r="M3038">
        <v>42.761447385777302</v>
      </c>
      <c r="N3038">
        <v>51.23148811051</v>
      </c>
      <c r="O3038">
        <v>50.843017875299402</v>
      </c>
      <c r="P3038">
        <v>-0.18853166387557399</v>
      </c>
      <c r="Q3038">
        <v>0.103350883182682</v>
      </c>
      <c r="R3038">
        <v>0.98976083512392299</v>
      </c>
      <c r="S3038" t="s">
        <v>8899</v>
      </c>
      <c r="T3038" t="s">
        <v>11720</v>
      </c>
      <c r="U3038" t="s">
        <v>11720</v>
      </c>
      <c r="V3038" t="s">
        <v>11720</v>
      </c>
      <c r="W3038" t="s">
        <v>14711</v>
      </c>
      <c r="X3038">
        <v>14</v>
      </c>
      <c r="Y3038" t="s">
        <v>20444</v>
      </c>
      <c r="Z3038" t="s">
        <v>26245</v>
      </c>
      <c r="AA3038">
        <v>0.4335102887970963</v>
      </c>
      <c r="AB3038" t="str">
        <f>HYPERLINK("Melting_Curves/meltCurve_Q12965_MYO1E.pdf", "Melting_Curves/meltCurve_Q12965_MYO1E.pdf")</f>
        <v>Melting_Curves/meltCurve_Q12965_MYO1E.pdf</v>
      </c>
    </row>
    <row r="3039" spans="1:28" x14ac:dyDescent="0.25">
      <c r="A3039" t="s">
        <v>3043</v>
      </c>
      <c r="B3039">
        <v>0.99334974765950101</v>
      </c>
      <c r="C3039">
        <v>0.98755759605533699</v>
      </c>
      <c r="D3039">
        <v>0.81007211793594003</v>
      </c>
      <c r="E3039">
        <v>0.66461854693593303</v>
      </c>
      <c r="F3039">
        <v>0.31865007411290602</v>
      </c>
      <c r="G3039">
        <v>0.198815803403253</v>
      </c>
      <c r="H3039">
        <v>0.13082897079994199</v>
      </c>
      <c r="I3039">
        <v>0.14099841995433901</v>
      </c>
      <c r="J3039">
        <v>8.4138132739757898E-2</v>
      </c>
      <c r="K3039">
        <v>6.8459449068915504E-2</v>
      </c>
      <c r="L3039">
        <v>889.12169901479103</v>
      </c>
      <c r="M3039">
        <v>17.538803218694799</v>
      </c>
      <c r="N3039">
        <v>51.208739277519598</v>
      </c>
      <c r="O3039">
        <v>50.049282240342997</v>
      </c>
      <c r="P3039">
        <v>-8.0538932116668696E-2</v>
      </c>
      <c r="Q3039">
        <v>8.0736517644602906E-2</v>
      </c>
      <c r="R3039">
        <v>0.98973501915905404</v>
      </c>
      <c r="S3039" t="s">
        <v>8900</v>
      </c>
      <c r="T3039" t="s">
        <v>11720</v>
      </c>
      <c r="U3039" t="s">
        <v>11720</v>
      </c>
      <c r="V3039" t="s">
        <v>11720</v>
      </c>
      <c r="W3039" t="s">
        <v>14712</v>
      </c>
      <c r="X3039">
        <v>8</v>
      </c>
      <c r="Y3039" t="s">
        <v>20445</v>
      </c>
      <c r="Z3039" t="s">
        <v>26246</v>
      </c>
      <c r="AA3039">
        <v>0.42473792966904328</v>
      </c>
      <c r="AB3039" t="str">
        <f>HYPERLINK("Melting_Curves/meltCurve_Q12972_PPP1R8.pdf", "Melting_Curves/meltCurve_Q12972_PPP1R8.pdf")</f>
        <v>Melting_Curves/meltCurve_Q12972_PPP1R8.pdf</v>
      </c>
    </row>
    <row r="3040" spans="1:28" x14ac:dyDescent="0.25">
      <c r="A3040" t="s">
        <v>3044</v>
      </c>
      <c r="B3040">
        <v>0.99334974765950101</v>
      </c>
      <c r="C3040">
        <v>0.96390658451220002</v>
      </c>
      <c r="D3040">
        <v>0.81531409214623696</v>
      </c>
      <c r="E3040">
        <v>0.73427602322010799</v>
      </c>
      <c r="F3040">
        <v>0.40968642075203299</v>
      </c>
      <c r="G3040">
        <v>0.19866906559198799</v>
      </c>
      <c r="H3040">
        <v>0.163260174695703</v>
      </c>
      <c r="I3040">
        <v>0.186352893397977</v>
      </c>
      <c r="J3040">
        <v>0.145268736187109</v>
      </c>
      <c r="K3040">
        <v>0.103247388664509</v>
      </c>
      <c r="L3040">
        <v>902.99528554147503</v>
      </c>
      <c r="M3040">
        <v>17.6145216157114</v>
      </c>
      <c r="N3040">
        <v>52.047102972076203</v>
      </c>
      <c r="O3040">
        <v>50.617215897184302</v>
      </c>
      <c r="P3040">
        <v>-7.6878149759464803E-2</v>
      </c>
      <c r="Q3040">
        <v>0.116377085376629</v>
      </c>
      <c r="R3040">
        <v>0.98478336227104002</v>
      </c>
      <c r="S3040" t="s">
        <v>8901</v>
      </c>
      <c r="T3040" t="s">
        <v>11720</v>
      </c>
      <c r="U3040" t="s">
        <v>11720</v>
      </c>
      <c r="V3040" t="s">
        <v>11720</v>
      </c>
      <c r="W3040" t="s">
        <v>14713</v>
      </c>
      <c r="X3040">
        <v>4</v>
      </c>
      <c r="Y3040" t="s">
        <v>20446</v>
      </c>
      <c r="Z3040" t="s">
        <v>26247</v>
      </c>
      <c r="AA3040">
        <v>0.46357745505041009</v>
      </c>
      <c r="AB3040" t="str">
        <f>HYPERLINK("Melting_Curves/meltCurve_Q12974_PTP4A2.pdf", "Melting_Curves/meltCurve_Q12974_PTP4A2.pdf")</f>
        <v>Melting_Curves/meltCurve_Q12974_PTP4A2.pdf</v>
      </c>
    </row>
    <row r="3041" spans="1:28" x14ac:dyDescent="0.25">
      <c r="A3041" t="s">
        <v>3045</v>
      </c>
      <c r="B3041">
        <v>0.99334974765950101</v>
      </c>
      <c r="C3041">
        <v>1.00976133741226</v>
      </c>
      <c r="D3041">
        <v>0.881809922208179</v>
      </c>
      <c r="E3041">
        <v>0.48175502788162899</v>
      </c>
      <c r="F3041">
        <v>0.33171952461301402</v>
      </c>
      <c r="G3041">
        <v>0.40177423260308798</v>
      </c>
      <c r="H3041">
        <v>0.42209304491223398</v>
      </c>
      <c r="I3041">
        <v>0.52624179736907695</v>
      </c>
      <c r="J3041">
        <v>7.0463386519831098E-2</v>
      </c>
      <c r="K3041">
        <v>3.3559399288108797E-2</v>
      </c>
      <c r="L3041">
        <v>1364.84346555817</v>
      </c>
      <c r="M3041">
        <v>28.149068167121101</v>
      </c>
      <c r="N3041">
        <v>49.973957722268104</v>
      </c>
      <c r="O3041">
        <v>48.243545138294699</v>
      </c>
      <c r="P3041">
        <v>-0.10448648435192499</v>
      </c>
      <c r="Q3041">
        <v>0.28370538039063598</v>
      </c>
      <c r="R3041">
        <v>0.81891521262646005</v>
      </c>
      <c r="S3041" t="s">
        <v>8902</v>
      </c>
      <c r="T3041" t="s">
        <v>11720</v>
      </c>
      <c r="U3041" t="s">
        <v>11720</v>
      </c>
      <c r="V3041" t="s">
        <v>11720</v>
      </c>
      <c r="W3041" t="s">
        <v>14714</v>
      </c>
      <c r="X3041">
        <v>13</v>
      </c>
      <c r="Y3041" t="s">
        <v>20447</v>
      </c>
      <c r="Z3041" t="s">
        <v>26248</v>
      </c>
      <c r="AA3041">
        <v>0.49127240786627568</v>
      </c>
      <c r="AB3041" t="str">
        <f>HYPERLINK("Melting_Curves/meltCurve_Q12979_4_ABR.pdf", "Melting_Curves/meltCurve_Q12979_4_ABR.pdf")</f>
        <v>Melting_Curves/meltCurve_Q12979_4_ABR.pdf</v>
      </c>
    </row>
    <row r="3042" spans="1:28" x14ac:dyDescent="0.25">
      <c r="A3042" t="s">
        <v>3046</v>
      </c>
      <c r="B3042">
        <v>0.99334974765950101</v>
      </c>
      <c r="C3042">
        <v>0.84118674892093304</v>
      </c>
      <c r="D3042">
        <v>0.79976876124837604</v>
      </c>
      <c r="E3042">
        <v>0.55625543957579504</v>
      </c>
      <c r="F3042">
        <v>0.41148960954935199</v>
      </c>
      <c r="G3042">
        <v>0.23103214712759099</v>
      </c>
      <c r="H3042">
        <v>0.14646016673192</v>
      </c>
      <c r="I3042">
        <v>0.103482718481825</v>
      </c>
      <c r="J3042">
        <v>8.1609517973068799E-2</v>
      </c>
      <c r="K3042">
        <v>6.6828438690818601E-2</v>
      </c>
      <c r="L3042">
        <v>579.67567138150503</v>
      </c>
      <c r="M3042">
        <v>11.3883711096264</v>
      </c>
      <c r="N3042">
        <v>51.078217040098998</v>
      </c>
      <c r="O3042">
        <v>49.407022247099498</v>
      </c>
      <c r="P3042">
        <v>-5.6523667510392998E-2</v>
      </c>
      <c r="Q3042">
        <v>1.9406255061703199E-2</v>
      </c>
      <c r="R3042">
        <v>0.99544084984580805</v>
      </c>
      <c r="S3042" t="s">
        <v>8903</v>
      </c>
      <c r="T3042" t="s">
        <v>11720</v>
      </c>
      <c r="U3042" t="s">
        <v>11720</v>
      </c>
      <c r="V3042" t="s">
        <v>11720</v>
      </c>
      <c r="W3042" t="s">
        <v>14715</v>
      </c>
      <c r="X3042">
        <v>11</v>
      </c>
      <c r="Y3042" t="s">
        <v>20448</v>
      </c>
      <c r="Z3042" t="s">
        <v>26249</v>
      </c>
      <c r="AA3042">
        <v>0.41036109356466283</v>
      </c>
      <c r="AB3042" t="str">
        <f>HYPERLINK("Melting_Curves/meltCurve_Q12981_BNIP1.pdf", "Melting_Curves/meltCurve_Q12981_BNIP1.pdf")</f>
        <v>Melting_Curves/meltCurve_Q12981_BNIP1.pdf</v>
      </c>
    </row>
    <row r="3043" spans="1:28" x14ac:dyDescent="0.25">
      <c r="A3043" t="s">
        <v>3047</v>
      </c>
      <c r="B3043">
        <v>0.99334974765950101</v>
      </c>
      <c r="C3043">
        <v>1.0396562091074999</v>
      </c>
      <c r="D3043">
        <v>1.2954191389858301</v>
      </c>
      <c r="E3043">
        <v>1.3075051762309</v>
      </c>
      <c r="F3043">
        <v>1.53071035224422</v>
      </c>
      <c r="G3043">
        <v>0.41578350084080001</v>
      </c>
      <c r="H3043">
        <v>0.18761103495589401</v>
      </c>
      <c r="I3043">
        <v>0.174624021430903</v>
      </c>
      <c r="J3043">
        <v>0.128048424707917</v>
      </c>
      <c r="K3043">
        <v>9.5775911701103902E-2</v>
      </c>
      <c r="L3043">
        <v>14205.849981059</v>
      </c>
      <c r="M3043">
        <v>250</v>
      </c>
      <c r="N3043">
        <v>56.902327187497001</v>
      </c>
      <c r="O3043">
        <v>56.819778683210501</v>
      </c>
      <c r="P3043">
        <v>-0.93880754881944495</v>
      </c>
      <c r="Q3043">
        <v>0.14651483217208799</v>
      </c>
      <c r="R3043">
        <v>0.83908066548751603</v>
      </c>
      <c r="S3043" t="s">
        <v>8904</v>
      </c>
      <c r="T3043" t="s">
        <v>11720</v>
      </c>
      <c r="U3043" t="s">
        <v>11720</v>
      </c>
      <c r="V3043" t="s">
        <v>11720</v>
      </c>
      <c r="W3043" t="s">
        <v>14716</v>
      </c>
      <c r="X3043">
        <v>5</v>
      </c>
      <c r="Y3043" t="s">
        <v>20449</v>
      </c>
      <c r="Z3043" t="s">
        <v>26250</v>
      </c>
      <c r="AA3043">
        <v>0.62521735554181324</v>
      </c>
      <c r="AB3043" t="str">
        <f>HYPERLINK("Melting_Curves/meltCurve_Q13011_ECH1.pdf", "Melting_Curves/meltCurve_Q13011_ECH1.pdf")</f>
        <v>Melting_Curves/meltCurve_Q13011_ECH1.pdf</v>
      </c>
    </row>
    <row r="3044" spans="1:28" x14ac:dyDescent="0.25">
      <c r="A3044" t="s">
        <v>3048</v>
      </c>
      <c r="B3044">
        <v>0.99334974765950101</v>
      </c>
      <c r="C3044">
        <v>0.95002617977002302</v>
      </c>
      <c r="D3044">
        <v>0.94043243273011701</v>
      </c>
      <c r="E3044">
        <v>0.37632269322235901</v>
      </c>
      <c r="F3044">
        <v>0.33356377408561699</v>
      </c>
      <c r="G3044">
        <v>0.227454671392332</v>
      </c>
      <c r="H3044">
        <v>0.18308329276658</v>
      </c>
      <c r="I3044">
        <v>0.11194008319042301</v>
      </c>
      <c r="J3044">
        <v>0.117840219559832</v>
      </c>
      <c r="K3044">
        <v>8.3797001144367195E-2</v>
      </c>
      <c r="L3044">
        <v>1302.1158342449901</v>
      </c>
      <c r="M3044">
        <v>26.594991706295801</v>
      </c>
      <c r="N3044">
        <v>49.6069339002566</v>
      </c>
      <c r="O3044">
        <v>48.686644582861803</v>
      </c>
      <c r="P3044">
        <v>-0.116576134457852</v>
      </c>
      <c r="Q3044">
        <v>0.14635963317846501</v>
      </c>
      <c r="R3044">
        <v>0.975548935239551</v>
      </c>
      <c r="S3044" t="s">
        <v>8905</v>
      </c>
      <c r="T3044" t="s">
        <v>11720</v>
      </c>
      <c r="U3044" t="s">
        <v>11720</v>
      </c>
      <c r="V3044" t="s">
        <v>11720</v>
      </c>
      <c r="W3044" t="s">
        <v>14717</v>
      </c>
      <c r="X3044">
        <v>7</v>
      </c>
      <c r="Y3044" t="s">
        <v>20450</v>
      </c>
      <c r="Z3044" t="s">
        <v>26251</v>
      </c>
      <c r="AA3044">
        <v>0.40799747904256273</v>
      </c>
      <c r="AB3044" t="str">
        <f>HYPERLINK("Melting_Curves/meltCurve_Q13017_2_ARHGAP5.pdf", "Melting_Curves/meltCurve_Q13017_2_ARHGAP5.pdf")</f>
        <v>Melting_Curves/meltCurve_Q13017_2_ARHGAP5.pdf</v>
      </c>
    </row>
    <row r="3045" spans="1:28" x14ac:dyDescent="0.25">
      <c r="A3045" t="s">
        <v>3049</v>
      </c>
      <c r="B3045">
        <v>0.99334974765950101</v>
      </c>
      <c r="C3045">
        <v>1.0016908439902701</v>
      </c>
      <c r="D3045">
        <v>0.7884955253068</v>
      </c>
      <c r="E3045">
        <v>0.72900534227367297</v>
      </c>
      <c r="F3045">
        <v>0.74152844275866103</v>
      </c>
      <c r="G3045">
        <v>0.37492452435224</v>
      </c>
      <c r="H3045">
        <v>0.38374613475243402</v>
      </c>
      <c r="I3045">
        <v>0.32749364474338599</v>
      </c>
      <c r="J3045">
        <v>0.380768387696374</v>
      </c>
      <c r="K3045">
        <v>0.296679082525798</v>
      </c>
      <c r="L3045">
        <v>612.60416823795299</v>
      </c>
      <c r="M3045">
        <v>11.6636203800569</v>
      </c>
      <c r="N3045">
        <v>56.231427100444002</v>
      </c>
      <c r="O3045">
        <v>51.049971321401003</v>
      </c>
      <c r="P3045">
        <v>-4.1803404852096597E-2</v>
      </c>
      <c r="Q3045">
        <v>0.26832729254309701</v>
      </c>
      <c r="R3045">
        <v>0.93975050767389501</v>
      </c>
      <c r="S3045" t="s">
        <v>8906</v>
      </c>
      <c r="T3045" t="s">
        <v>11720</v>
      </c>
      <c r="U3045" t="s">
        <v>11720</v>
      </c>
      <c r="V3045" t="s">
        <v>11720</v>
      </c>
      <c r="W3045" t="s">
        <v>14718</v>
      </c>
      <c r="X3045">
        <v>1</v>
      </c>
      <c r="Y3045" t="s">
        <v>20451</v>
      </c>
      <c r="Z3045" t="s">
        <v>26252</v>
      </c>
      <c r="AA3045">
        <v>0.59607357498075808</v>
      </c>
      <c r="AB3045" t="str">
        <f>HYPERLINK("Melting_Curves/meltCurve_Q13018_2_PLA2R1.pdf", "Melting_Curves/meltCurve_Q13018_2_PLA2R1.pdf")</f>
        <v>Melting_Curves/meltCurve_Q13018_2_PLA2R1.pdf</v>
      </c>
    </row>
    <row r="3046" spans="1:28" x14ac:dyDescent="0.25">
      <c r="A3046" t="s">
        <v>3050</v>
      </c>
      <c r="B3046">
        <v>0.99334974765950101</v>
      </c>
      <c r="C3046">
        <v>1.0067802684710101</v>
      </c>
      <c r="D3046">
        <v>1.05593083299708</v>
      </c>
      <c r="E3046">
        <v>1.70182022609076</v>
      </c>
      <c r="F3046">
        <v>1.50702455328026</v>
      </c>
      <c r="G3046">
        <v>0.89138566026786303</v>
      </c>
      <c r="H3046">
        <v>0.44895380583024802</v>
      </c>
      <c r="I3046">
        <v>0.93405321091917803</v>
      </c>
      <c r="J3046">
        <v>0.46784083688624301</v>
      </c>
      <c r="K3046">
        <v>0.35332589553843902</v>
      </c>
      <c r="L3046">
        <v>1181.68633849717</v>
      </c>
      <c r="M3046">
        <v>18.3467079134256</v>
      </c>
      <c r="N3046">
        <v>66.953352880227797</v>
      </c>
      <c r="O3046">
        <v>63.658045866326098</v>
      </c>
      <c r="P3046">
        <v>-5.3966484840284198E-2</v>
      </c>
      <c r="Q3046">
        <v>0.25103856261296298</v>
      </c>
      <c r="R3046">
        <v>0.43213673840099798</v>
      </c>
      <c r="S3046" t="s">
        <v>8907</v>
      </c>
      <c r="T3046" t="s">
        <v>11720</v>
      </c>
      <c r="U3046" t="s">
        <v>11720</v>
      </c>
      <c r="V3046" t="s">
        <v>11720</v>
      </c>
      <c r="W3046" t="s">
        <v>14719</v>
      </c>
      <c r="X3046">
        <v>9</v>
      </c>
      <c r="Y3046" t="s">
        <v>20452</v>
      </c>
      <c r="Z3046" t="s">
        <v>26253</v>
      </c>
      <c r="AA3046">
        <v>0.85198322850755726</v>
      </c>
      <c r="AB3046" t="str">
        <f>HYPERLINK("Melting_Curves/meltCurve_Q13033_2_STRN3.pdf", "Melting_Curves/meltCurve_Q13033_2_STRN3.pdf")</f>
        <v>Melting_Curves/meltCurve_Q13033_2_STRN3.pdf</v>
      </c>
    </row>
    <row r="3047" spans="1:28" x14ac:dyDescent="0.25">
      <c r="A3047" t="s">
        <v>3051</v>
      </c>
      <c r="B3047">
        <v>0.99334974765950101</v>
      </c>
      <c r="C3047">
        <v>0.93381562515520999</v>
      </c>
      <c r="D3047">
        <v>0.981413759916968</v>
      </c>
      <c r="E3047">
        <v>0.70982051730990803</v>
      </c>
      <c r="F3047">
        <v>0.31948963431684302</v>
      </c>
      <c r="G3047">
        <v>0.18863664915991299</v>
      </c>
      <c r="H3047">
        <v>0.130400592716129</v>
      </c>
      <c r="I3047">
        <v>9.7268815617084906E-2</v>
      </c>
      <c r="J3047">
        <v>9.7102879609376996E-2</v>
      </c>
      <c r="K3047">
        <v>6.9231689004583902E-2</v>
      </c>
      <c r="L3047">
        <v>1495.31717569681</v>
      </c>
      <c r="M3047">
        <v>29.218333597669499</v>
      </c>
      <c r="N3047">
        <v>51.581773796615103</v>
      </c>
      <c r="O3047">
        <v>50.939428677862402</v>
      </c>
      <c r="P3047">
        <v>-0.128719170216991</v>
      </c>
      <c r="Q3047">
        <v>0.102367225880336</v>
      </c>
      <c r="R3047">
        <v>0.99430332720022196</v>
      </c>
      <c r="S3047" t="s">
        <v>8908</v>
      </c>
      <c r="T3047" t="s">
        <v>11720</v>
      </c>
      <c r="U3047" t="s">
        <v>11720</v>
      </c>
      <c r="V3047" t="s">
        <v>11720</v>
      </c>
      <c r="W3047" t="s">
        <v>14720</v>
      </c>
      <c r="X3047">
        <v>16</v>
      </c>
      <c r="Y3047" t="s">
        <v>20453</v>
      </c>
      <c r="Z3047" t="s">
        <v>26254</v>
      </c>
      <c r="AA3047">
        <v>0.4427727974284506</v>
      </c>
      <c r="AB3047" t="str">
        <f>HYPERLINK("Melting_Curves/meltCurve_Q13043_STK4.pdf", "Melting_Curves/meltCurve_Q13043_STK4.pdf")</f>
        <v>Melting_Curves/meltCurve_Q13043_STK4.pdf</v>
      </c>
    </row>
    <row r="3048" spans="1:28" x14ac:dyDescent="0.25">
      <c r="A3048" t="s">
        <v>3052</v>
      </c>
      <c r="B3048">
        <v>0.99334974765950101</v>
      </c>
      <c r="C3048">
        <v>1.2405557291641101</v>
      </c>
      <c r="D3048">
        <v>1.35359978136311</v>
      </c>
      <c r="E3048">
        <v>1.0422456948516401</v>
      </c>
      <c r="F3048">
        <v>0.49903405428714298</v>
      </c>
      <c r="G3048">
        <v>0.52902115202838396</v>
      </c>
      <c r="H3048">
        <v>0.50550088745106503</v>
      </c>
      <c r="I3048">
        <v>0.73508582960475999</v>
      </c>
      <c r="J3048">
        <v>0.83001183695341696</v>
      </c>
      <c r="K3048">
        <v>2.2335031312590798</v>
      </c>
      <c r="L3048">
        <v>10478.9483330699</v>
      </c>
      <c r="M3048">
        <v>153.747507386678</v>
      </c>
      <c r="O3048">
        <v>68.145336432053696</v>
      </c>
      <c r="P3048">
        <v>0.28202133280193398</v>
      </c>
      <c r="Q3048">
        <v>1.5</v>
      </c>
      <c r="R3048">
        <v>0.37995652933816099</v>
      </c>
      <c r="S3048" t="s">
        <v>8909</v>
      </c>
      <c r="T3048" t="s">
        <v>11720</v>
      </c>
      <c r="U3048" t="s">
        <v>11720</v>
      </c>
      <c r="V3048" t="s">
        <v>11720</v>
      </c>
      <c r="W3048" t="s">
        <v>14721</v>
      </c>
      <c r="X3048">
        <v>9</v>
      </c>
      <c r="Y3048" t="s">
        <v>20454</v>
      </c>
      <c r="Z3048" t="s">
        <v>26255</v>
      </c>
      <c r="AA3048">
        <v>1.030697394871031</v>
      </c>
      <c r="AB3048" t="str">
        <f>HYPERLINK("Melting_Curves/meltCurve_Q13045_FLII.pdf", "Melting_Curves/meltCurve_Q13045_FLII.pdf")</f>
        <v>Melting_Curves/meltCurve_Q13045_FLII.pdf</v>
      </c>
    </row>
    <row r="3049" spans="1:28" x14ac:dyDescent="0.25">
      <c r="A3049" t="s">
        <v>3053</v>
      </c>
      <c r="B3049">
        <v>0.99334974765950101</v>
      </c>
      <c r="C3049">
        <v>1.07215607053472</v>
      </c>
      <c r="D3049">
        <v>1.2180761008068299</v>
      </c>
      <c r="E3049">
        <v>1.16448763470799</v>
      </c>
      <c r="F3049">
        <v>1.0115039515158799</v>
      </c>
      <c r="G3049">
        <v>0.58341117550129495</v>
      </c>
      <c r="H3049">
        <v>0.40606241417657202</v>
      </c>
      <c r="I3049">
        <v>0.32539946009230603</v>
      </c>
      <c r="J3049">
        <v>0.276010364684176</v>
      </c>
      <c r="K3049">
        <v>0.26355221719371202</v>
      </c>
      <c r="L3049">
        <v>2632.2130604292502</v>
      </c>
      <c r="M3049">
        <v>46.486842235917898</v>
      </c>
      <c r="N3049">
        <v>57.813828861316601</v>
      </c>
      <c r="O3049">
        <v>56.5182696567853</v>
      </c>
      <c r="P3049">
        <v>-0.14227119207469399</v>
      </c>
      <c r="Q3049">
        <v>0.30811282788512401</v>
      </c>
      <c r="R3049">
        <v>0.935322682918034</v>
      </c>
      <c r="S3049" t="s">
        <v>8910</v>
      </c>
      <c r="T3049" t="s">
        <v>11720</v>
      </c>
      <c r="U3049" t="s">
        <v>11720</v>
      </c>
      <c r="V3049" t="s">
        <v>11720</v>
      </c>
      <c r="W3049" t="s">
        <v>14722</v>
      </c>
      <c r="X3049">
        <v>1</v>
      </c>
      <c r="Y3049" t="s">
        <v>20455</v>
      </c>
      <c r="Z3049" t="s">
        <v>26256</v>
      </c>
      <c r="AA3049">
        <v>0.69347648709178833</v>
      </c>
      <c r="AB3049" t="str">
        <f>HYPERLINK("Melting_Curves/meltCurve_Q13049_TRIM32.pdf", "Melting_Curves/meltCurve_Q13049_TRIM32.pdf")</f>
        <v>Melting_Curves/meltCurve_Q13049_TRIM32.pdf</v>
      </c>
    </row>
    <row r="3050" spans="1:28" x14ac:dyDescent="0.25">
      <c r="A3050" t="s">
        <v>3054</v>
      </c>
      <c r="B3050">
        <v>0.99334974765950101</v>
      </c>
      <c r="C3050">
        <v>0.93414338584406498</v>
      </c>
      <c r="D3050">
        <v>0.73325218052480201</v>
      </c>
      <c r="E3050">
        <v>0.344424294247965</v>
      </c>
      <c r="F3050">
        <v>0.11935463237225399</v>
      </c>
      <c r="G3050">
        <v>7.9896894442976596E-2</v>
      </c>
      <c r="H3050">
        <v>6.3831385956327702E-2</v>
      </c>
      <c r="I3050">
        <v>6.8059168948459606E-2</v>
      </c>
      <c r="J3050">
        <v>6.8426290109378604E-2</v>
      </c>
      <c r="K3050">
        <v>5.7757397156942898E-2</v>
      </c>
      <c r="L3050">
        <v>1097.8506564455799</v>
      </c>
      <c r="M3050">
        <v>22.9012325439191</v>
      </c>
      <c r="N3050">
        <v>48.194685016849</v>
      </c>
      <c r="O3050">
        <v>47.577453190721698</v>
      </c>
      <c r="P3050">
        <v>-0.113442199812564</v>
      </c>
      <c r="Q3050">
        <v>5.7310314113691502E-2</v>
      </c>
      <c r="R3050">
        <v>0.99861402047702796</v>
      </c>
      <c r="S3050" t="s">
        <v>8911</v>
      </c>
      <c r="T3050" t="s">
        <v>11720</v>
      </c>
      <c r="U3050" t="s">
        <v>11720</v>
      </c>
      <c r="V3050" t="s">
        <v>11720</v>
      </c>
      <c r="W3050" t="s">
        <v>14723</v>
      </c>
      <c r="X3050">
        <v>13</v>
      </c>
      <c r="Y3050" t="s">
        <v>20456</v>
      </c>
      <c r="Z3050" t="s">
        <v>26257</v>
      </c>
      <c r="AA3050">
        <v>0.31680886223982319</v>
      </c>
      <c r="AB3050" t="str">
        <f>HYPERLINK("Melting_Curves/meltCurve_Q13057_COASY.pdf", "Melting_Curves/meltCurve_Q13057_COASY.pdf")</f>
        <v>Melting_Curves/meltCurve_Q13057_COASY.pdf</v>
      </c>
    </row>
    <row r="3051" spans="1:28" x14ac:dyDescent="0.25">
      <c r="A3051" t="s">
        <v>3055</v>
      </c>
      <c r="B3051">
        <v>0.99334974765950101</v>
      </c>
      <c r="C3051">
        <v>0.81160565280573704</v>
      </c>
      <c r="D3051">
        <v>0.44658546627686302</v>
      </c>
      <c r="E3051">
        <v>0.14843287629025501</v>
      </c>
      <c r="F3051">
        <v>0.16305592212136399</v>
      </c>
      <c r="G3051">
        <v>9.0469967216785796E-2</v>
      </c>
      <c r="H3051">
        <v>5.7531763073358499E-2</v>
      </c>
      <c r="I3051">
        <v>5.8918299518224401E-2</v>
      </c>
      <c r="J3051">
        <v>4.5121394451290001E-2</v>
      </c>
      <c r="K3051">
        <v>3.27383096089265E-2</v>
      </c>
      <c r="L3051">
        <v>1068.56966148577</v>
      </c>
      <c r="M3051">
        <v>23.549115612159198</v>
      </c>
      <c r="N3051">
        <v>45.644769763785298</v>
      </c>
      <c r="O3051">
        <v>45.052798696015103</v>
      </c>
      <c r="P3051">
        <v>-0.122223525229914</v>
      </c>
      <c r="Q3051">
        <v>6.4692189586429999E-2</v>
      </c>
      <c r="R3051">
        <v>0.99296013891037704</v>
      </c>
      <c r="S3051" t="s">
        <v>8912</v>
      </c>
      <c r="T3051" t="s">
        <v>11720</v>
      </c>
      <c r="U3051" t="s">
        <v>11720</v>
      </c>
      <c r="V3051" t="s">
        <v>11720</v>
      </c>
      <c r="W3051" t="s">
        <v>14724</v>
      </c>
      <c r="X3051">
        <v>15</v>
      </c>
      <c r="Y3051" t="s">
        <v>20457</v>
      </c>
      <c r="Z3051" t="s">
        <v>26258</v>
      </c>
      <c r="AA3051">
        <v>0.24267699178937679</v>
      </c>
      <c r="AB3051" t="str">
        <f>HYPERLINK("Melting_Curves/meltCurve_Q13107_2_USP4.pdf", "Melting_Curves/meltCurve_Q13107_2_USP4.pdf")</f>
        <v>Melting_Curves/meltCurve_Q13107_2_USP4.pdf</v>
      </c>
    </row>
    <row r="3052" spans="1:28" x14ac:dyDescent="0.25">
      <c r="A3052" t="s">
        <v>3056</v>
      </c>
      <c r="B3052">
        <v>0.99334974765950101</v>
      </c>
      <c r="C3052">
        <v>0.94970841091812697</v>
      </c>
      <c r="D3052">
        <v>0.956606072108938</v>
      </c>
      <c r="E3052">
        <v>0.85546686190125298</v>
      </c>
      <c r="F3052">
        <v>0.81187702377040205</v>
      </c>
      <c r="G3052">
        <v>0.73026986452831399</v>
      </c>
      <c r="H3052">
        <v>0.70247561239824596</v>
      </c>
      <c r="I3052">
        <v>0.86548529686367204</v>
      </c>
      <c r="J3052">
        <v>0.82073166605995196</v>
      </c>
      <c r="K3052">
        <v>0.75314619213404199</v>
      </c>
      <c r="L3052">
        <v>1085.50735819075</v>
      </c>
      <c r="M3052">
        <v>22.410558131894199</v>
      </c>
      <c r="O3052">
        <v>48.056603345086202</v>
      </c>
      <c r="P3052">
        <v>-2.6250031780832801E-2</v>
      </c>
      <c r="Q3052">
        <v>0.77484527297280403</v>
      </c>
      <c r="R3052">
        <v>0.770446303701669</v>
      </c>
      <c r="S3052" t="s">
        <v>8913</v>
      </c>
      <c r="T3052" t="s">
        <v>11720</v>
      </c>
      <c r="U3052" t="s">
        <v>11720</v>
      </c>
      <c r="V3052" t="s">
        <v>11720</v>
      </c>
      <c r="W3052" t="s">
        <v>14725</v>
      </c>
      <c r="X3052">
        <v>22</v>
      </c>
      <c r="Y3052" t="s">
        <v>20458</v>
      </c>
      <c r="Z3052" t="s">
        <v>26259</v>
      </c>
      <c r="AA3052">
        <v>0.84067153559145302</v>
      </c>
      <c r="AB3052" t="str">
        <f>HYPERLINK("Melting_Curves/meltCurve_Q13126_MTAP.pdf", "Melting_Curves/meltCurve_Q13126_MTAP.pdf")</f>
        <v>Melting_Curves/meltCurve_Q13126_MTAP.pdf</v>
      </c>
    </row>
    <row r="3053" spans="1:28" x14ac:dyDescent="0.25">
      <c r="A3053" t="s">
        <v>3057</v>
      </c>
      <c r="B3053">
        <v>0.99334974765950101</v>
      </c>
      <c r="C3053">
        <v>1.0221868636120801</v>
      </c>
      <c r="D3053">
        <v>1.1284778280650101</v>
      </c>
      <c r="E3053">
        <v>1.03393722299621</v>
      </c>
      <c r="F3053">
        <v>0.48022654216167199</v>
      </c>
      <c r="G3053">
        <v>0.22260044205214899</v>
      </c>
      <c r="H3053">
        <v>0.12599743832586299</v>
      </c>
      <c r="I3053">
        <v>8.9622508763564604E-2</v>
      </c>
      <c r="J3053">
        <v>0.105156336337655</v>
      </c>
      <c r="K3053">
        <v>7.3805814039866496E-2</v>
      </c>
      <c r="L3053">
        <v>13230.059003721601</v>
      </c>
      <c r="M3053">
        <v>250</v>
      </c>
      <c r="N3053">
        <v>52.980322903720399</v>
      </c>
      <c r="O3053">
        <v>52.916871540669902</v>
      </c>
      <c r="P3053">
        <v>-1.03530764341266</v>
      </c>
      <c r="Q3053">
        <v>0.123436499088069</v>
      </c>
      <c r="R3053">
        <v>0.98327405436298099</v>
      </c>
      <c r="S3053" t="s">
        <v>8914</v>
      </c>
      <c r="T3053" t="s">
        <v>11720</v>
      </c>
      <c r="U3053" t="s">
        <v>11720</v>
      </c>
      <c r="V3053" t="s">
        <v>11720</v>
      </c>
      <c r="W3053" t="s">
        <v>14726</v>
      </c>
      <c r="X3053">
        <v>14</v>
      </c>
      <c r="Y3053" t="s">
        <v>20459</v>
      </c>
      <c r="Z3053" t="s">
        <v>26260</v>
      </c>
      <c r="AA3053">
        <v>0.50103148634095596</v>
      </c>
      <c r="AB3053" t="str">
        <f>HYPERLINK("Melting_Curves/meltCurve_Q13131_PRKAA1.pdf", "Melting_Curves/meltCurve_Q13131_PRKAA1.pdf")</f>
        <v>Melting_Curves/meltCurve_Q13131_PRKAA1.pdf</v>
      </c>
    </row>
    <row r="3054" spans="1:28" x14ac:dyDescent="0.25">
      <c r="A3054" t="s">
        <v>3058</v>
      </c>
      <c r="B3054">
        <v>0.99334974765950101</v>
      </c>
      <c r="C3054">
        <v>1.13178590181591</v>
      </c>
      <c r="D3054">
        <v>1.1253897236452299</v>
      </c>
      <c r="E3054">
        <v>0.78795362811622605</v>
      </c>
      <c r="F3054">
        <v>0.76431760056234999</v>
      </c>
      <c r="G3054">
        <v>0.56350248255800395</v>
      </c>
      <c r="H3054">
        <v>0.593494222595494</v>
      </c>
      <c r="I3054">
        <v>0.46235527961933998</v>
      </c>
      <c r="J3054">
        <v>0.90688007971616402</v>
      </c>
      <c r="K3054">
        <v>0.71971287291075503</v>
      </c>
      <c r="L3054">
        <v>2600.9229365062301</v>
      </c>
      <c r="M3054">
        <v>52.305606913978899</v>
      </c>
      <c r="O3054">
        <v>49.652985093460998</v>
      </c>
      <c r="P3054">
        <v>-8.8476430489050101E-2</v>
      </c>
      <c r="Q3054">
        <v>0.66404246379370802</v>
      </c>
      <c r="R3054">
        <v>0.66933461619372503</v>
      </c>
      <c r="S3054" t="s">
        <v>8915</v>
      </c>
      <c r="T3054" t="s">
        <v>11720</v>
      </c>
      <c r="U3054" t="s">
        <v>11720</v>
      </c>
      <c r="V3054" t="s">
        <v>11720</v>
      </c>
      <c r="W3054" t="s">
        <v>14727</v>
      </c>
      <c r="X3054">
        <v>12</v>
      </c>
      <c r="Y3054" t="s">
        <v>20460</v>
      </c>
      <c r="Z3054" t="s">
        <v>26261</v>
      </c>
      <c r="AA3054">
        <v>0.77362744969151798</v>
      </c>
      <c r="AB3054" t="str">
        <f>HYPERLINK("Melting_Curves/meltCurve_Q13136_PPFIA1.pdf", "Melting_Curves/meltCurve_Q13136_PPFIA1.pdf")</f>
        <v>Melting_Curves/meltCurve_Q13136_PPFIA1.pdf</v>
      </c>
    </row>
    <row r="3055" spans="1:28" x14ac:dyDescent="0.25">
      <c r="A3055" t="s">
        <v>3059</v>
      </c>
      <c r="B3055">
        <v>0.99334974765950101</v>
      </c>
      <c r="C3055">
        <v>0.82957008383880204</v>
      </c>
      <c r="D3055">
        <v>0.30956596253625801</v>
      </c>
      <c r="E3055">
        <v>0.12756092741205299</v>
      </c>
      <c r="F3055">
        <v>6.0660086223986401E-2</v>
      </c>
      <c r="G3055">
        <v>3.7216928883508499E-2</v>
      </c>
      <c r="H3055">
        <v>2.9935021930417801E-2</v>
      </c>
      <c r="I3055">
        <v>2.3694374361095501E-2</v>
      </c>
      <c r="J3055">
        <v>3.0833050314431499E-2</v>
      </c>
      <c r="K3055">
        <v>2.5004866542392399E-2</v>
      </c>
      <c r="L3055">
        <v>1473.3345752472401</v>
      </c>
      <c r="M3055">
        <v>32.884546501955597</v>
      </c>
      <c r="N3055">
        <v>44.919543110618299</v>
      </c>
      <c r="O3055">
        <v>44.638538337653401</v>
      </c>
      <c r="P3055">
        <v>-0.17665645918417</v>
      </c>
      <c r="Q3055">
        <v>4.0807703363318501E-2</v>
      </c>
      <c r="R3055">
        <v>0.99604322187702998</v>
      </c>
      <c r="S3055" t="s">
        <v>8916</v>
      </c>
      <c r="T3055" t="s">
        <v>11720</v>
      </c>
      <c r="U3055" t="s">
        <v>11720</v>
      </c>
      <c r="V3055" t="s">
        <v>11720</v>
      </c>
      <c r="W3055" t="s">
        <v>14728</v>
      </c>
      <c r="X3055">
        <v>9</v>
      </c>
      <c r="Y3055" t="s">
        <v>20461</v>
      </c>
      <c r="Z3055" t="s">
        <v>26262</v>
      </c>
      <c r="AA3055">
        <v>0.19942642253912479</v>
      </c>
      <c r="AB3055" t="str">
        <f>HYPERLINK("Melting_Curves/meltCurve_Q13148_TARDBP.pdf", "Melting_Curves/meltCurve_Q13148_TARDBP.pdf")</f>
        <v>Melting_Curves/meltCurve_Q13148_TARDBP.pdf</v>
      </c>
    </row>
    <row r="3056" spans="1:28" x14ac:dyDescent="0.25">
      <c r="A3056" t="s">
        <v>3060</v>
      </c>
      <c r="B3056">
        <v>0.99334974765950101</v>
      </c>
      <c r="C3056">
        <v>0.98508812538162305</v>
      </c>
      <c r="D3056">
        <v>0.613060607748525</v>
      </c>
      <c r="E3056">
        <v>0.335050870586171</v>
      </c>
      <c r="F3056">
        <v>0.28674100038109201</v>
      </c>
      <c r="G3056">
        <v>0.198334602507129</v>
      </c>
      <c r="H3056">
        <v>0.13521878328266401</v>
      </c>
      <c r="I3056">
        <v>0.102985722719674</v>
      </c>
      <c r="J3056">
        <v>0.10813796297475101</v>
      </c>
      <c r="K3056">
        <v>8.7074376612424495E-2</v>
      </c>
      <c r="L3056">
        <v>903.68317021081396</v>
      </c>
      <c r="M3056">
        <v>19.100435971241801</v>
      </c>
      <c r="N3056">
        <v>48.0116311009944</v>
      </c>
      <c r="O3056">
        <v>46.8027230699591</v>
      </c>
      <c r="P3056">
        <v>-8.9638548826739106E-2</v>
      </c>
      <c r="Q3056">
        <v>0.121451594570109</v>
      </c>
      <c r="R3056">
        <v>0.98074790547968504</v>
      </c>
      <c r="S3056" t="s">
        <v>8917</v>
      </c>
      <c r="T3056" t="s">
        <v>11720</v>
      </c>
      <c r="U3056" t="s">
        <v>11720</v>
      </c>
      <c r="V3056" t="s">
        <v>11720</v>
      </c>
      <c r="W3056" t="s">
        <v>14729</v>
      </c>
      <c r="X3056">
        <v>1</v>
      </c>
      <c r="Y3056" t="s">
        <v>20462</v>
      </c>
      <c r="Z3056" t="s">
        <v>26263</v>
      </c>
      <c r="AA3056">
        <v>0.34964381840640779</v>
      </c>
      <c r="AB3056" t="str">
        <f>HYPERLINK("Melting_Curves/meltCurve_Q13151_HNRNPA0.pdf", "Melting_Curves/meltCurve_Q13151_HNRNPA0.pdf")</f>
        <v>Melting_Curves/meltCurve_Q13151_HNRNPA0.pdf</v>
      </c>
    </row>
    <row r="3057" spans="1:28" x14ac:dyDescent="0.25">
      <c r="A3057" t="s">
        <v>3061</v>
      </c>
      <c r="B3057">
        <v>0.99334974765950101</v>
      </c>
      <c r="C3057">
        <v>0.94344167229175402</v>
      </c>
      <c r="D3057">
        <v>0.79555990128468101</v>
      </c>
      <c r="E3057">
        <v>0.74928063509653597</v>
      </c>
      <c r="F3057">
        <v>0.69535702677986</v>
      </c>
      <c r="G3057">
        <v>0.34255980149793402</v>
      </c>
      <c r="H3057">
        <v>0.130558278559747</v>
      </c>
      <c r="I3057">
        <v>0.111738594719257</v>
      </c>
      <c r="J3057">
        <v>0.112578813365301</v>
      </c>
      <c r="K3057">
        <v>0.101535673956009</v>
      </c>
      <c r="L3057">
        <v>674.02838959358201</v>
      </c>
      <c r="M3057">
        <v>12.379466995044799</v>
      </c>
      <c r="N3057">
        <v>54.4472867053858</v>
      </c>
      <c r="O3057">
        <v>53.085042523240702</v>
      </c>
      <c r="P3057">
        <v>-5.8312621984489499E-2</v>
      </c>
      <c r="Q3057">
        <v>0</v>
      </c>
      <c r="R3057">
        <v>0.97209570673012602</v>
      </c>
      <c r="S3057" t="s">
        <v>8918</v>
      </c>
      <c r="T3057" t="s">
        <v>11720</v>
      </c>
      <c r="U3057" t="s">
        <v>11720</v>
      </c>
      <c r="V3057" t="s">
        <v>11720</v>
      </c>
      <c r="W3057" t="s">
        <v>14730</v>
      </c>
      <c r="X3057">
        <v>24</v>
      </c>
      <c r="Y3057" t="s">
        <v>20463</v>
      </c>
      <c r="Z3057" t="s">
        <v>26264</v>
      </c>
      <c r="AA3057">
        <v>0.50589410822900804</v>
      </c>
      <c r="AB3057" t="str">
        <f>HYPERLINK("Melting_Curves/meltCurve_Q13153_PAK1.pdf", "Melting_Curves/meltCurve_Q13153_PAK1.pdf")</f>
        <v>Melting_Curves/meltCurve_Q13153_PAK1.pdf</v>
      </c>
    </row>
    <row r="3058" spans="1:28" x14ac:dyDescent="0.25">
      <c r="A3058" t="s">
        <v>3062</v>
      </c>
      <c r="B3058">
        <v>0.99334974765950101</v>
      </c>
      <c r="C3058">
        <v>0.96392878382288405</v>
      </c>
      <c r="D3058">
        <v>0.80023462408507595</v>
      </c>
      <c r="E3058">
        <v>0.51629194983361903</v>
      </c>
      <c r="F3058">
        <v>0.21648018926735199</v>
      </c>
      <c r="G3058">
        <v>0.12470122984185</v>
      </c>
      <c r="H3058">
        <v>8.8784068699455307E-2</v>
      </c>
      <c r="I3058">
        <v>6.4738221458653294E-2</v>
      </c>
      <c r="J3058">
        <v>5.4974989972723397E-2</v>
      </c>
      <c r="K3058">
        <v>5.2188764427764101E-2</v>
      </c>
      <c r="L3058">
        <v>971.90985759335797</v>
      </c>
      <c r="M3058">
        <v>19.638586347772701</v>
      </c>
      <c r="N3058">
        <v>49.770372083400702</v>
      </c>
      <c r="O3058">
        <v>48.985225761850799</v>
      </c>
      <c r="P3058">
        <v>-9.4978599988277193E-2</v>
      </c>
      <c r="Q3058">
        <v>5.2399123641206198E-2</v>
      </c>
      <c r="R3058">
        <v>0.99724114013047005</v>
      </c>
      <c r="S3058" t="s">
        <v>8919</v>
      </c>
      <c r="T3058" t="s">
        <v>11720</v>
      </c>
      <c r="U3058" t="s">
        <v>11720</v>
      </c>
      <c r="V3058" t="s">
        <v>11720</v>
      </c>
      <c r="W3058" t="s">
        <v>14731</v>
      </c>
      <c r="X3058">
        <v>9</v>
      </c>
      <c r="Y3058" t="s">
        <v>20464</v>
      </c>
      <c r="Z3058" t="s">
        <v>26265</v>
      </c>
      <c r="AA3058">
        <v>0.36586371251108107</v>
      </c>
      <c r="AB3058" t="str">
        <f>HYPERLINK("Melting_Curves/meltCurve_Q13158_FADD.pdf", "Melting_Curves/meltCurve_Q13158_FADD.pdf")</f>
        <v>Melting_Curves/meltCurve_Q13158_FADD.pdf</v>
      </c>
    </row>
    <row r="3059" spans="1:28" x14ac:dyDescent="0.25">
      <c r="A3059" t="s">
        <v>3063</v>
      </c>
      <c r="B3059">
        <v>0.99334974765950101</v>
      </c>
      <c r="C3059">
        <v>0.97866486720658696</v>
      </c>
      <c r="D3059">
        <v>0.97128039907117203</v>
      </c>
      <c r="E3059">
        <v>1.09322324122786</v>
      </c>
      <c r="F3059">
        <v>1.1168477235068801</v>
      </c>
      <c r="G3059">
        <v>1.0564683672856501</v>
      </c>
      <c r="H3059">
        <v>0.93642190365147204</v>
      </c>
      <c r="I3059">
        <v>1.6373074829929299</v>
      </c>
      <c r="J3059">
        <v>1.1111467878014101</v>
      </c>
      <c r="K3059">
        <v>1.04860682562314</v>
      </c>
      <c r="L3059">
        <v>757.25462716110201</v>
      </c>
      <c r="M3059">
        <v>13.841164286427601</v>
      </c>
      <c r="O3059">
        <v>53.606239803640399</v>
      </c>
      <c r="P3059">
        <v>1.2883962516246499E-2</v>
      </c>
      <c r="Q3059">
        <v>1.1995685399735001</v>
      </c>
      <c r="R3059">
        <v>0.17222199523561699</v>
      </c>
      <c r="S3059" t="s">
        <v>8920</v>
      </c>
      <c r="T3059" t="s">
        <v>11720</v>
      </c>
      <c r="U3059" t="s">
        <v>11720</v>
      </c>
      <c r="V3059" t="s">
        <v>11720</v>
      </c>
      <c r="W3059" t="s">
        <v>14732</v>
      </c>
      <c r="X3059">
        <v>13</v>
      </c>
      <c r="Y3059" t="s">
        <v>20465</v>
      </c>
      <c r="Z3059" t="s">
        <v>26266</v>
      </c>
      <c r="AA3059">
        <v>1.097438904212598</v>
      </c>
      <c r="AB3059" t="str">
        <f>HYPERLINK("Melting_Curves/meltCurve_Q13162_PRDX4.pdf", "Melting_Curves/meltCurve_Q13162_PRDX4.pdf")</f>
        <v>Melting_Curves/meltCurve_Q13162_PRDX4.pdf</v>
      </c>
    </row>
    <row r="3060" spans="1:28" x14ac:dyDescent="0.25">
      <c r="A3060" t="s">
        <v>3064</v>
      </c>
      <c r="B3060">
        <v>0.99334974765950101</v>
      </c>
      <c r="C3060">
        <v>0.93469911038704701</v>
      </c>
      <c r="D3060">
        <v>0.79025321463237297</v>
      </c>
      <c r="E3060">
        <v>0.396247740588969</v>
      </c>
      <c r="F3060">
        <v>0.24223103682165201</v>
      </c>
      <c r="G3060">
        <v>0.20971921293132001</v>
      </c>
      <c r="H3060">
        <v>0.17256059924751599</v>
      </c>
      <c r="I3060">
        <v>0.15636546322426201</v>
      </c>
      <c r="J3060">
        <v>0.156943788320279</v>
      </c>
      <c r="K3060">
        <v>0.112131148344972</v>
      </c>
      <c r="L3060">
        <v>1077.90191091522</v>
      </c>
      <c r="M3060">
        <v>22.4002697223839</v>
      </c>
      <c r="N3060">
        <v>48.910001228403402</v>
      </c>
      <c r="O3060">
        <v>47.741459936515497</v>
      </c>
      <c r="P3060">
        <v>-9.9497551605734105E-2</v>
      </c>
      <c r="Q3060">
        <v>0.15178526384042401</v>
      </c>
      <c r="R3060">
        <v>0.996915366459591</v>
      </c>
      <c r="S3060" t="s">
        <v>8921</v>
      </c>
      <c r="T3060" t="s">
        <v>11720</v>
      </c>
      <c r="U3060" t="s">
        <v>11720</v>
      </c>
      <c r="V3060" t="s">
        <v>11720</v>
      </c>
      <c r="W3060" t="s">
        <v>14733</v>
      </c>
      <c r="X3060">
        <v>9</v>
      </c>
      <c r="Y3060" t="s">
        <v>20466</v>
      </c>
      <c r="Z3060" t="s">
        <v>26267</v>
      </c>
      <c r="AA3060">
        <v>0.39082967942414643</v>
      </c>
      <c r="AB3060" t="str">
        <f>HYPERLINK("Melting_Curves/meltCurve_Q13164_MAPK7.pdf", "Melting_Curves/meltCurve_Q13164_MAPK7.pdf")</f>
        <v>Melting_Curves/meltCurve_Q13164_MAPK7.pdf</v>
      </c>
    </row>
    <row r="3061" spans="1:28" x14ac:dyDescent="0.25">
      <c r="A3061" t="s">
        <v>3065</v>
      </c>
      <c r="B3061">
        <v>0.99334974765950101</v>
      </c>
      <c r="C3061">
        <v>1.0005184282614099</v>
      </c>
      <c r="D3061">
        <v>0.93426211691482597</v>
      </c>
      <c r="E3061">
        <v>0.88902344740468198</v>
      </c>
      <c r="F3061">
        <v>0.73347193969705204</v>
      </c>
      <c r="G3061">
        <v>0.38864841194174199</v>
      </c>
      <c r="H3061">
        <v>0.12586669208212001</v>
      </c>
      <c r="I3061">
        <v>0.10420319462783</v>
      </c>
      <c r="J3061">
        <v>9.7327435274392901E-2</v>
      </c>
      <c r="K3061">
        <v>7.5082521962916898E-2</v>
      </c>
      <c r="L3061">
        <v>1174.53922536863</v>
      </c>
      <c r="M3061">
        <v>21.2920839114384</v>
      </c>
      <c r="N3061">
        <v>55.482121686842198</v>
      </c>
      <c r="O3061">
        <v>54.683513977003599</v>
      </c>
      <c r="P3061">
        <v>-9.1737668863316996E-2</v>
      </c>
      <c r="Q3061">
        <v>5.7600833141704798E-2</v>
      </c>
      <c r="R3061">
        <v>0.99641581770598697</v>
      </c>
      <c r="S3061" t="s">
        <v>8922</v>
      </c>
      <c r="T3061" t="s">
        <v>11720</v>
      </c>
      <c r="U3061" t="s">
        <v>11720</v>
      </c>
      <c r="V3061" t="s">
        <v>11720</v>
      </c>
      <c r="W3061" t="s">
        <v>14734</v>
      </c>
      <c r="X3061">
        <v>35</v>
      </c>
      <c r="Y3061" t="s">
        <v>20467</v>
      </c>
      <c r="Z3061" t="s">
        <v>26268</v>
      </c>
      <c r="AA3061">
        <v>0.54528642333469735</v>
      </c>
      <c r="AB3061" t="str">
        <f>HYPERLINK("Melting_Curves/meltCurve_Q13177_PAK2.pdf", "Melting_Curves/meltCurve_Q13177_PAK2.pdf")</f>
        <v>Melting_Curves/meltCurve_Q13177_PAK2.pdf</v>
      </c>
    </row>
    <row r="3062" spans="1:28" x14ac:dyDescent="0.25">
      <c r="A3062" t="s">
        <v>3066</v>
      </c>
      <c r="B3062">
        <v>0.99334974765950101</v>
      </c>
      <c r="C3062">
        <v>0.94476279108453198</v>
      </c>
      <c r="D3062">
        <v>0.85060969626323002</v>
      </c>
      <c r="E3062">
        <v>0.62494633092815799</v>
      </c>
      <c r="F3062">
        <v>0.288644594402586</v>
      </c>
      <c r="G3062">
        <v>0.148796128890851</v>
      </c>
      <c r="H3062">
        <v>0.12341589517535601</v>
      </c>
      <c r="I3062">
        <v>0.117999176747568</v>
      </c>
      <c r="J3062">
        <v>0.115790221432768</v>
      </c>
      <c r="K3062">
        <v>9.8609574233557595E-2</v>
      </c>
      <c r="L3062">
        <v>1059.5607922500001</v>
      </c>
      <c r="M3062">
        <v>21.081256443176201</v>
      </c>
      <c r="N3062">
        <v>50.786497739954903</v>
      </c>
      <c r="O3062">
        <v>49.815096680744603</v>
      </c>
      <c r="P3062">
        <v>-9.5429427181737997E-2</v>
      </c>
      <c r="Q3062">
        <v>9.8023299144949699E-2</v>
      </c>
      <c r="R3062">
        <v>0.99462322922906099</v>
      </c>
      <c r="S3062" t="s">
        <v>8923</v>
      </c>
      <c r="T3062" t="s">
        <v>11720</v>
      </c>
      <c r="U3062" t="s">
        <v>11720</v>
      </c>
      <c r="V3062" t="s">
        <v>11720</v>
      </c>
      <c r="W3062" t="s">
        <v>14735</v>
      </c>
      <c r="X3062">
        <v>9</v>
      </c>
      <c r="Y3062" t="s">
        <v>20468</v>
      </c>
      <c r="Z3062" t="s">
        <v>26269</v>
      </c>
      <c r="AA3062">
        <v>0.41784975217348408</v>
      </c>
      <c r="AB3062" t="str">
        <f>HYPERLINK("Melting_Curves/meltCurve_Q13185_CBX3.pdf", "Melting_Curves/meltCurve_Q13185_CBX3.pdf")</f>
        <v>Melting_Curves/meltCurve_Q13185_CBX3.pdf</v>
      </c>
    </row>
    <row r="3063" spans="1:28" x14ac:dyDescent="0.25">
      <c r="A3063" t="s">
        <v>3067</v>
      </c>
      <c r="B3063">
        <v>0.99334974765950101</v>
      </c>
      <c r="C3063">
        <v>0.96342682645555699</v>
      </c>
      <c r="D3063">
        <v>1.0127558794185001</v>
      </c>
      <c r="E3063">
        <v>0.85989920391490504</v>
      </c>
      <c r="F3063">
        <v>0.60397758498643495</v>
      </c>
      <c r="G3063">
        <v>0.29674892837251099</v>
      </c>
      <c r="H3063">
        <v>0.18816195535551899</v>
      </c>
      <c r="I3063">
        <v>0.16168972284535099</v>
      </c>
      <c r="J3063">
        <v>0.15540654816080601</v>
      </c>
      <c r="K3063">
        <v>0.14797312063129001</v>
      </c>
      <c r="L3063">
        <v>1317.1906656865399</v>
      </c>
      <c r="M3063">
        <v>24.700429967132401</v>
      </c>
      <c r="N3063">
        <v>54.103245279311103</v>
      </c>
      <c r="O3063">
        <v>52.980782207919198</v>
      </c>
      <c r="P3063">
        <v>-9.9158897728919601E-2</v>
      </c>
      <c r="Q3063">
        <v>0.14925498437283399</v>
      </c>
      <c r="R3063">
        <v>0.99841791967363103</v>
      </c>
      <c r="S3063" t="s">
        <v>8924</v>
      </c>
      <c r="T3063" t="s">
        <v>11720</v>
      </c>
      <c r="U3063" t="s">
        <v>11720</v>
      </c>
      <c r="V3063" t="s">
        <v>11720</v>
      </c>
      <c r="W3063" t="s">
        <v>14736</v>
      </c>
      <c r="X3063">
        <v>18</v>
      </c>
      <c r="Y3063" t="s">
        <v>20469</v>
      </c>
      <c r="Z3063" t="s">
        <v>26270</v>
      </c>
      <c r="AA3063">
        <v>0.53520090802303033</v>
      </c>
      <c r="AB3063" t="str">
        <f>HYPERLINK("Melting_Curves/meltCurve_Q13188_STK3.pdf", "Melting_Curves/meltCurve_Q13188_STK3.pdf")</f>
        <v>Melting_Curves/meltCurve_Q13188_STK3.pdf</v>
      </c>
    </row>
    <row r="3064" spans="1:28" x14ac:dyDescent="0.25">
      <c r="A3064" t="s">
        <v>3068</v>
      </c>
      <c r="B3064">
        <v>0.99334974765950101</v>
      </c>
      <c r="C3064">
        <v>0.87445084686033303</v>
      </c>
      <c r="D3064">
        <v>0.79715474750934001</v>
      </c>
      <c r="E3064">
        <v>0.392465233338954</v>
      </c>
      <c r="F3064">
        <v>0.19632542607689499</v>
      </c>
      <c r="G3064">
        <v>0.117937703949129</v>
      </c>
      <c r="H3064">
        <v>0.11043074117594801</v>
      </c>
      <c r="I3064">
        <v>8.9804885531016995E-2</v>
      </c>
      <c r="J3064">
        <v>9.2579942079167393E-2</v>
      </c>
      <c r="K3064">
        <v>7.5972627465203696E-2</v>
      </c>
      <c r="L3064">
        <v>993.63184572167302</v>
      </c>
      <c r="M3064">
        <v>20.538783209659499</v>
      </c>
      <c r="N3064">
        <v>48.806556196082298</v>
      </c>
      <c r="O3064">
        <v>47.926705838812801</v>
      </c>
      <c r="P3064">
        <v>-9.8305625324141305E-2</v>
      </c>
      <c r="Q3064">
        <v>8.2452593417332104E-2</v>
      </c>
      <c r="R3064">
        <v>0.995280178910393</v>
      </c>
      <c r="S3064" t="s">
        <v>8925</v>
      </c>
      <c r="T3064" t="s">
        <v>11720</v>
      </c>
      <c r="U3064" t="s">
        <v>11720</v>
      </c>
      <c r="V3064" t="s">
        <v>11720</v>
      </c>
      <c r="W3064" t="s">
        <v>14737</v>
      </c>
      <c r="X3064">
        <v>8</v>
      </c>
      <c r="Y3064" t="s">
        <v>20470</v>
      </c>
      <c r="Z3064" t="s">
        <v>26271</v>
      </c>
      <c r="AA3064">
        <v>0.35095403353941618</v>
      </c>
      <c r="AB3064" t="str">
        <f>HYPERLINK("Melting_Curves/meltCurve_Q13190_STX5.pdf", "Melting_Curves/meltCurve_Q13190_STX5.pdf")</f>
        <v>Melting_Curves/meltCurve_Q13190_STX5.pdf</v>
      </c>
    </row>
    <row r="3065" spans="1:28" x14ac:dyDescent="0.25">
      <c r="A3065" t="s">
        <v>3069</v>
      </c>
      <c r="B3065">
        <v>0.99334974765950101</v>
      </c>
      <c r="C3065">
        <v>0.99359058793552302</v>
      </c>
      <c r="D3065">
        <v>0.93114711362325198</v>
      </c>
      <c r="E3065">
        <v>0.70173502210395999</v>
      </c>
      <c r="F3065">
        <v>0.31408273960052302</v>
      </c>
      <c r="G3065">
        <v>0.23620864695471799</v>
      </c>
      <c r="H3065">
        <v>0.135797531342087</v>
      </c>
      <c r="I3065">
        <v>0.12911903540712499</v>
      </c>
      <c r="J3065">
        <v>0.11646167781100999</v>
      </c>
      <c r="K3065">
        <v>9.9830899863965095E-2</v>
      </c>
      <c r="L3065">
        <v>1347.77439012429</v>
      </c>
      <c r="M3065">
        <v>26.4356762800148</v>
      </c>
      <c r="N3065">
        <v>51.541246032714803</v>
      </c>
      <c r="O3065">
        <v>50.694103485933603</v>
      </c>
      <c r="P3065">
        <v>-0.114144536104968</v>
      </c>
      <c r="Q3065">
        <v>0.124457051493301</v>
      </c>
      <c r="R3065">
        <v>0.99437883749353995</v>
      </c>
      <c r="S3065" t="s">
        <v>8926</v>
      </c>
      <c r="T3065" t="s">
        <v>11720</v>
      </c>
      <c r="U3065" t="s">
        <v>11720</v>
      </c>
      <c r="V3065" t="s">
        <v>11720</v>
      </c>
      <c r="W3065" t="s">
        <v>14738</v>
      </c>
      <c r="X3065">
        <v>30</v>
      </c>
      <c r="Y3065" t="s">
        <v>20471</v>
      </c>
      <c r="Z3065" t="s">
        <v>26272</v>
      </c>
      <c r="AA3065">
        <v>0.45208024325818269</v>
      </c>
      <c r="AB3065" t="str">
        <f>HYPERLINK("Melting_Curves/meltCurve_Q13200_PSMD2.pdf", "Melting_Curves/meltCurve_Q13200_PSMD2.pdf")</f>
        <v>Melting_Curves/meltCurve_Q13200_PSMD2.pdf</v>
      </c>
    </row>
    <row r="3066" spans="1:28" x14ac:dyDescent="0.25">
      <c r="A3066" t="s">
        <v>3070</v>
      </c>
      <c r="B3066">
        <v>0.99334974765950101</v>
      </c>
      <c r="C3066">
        <v>0.94563180643766498</v>
      </c>
      <c r="D3066">
        <v>0.81438991495750901</v>
      </c>
      <c r="E3066">
        <v>0.41606179396402698</v>
      </c>
      <c r="F3066">
        <v>0.216582403099358</v>
      </c>
      <c r="G3066">
        <v>0.140927358837067</v>
      </c>
      <c r="H3066">
        <v>0.11209442741846801</v>
      </c>
      <c r="I3066">
        <v>0.11047565309851499</v>
      </c>
      <c r="J3066">
        <v>8.9265435069022195E-2</v>
      </c>
      <c r="K3066">
        <v>7.5688379405571798E-2</v>
      </c>
      <c r="L3066">
        <v>1081.2643404750499</v>
      </c>
      <c r="M3066">
        <v>22.204485963910301</v>
      </c>
      <c r="N3066">
        <v>49.156898540161102</v>
      </c>
      <c r="O3066">
        <v>48.305956131972103</v>
      </c>
      <c r="P3066">
        <v>-0.104113994522483</v>
      </c>
      <c r="Q3066">
        <v>9.4017720810872493E-2</v>
      </c>
      <c r="R3066">
        <v>0.99920334141664602</v>
      </c>
      <c r="S3066" t="s">
        <v>8927</v>
      </c>
      <c r="T3066" t="s">
        <v>11720</v>
      </c>
      <c r="U3066" t="s">
        <v>11720</v>
      </c>
      <c r="V3066" t="s">
        <v>11720</v>
      </c>
      <c r="W3066" t="s">
        <v>14739</v>
      </c>
      <c r="X3066">
        <v>31</v>
      </c>
      <c r="Y3066" t="s">
        <v>20472</v>
      </c>
      <c r="Z3066" t="s">
        <v>26273</v>
      </c>
      <c r="AA3066">
        <v>0.36687969578283031</v>
      </c>
      <c r="AB3066" t="str">
        <f>HYPERLINK("Melting_Curves/meltCurve_Q13217_DNAJC3.pdf", "Melting_Curves/meltCurve_Q13217_DNAJC3.pdf")</f>
        <v>Melting_Curves/meltCurve_Q13217_DNAJC3.pdf</v>
      </c>
    </row>
    <row r="3067" spans="1:28" x14ac:dyDescent="0.25">
      <c r="A3067" t="s">
        <v>3071</v>
      </c>
      <c r="B3067">
        <v>0.99334974765950101</v>
      </c>
      <c r="C3067">
        <v>0.96333560799510198</v>
      </c>
      <c r="D3067">
        <v>0.89797871242281102</v>
      </c>
      <c r="E3067">
        <v>0.774985273290002</v>
      </c>
      <c r="F3067">
        <v>0.64884417401635497</v>
      </c>
      <c r="G3067">
        <v>0.519870738026872</v>
      </c>
      <c r="H3067">
        <v>0.455239493435311</v>
      </c>
      <c r="I3067">
        <v>0.44832132983075701</v>
      </c>
      <c r="J3067">
        <v>0.41344855163657401</v>
      </c>
      <c r="K3067">
        <v>0.34156880577844201</v>
      </c>
      <c r="L3067">
        <v>627.32347203901998</v>
      </c>
      <c r="M3067">
        <v>11.9458105539026</v>
      </c>
      <c r="N3067">
        <v>58.363116691785002</v>
      </c>
      <c r="O3067">
        <v>51.107378451658398</v>
      </c>
      <c r="P3067">
        <v>-3.8051722309414303E-2</v>
      </c>
      <c r="Q3067">
        <v>0.34897788536820101</v>
      </c>
      <c r="R3067">
        <v>0.99414703969239504</v>
      </c>
      <c r="S3067" t="s">
        <v>8928</v>
      </c>
      <c r="T3067" t="s">
        <v>11720</v>
      </c>
      <c r="U3067" t="s">
        <v>11720</v>
      </c>
      <c r="V3067" t="s">
        <v>11720</v>
      </c>
      <c r="W3067" t="s">
        <v>14740</v>
      </c>
      <c r="X3067">
        <v>28</v>
      </c>
      <c r="Y3067" t="s">
        <v>20473</v>
      </c>
      <c r="Z3067" t="s">
        <v>26274</v>
      </c>
      <c r="AA3067">
        <v>0.63987144687313002</v>
      </c>
      <c r="AB3067" t="str">
        <f>HYPERLINK("Melting_Curves/meltCurve_Q13228_SELENBP1.pdf", "Melting_Curves/meltCurve_Q13228_SELENBP1.pdf")</f>
        <v>Melting_Curves/meltCurve_Q13228_SELENBP1.pdf</v>
      </c>
    </row>
    <row r="3068" spans="1:28" x14ac:dyDescent="0.25">
      <c r="A3068" t="s">
        <v>3072</v>
      </c>
      <c r="B3068">
        <v>0.99334974765950101</v>
      </c>
      <c r="C3068">
        <v>0.98256642478595402</v>
      </c>
      <c r="D3068">
        <v>1.0992492032483501</v>
      </c>
      <c r="E3068">
        <v>1.0782107646213199</v>
      </c>
      <c r="F3068">
        <v>0.93331023624293097</v>
      </c>
      <c r="G3068">
        <v>0.89308646405395997</v>
      </c>
      <c r="H3068">
        <v>0.739446071471618</v>
      </c>
      <c r="I3068">
        <v>0.73357503929230305</v>
      </c>
      <c r="J3068">
        <v>0.44074290014088102</v>
      </c>
      <c r="K3068">
        <v>0.192031534085258</v>
      </c>
      <c r="L3068">
        <v>1197.2935035453099</v>
      </c>
      <c r="M3068">
        <v>18.162992254135201</v>
      </c>
      <c r="N3068">
        <v>65.919406271601105</v>
      </c>
      <c r="O3068">
        <v>65.1359055967324</v>
      </c>
      <c r="P3068">
        <v>-6.9715226645424594E-2</v>
      </c>
      <c r="Q3068">
        <v>0</v>
      </c>
      <c r="R3068">
        <v>0.94483391349779899</v>
      </c>
      <c r="S3068" t="s">
        <v>8929</v>
      </c>
      <c r="T3068" t="s">
        <v>11720</v>
      </c>
      <c r="U3068" t="s">
        <v>11720</v>
      </c>
      <c r="V3068" t="s">
        <v>11720</v>
      </c>
      <c r="W3068" t="s">
        <v>14741</v>
      </c>
      <c r="X3068">
        <v>10</v>
      </c>
      <c r="Y3068" t="s">
        <v>20474</v>
      </c>
      <c r="Z3068" t="s">
        <v>26275</v>
      </c>
      <c r="AA3068">
        <v>0.83991702145392344</v>
      </c>
      <c r="AB3068" t="str">
        <f>HYPERLINK("Melting_Curves/meltCurve_Q13232_NME3.pdf", "Melting_Curves/meltCurve_Q13232_NME3.pdf")</f>
        <v>Melting_Curves/meltCurve_Q13232_NME3.pdf</v>
      </c>
    </row>
    <row r="3069" spans="1:28" x14ac:dyDescent="0.25">
      <c r="A3069" t="s">
        <v>3073</v>
      </c>
      <c r="B3069">
        <v>0.99334974765950101</v>
      </c>
      <c r="C3069">
        <v>0.97375761165996599</v>
      </c>
      <c r="D3069">
        <v>0.95101397989875402</v>
      </c>
      <c r="E3069">
        <v>0.88795445589163402</v>
      </c>
      <c r="F3069">
        <v>0.79671086711123595</v>
      </c>
      <c r="G3069">
        <v>0.79456786129634904</v>
      </c>
      <c r="H3069">
        <v>0.90300031051633101</v>
      </c>
      <c r="I3069">
        <v>1.2130781384881</v>
      </c>
      <c r="J3069">
        <v>3.42010089682601</v>
      </c>
      <c r="K3069">
        <v>5.4912335984754801</v>
      </c>
      <c r="L3069">
        <v>15000</v>
      </c>
      <c r="M3069">
        <v>234.07981286573099</v>
      </c>
      <c r="O3069">
        <v>64.076029998358095</v>
      </c>
      <c r="P3069">
        <v>0.45664465578274099</v>
      </c>
      <c r="Q3069">
        <v>1.5</v>
      </c>
      <c r="R3069">
        <v>0.10559834667753799</v>
      </c>
      <c r="S3069" t="s">
        <v>8930</v>
      </c>
      <c r="T3069" t="s">
        <v>11720</v>
      </c>
      <c r="U3069" t="s">
        <v>11720</v>
      </c>
      <c r="V3069" t="s">
        <v>11720</v>
      </c>
      <c r="W3069" t="s">
        <v>14742</v>
      </c>
      <c r="X3069">
        <v>12</v>
      </c>
      <c r="Y3069" t="s">
        <v>20475</v>
      </c>
      <c r="Z3069" t="s">
        <v>26276</v>
      </c>
      <c r="AA3069">
        <v>1.0985907353639759</v>
      </c>
      <c r="AB3069" t="str">
        <f>HYPERLINK("Melting_Curves/meltCurve_Q13242_SRSF9.pdf", "Melting_Curves/meltCurve_Q13242_SRSF9.pdf")</f>
        <v>Melting_Curves/meltCurve_Q13242_SRSF9.pdf</v>
      </c>
    </row>
    <row r="3070" spans="1:28" x14ac:dyDescent="0.25">
      <c r="A3070" t="s">
        <v>3074</v>
      </c>
      <c r="B3070">
        <v>0.99334974765950101</v>
      </c>
      <c r="C3070">
        <v>1.06092178616973</v>
      </c>
      <c r="D3070">
        <v>0.97384865896002704</v>
      </c>
      <c r="E3070">
        <v>0.832732413054736</v>
      </c>
      <c r="F3070">
        <v>0.89439295877375402</v>
      </c>
      <c r="G3070">
        <v>0.60194224678932096</v>
      </c>
      <c r="H3070">
        <v>0.85856448189623602</v>
      </c>
      <c r="I3070">
        <v>1.21927910190939</v>
      </c>
      <c r="J3070">
        <v>2.6043623291079898</v>
      </c>
      <c r="K3070">
        <v>5.1295084356079599</v>
      </c>
      <c r="L3070">
        <v>15000</v>
      </c>
      <c r="M3070">
        <v>234.12923797528299</v>
      </c>
      <c r="O3070">
        <v>64.062505405028205</v>
      </c>
      <c r="P3070">
        <v>0.45683749981334099</v>
      </c>
      <c r="Q3070">
        <v>1.5</v>
      </c>
      <c r="R3070">
        <v>0.15153166356165501</v>
      </c>
      <c r="S3070" t="s">
        <v>8931</v>
      </c>
      <c r="T3070" t="s">
        <v>11720</v>
      </c>
      <c r="U3070" t="s">
        <v>11720</v>
      </c>
      <c r="V3070" t="s">
        <v>11720</v>
      </c>
      <c r="W3070" t="s">
        <v>14743</v>
      </c>
      <c r="X3070">
        <v>5</v>
      </c>
      <c r="Y3070" t="s">
        <v>20476</v>
      </c>
      <c r="Z3070" t="s">
        <v>26277</v>
      </c>
      <c r="AA3070">
        <v>1.098816235221084</v>
      </c>
      <c r="AB3070" t="str">
        <f>HYPERLINK("Melting_Curves/meltCurve_Q13243_3_SRSF5.pdf", "Melting_Curves/meltCurve_Q13243_3_SRSF5.pdf")</f>
        <v>Melting_Curves/meltCurve_Q13243_3_SRSF5.pdf</v>
      </c>
    </row>
    <row r="3071" spans="1:28" x14ac:dyDescent="0.25">
      <c r="A3071" t="s">
        <v>3075</v>
      </c>
      <c r="B3071">
        <v>0.99334974765950101</v>
      </c>
      <c r="C3071">
        <v>1.1668521530026399</v>
      </c>
      <c r="D3071">
        <v>1.1656350547032399</v>
      </c>
      <c r="E3071">
        <v>0.85902617801944403</v>
      </c>
      <c r="F3071">
        <v>1.0214022799809099</v>
      </c>
      <c r="G3071">
        <v>0.706425974597918</v>
      </c>
      <c r="H3071">
        <v>0.80287634270538399</v>
      </c>
      <c r="I3071">
        <v>0.48542572773508103</v>
      </c>
      <c r="J3071">
        <v>0.95182924528645896</v>
      </c>
      <c r="K3071">
        <v>1.0795319319226899</v>
      </c>
      <c r="L3071">
        <v>13691.4105844317</v>
      </c>
      <c r="M3071">
        <v>250</v>
      </c>
      <c r="O3071">
        <v>54.762138076115797</v>
      </c>
      <c r="P3071">
        <v>-0.22230480834352201</v>
      </c>
      <c r="Q3071">
        <v>0.80521781581455898</v>
      </c>
      <c r="R3071">
        <v>0.31495384940106802</v>
      </c>
      <c r="S3071" t="s">
        <v>8932</v>
      </c>
      <c r="T3071" t="s">
        <v>11720</v>
      </c>
      <c r="U3071" t="s">
        <v>11720</v>
      </c>
      <c r="V3071" t="s">
        <v>11720</v>
      </c>
      <c r="W3071" t="s">
        <v>14744</v>
      </c>
      <c r="X3071">
        <v>7</v>
      </c>
      <c r="Y3071" t="s">
        <v>20477</v>
      </c>
      <c r="Z3071" t="s">
        <v>26278</v>
      </c>
      <c r="AA3071">
        <v>0.90110600573351751</v>
      </c>
      <c r="AB3071" t="str">
        <f>HYPERLINK("Melting_Curves/meltCurve_Q13247_3_SRSF6.pdf", "Melting_Curves/meltCurve_Q13247_3_SRSF6.pdf")</f>
        <v>Melting_Curves/meltCurve_Q13247_3_SRSF6.pdf</v>
      </c>
    </row>
    <row r="3072" spans="1:28" x14ac:dyDescent="0.25">
      <c r="A3072" t="s">
        <v>3076</v>
      </c>
      <c r="B3072">
        <v>0.99334974765950101</v>
      </c>
      <c r="C3072">
        <v>0.91633013432060195</v>
      </c>
      <c r="D3072">
        <v>0.63758615110988404</v>
      </c>
      <c r="E3072">
        <v>0.30450610096366798</v>
      </c>
      <c r="F3072">
        <v>0.20335724788031301</v>
      </c>
      <c r="G3072">
        <v>0.14486300077367201</v>
      </c>
      <c r="H3072">
        <v>0.115228424674175</v>
      </c>
      <c r="I3072">
        <v>0.123022391088648</v>
      </c>
      <c r="J3072">
        <v>0.133052340376558</v>
      </c>
      <c r="K3072">
        <v>0.13154294363816299</v>
      </c>
      <c r="L3072">
        <v>1039.9604136580999</v>
      </c>
      <c r="M3072">
        <v>22.196426737761801</v>
      </c>
      <c r="N3072">
        <v>47.480104587287798</v>
      </c>
      <c r="O3072">
        <v>46.477287226132901</v>
      </c>
      <c r="P3072">
        <v>-0.104219034730412</v>
      </c>
      <c r="Q3072">
        <v>0.127118360064468</v>
      </c>
      <c r="R3072">
        <v>0.99886595364113895</v>
      </c>
      <c r="S3072" t="s">
        <v>8933</v>
      </c>
      <c r="T3072" t="s">
        <v>11720</v>
      </c>
      <c r="U3072" t="s">
        <v>11720</v>
      </c>
      <c r="V3072" t="s">
        <v>11720</v>
      </c>
      <c r="W3072" t="s">
        <v>14745</v>
      </c>
      <c r="X3072">
        <v>14</v>
      </c>
      <c r="Y3072" t="s">
        <v>20478</v>
      </c>
      <c r="Z3072" t="s">
        <v>26279</v>
      </c>
      <c r="AA3072">
        <v>0.33669358422851581</v>
      </c>
      <c r="AB3072" t="str">
        <f>HYPERLINK("Melting_Curves/meltCurve_Q13263_TRIM28.pdf", "Melting_Curves/meltCurve_Q13263_TRIM28.pdf")</f>
        <v>Melting_Curves/meltCurve_Q13263_TRIM28.pdf</v>
      </c>
    </row>
    <row r="3073" spans="1:28" x14ac:dyDescent="0.25">
      <c r="A3073" t="s">
        <v>3077</v>
      </c>
      <c r="B3073">
        <v>0.99334974765950101</v>
      </c>
      <c r="C3073">
        <v>1.0464989702059</v>
      </c>
      <c r="D3073">
        <v>0.91590061050943306</v>
      </c>
      <c r="E3073">
        <v>0.90157850839523701</v>
      </c>
      <c r="F3073">
        <v>0.70023204307565101</v>
      </c>
      <c r="G3073">
        <v>0.591012443346566</v>
      </c>
      <c r="H3073">
        <v>0.46369988729411299</v>
      </c>
      <c r="I3073">
        <v>0.32783931214926798</v>
      </c>
      <c r="J3073">
        <v>0.27648007715690998</v>
      </c>
      <c r="K3073">
        <v>0.19442500405520699</v>
      </c>
      <c r="L3073">
        <v>589.689711273027</v>
      </c>
      <c r="M3073">
        <v>10.0730824425441</v>
      </c>
      <c r="N3073">
        <v>59.257058132125401</v>
      </c>
      <c r="O3073">
        <v>56.374352592517397</v>
      </c>
      <c r="P3073">
        <v>-4.2131130626798297E-2</v>
      </c>
      <c r="Q3073">
        <v>5.7292575187366801E-2</v>
      </c>
      <c r="R3073">
        <v>0.98654605608510104</v>
      </c>
      <c r="S3073" t="s">
        <v>8934</v>
      </c>
      <c r="T3073" t="s">
        <v>11720</v>
      </c>
      <c r="U3073" t="s">
        <v>11720</v>
      </c>
      <c r="V3073" t="s">
        <v>11720</v>
      </c>
      <c r="W3073" t="s">
        <v>14746</v>
      </c>
      <c r="X3073">
        <v>7</v>
      </c>
      <c r="Y3073" t="s">
        <v>20479</v>
      </c>
      <c r="Z3073" t="s">
        <v>26280</v>
      </c>
      <c r="AA3073">
        <v>0.64617972832828596</v>
      </c>
      <c r="AB3073" t="str">
        <f>HYPERLINK("Melting_Curves/meltCurve_Q13277_2_STX3.pdf", "Melting_Curves/meltCurve_Q13277_2_STX3.pdf")</f>
        <v>Melting_Curves/meltCurve_Q13277_2_STX3.pdf</v>
      </c>
    </row>
    <row r="3074" spans="1:28" x14ac:dyDescent="0.25">
      <c r="A3074" t="s">
        <v>3078</v>
      </c>
      <c r="B3074">
        <v>0.99334974765950101</v>
      </c>
      <c r="C3074">
        <v>0.99165657465555601</v>
      </c>
      <c r="D3074">
        <v>0.90182344748596999</v>
      </c>
      <c r="E3074">
        <v>0.71192369692106305</v>
      </c>
      <c r="F3074">
        <v>0.316915485388712</v>
      </c>
      <c r="G3074">
        <v>0.183948375069174</v>
      </c>
      <c r="H3074">
        <v>0.13586515163284199</v>
      </c>
      <c r="I3074">
        <v>0.12058888131310699</v>
      </c>
      <c r="J3074">
        <v>0.11723531073164301</v>
      </c>
      <c r="K3074">
        <v>0.109450619074517</v>
      </c>
      <c r="L3074">
        <v>1401.6536513128599</v>
      </c>
      <c r="M3074">
        <v>27.479433508115601</v>
      </c>
      <c r="N3074">
        <v>51.5123255105349</v>
      </c>
      <c r="O3074">
        <v>50.739538899692803</v>
      </c>
      <c r="P3074">
        <v>-0.11940988118741</v>
      </c>
      <c r="Q3074">
        <v>0.118068261941858</v>
      </c>
      <c r="R3074">
        <v>0.99571373364715399</v>
      </c>
      <c r="S3074" t="s">
        <v>8935</v>
      </c>
      <c r="T3074" t="s">
        <v>11720</v>
      </c>
      <c r="U3074" t="s">
        <v>11720</v>
      </c>
      <c r="V3074" t="s">
        <v>11720</v>
      </c>
      <c r="W3074" t="s">
        <v>14747</v>
      </c>
      <c r="X3074">
        <v>9</v>
      </c>
      <c r="Y3074" t="s">
        <v>20480</v>
      </c>
      <c r="Z3074" t="s">
        <v>26281</v>
      </c>
      <c r="AA3074">
        <v>0.44826784352086518</v>
      </c>
      <c r="AB3074" t="str">
        <f>HYPERLINK("Melting_Curves/meltCurve_Q13283_G3BP1.pdf", "Melting_Curves/meltCurve_Q13283_G3BP1.pdf")</f>
        <v>Melting_Curves/meltCurve_Q13283_G3BP1.pdf</v>
      </c>
    </row>
    <row r="3075" spans="1:28" x14ac:dyDescent="0.25">
      <c r="A3075" t="s">
        <v>3079</v>
      </c>
      <c r="B3075">
        <v>0.99334974765950101</v>
      </c>
      <c r="C3075">
        <v>1.0135258699757801</v>
      </c>
      <c r="D3075">
        <v>1.04835915702017</v>
      </c>
      <c r="E3075">
        <v>1.02030971387014</v>
      </c>
      <c r="F3075">
        <v>0.90657806786182005</v>
      </c>
      <c r="G3075">
        <v>0.543221847151519</v>
      </c>
      <c r="H3075">
        <v>0.249046853971466</v>
      </c>
      <c r="I3075">
        <v>0.20176238610606001</v>
      </c>
      <c r="J3075">
        <v>0.186523638641653</v>
      </c>
      <c r="K3075">
        <v>0.138270486673577</v>
      </c>
      <c r="L3075">
        <v>1743.8369913331401</v>
      </c>
      <c r="M3075">
        <v>30.768077568942601</v>
      </c>
      <c r="N3075">
        <v>57.4177679900125</v>
      </c>
      <c r="O3075">
        <v>56.439022595245802</v>
      </c>
      <c r="P3075">
        <v>-0.113959138789071</v>
      </c>
      <c r="Q3075">
        <v>0.16384708700745501</v>
      </c>
      <c r="R3075">
        <v>0.99655646474758297</v>
      </c>
      <c r="S3075" t="s">
        <v>8936</v>
      </c>
      <c r="T3075" t="s">
        <v>11720</v>
      </c>
      <c r="U3075" t="s">
        <v>11720</v>
      </c>
      <c r="V3075" t="s">
        <v>11720</v>
      </c>
      <c r="W3075" t="s">
        <v>14748</v>
      </c>
      <c r="X3075">
        <v>15</v>
      </c>
      <c r="Y3075" t="s">
        <v>20481</v>
      </c>
      <c r="Z3075" t="s">
        <v>26282</v>
      </c>
      <c r="AA3075">
        <v>0.63398791212775218</v>
      </c>
      <c r="AB3075" t="str">
        <f>HYPERLINK("Melting_Curves/meltCurve_Q13287_NMI.pdf", "Melting_Curves/meltCurve_Q13287_NMI.pdf")</f>
        <v>Melting_Curves/meltCurve_Q13287_NMI.pdf</v>
      </c>
    </row>
    <row r="3076" spans="1:28" x14ac:dyDescent="0.25">
      <c r="A3076" t="s">
        <v>3080</v>
      </c>
      <c r="B3076">
        <v>0.99334974765950101</v>
      </c>
      <c r="C3076">
        <v>0.94574097894662901</v>
      </c>
      <c r="D3076">
        <v>0.90795185687119595</v>
      </c>
      <c r="E3076">
        <v>0.84886599703967203</v>
      </c>
      <c r="F3076">
        <v>0.47829323856372802</v>
      </c>
      <c r="G3076">
        <v>0.26149247921762298</v>
      </c>
      <c r="H3076">
        <v>0.15515825735522501</v>
      </c>
      <c r="I3076">
        <v>0.154170900413719</v>
      </c>
      <c r="J3076">
        <v>0.13437595610749201</v>
      </c>
      <c r="K3076">
        <v>0.116065471055707</v>
      </c>
      <c r="L3076">
        <v>1278.4009900926201</v>
      </c>
      <c r="M3076">
        <v>24.358558680134699</v>
      </c>
      <c r="N3076">
        <v>53.142355658144702</v>
      </c>
      <c r="O3076">
        <v>52.132732829835099</v>
      </c>
      <c r="P3076">
        <v>-0.101570577066839</v>
      </c>
      <c r="Q3076">
        <v>0.130478460082916</v>
      </c>
      <c r="R3076">
        <v>0.99135049648500195</v>
      </c>
      <c r="S3076" t="s">
        <v>8937</v>
      </c>
      <c r="T3076" t="s">
        <v>11720</v>
      </c>
      <c r="U3076" t="s">
        <v>11720</v>
      </c>
      <c r="V3076" t="s">
        <v>11720</v>
      </c>
      <c r="W3076" t="s">
        <v>14749</v>
      </c>
      <c r="X3076">
        <v>46</v>
      </c>
      <c r="Y3076" t="s">
        <v>20482</v>
      </c>
      <c r="Z3076" t="s">
        <v>26283</v>
      </c>
      <c r="AA3076">
        <v>0.50065144567145736</v>
      </c>
      <c r="AB3076" t="str">
        <f>HYPERLINK("Melting_Curves/meltCurve_Q13308_PTK7.pdf", "Melting_Curves/meltCurve_Q13308_PTK7.pdf")</f>
        <v>Melting_Curves/meltCurve_Q13308_PTK7.pdf</v>
      </c>
    </row>
    <row r="3077" spans="1:28" x14ac:dyDescent="0.25">
      <c r="A3077" t="s">
        <v>3081</v>
      </c>
      <c r="B3077">
        <v>0.99334974765950101</v>
      </c>
      <c r="C3077">
        <v>0.96871291530425796</v>
      </c>
      <c r="D3077">
        <v>0.93064263281971005</v>
      </c>
      <c r="E3077">
        <v>0.62947274405375497</v>
      </c>
      <c r="F3077">
        <v>0.25664173405192497</v>
      </c>
      <c r="G3077">
        <v>0.18906286021539701</v>
      </c>
      <c r="H3077">
        <v>0.147299724762536</v>
      </c>
      <c r="I3077">
        <v>0.13455999883082601</v>
      </c>
      <c r="J3077">
        <v>0.124572969631863</v>
      </c>
      <c r="K3077">
        <v>0.118520089615303</v>
      </c>
      <c r="L3077">
        <v>1548.4786253264799</v>
      </c>
      <c r="M3077">
        <v>30.7651886325467</v>
      </c>
      <c r="N3077">
        <v>50.845549686157902</v>
      </c>
      <c r="O3077">
        <v>50.120967303447003</v>
      </c>
      <c r="P3077">
        <v>-0.132968022664538</v>
      </c>
      <c r="Q3077">
        <v>0.13350850379574</v>
      </c>
      <c r="R3077">
        <v>0.99701878791131304</v>
      </c>
      <c r="S3077" t="s">
        <v>8938</v>
      </c>
      <c r="T3077" t="s">
        <v>11720</v>
      </c>
      <c r="U3077" t="s">
        <v>11720</v>
      </c>
      <c r="V3077" t="s">
        <v>11720</v>
      </c>
      <c r="W3077" t="s">
        <v>14750</v>
      </c>
      <c r="X3077">
        <v>17</v>
      </c>
      <c r="Y3077" t="s">
        <v>20483</v>
      </c>
      <c r="Z3077" t="s">
        <v>26284</v>
      </c>
      <c r="AA3077">
        <v>0.4370546068316456</v>
      </c>
      <c r="AB3077" t="str">
        <f>HYPERLINK("Melting_Curves/meltCurve_Q13310_3_PABPC4.pdf", "Melting_Curves/meltCurve_Q13310_3_PABPC4.pdf")</f>
        <v>Melting_Curves/meltCurve_Q13310_3_PABPC4.pdf</v>
      </c>
    </row>
    <row r="3078" spans="1:28" x14ac:dyDescent="0.25">
      <c r="A3078" t="s">
        <v>3082</v>
      </c>
      <c r="B3078">
        <v>0.99334974765950101</v>
      </c>
      <c r="C3078">
        <v>0.95270554642592897</v>
      </c>
      <c r="D3078">
        <v>0.47029700842805799</v>
      </c>
      <c r="E3078">
        <v>0.260228363924419</v>
      </c>
      <c r="F3078">
        <v>0.24418542833988999</v>
      </c>
      <c r="G3078">
        <v>0.162734435748703</v>
      </c>
      <c r="H3078">
        <v>0.14381205446866199</v>
      </c>
      <c r="I3078">
        <v>0.10407608571848501</v>
      </c>
      <c r="J3078">
        <v>0.10665219205388</v>
      </c>
      <c r="K3078">
        <v>7.1631387499750607E-2</v>
      </c>
      <c r="L3078">
        <v>1433.1814515275801</v>
      </c>
      <c r="M3078">
        <v>31.426240412873</v>
      </c>
      <c r="N3078">
        <v>46.102159254576797</v>
      </c>
      <c r="O3078">
        <v>45.421141708062699</v>
      </c>
      <c r="P3078">
        <v>-0.14809614442177499</v>
      </c>
      <c r="Q3078">
        <v>0.14381621765643501</v>
      </c>
      <c r="R3078">
        <v>0.97604730707668796</v>
      </c>
      <c r="S3078" t="s">
        <v>8939</v>
      </c>
      <c r="T3078" t="s">
        <v>11720</v>
      </c>
      <c r="U3078" t="s">
        <v>11720</v>
      </c>
      <c r="V3078" t="s">
        <v>11720</v>
      </c>
      <c r="W3078" t="s">
        <v>14751</v>
      </c>
      <c r="X3078">
        <v>3</v>
      </c>
      <c r="Y3078" t="s">
        <v>20484</v>
      </c>
      <c r="Z3078" t="s">
        <v>26285</v>
      </c>
      <c r="AA3078">
        <v>0.3085326121757247</v>
      </c>
      <c r="AB3078" t="str">
        <f>HYPERLINK("Melting_Curves/meltCurve_Q13322_3_GRB10.pdf", "Melting_Curves/meltCurve_Q13322_3_GRB10.pdf")</f>
        <v>Melting_Curves/meltCurve_Q13322_3_GRB10.pdf</v>
      </c>
    </row>
    <row r="3079" spans="1:28" x14ac:dyDescent="0.25">
      <c r="A3079" t="s">
        <v>3083</v>
      </c>
      <c r="B3079">
        <v>0.99334974765950101</v>
      </c>
      <c r="C3079">
        <v>0.98730450838421502</v>
      </c>
      <c r="D3079">
        <v>0.65622444721355699</v>
      </c>
      <c r="E3079">
        <v>0.21398077156709799</v>
      </c>
      <c r="F3079">
        <v>0.19398811597184901</v>
      </c>
      <c r="G3079">
        <v>9.3274948970315297E-2</v>
      </c>
      <c r="H3079">
        <v>6.3715777476583094E-2</v>
      </c>
      <c r="I3079">
        <v>5.8627004386448398E-2</v>
      </c>
      <c r="J3079">
        <v>5.8563099374330199E-2</v>
      </c>
      <c r="K3079">
        <v>5.1001027047508203E-2</v>
      </c>
      <c r="L3079">
        <v>1255.4418161792701</v>
      </c>
      <c r="M3079">
        <v>26.677770566764</v>
      </c>
      <c r="N3079">
        <v>47.341164775703099</v>
      </c>
      <c r="O3079">
        <v>46.797434575957801</v>
      </c>
      <c r="P3079">
        <v>-0.132059211250345</v>
      </c>
      <c r="Q3079">
        <v>7.3390622275707695E-2</v>
      </c>
      <c r="R3079">
        <v>0.99230095220575498</v>
      </c>
      <c r="S3079" t="s">
        <v>8940</v>
      </c>
      <c r="T3079" t="s">
        <v>11720</v>
      </c>
      <c r="U3079" t="s">
        <v>11720</v>
      </c>
      <c r="V3079" t="s">
        <v>11720</v>
      </c>
      <c r="W3079" t="s">
        <v>14752</v>
      </c>
      <c r="X3079">
        <v>11</v>
      </c>
      <c r="Y3079" t="s">
        <v>20485</v>
      </c>
      <c r="Z3079" t="s">
        <v>26286</v>
      </c>
      <c r="AA3079">
        <v>0.29860303639550251</v>
      </c>
      <c r="AB3079" t="str">
        <f>HYPERLINK("Melting_Curves/meltCurve_Q13325_IFIT5.pdf", "Melting_Curves/meltCurve_Q13325_IFIT5.pdf")</f>
        <v>Melting_Curves/meltCurve_Q13325_IFIT5.pdf</v>
      </c>
    </row>
    <row r="3080" spans="1:28" x14ac:dyDescent="0.25">
      <c r="A3080" t="s">
        <v>3084</v>
      </c>
      <c r="B3080">
        <v>0.99334974765950101</v>
      </c>
      <c r="C3080">
        <v>0.93540678600584404</v>
      </c>
      <c r="D3080">
        <v>0.658877679511499</v>
      </c>
      <c r="E3080">
        <v>0.97262554030404103</v>
      </c>
      <c r="F3080">
        <v>0.68935273507950501</v>
      </c>
      <c r="G3080">
        <v>0.48738455794536401</v>
      </c>
      <c r="H3080">
        <v>0.54436889460057902</v>
      </c>
      <c r="I3080">
        <v>0.75886981864436598</v>
      </c>
      <c r="J3080">
        <v>0.56137571367962102</v>
      </c>
      <c r="K3080">
        <v>0.37331213402901098</v>
      </c>
      <c r="L3080">
        <v>316.10800707621797</v>
      </c>
      <c r="M3080">
        <v>5.6632276873265299</v>
      </c>
      <c r="N3080">
        <v>68.960888639264695</v>
      </c>
      <c r="O3080">
        <v>50.0268157360929</v>
      </c>
      <c r="P3080">
        <v>-1.90343822285617E-2</v>
      </c>
      <c r="Q3080">
        <v>0.33009243632337099</v>
      </c>
      <c r="R3080">
        <v>0.59742847384401199</v>
      </c>
      <c r="S3080" t="s">
        <v>8941</v>
      </c>
      <c r="T3080" t="s">
        <v>11720</v>
      </c>
      <c r="U3080" t="s">
        <v>11720</v>
      </c>
      <c r="V3080" t="s">
        <v>11720</v>
      </c>
      <c r="W3080" t="s">
        <v>14753</v>
      </c>
      <c r="X3080">
        <v>2</v>
      </c>
      <c r="Y3080" t="s">
        <v>20486</v>
      </c>
      <c r="Z3080" t="s">
        <v>26287</v>
      </c>
      <c r="AA3080">
        <v>0.6939335153458932</v>
      </c>
      <c r="AB3080" t="str">
        <f>HYPERLINK("Melting_Curves/meltCurve_Q13336_SLC14A1.pdf", "Melting_Curves/meltCurve_Q13336_SLC14A1.pdf")</f>
        <v>Melting_Curves/meltCurve_Q13336_SLC14A1.pdf</v>
      </c>
    </row>
    <row r="3081" spans="1:28" x14ac:dyDescent="0.25">
      <c r="A3081" t="s">
        <v>3085</v>
      </c>
      <c r="B3081">
        <v>0.99334974765950101</v>
      </c>
      <c r="C3081">
        <v>0.77323404259597095</v>
      </c>
      <c r="D3081">
        <v>0.41386112174</v>
      </c>
      <c r="E3081">
        <v>0.284921068802582</v>
      </c>
      <c r="F3081">
        <v>0.20324302285475701</v>
      </c>
      <c r="G3081">
        <v>0.17138004300852699</v>
      </c>
      <c r="H3081">
        <v>0.135883293596606</v>
      </c>
      <c r="I3081">
        <v>0.11230111773058001</v>
      </c>
      <c r="J3081">
        <v>8.3742705215767793E-2</v>
      </c>
      <c r="K3081">
        <v>6.9462470092157599E-2</v>
      </c>
      <c r="L3081">
        <v>884.04095921724797</v>
      </c>
      <c r="M3081">
        <v>19.612091417689999</v>
      </c>
      <c r="N3081">
        <v>45.718395235760902</v>
      </c>
      <c r="O3081">
        <v>44.615522295260497</v>
      </c>
      <c r="P3081">
        <v>-9.6669401958784207E-2</v>
      </c>
      <c r="Q3081">
        <v>0.120378618072772</v>
      </c>
      <c r="R3081">
        <v>0.98055789461921405</v>
      </c>
      <c r="S3081" t="s">
        <v>8942</v>
      </c>
      <c r="T3081" t="s">
        <v>11720</v>
      </c>
      <c r="U3081" t="s">
        <v>11720</v>
      </c>
      <c r="V3081" t="s">
        <v>11720</v>
      </c>
      <c r="W3081" t="s">
        <v>14754</v>
      </c>
      <c r="X3081">
        <v>13</v>
      </c>
      <c r="Y3081" t="s">
        <v>20487</v>
      </c>
      <c r="Z3081" t="s">
        <v>26288</v>
      </c>
      <c r="AA3081">
        <v>0.28467297467655761</v>
      </c>
      <c r="AB3081" t="str">
        <f>HYPERLINK("Melting_Curves/meltCurve_Q13347_EIF3I.pdf", "Melting_Curves/meltCurve_Q13347_EIF3I.pdf")</f>
        <v>Melting_Curves/meltCurve_Q13347_EIF3I.pdf</v>
      </c>
    </row>
    <row r="3082" spans="1:28" x14ac:dyDescent="0.25">
      <c r="A3082" t="s">
        <v>3086</v>
      </c>
      <c r="B3082">
        <v>0.99334974765950101</v>
      </c>
      <c r="C3082">
        <v>0.98202422562801495</v>
      </c>
      <c r="D3082">
        <v>1.03328687108011</v>
      </c>
      <c r="E3082">
        <v>0.81085055534487005</v>
      </c>
      <c r="F3082">
        <v>0.39414732258887197</v>
      </c>
      <c r="G3082">
        <v>0.24631146585083599</v>
      </c>
      <c r="H3082">
        <v>0.17797824055646999</v>
      </c>
      <c r="I3082">
        <v>0.16843172606249601</v>
      </c>
      <c r="J3082">
        <v>0.17695562541468299</v>
      </c>
      <c r="K3082">
        <v>0.15227128377263099</v>
      </c>
      <c r="L3082">
        <v>1906.9477528684099</v>
      </c>
      <c r="M3082">
        <v>36.9434402216053</v>
      </c>
      <c r="N3082">
        <v>52.236779770983702</v>
      </c>
      <c r="O3082">
        <v>51.467465715880202</v>
      </c>
      <c r="P3082">
        <v>-0.14765176383430301</v>
      </c>
      <c r="Q3082">
        <v>0.17720238492416199</v>
      </c>
      <c r="R3082">
        <v>0.99637758705711998</v>
      </c>
      <c r="S3082" t="s">
        <v>8943</v>
      </c>
      <c r="T3082" t="s">
        <v>11720</v>
      </c>
      <c r="U3082" t="s">
        <v>11720</v>
      </c>
      <c r="V3082" t="s">
        <v>11720</v>
      </c>
      <c r="W3082" t="s">
        <v>14755</v>
      </c>
      <c r="X3082">
        <v>9</v>
      </c>
      <c r="Y3082" t="s">
        <v>20488</v>
      </c>
      <c r="Z3082" t="s">
        <v>26289</v>
      </c>
      <c r="AA3082">
        <v>0.49928912785191498</v>
      </c>
      <c r="AB3082" t="str">
        <f>HYPERLINK("Melting_Curves/meltCurve_Q13362_4_PPP2R5C.pdf", "Melting_Curves/meltCurve_Q13362_4_PPP2R5C.pdf")</f>
        <v>Melting_Curves/meltCurve_Q13362_4_PPP2R5C.pdf</v>
      </c>
    </row>
    <row r="3083" spans="1:28" x14ac:dyDescent="0.25">
      <c r="A3083" t="s">
        <v>3087</v>
      </c>
      <c r="B3083">
        <v>0.99334974765950101</v>
      </c>
      <c r="C3083">
        <v>0.98133278799831902</v>
      </c>
      <c r="D3083">
        <v>0.94552555951133599</v>
      </c>
      <c r="E3083">
        <v>0.84656910761184001</v>
      </c>
      <c r="F3083">
        <v>0.62062260752574805</v>
      </c>
      <c r="G3083">
        <v>0.36092622505197097</v>
      </c>
      <c r="H3083">
        <v>0.227008974273506</v>
      </c>
      <c r="I3083">
        <v>0.19253056811793601</v>
      </c>
      <c r="J3083">
        <v>0.134231654047407</v>
      </c>
      <c r="K3083">
        <v>7.5586086509702596E-2</v>
      </c>
      <c r="L3083">
        <v>882.18535139528694</v>
      </c>
      <c r="M3083">
        <v>16.241776424129</v>
      </c>
      <c r="N3083">
        <v>54.960670423660098</v>
      </c>
      <c r="O3083">
        <v>53.512437718515201</v>
      </c>
      <c r="P3083">
        <v>-6.9301042271476807E-2</v>
      </c>
      <c r="Q3083">
        <v>8.6751741629780096E-2</v>
      </c>
      <c r="R3083">
        <v>0.99710818268100099</v>
      </c>
      <c r="S3083" t="s">
        <v>8944</v>
      </c>
      <c r="T3083" t="s">
        <v>11720</v>
      </c>
      <c r="U3083" t="s">
        <v>11720</v>
      </c>
      <c r="V3083" t="s">
        <v>11720</v>
      </c>
      <c r="W3083" t="s">
        <v>14756</v>
      </c>
      <c r="X3083">
        <v>12</v>
      </c>
      <c r="Y3083" t="s">
        <v>20489</v>
      </c>
      <c r="Z3083" t="s">
        <v>26290</v>
      </c>
      <c r="AA3083">
        <v>0.53922049852765042</v>
      </c>
      <c r="AB3083" t="str">
        <f>HYPERLINK("Melting_Curves/meltCurve_Q13363_CTBP1.pdf", "Melting_Curves/meltCurve_Q13363_CTBP1.pdf")</f>
        <v>Melting_Curves/meltCurve_Q13363_CTBP1.pdf</v>
      </c>
    </row>
    <row r="3084" spans="1:28" x14ac:dyDescent="0.25">
      <c r="A3084" t="s">
        <v>3088</v>
      </c>
      <c r="B3084">
        <v>0.99334974765950101</v>
      </c>
      <c r="C3084">
        <v>0.93319143616218603</v>
      </c>
      <c r="D3084">
        <v>0.91139430699216994</v>
      </c>
      <c r="E3084">
        <v>0.71118666623462601</v>
      </c>
      <c r="F3084">
        <v>0.60020000412488395</v>
      </c>
      <c r="G3084">
        <v>0.325701134409489</v>
      </c>
      <c r="H3084">
        <v>0.24037666359804699</v>
      </c>
      <c r="I3084">
        <v>0.20635298274466801</v>
      </c>
      <c r="J3084">
        <v>0.17687189375378401</v>
      </c>
      <c r="K3084">
        <v>0.155336245551362</v>
      </c>
      <c r="L3084">
        <v>734.80902910333702</v>
      </c>
      <c r="M3084">
        <v>13.8936962261897</v>
      </c>
      <c r="N3084">
        <v>54.020337274776097</v>
      </c>
      <c r="O3084">
        <v>51.828423091694297</v>
      </c>
      <c r="P3084">
        <v>-5.8559148951707302E-2</v>
      </c>
      <c r="Q3084">
        <v>0.12633338688151999</v>
      </c>
      <c r="R3084">
        <v>0.99544221011242595</v>
      </c>
      <c r="S3084" t="s">
        <v>8945</v>
      </c>
      <c r="T3084" t="s">
        <v>11720</v>
      </c>
      <c r="U3084" t="s">
        <v>11720</v>
      </c>
      <c r="V3084" t="s">
        <v>11720</v>
      </c>
      <c r="W3084" t="s">
        <v>14757</v>
      </c>
      <c r="X3084">
        <v>5</v>
      </c>
      <c r="Y3084" t="s">
        <v>20490</v>
      </c>
      <c r="Z3084" t="s">
        <v>26291</v>
      </c>
      <c r="AA3084">
        <v>0.52262423467944352</v>
      </c>
      <c r="AB3084" t="str">
        <f>HYPERLINK("Melting_Curves/meltCurve_Q13371_PDCL.pdf", "Melting_Curves/meltCurve_Q13371_PDCL.pdf")</f>
        <v>Melting_Curves/meltCurve_Q13371_PDCL.pdf</v>
      </c>
    </row>
    <row r="3085" spans="1:28" x14ac:dyDescent="0.25">
      <c r="A3085" t="s">
        <v>3089</v>
      </c>
      <c r="B3085">
        <v>0.99334974765950101</v>
      </c>
      <c r="C3085">
        <v>1.0885196059882001</v>
      </c>
      <c r="D3085">
        <v>1.17959361533496</v>
      </c>
      <c r="E3085">
        <v>1.39348228090253</v>
      </c>
      <c r="F3085">
        <v>4.6401009995268803</v>
      </c>
      <c r="G3085">
        <v>2.7529681489213398</v>
      </c>
      <c r="H3085">
        <v>1.3688332413645601</v>
      </c>
      <c r="I3085">
        <v>1.0256593001163099</v>
      </c>
      <c r="J3085">
        <v>1.03609382577343</v>
      </c>
      <c r="K3085">
        <v>0.82073561641897796</v>
      </c>
      <c r="L3085">
        <v>1089.47345046546</v>
      </c>
      <c r="M3085">
        <v>10.3668251680574</v>
      </c>
      <c r="Q3085">
        <v>1.9679780779242901E-13</v>
      </c>
      <c r="R3085">
        <v>-0.31192563937648299</v>
      </c>
      <c r="S3085" t="s">
        <v>8946</v>
      </c>
      <c r="T3085" t="s">
        <v>11720</v>
      </c>
      <c r="U3085" t="s">
        <v>11720</v>
      </c>
      <c r="V3085" t="s">
        <v>11720</v>
      </c>
      <c r="W3085" t="s">
        <v>14758</v>
      </c>
      <c r="X3085">
        <v>20</v>
      </c>
      <c r="Y3085" t="s">
        <v>20491</v>
      </c>
      <c r="Z3085" t="s">
        <v>26292</v>
      </c>
      <c r="AA3085">
        <v>0.99926277889323312</v>
      </c>
      <c r="AB3085" t="str">
        <f>HYPERLINK("Melting_Curves/meltCurve_Q13409_6_DYNC1I2.pdf", "Melting_Curves/meltCurve_Q13409_6_DYNC1I2.pdf")</f>
        <v>Melting_Curves/meltCurve_Q13409_6_DYNC1I2.pdf</v>
      </c>
    </row>
    <row r="3086" spans="1:28" x14ac:dyDescent="0.25">
      <c r="A3086" t="s">
        <v>3090</v>
      </c>
      <c r="B3086">
        <v>0.99334974765950101</v>
      </c>
      <c r="C3086">
        <v>0.93162693323161405</v>
      </c>
      <c r="D3086">
        <v>0.94544100914880602</v>
      </c>
      <c r="E3086">
        <v>0.64001958248544399</v>
      </c>
      <c r="F3086">
        <v>0.15772936304212001</v>
      </c>
      <c r="G3086">
        <v>9.3847506345550294E-2</v>
      </c>
      <c r="H3086">
        <v>6.9467044421156907E-2</v>
      </c>
      <c r="I3086">
        <v>6.1142350728898301E-2</v>
      </c>
      <c r="J3086">
        <v>5.5587046460924203E-2</v>
      </c>
      <c r="K3086">
        <v>4.7405158874665003E-2</v>
      </c>
      <c r="L3086">
        <v>2177.60820004888</v>
      </c>
      <c r="M3086">
        <v>43.113026323344499</v>
      </c>
      <c r="N3086">
        <v>50.664916397972597</v>
      </c>
      <c r="O3086">
        <v>50.401002601680503</v>
      </c>
      <c r="P3086">
        <v>-0.200587700167076</v>
      </c>
      <c r="Q3086">
        <v>6.2018909237743697E-2</v>
      </c>
      <c r="R3086">
        <v>0.99533157623310897</v>
      </c>
      <c r="S3086" t="s">
        <v>8947</v>
      </c>
      <c r="T3086" t="s">
        <v>11720</v>
      </c>
      <c r="U3086" t="s">
        <v>11720</v>
      </c>
      <c r="V3086" t="s">
        <v>11720</v>
      </c>
      <c r="W3086" t="s">
        <v>14759</v>
      </c>
      <c r="X3086">
        <v>18</v>
      </c>
      <c r="Y3086" t="s">
        <v>20492</v>
      </c>
      <c r="Z3086" t="s">
        <v>26293</v>
      </c>
      <c r="AA3086">
        <v>0.39341874150968997</v>
      </c>
      <c r="AB3086" t="str">
        <f>HYPERLINK("Melting_Curves/meltCurve_Q13418_ILK.pdf", "Melting_Curves/meltCurve_Q13418_ILK.pdf")</f>
        <v>Melting_Curves/meltCurve_Q13418_ILK.pdf</v>
      </c>
    </row>
    <row r="3087" spans="1:28" x14ac:dyDescent="0.25">
      <c r="A3087" t="s">
        <v>3091</v>
      </c>
      <c r="B3087">
        <v>0.99334974765950101</v>
      </c>
      <c r="C3087">
        <v>0.83423991278017795</v>
      </c>
      <c r="D3087">
        <v>0.80961794998932202</v>
      </c>
      <c r="E3087">
        <v>1.1116912277081901</v>
      </c>
      <c r="F3087">
        <v>0.77110601763270104</v>
      </c>
      <c r="G3087">
        <v>0.187788158211523</v>
      </c>
      <c r="H3087">
        <v>0.137129234809027</v>
      </c>
      <c r="I3087">
        <v>0.10010860508240001</v>
      </c>
      <c r="J3087">
        <v>8.8047473898351603E-2</v>
      </c>
      <c r="K3087">
        <v>8.1747649767401495E-2</v>
      </c>
      <c r="L3087">
        <v>2781.76427446549</v>
      </c>
      <c r="M3087">
        <v>51.322591772422498</v>
      </c>
      <c r="N3087">
        <v>54.449653663157498</v>
      </c>
      <c r="O3087">
        <v>54.119452305539603</v>
      </c>
      <c r="P3087">
        <v>-0.21236237103262301</v>
      </c>
      <c r="Q3087">
        <v>0.1042598595179</v>
      </c>
      <c r="R3087">
        <v>0.95021131339916998</v>
      </c>
      <c r="S3087" t="s">
        <v>8948</v>
      </c>
      <c r="T3087" t="s">
        <v>11720</v>
      </c>
      <c r="U3087" t="s">
        <v>11720</v>
      </c>
      <c r="V3087" t="s">
        <v>11720</v>
      </c>
      <c r="W3087" t="s">
        <v>14760</v>
      </c>
      <c r="X3087">
        <v>23</v>
      </c>
      <c r="Y3087" t="s">
        <v>20493</v>
      </c>
      <c r="Z3087" t="s">
        <v>26294</v>
      </c>
      <c r="AA3087">
        <v>0.53032148094587006</v>
      </c>
      <c r="AB3087" t="str">
        <f>HYPERLINK("Melting_Curves/meltCurve_Q13423_NNT.pdf", "Melting_Curves/meltCurve_Q13423_NNT.pdf")</f>
        <v>Melting_Curves/meltCurve_Q13423_NNT.pdf</v>
      </c>
    </row>
    <row r="3088" spans="1:28" x14ac:dyDescent="0.25">
      <c r="A3088" t="s">
        <v>3092</v>
      </c>
      <c r="B3088">
        <v>0.99334974765950101</v>
      </c>
      <c r="C3088">
        <v>0.84958691980742795</v>
      </c>
      <c r="D3088">
        <v>0.699223770044054</v>
      </c>
      <c r="E3088">
        <v>0.445755561889004</v>
      </c>
      <c r="F3088">
        <v>0.40518004536408297</v>
      </c>
      <c r="G3088">
        <v>0.28338299692923802</v>
      </c>
      <c r="H3088">
        <v>0.20562740013929501</v>
      </c>
      <c r="I3088">
        <v>0.19265338455737299</v>
      </c>
      <c r="J3088">
        <v>0.18919862520623501</v>
      </c>
      <c r="K3088">
        <v>0.128553763811463</v>
      </c>
      <c r="L3088">
        <v>596.13561443213996</v>
      </c>
      <c r="M3088">
        <v>12.3166225986343</v>
      </c>
      <c r="N3088">
        <v>49.813640319162801</v>
      </c>
      <c r="O3088">
        <v>47.178060674075397</v>
      </c>
      <c r="P3088">
        <v>-5.5657769927403199E-2</v>
      </c>
      <c r="Q3088">
        <v>0.14741126169278199</v>
      </c>
      <c r="R3088">
        <v>0.98979751862570797</v>
      </c>
      <c r="S3088" t="s">
        <v>8949</v>
      </c>
      <c r="T3088" t="s">
        <v>11720</v>
      </c>
      <c r="U3088" t="s">
        <v>11720</v>
      </c>
      <c r="V3088" t="s">
        <v>11720</v>
      </c>
      <c r="W3088" t="s">
        <v>14761</v>
      </c>
      <c r="X3088">
        <v>3</v>
      </c>
      <c r="Y3088" t="s">
        <v>20494</v>
      </c>
      <c r="Z3088" t="s">
        <v>26295</v>
      </c>
      <c r="AA3088">
        <v>0.41722499285274312</v>
      </c>
      <c r="AB3088" t="str">
        <f>HYPERLINK("Melting_Curves/meltCurve_Q13424_SNTA1.pdf", "Melting_Curves/meltCurve_Q13424_SNTA1.pdf")</f>
        <v>Melting_Curves/meltCurve_Q13424_SNTA1.pdf</v>
      </c>
    </row>
    <row r="3089" spans="1:28" x14ac:dyDescent="0.25">
      <c r="A3089" t="s">
        <v>3093</v>
      </c>
      <c r="B3089">
        <v>0.99334974765950101</v>
      </c>
      <c r="C3089">
        <v>0.96396603166945205</v>
      </c>
      <c r="D3089">
        <v>0.91147457570365897</v>
      </c>
      <c r="E3089">
        <v>0.485843509370261</v>
      </c>
      <c r="F3089">
        <v>0.272226845766595</v>
      </c>
      <c r="G3089">
        <v>0.22650838373429699</v>
      </c>
      <c r="H3089">
        <v>0.163824723879893</v>
      </c>
      <c r="I3089">
        <v>0.22549919359644</v>
      </c>
      <c r="J3089">
        <v>9.4216242088892801E-2</v>
      </c>
      <c r="K3089">
        <v>0.103141893900681</v>
      </c>
      <c r="L3089">
        <v>1282.57316176327</v>
      </c>
      <c r="M3089">
        <v>26.012181985599302</v>
      </c>
      <c r="N3089">
        <v>50.015641488027299</v>
      </c>
      <c r="O3089">
        <v>49.017999869070202</v>
      </c>
      <c r="P3089">
        <v>-0.112210458501749</v>
      </c>
      <c r="Q3089">
        <v>0.15420117348690601</v>
      </c>
      <c r="R3089">
        <v>0.98812006021476995</v>
      </c>
      <c r="S3089" t="s">
        <v>8950</v>
      </c>
      <c r="T3089" t="s">
        <v>11720</v>
      </c>
      <c r="U3089" t="s">
        <v>11720</v>
      </c>
      <c r="V3089" t="s">
        <v>11720</v>
      </c>
      <c r="W3089" t="s">
        <v>14762</v>
      </c>
      <c r="X3089">
        <v>11</v>
      </c>
      <c r="Y3089" t="s">
        <v>20495</v>
      </c>
      <c r="Z3089" t="s">
        <v>26296</v>
      </c>
      <c r="AA3089">
        <v>0.42351191099332042</v>
      </c>
      <c r="AB3089" t="str">
        <f>HYPERLINK("Melting_Curves/meltCurve_Q13425_SNTB2.pdf", "Melting_Curves/meltCurve_Q13425_SNTB2.pdf")</f>
        <v>Melting_Curves/meltCurve_Q13425_SNTB2.pdf</v>
      </c>
    </row>
    <row r="3090" spans="1:28" x14ac:dyDescent="0.25">
      <c r="A3090" t="s">
        <v>3094</v>
      </c>
      <c r="B3090">
        <v>0.99334974765950101</v>
      </c>
      <c r="C3090">
        <v>0.94212865391230705</v>
      </c>
      <c r="D3090">
        <v>0.74874432754237297</v>
      </c>
      <c r="E3090">
        <v>0.491981651152814</v>
      </c>
      <c r="F3090">
        <v>0.28940349862598902</v>
      </c>
      <c r="G3090">
        <v>0.192416893803733</v>
      </c>
      <c r="H3090">
        <v>0.135499206203475</v>
      </c>
      <c r="I3090">
        <v>0.117773999932529</v>
      </c>
      <c r="J3090">
        <v>0.11604866267114999</v>
      </c>
      <c r="K3090">
        <v>0.104675224928845</v>
      </c>
      <c r="L3090">
        <v>812.81543592503601</v>
      </c>
      <c r="M3090">
        <v>16.594595141839001</v>
      </c>
      <c r="N3090">
        <v>49.671544218197297</v>
      </c>
      <c r="O3090">
        <v>48.286026034681797</v>
      </c>
      <c r="P3090">
        <v>-7.7069815541400202E-2</v>
      </c>
      <c r="Q3090">
        <v>0.103047137890482</v>
      </c>
      <c r="R3090">
        <v>0.99853974517811706</v>
      </c>
      <c r="S3090" t="s">
        <v>8951</v>
      </c>
      <c r="T3090" t="s">
        <v>11720</v>
      </c>
      <c r="U3090" t="s">
        <v>11720</v>
      </c>
      <c r="V3090" t="s">
        <v>11720</v>
      </c>
      <c r="W3090" t="s">
        <v>14763</v>
      </c>
      <c r="X3090">
        <v>6</v>
      </c>
      <c r="Y3090" t="s">
        <v>20496</v>
      </c>
      <c r="Z3090" t="s">
        <v>26297</v>
      </c>
      <c r="AA3090">
        <v>0.38980558152820111</v>
      </c>
      <c r="AB3090" t="str">
        <f>HYPERLINK("Melting_Curves/meltCurve_Q13432_UNC119.pdf", "Melting_Curves/meltCurve_Q13432_UNC119.pdf")</f>
        <v>Melting_Curves/meltCurve_Q13432_UNC119.pdf</v>
      </c>
    </row>
    <row r="3091" spans="1:28" x14ac:dyDescent="0.25">
      <c r="A3091" t="s">
        <v>3095</v>
      </c>
      <c r="B3091">
        <v>0.99334974765950101</v>
      </c>
      <c r="C3091">
        <v>1.04432834339986</v>
      </c>
      <c r="D3091">
        <v>0.95435499908989596</v>
      </c>
      <c r="E3091">
        <v>0.92777317633898004</v>
      </c>
      <c r="F3091">
        <v>0.75442812785616797</v>
      </c>
      <c r="G3091">
        <v>0.70010255547580102</v>
      </c>
      <c r="H3091">
        <v>0.68979232794787004</v>
      </c>
      <c r="I3091">
        <v>0.77743336108415095</v>
      </c>
      <c r="J3091">
        <v>0.842457953283684</v>
      </c>
      <c r="K3091">
        <v>0.66510478962232</v>
      </c>
      <c r="L3091">
        <v>3082.64246565333</v>
      </c>
      <c r="M3091">
        <v>60.684155688256098</v>
      </c>
      <c r="O3091">
        <v>50.743084406654198</v>
      </c>
      <c r="P3091">
        <v>-7.9258634824914298E-2</v>
      </c>
      <c r="Q3091">
        <v>0.734901174094855</v>
      </c>
      <c r="R3091">
        <v>0.84936162918059099</v>
      </c>
      <c r="S3091" t="s">
        <v>8952</v>
      </c>
      <c r="T3091" t="s">
        <v>11720</v>
      </c>
      <c r="U3091" t="s">
        <v>11720</v>
      </c>
      <c r="V3091" t="s">
        <v>11720</v>
      </c>
      <c r="W3091" t="s">
        <v>14764</v>
      </c>
      <c r="X3091">
        <v>3</v>
      </c>
      <c r="Y3091" t="s">
        <v>20497</v>
      </c>
      <c r="Z3091" t="s">
        <v>26298</v>
      </c>
      <c r="AA3091">
        <v>0.83072288227970437</v>
      </c>
      <c r="AB3091" t="str">
        <f>HYPERLINK("Melting_Curves/meltCurve_Q13433_SLC39A6.pdf", "Melting_Curves/meltCurve_Q13433_SLC39A6.pdf")</f>
        <v>Melting_Curves/meltCurve_Q13433_SLC39A6.pdf</v>
      </c>
    </row>
    <row r="3092" spans="1:28" x14ac:dyDescent="0.25">
      <c r="A3092" t="s">
        <v>3096</v>
      </c>
      <c r="B3092">
        <v>0.99334974765950101</v>
      </c>
      <c r="C3092">
        <v>0.98002387027975102</v>
      </c>
      <c r="D3092">
        <v>0.91794886101363304</v>
      </c>
      <c r="E3092">
        <v>0.79699886249044305</v>
      </c>
      <c r="F3092">
        <v>0.82198581190028697</v>
      </c>
      <c r="G3092">
        <v>0.70131518099630397</v>
      </c>
      <c r="H3092">
        <v>0.64168371787650302</v>
      </c>
      <c r="I3092">
        <v>0.76772802192066603</v>
      </c>
      <c r="J3092">
        <v>0.76860624397634403</v>
      </c>
      <c r="K3092">
        <v>0.95934731510314297</v>
      </c>
      <c r="L3092">
        <v>1343.38702083763</v>
      </c>
      <c r="M3092">
        <v>28.690716298094099</v>
      </c>
      <c r="O3092">
        <v>46.597352681206999</v>
      </c>
      <c r="P3092">
        <v>-3.4793981870549801E-2</v>
      </c>
      <c r="Q3092">
        <v>0.77396244600763497</v>
      </c>
      <c r="R3092">
        <v>0.55879130112376696</v>
      </c>
      <c r="S3092" t="s">
        <v>8953</v>
      </c>
      <c r="T3092" t="s">
        <v>11720</v>
      </c>
      <c r="U3092" t="s">
        <v>11720</v>
      </c>
      <c r="V3092" t="s">
        <v>11720</v>
      </c>
      <c r="W3092" t="s">
        <v>14765</v>
      </c>
      <c r="X3092">
        <v>12</v>
      </c>
      <c r="Y3092" t="s">
        <v>20498</v>
      </c>
      <c r="Z3092" t="s">
        <v>26299</v>
      </c>
      <c r="AA3092">
        <v>0.82686695199816118</v>
      </c>
      <c r="AB3092" t="str">
        <f>HYPERLINK("Melting_Curves/meltCurve_Q13435_SF3B2.pdf", "Melting_Curves/meltCurve_Q13435_SF3B2.pdf")</f>
        <v>Melting_Curves/meltCurve_Q13435_SF3B2.pdf</v>
      </c>
    </row>
    <row r="3093" spans="1:28" x14ac:dyDescent="0.25">
      <c r="A3093" t="s">
        <v>3097</v>
      </c>
      <c r="B3093">
        <v>0.99334974765950101</v>
      </c>
      <c r="C3093">
        <v>1.03582595646928</v>
      </c>
      <c r="D3093">
        <v>1.1356914210756599</v>
      </c>
      <c r="E3093">
        <v>1.28248035964678</v>
      </c>
      <c r="F3093">
        <v>0.79358841389675605</v>
      </c>
      <c r="G3093">
        <v>0.659343111639067</v>
      </c>
      <c r="H3093">
        <v>0.486764399115031</v>
      </c>
      <c r="I3093">
        <v>0.43980149292838899</v>
      </c>
      <c r="J3093">
        <v>0.35640169497749502</v>
      </c>
      <c r="K3093">
        <v>0.309786591463587</v>
      </c>
      <c r="L3093">
        <v>1383.7149130515099</v>
      </c>
      <c r="M3093">
        <v>24.315162220012802</v>
      </c>
      <c r="N3093">
        <v>59.893088801864998</v>
      </c>
      <c r="O3093">
        <v>56.526765606955799</v>
      </c>
      <c r="P3093">
        <v>-6.9770737031710703E-2</v>
      </c>
      <c r="Q3093">
        <v>0.35121059859036102</v>
      </c>
      <c r="R3093">
        <v>0.88017603052835203</v>
      </c>
      <c r="S3093" t="s">
        <v>8954</v>
      </c>
      <c r="T3093" t="s">
        <v>11720</v>
      </c>
      <c r="U3093" t="s">
        <v>11720</v>
      </c>
      <c r="V3093" t="s">
        <v>11720</v>
      </c>
      <c r="W3093" t="s">
        <v>14766</v>
      </c>
      <c r="X3093">
        <v>8</v>
      </c>
      <c r="Y3093" t="s">
        <v>20499</v>
      </c>
      <c r="Z3093" t="s">
        <v>26300</v>
      </c>
      <c r="AA3093">
        <v>0.72297128011488287</v>
      </c>
      <c r="AB3093" t="str">
        <f>HYPERLINK("Melting_Curves/meltCurve_Q13438_4_OS9.pdf", "Melting_Curves/meltCurve_Q13438_4_OS9.pdf")</f>
        <v>Melting_Curves/meltCurve_Q13438_4_OS9.pdf</v>
      </c>
    </row>
    <row r="3094" spans="1:28" x14ac:dyDescent="0.25">
      <c r="A3094" t="s">
        <v>3098</v>
      </c>
      <c r="B3094">
        <v>0.99334974765950101</v>
      </c>
      <c r="C3094">
        <v>0.957958394342183</v>
      </c>
      <c r="D3094">
        <v>0.73733774658092799</v>
      </c>
      <c r="E3094">
        <v>0.32546859681389601</v>
      </c>
      <c r="F3094">
        <v>0.28708014503696599</v>
      </c>
      <c r="G3094">
        <v>0.17833620657626401</v>
      </c>
      <c r="H3094">
        <v>0.153297713805469</v>
      </c>
      <c r="I3094">
        <v>0.177716405408026</v>
      </c>
      <c r="J3094">
        <v>0.23569353363096099</v>
      </c>
      <c r="K3094">
        <v>0.27461158561035698</v>
      </c>
      <c r="L3094">
        <v>1332.98617867861</v>
      </c>
      <c r="M3094">
        <v>28.284792349434898</v>
      </c>
      <c r="N3094">
        <v>48.046356843280499</v>
      </c>
      <c r="O3094">
        <v>46.8936167778146</v>
      </c>
      <c r="P3094">
        <v>-0.11928842271960299</v>
      </c>
      <c r="Q3094">
        <v>0.208928858372565</v>
      </c>
      <c r="R3094">
        <v>0.98701396628286497</v>
      </c>
      <c r="S3094" t="s">
        <v>8955</v>
      </c>
      <c r="T3094" t="s">
        <v>11720</v>
      </c>
      <c r="U3094" t="s">
        <v>11720</v>
      </c>
      <c r="V3094" t="s">
        <v>11720</v>
      </c>
      <c r="W3094" t="s">
        <v>14767</v>
      </c>
      <c r="X3094">
        <v>68</v>
      </c>
      <c r="Y3094" t="s">
        <v>20500</v>
      </c>
      <c r="Z3094" t="s">
        <v>26301</v>
      </c>
      <c r="AA3094">
        <v>0.40225377082610242</v>
      </c>
      <c r="AB3094" t="str">
        <f>HYPERLINK("Melting_Curves/meltCurve_Q13439_3_GOLGA4.pdf", "Melting_Curves/meltCurve_Q13439_3_GOLGA4.pdf")</f>
        <v>Melting_Curves/meltCurve_Q13439_3_GOLGA4.pdf</v>
      </c>
    </row>
    <row r="3095" spans="1:28" x14ac:dyDescent="0.25">
      <c r="A3095" t="s">
        <v>3099</v>
      </c>
      <c r="B3095">
        <v>0.99334974765950101</v>
      </c>
      <c r="C3095">
        <v>1.07052715819972</v>
      </c>
      <c r="D3095">
        <v>0.98673182838782403</v>
      </c>
      <c r="E3095">
        <v>0.92657406755537897</v>
      </c>
      <c r="F3095">
        <v>1.0591330715768601</v>
      </c>
      <c r="G3095">
        <v>0.93242864226130595</v>
      </c>
      <c r="H3095">
        <v>1.0499557431766799</v>
      </c>
      <c r="I3095">
        <v>1.2777374994620101</v>
      </c>
      <c r="J3095">
        <v>1.57852460558356</v>
      </c>
      <c r="K3095">
        <v>1.65287337454304</v>
      </c>
      <c r="L3095">
        <v>15000</v>
      </c>
      <c r="M3095">
        <v>234.597894589026</v>
      </c>
      <c r="O3095">
        <v>63.934546810593702</v>
      </c>
      <c r="P3095">
        <v>0.45866810040538702</v>
      </c>
      <c r="Q3095">
        <v>1.5</v>
      </c>
      <c r="R3095">
        <v>0.91901187768506998</v>
      </c>
      <c r="S3095" t="s">
        <v>8956</v>
      </c>
      <c r="T3095" t="s">
        <v>11720</v>
      </c>
      <c r="U3095" t="s">
        <v>11720</v>
      </c>
      <c r="V3095" t="s">
        <v>11720</v>
      </c>
      <c r="W3095" t="s">
        <v>14768</v>
      </c>
      <c r="X3095">
        <v>21</v>
      </c>
      <c r="Y3095" t="s">
        <v>20501</v>
      </c>
      <c r="Z3095" t="s">
        <v>26302</v>
      </c>
      <c r="AA3095">
        <v>1.1009497372469059</v>
      </c>
      <c r="AB3095" t="str">
        <f>HYPERLINK("Melting_Curves/meltCurve_Q13442_PDAP1.pdf", "Melting_Curves/meltCurve_Q13442_PDAP1.pdf")</f>
        <v>Melting_Curves/meltCurve_Q13442_PDAP1.pdf</v>
      </c>
    </row>
    <row r="3096" spans="1:28" x14ac:dyDescent="0.25">
      <c r="A3096" t="s">
        <v>3100</v>
      </c>
      <c r="B3096">
        <v>0.99334974765950101</v>
      </c>
      <c r="C3096">
        <v>0.96510245947906703</v>
      </c>
      <c r="D3096">
        <v>0.96795067187894501</v>
      </c>
      <c r="E3096">
        <v>0.99246085777433402</v>
      </c>
      <c r="F3096">
        <v>1.1887372384057699</v>
      </c>
      <c r="G3096">
        <v>0.81803364423134906</v>
      </c>
      <c r="H3096">
        <v>0.65212285026427896</v>
      </c>
      <c r="I3096">
        <v>0.53791182814029603</v>
      </c>
      <c r="J3096">
        <v>0.37374103558500499</v>
      </c>
      <c r="K3096">
        <v>0.25071820232521802</v>
      </c>
      <c r="L3096">
        <v>1203.63661750857</v>
      </c>
      <c r="M3096">
        <v>19.2689146574223</v>
      </c>
      <c r="N3096">
        <v>63.981116079515402</v>
      </c>
      <c r="O3096">
        <v>61.804087823441897</v>
      </c>
      <c r="P3096">
        <v>-6.3661786748256899E-2</v>
      </c>
      <c r="Q3096">
        <v>0.183262709728303</v>
      </c>
      <c r="R3096">
        <v>0.93346602839558201</v>
      </c>
      <c r="S3096" t="s">
        <v>8957</v>
      </c>
      <c r="T3096" t="s">
        <v>11720</v>
      </c>
      <c r="U3096" t="s">
        <v>11720</v>
      </c>
      <c r="V3096" t="s">
        <v>11720</v>
      </c>
      <c r="W3096" t="s">
        <v>14769</v>
      </c>
      <c r="X3096">
        <v>29</v>
      </c>
      <c r="Y3096" t="s">
        <v>20502</v>
      </c>
      <c r="Z3096" t="s">
        <v>26303</v>
      </c>
      <c r="AA3096">
        <v>0.79548847163106873</v>
      </c>
      <c r="AB3096" t="str">
        <f>HYPERLINK("Melting_Curves/meltCurve_Q13443_ADAM9.pdf", "Melting_Curves/meltCurve_Q13443_ADAM9.pdf")</f>
        <v>Melting_Curves/meltCurve_Q13443_ADAM9.pdf</v>
      </c>
    </row>
    <row r="3097" spans="1:28" x14ac:dyDescent="0.25">
      <c r="A3097" t="s">
        <v>3101</v>
      </c>
      <c r="B3097">
        <v>0.99334974765950101</v>
      </c>
      <c r="C3097">
        <v>0.94276555476743995</v>
      </c>
      <c r="D3097">
        <v>0.82987421165930997</v>
      </c>
      <c r="E3097">
        <v>1.0397945454184001</v>
      </c>
      <c r="F3097">
        <v>0.96952057636449396</v>
      </c>
      <c r="G3097">
        <v>0.86616451854471299</v>
      </c>
      <c r="H3097">
        <v>0.65650071527809295</v>
      </c>
      <c r="I3097">
        <v>0.76534603713806904</v>
      </c>
      <c r="J3097">
        <v>0.52229925677271505</v>
      </c>
      <c r="K3097">
        <v>0.379776335958596</v>
      </c>
      <c r="L3097">
        <v>693.69681488976198</v>
      </c>
      <c r="M3097">
        <v>10.2449647006171</v>
      </c>
      <c r="N3097">
        <v>67.711000555036804</v>
      </c>
      <c r="O3097">
        <v>65.283307610583705</v>
      </c>
      <c r="P3097">
        <v>-3.9250103342718397E-2</v>
      </c>
      <c r="Q3097">
        <v>0</v>
      </c>
      <c r="R3097">
        <v>0.85843290102289305</v>
      </c>
      <c r="S3097" t="s">
        <v>8958</v>
      </c>
      <c r="T3097" t="s">
        <v>11720</v>
      </c>
      <c r="U3097" t="s">
        <v>11720</v>
      </c>
      <c r="V3097" t="s">
        <v>11720</v>
      </c>
      <c r="W3097" t="s">
        <v>14770</v>
      </c>
      <c r="X3097">
        <v>5</v>
      </c>
      <c r="Y3097" t="s">
        <v>20503</v>
      </c>
      <c r="Z3097" t="s">
        <v>26304</v>
      </c>
      <c r="AA3097">
        <v>0.83316791035784954</v>
      </c>
      <c r="AB3097" t="str">
        <f>HYPERLINK("Melting_Curves/meltCurve_Q13444_10_ADAM15.pdf", "Melting_Curves/meltCurve_Q13444_10_ADAM15.pdf")</f>
        <v>Melting_Curves/meltCurve_Q13444_10_ADAM15.pdf</v>
      </c>
    </row>
    <row r="3098" spans="1:28" x14ac:dyDescent="0.25">
      <c r="A3098" t="s">
        <v>3102</v>
      </c>
      <c r="B3098">
        <v>0.99334974765950101</v>
      </c>
      <c r="C3098">
        <v>0.95661835176135201</v>
      </c>
      <c r="D3098">
        <v>0.946346991128027</v>
      </c>
      <c r="E3098">
        <v>1.02256345995164</v>
      </c>
      <c r="F3098">
        <v>1.04282930188543</v>
      </c>
      <c r="G3098">
        <v>0.80095591476342398</v>
      </c>
      <c r="H3098">
        <v>0.276913248631738</v>
      </c>
      <c r="I3098">
        <v>0.23031438026617501</v>
      </c>
      <c r="J3098">
        <v>0.16756323287081701</v>
      </c>
      <c r="K3098">
        <v>0.124090284892852</v>
      </c>
      <c r="L3098">
        <v>2559.6674280468701</v>
      </c>
      <c r="M3098">
        <v>43.724144448164502</v>
      </c>
      <c r="N3098">
        <v>59.075129920409204</v>
      </c>
      <c r="O3098">
        <v>58.419225971284398</v>
      </c>
      <c r="P3098">
        <v>-0.15657665095554801</v>
      </c>
      <c r="Q3098">
        <v>0.163201656518809</v>
      </c>
      <c r="R3098">
        <v>0.99173534544526398</v>
      </c>
      <c r="S3098" t="s">
        <v>8959</v>
      </c>
      <c r="T3098" t="s">
        <v>11720</v>
      </c>
      <c r="U3098" t="s">
        <v>11720</v>
      </c>
      <c r="V3098" t="s">
        <v>11720</v>
      </c>
      <c r="W3098" t="s">
        <v>14771</v>
      </c>
      <c r="X3098">
        <v>3</v>
      </c>
      <c r="Y3098" t="s">
        <v>20504</v>
      </c>
      <c r="Z3098" t="s">
        <v>26305</v>
      </c>
      <c r="AA3098">
        <v>0.68316529338916754</v>
      </c>
      <c r="AB3098" t="str">
        <f>HYPERLINK("Melting_Curves/meltCurve_Q13445_TMED1.pdf", "Melting_Curves/meltCurve_Q13445_TMED1.pdf")</f>
        <v>Melting_Curves/meltCurve_Q13445_TMED1.pdf</v>
      </c>
    </row>
    <row r="3099" spans="1:28" x14ac:dyDescent="0.25">
      <c r="A3099" t="s">
        <v>3103</v>
      </c>
      <c r="B3099">
        <v>0.99334974765950101</v>
      </c>
      <c r="C3099">
        <v>0.959444073524652</v>
      </c>
      <c r="D3099">
        <v>0.550517605895123</v>
      </c>
      <c r="E3099">
        <v>0.20098088530562899</v>
      </c>
      <c r="F3099">
        <v>0.15841730978937699</v>
      </c>
      <c r="G3099">
        <v>9.2065962123755493E-2</v>
      </c>
      <c r="H3099">
        <v>7.8867524081465995E-2</v>
      </c>
      <c r="I3099">
        <v>7.5528177578814401E-2</v>
      </c>
      <c r="J3099">
        <v>7.6541336057345699E-2</v>
      </c>
      <c r="K3099">
        <v>6.1633590285819502E-2</v>
      </c>
      <c r="L3099">
        <v>1331.9283065689301</v>
      </c>
      <c r="M3099">
        <v>28.799856971604299</v>
      </c>
      <c r="N3099">
        <v>46.557271442003398</v>
      </c>
      <c r="O3099">
        <v>46.026458783394801</v>
      </c>
      <c r="P3099">
        <v>-0.14280174264804399</v>
      </c>
      <c r="Q3099">
        <v>8.7132739281160596E-2</v>
      </c>
      <c r="R3099">
        <v>0.99461881028464305</v>
      </c>
      <c r="S3099" t="s">
        <v>8960</v>
      </c>
      <c r="T3099" t="s">
        <v>11720</v>
      </c>
      <c r="U3099" t="s">
        <v>11720</v>
      </c>
      <c r="V3099" t="s">
        <v>11720</v>
      </c>
      <c r="W3099" t="s">
        <v>14772</v>
      </c>
      <c r="X3099">
        <v>21</v>
      </c>
      <c r="Y3099" t="s">
        <v>20505</v>
      </c>
      <c r="Z3099" t="s">
        <v>26306</v>
      </c>
      <c r="AA3099">
        <v>0.28329813137753229</v>
      </c>
      <c r="AB3099" t="str">
        <f>HYPERLINK("Melting_Curves/meltCurve_Q13451_FKBP5.pdf", "Melting_Curves/meltCurve_Q13451_FKBP5.pdf")</f>
        <v>Melting_Curves/meltCurve_Q13451_FKBP5.pdf</v>
      </c>
    </row>
    <row r="3100" spans="1:28" x14ac:dyDescent="0.25">
      <c r="A3100" t="s">
        <v>3104</v>
      </c>
      <c r="B3100">
        <v>0.99334974765950101</v>
      </c>
      <c r="C3100">
        <v>0.98369953674233201</v>
      </c>
      <c r="D3100">
        <v>1.1930354339098399</v>
      </c>
      <c r="E3100">
        <v>0.99122181980990898</v>
      </c>
      <c r="F3100">
        <v>0.29395515218411999</v>
      </c>
      <c r="G3100">
        <v>0.186804101924398</v>
      </c>
      <c r="H3100">
        <v>0.138644124310807</v>
      </c>
      <c r="I3100">
        <v>0.11684130940661699</v>
      </c>
      <c r="J3100">
        <v>0.116996768251622</v>
      </c>
      <c r="K3100">
        <v>9.9141665602951096E-2</v>
      </c>
      <c r="L3100">
        <v>5230.3007373028804</v>
      </c>
      <c r="M3100">
        <v>100.153599260389</v>
      </c>
      <c r="N3100">
        <v>52.382595053148599</v>
      </c>
      <c r="O3100">
        <v>52.201981662530997</v>
      </c>
      <c r="P3100">
        <v>-0.41651469999941898</v>
      </c>
      <c r="Q3100">
        <v>0.131618154520528</v>
      </c>
      <c r="R3100">
        <v>0.97808885210211305</v>
      </c>
      <c r="S3100" t="s">
        <v>8961</v>
      </c>
      <c r="T3100" t="s">
        <v>11720</v>
      </c>
      <c r="U3100" t="s">
        <v>11720</v>
      </c>
      <c r="V3100" t="s">
        <v>11720</v>
      </c>
      <c r="W3100" t="s">
        <v>14773</v>
      </c>
      <c r="X3100">
        <v>39</v>
      </c>
      <c r="Y3100" t="s">
        <v>20506</v>
      </c>
      <c r="Z3100" t="s">
        <v>26307</v>
      </c>
      <c r="AA3100">
        <v>0.4859163603449605</v>
      </c>
      <c r="AB3100" t="str">
        <f>HYPERLINK("Melting_Curves/meltCurve_Q13464_ROCK1.pdf", "Melting_Curves/meltCurve_Q13464_ROCK1.pdf")</f>
        <v>Melting_Curves/meltCurve_Q13464_ROCK1.pdf</v>
      </c>
    </row>
    <row r="3101" spans="1:28" x14ac:dyDescent="0.25">
      <c r="A3101" t="s">
        <v>3105</v>
      </c>
      <c r="B3101">
        <v>0.99334974765950101</v>
      </c>
      <c r="C3101">
        <v>0.98372645675887604</v>
      </c>
      <c r="D3101">
        <v>0.87276965768747705</v>
      </c>
      <c r="E3101">
        <v>0.70466921361333401</v>
      </c>
      <c r="F3101">
        <v>0.53512105507611396</v>
      </c>
      <c r="G3101">
        <v>0.238308069984875</v>
      </c>
      <c r="H3101">
        <v>0.21724015521168599</v>
      </c>
      <c r="I3101">
        <v>0.20597421387109399</v>
      </c>
      <c r="J3101">
        <v>0.21443252485909001</v>
      </c>
      <c r="K3101">
        <v>0.21080584215013101</v>
      </c>
      <c r="L3101">
        <v>944.01135705063905</v>
      </c>
      <c r="M3101">
        <v>18.335951465552899</v>
      </c>
      <c r="N3101">
        <v>52.807425344802503</v>
      </c>
      <c r="O3101">
        <v>50.883521717182802</v>
      </c>
      <c r="P3101">
        <v>-7.3498089516682505E-2</v>
      </c>
      <c r="Q3101">
        <v>0.18418847923537901</v>
      </c>
      <c r="R3101">
        <v>0.99117874050924804</v>
      </c>
      <c r="S3101" t="s">
        <v>8962</v>
      </c>
      <c r="T3101" t="s">
        <v>11720</v>
      </c>
      <c r="U3101" t="s">
        <v>11720</v>
      </c>
      <c r="V3101" t="s">
        <v>11720</v>
      </c>
      <c r="W3101" t="s">
        <v>14774</v>
      </c>
      <c r="X3101">
        <v>7</v>
      </c>
      <c r="Y3101" t="s">
        <v>20507</v>
      </c>
      <c r="Z3101" t="s">
        <v>26308</v>
      </c>
      <c r="AA3101">
        <v>0.50971417580413991</v>
      </c>
      <c r="AB3101" t="str">
        <f>HYPERLINK("Melting_Curves/meltCurve_Q13480_2_GAB1.pdf", "Melting_Curves/meltCurve_Q13480_2_GAB1.pdf")</f>
        <v>Melting_Curves/meltCurve_Q13480_2_GAB1.pdf</v>
      </c>
    </row>
    <row r="3102" spans="1:28" x14ac:dyDescent="0.25">
      <c r="A3102" t="s">
        <v>3106</v>
      </c>
      <c r="B3102">
        <v>0.99334974765950101</v>
      </c>
      <c r="C3102">
        <v>1.06879604337576</v>
      </c>
      <c r="D3102">
        <v>1.14314340375148</v>
      </c>
      <c r="E3102">
        <v>1.0109777646057401</v>
      </c>
      <c r="F3102">
        <v>0.55537182376322103</v>
      </c>
      <c r="G3102">
        <v>0.312488989243633</v>
      </c>
      <c r="H3102">
        <v>0.218670070758885</v>
      </c>
      <c r="I3102">
        <v>0.151851494108278</v>
      </c>
      <c r="J3102">
        <v>0.10670178202215</v>
      </c>
      <c r="K3102">
        <v>0.21055521205906899</v>
      </c>
      <c r="L3102">
        <v>2539.5260961725198</v>
      </c>
      <c r="M3102">
        <v>47.996082301520097</v>
      </c>
      <c r="N3102">
        <v>53.451649530652702</v>
      </c>
      <c r="O3102">
        <v>52.819482337936201</v>
      </c>
      <c r="P3102">
        <v>-0.183494128622364</v>
      </c>
      <c r="Q3102">
        <v>0.19226249749669599</v>
      </c>
      <c r="R3102">
        <v>0.97085844662218501</v>
      </c>
      <c r="S3102" t="s">
        <v>8963</v>
      </c>
      <c r="T3102" t="s">
        <v>11720</v>
      </c>
      <c r="U3102" t="s">
        <v>11720</v>
      </c>
      <c r="V3102" t="s">
        <v>11720</v>
      </c>
      <c r="W3102" t="s">
        <v>14775</v>
      </c>
      <c r="X3102">
        <v>9</v>
      </c>
      <c r="Y3102" t="s">
        <v>20508</v>
      </c>
      <c r="Z3102" t="s">
        <v>26309</v>
      </c>
      <c r="AA3102">
        <v>0.54193526599417596</v>
      </c>
      <c r="AB3102" t="str">
        <f>HYPERLINK("Melting_Curves/meltCurve_Q13488_TCIRG1.pdf", "Melting_Curves/meltCurve_Q13488_TCIRG1.pdf")</f>
        <v>Melting_Curves/meltCurve_Q13488_TCIRG1.pdf</v>
      </c>
    </row>
    <row r="3103" spans="1:28" x14ac:dyDescent="0.25">
      <c r="A3103" t="s">
        <v>3107</v>
      </c>
      <c r="B3103">
        <v>0.99334974765950101</v>
      </c>
      <c r="C3103">
        <v>1.0468316985880299</v>
      </c>
      <c r="D3103">
        <v>0.96284306655146401</v>
      </c>
      <c r="E3103">
        <v>0.94859167987794002</v>
      </c>
      <c r="F3103">
        <v>0.80557463859439005</v>
      </c>
      <c r="G3103">
        <v>0.193110437465636</v>
      </c>
      <c r="H3103">
        <v>0.15579016363118001</v>
      </c>
      <c r="I3103">
        <v>0.139485785029975</v>
      </c>
      <c r="J3103">
        <v>0.15197359664142601</v>
      </c>
      <c r="K3103">
        <v>0.13793621285164501</v>
      </c>
      <c r="L3103">
        <v>2906.0005484456101</v>
      </c>
      <c r="M3103">
        <v>53.638599713117102</v>
      </c>
      <c r="N3103">
        <v>54.523206282643898</v>
      </c>
      <c r="O3103">
        <v>54.102264473716097</v>
      </c>
      <c r="P3103">
        <v>-0.212121501884422</v>
      </c>
      <c r="Q3103">
        <v>0.14418002902777799</v>
      </c>
      <c r="R3103">
        <v>0.99650446773035595</v>
      </c>
      <c r="S3103" t="s">
        <v>8964</v>
      </c>
      <c r="T3103" t="s">
        <v>11720</v>
      </c>
      <c r="U3103" t="s">
        <v>11720</v>
      </c>
      <c r="V3103" t="s">
        <v>11720</v>
      </c>
      <c r="W3103" t="s">
        <v>14776</v>
      </c>
      <c r="X3103">
        <v>15</v>
      </c>
      <c r="Y3103" t="s">
        <v>20509</v>
      </c>
      <c r="Z3103" t="s">
        <v>26310</v>
      </c>
      <c r="AA3103">
        <v>0.55039936810688084</v>
      </c>
      <c r="AB3103" t="str">
        <f>HYPERLINK("Melting_Curves/meltCurve_Q13492_3_PICALM.pdf", "Melting_Curves/meltCurve_Q13492_3_PICALM.pdf")</f>
        <v>Melting_Curves/meltCurve_Q13492_3_PICALM.pdf</v>
      </c>
    </row>
    <row r="3104" spans="1:28" x14ac:dyDescent="0.25">
      <c r="A3104" t="s">
        <v>3108</v>
      </c>
      <c r="B3104">
        <v>0.99334974765950101</v>
      </c>
      <c r="C3104">
        <v>0.98220530110028803</v>
      </c>
      <c r="D3104">
        <v>0.99495348618811497</v>
      </c>
      <c r="E3104">
        <v>1.0715586813959299</v>
      </c>
      <c r="F3104">
        <v>0.91843186757472295</v>
      </c>
      <c r="G3104">
        <v>0.92237512023847201</v>
      </c>
      <c r="H3104">
        <v>0.66368385435149402</v>
      </c>
      <c r="I3104">
        <v>0.52596483733138399</v>
      </c>
      <c r="J3104">
        <v>0.429349574409854</v>
      </c>
      <c r="K3104">
        <v>0.32556435258052902</v>
      </c>
      <c r="L3104">
        <v>1233.10803593112</v>
      </c>
      <c r="M3104">
        <v>19.934864070388699</v>
      </c>
      <c r="N3104">
        <v>64.471398083162697</v>
      </c>
      <c r="O3104">
        <v>61.244488691475397</v>
      </c>
      <c r="P3104">
        <v>-5.8817485791868997E-2</v>
      </c>
      <c r="Q3104">
        <v>0.27722046433775999</v>
      </c>
      <c r="R3104">
        <v>0.98151141853072399</v>
      </c>
      <c r="S3104" t="s">
        <v>8965</v>
      </c>
      <c r="T3104" t="s">
        <v>11720</v>
      </c>
      <c r="U3104" t="s">
        <v>11720</v>
      </c>
      <c r="V3104" t="s">
        <v>11720</v>
      </c>
      <c r="W3104" t="s">
        <v>14777</v>
      </c>
      <c r="X3104">
        <v>5</v>
      </c>
      <c r="Y3104" t="s">
        <v>20510</v>
      </c>
      <c r="Z3104" t="s">
        <v>26311</v>
      </c>
      <c r="AA3104">
        <v>0.80635070852202662</v>
      </c>
      <c r="AB3104" t="str">
        <f>HYPERLINK("Melting_Curves/meltCurve_Q13496_MTM1.pdf", "Melting_Curves/meltCurve_Q13496_MTM1.pdf")</f>
        <v>Melting_Curves/meltCurve_Q13496_MTM1.pdf</v>
      </c>
    </row>
    <row r="3105" spans="1:28" x14ac:dyDescent="0.25">
      <c r="A3105" t="s">
        <v>3109</v>
      </c>
      <c r="B3105">
        <v>0.99334974765950101</v>
      </c>
      <c r="C3105">
        <v>0.97598153738164495</v>
      </c>
      <c r="D3105">
        <v>0.82137800672153805</v>
      </c>
      <c r="E3105">
        <v>0.83678474709147599</v>
      </c>
      <c r="F3105">
        <v>0.69543691003559505</v>
      </c>
      <c r="G3105">
        <v>0.50985814119125505</v>
      </c>
      <c r="H3105">
        <v>0.442088995400789</v>
      </c>
      <c r="I3105">
        <v>0.447723026466954</v>
      </c>
      <c r="J3105">
        <v>0.39662700523406402</v>
      </c>
      <c r="K3105">
        <v>0.354612767356905</v>
      </c>
      <c r="L3105">
        <v>571.44464681580598</v>
      </c>
      <c r="M3105">
        <v>10.6646148476127</v>
      </c>
      <c r="N3105">
        <v>59.051709611553797</v>
      </c>
      <c r="O3105">
        <v>51.8022369001472</v>
      </c>
      <c r="P3105">
        <v>-3.5332561921299903E-2</v>
      </c>
      <c r="Q3105">
        <v>0.31376410987422898</v>
      </c>
      <c r="R3105">
        <v>0.97582253462922897</v>
      </c>
      <c r="S3105" t="s">
        <v>8966</v>
      </c>
      <c r="T3105" t="s">
        <v>11720</v>
      </c>
      <c r="U3105" t="s">
        <v>11720</v>
      </c>
      <c r="V3105" t="s">
        <v>11720</v>
      </c>
      <c r="W3105" t="s">
        <v>14778</v>
      </c>
      <c r="X3105">
        <v>7</v>
      </c>
      <c r="Y3105" t="s">
        <v>20511</v>
      </c>
      <c r="Z3105" t="s">
        <v>26312</v>
      </c>
      <c r="AA3105">
        <v>0.64525455197067538</v>
      </c>
      <c r="AB3105" t="str">
        <f>HYPERLINK("Melting_Curves/meltCurve_Q13501_SQSTM1.pdf", "Melting_Curves/meltCurve_Q13501_SQSTM1.pdf")</f>
        <v>Melting_Curves/meltCurve_Q13501_SQSTM1.pdf</v>
      </c>
    </row>
    <row r="3106" spans="1:28" x14ac:dyDescent="0.25">
      <c r="A3106" t="s">
        <v>3110</v>
      </c>
      <c r="B3106">
        <v>0.99334974765950101</v>
      </c>
      <c r="C3106">
        <v>0.937255955801786</v>
      </c>
      <c r="D3106">
        <v>0.83162062281904903</v>
      </c>
      <c r="E3106">
        <v>0.73445811449294196</v>
      </c>
      <c r="F3106">
        <v>0.56989689095927099</v>
      </c>
      <c r="G3106">
        <v>0.24516558401057501</v>
      </c>
      <c r="H3106">
        <v>0.16096771389529299</v>
      </c>
      <c r="I3106">
        <v>0.13651167120982199</v>
      </c>
      <c r="J3106">
        <v>0.13988724590041901</v>
      </c>
      <c r="K3106">
        <v>0.120170457002029</v>
      </c>
      <c r="L3106">
        <v>764.97700934432805</v>
      </c>
      <c r="M3106">
        <v>14.538491302644299</v>
      </c>
      <c r="N3106">
        <v>53.226820837503702</v>
      </c>
      <c r="O3106">
        <v>51.651916505008998</v>
      </c>
      <c r="P3106">
        <v>-6.4979550754483806E-2</v>
      </c>
      <c r="Q3106">
        <v>7.6675816136788602E-2</v>
      </c>
      <c r="R3106">
        <v>0.98787150877399599</v>
      </c>
      <c r="S3106" t="s">
        <v>8967</v>
      </c>
      <c r="T3106" t="s">
        <v>11720</v>
      </c>
      <c r="U3106" t="s">
        <v>11720</v>
      </c>
      <c r="V3106" t="s">
        <v>11720</v>
      </c>
      <c r="W3106" t="s">
        <v>14779</v>
      </c>
      <c r="X3106">
        <v>10</v>
      </c>
      <c r="Y3106" t="s">
        <v>20512</v>
      </c>
      <c r="Z3106" t="s">
        <v>26313</v>
      </c>
      <c r="AA3106">
        <v>0.48610582873461172</v>
      </c>
      <c r="AB3106" t="str">
        <f>HYPERLINK("Melting_Curves/meltCurve_Q13505_3_MTX1.pdf", "Melting_Curves/meltCurve_Q13505_3_MTX1.pdf")</f>
        <v>Melting_Curves/meltCurve_Q13505_3_MTX1.pdf</v>
      </c>
    </row>
    <row r="3107" spans="1:28" x14ac:dyDescent="0.25">
      <c r="A3107" t="s">
        <v>3111</v>
      </c>
      <c r="B3107">
        <v>0.99334974765950101</v>
      </c>
      <c r="C3107">
        <v>1.0095760682249699</v>
      </c>
      <c r="D3107">
        <v>1.08676674784591</v>
      </c>
      <c r="E3107">
        <v>0.96930369616373102</v>
      </c>
      <c r="F3107">
        <v>1.21205145825606</v>
      </c>
      <c r="G3107">
        <v>0.73953084644665301</v>
      </c>
      <c r="H3107">
        <v>0.4306862855102</v>
      </c>
      <c r="I3107">
        <v>0.14188717171760901</v>
      </c>
      <c r="J3107">
        <v>0.11466781390031699</v>
      </c>
      <c r="K3107">
        <v>7.8709803792214705E-2</v>
      </c>
      <c r="L3107">
        <v>1808.0000221663299</v>
      </c>
      <c r="M3107">
        <v>30.312606831286299</v>
      </c>
      <c r="N3107">
        <v>59.945869953040301</v>
      </c>
      <c r="O3107">
        <v>59.387370351580302</v>
      </c>
      <c r="P3107">
        <v>-0.118605790988938</v>
      </c>
      <c r="Q3107">
        <v>7.0533004842048899E-2</v>
      </c>
      <c r="R3107">
        <v>0.95950632136501901</v>
      </c>
      <c r="S3107" t="s">
        <v>8968</v>
      </c>
      <c r="T3107" t="s">
        <v>11720</v>
      </c>
      <c r="U3107" t="s">
        <v>11720</v>
      </c>
      <c r="V3107" t="s">
        <v>11720</v>
      </c>
      <c r="W3107" t="s">
        <v>14780</v>
      </c>
      <c r="X3107">
        <v>35</v>
      </c>
      <c r="Y3107" t="s">
        <v>20513</v>
      </c>
      <c r="Z3107" t="s">
        <v>26314</v>
      </c>
      <c r="AA3107">
        <v>0.68487730009980996</v>
      </c>
      <c r="AB3107" t="str">
        <f>HYPERLINK("Melting_Curves/meltCurve_Q13509_TUBB3.pdf", "Melting_Curves/meltCurve_Q13509_TUBB3.pdf")</f>
        <v>Melting_Curves/meltCurve_Q13509_TUBB3.pdf</v>
      </c>
    </row>
    <row r="3108" spans="1:28" x14ac:dyDescent="0.25">
      <c r="A3108" t="s">
        <v>3112</v>
      </c>
      <c r="B3108">
        <v>0.99334974765950101</v>
      </c>
      <c r="C3108">
        <v>0.95650340466699801</v>
      </c>
      <c r="D3108">
        <v>0.79206801633707102</v>
      </c>
      <c r="E3108">
        <v>0.49471358637898799</v>
      </c>
      <c r="F3108">
        <v>0.244761527706361</v>
      </c>
      <c r="G3108">
        <v>0.158355704451277</v>
      </c>
      <c r="H3108">
        <v>0.12910746419223801</v>
      </c>
      <c r="I3108">
        <v>0.13259990193627499</v>
      </c>
      <c r="J3108">
        <v>0.14863351019041099</v>
      </c>
      <c r="K3108">
        <v>0.13343185828979101</v>
      </c>
      <c r="L3108">
        <v>1013.41428234145</v>
      </c>
      <c r="M3108">
        <v>20.7322781244103</v>
      </c>
      <c r="N3108">
        <v>49.571831413898401</v>
      </c>
      <c r="O3108">
        <v>48.433035106144303</v>
      </c>
      <c r="P3108">
        <v>-9.3590956264585204E-2</v>
      </c>
      <c r="Q3108">
        <v>0.12546690882104899</v>
      </c>
      <c r="R3108">
        <v>0.99765569518564601</v>
      </c>
      <c r="S3108" t="s">
        <v>8969</v>
      </c>
      <c r="T3108" t="s">
        <v>11720</v>
      </c>
      <c r="U3108" t="s">
        <v>11720</v>
      </c>
      <c r="V3108" t="s">
        <v>11720</v>
      </c>
      <c r="W3108" t="s">
        <v>14781</v>
      </c>
      <c r="X3108">
        <v>8</v>
      </c>
      <c r="Y3108" t="s">
        <v>20514</v>
      </c>
      <c r="Z3108" t="s">
        <v>26315</v>
      </c>
      <c r="AA3108">
        <v>0.39575157161653762</v>
      </c>
      <c r="AB3108" t="str">
        <f>HYPERLINK("Melting_Curves/meltCurve_Q13526_PIN1.pdf", "Melting_Curves/meltCurve_Q13526_PIN1.pdf")</f>
        <v>Melting_Curves/meltCurve_Q13526_PIN1.pdf</v>
      </c>
    </row>
    <row r="3109" spans="1:28" x14ac:dyDescent="0.25">
      <c r="A3109" t="s">
        <v>3113</v>
      </c>
      <c r="B3109">
        <v>0.99334974765950101</v>
      </c>
      <c r="C3109">
        <v>0.94789076330167699</v>
      </c>
      <c r="D3109">
        <v>0.82168335897751399</v>
      </c>
      <c r="E3109">
        <v>0.75833221939487905</v>
      </c>
      <c r="F3109">
        <v>0.63294367869901402</v>
      </c>
      <c r="G3109">
        <v>0.44335300704318498</v>
      </c>
      <c r="H3109">
        <v>0.40383057432064301</v>
      </c>
      <c r="I3109">
        <v>0.38982181593305099</v>
      </c>
      <c r="J3109">
        <v>0.52378066643155496</v>
      </c>
      <c r="K3109">
        <v>0.49894866676212801</v>
      </c>
      <c r="L3109">
        <v>764.32722464590904</v>
      </c>
      <c r="M3109">
        <v>15.340475339092601</v>
      </c>
      <c r="N3109">
        <v>57.41119111519</v>
      </c>
      <c r="O3109">
        <v>49.000554854593702</v>
      </c>
      <c r="P3109">
        <v>-4.4291198992247399E-2</v>
      </c>
      <c r="Q3109">
        <v>0.43415225099813498</v>
      </c>
      <c r="R3109">
        <v>0.93832318431372497</v>
      </c>
      <c r="S3109" t="s">
        <v>8970</v>
      </c>
      <c r="T3109" t="s">
        <v>11720</v>
      </c>
      <c r="U3109" t="s">
        <v>11720</v>
      </c>
      <c r="V3109" t="s">
        <v>11720</v>
      </c>
      <c r="W3109" t="s">
        <v>14782</v>
      </c>
      <c r="X3109">
        <v>11</v>
      </c>
      <c r="Y3109" t="s">
        <v>20515</v>
      </c>
      <c r="Z3109" t="s">
        <v>26316</v>
      </c>
      <c r="AA3109">
        <v>0.63248605600944607</v>
      </c>
      <c r="AB3109" t="str">
        <f>HYPERLINK("Melting_Curves/meltCurve_Q13541_EIF4EBP1.pdf", "Melting_Curves/meltCurve_Q13541_EIF4EBP1.pdf")</f>
        <v>Melting_Curves/meltCurve_Q13541_EIF4EBP1.pdf</v>
      </c>
    </row>
    <row r="3110" spans="1:28" x14ac:dyDescent="0.25">
      <c r="A3110" t="s">
        <v>3114</v>
      </c>
      <c r="B3110">
        <v>0.99334974765950101</v>
      </c>
      <c r="C3110">
        <v>1.03827659839854</v>
      </c>
      <c r="D3110">
        <v>0.94376410863280102</v>
      </c>
      <c r="E3110">
        <v>0.88109522437492704</v>
      </c>
      <c r="F3110">
        <v>1.2123294247294101</v>
      </c>
      <c r="G3110">
        <v>0.76515174509615502</v>
      </c>
      <c r="H3110">
        <v>0.62159198419899098</v>
      </c>
      <c r="I3110">
        <v>0.69336562368962096</v>
      </c>
      <c r="J3110">
        <v>0.64633013609437395</v>
      </c>
      <c r="K3110">
        <v>0.47571484682128501</v>
      </c>
      <c r="L3110">
        <v>14226.646096901501</v>
      </c>
      <c r="M3110">
        <v>250</v>
      </c>
      <c r="O3110">
        <v>56.902942581401099</v>
      </c>
      <c r="P3110">
        <v>-0.42918404158159801</v>
      </c>
      <c r="Q3110">
        <v>0.60925064134420304</v>
      </c>
      <c r="R3110">
        <v>0.80246078737150395</v>
      </c>
      <c r="S3110" t="s">
        <v>8971</v>
      </c>
      <c r="T3110" t="s">
        <v>11720</v>
      </c>
      <c r="U3110" t="s">
        <v>11720</v>
      </c>
      <c r="V3110" t="s">
        <v>11720</v>
      </c>
      <c r="W3110" t="s">
        <v>14783</v>
      </c>
      <c r="X3110">
        <v>3</v>
      </c>
      <c r="Y3110" t="s">
        <v>20516</v>
      </c>
      <c r="Z3110" t="s">
        <v>26317</v>
      </c>
      <c r="AA3110">
        <v>0.82949756576629374</v>
      </c>
      <c r="AB3110" t="str">
        <f>HYPERLINK("Melting_Curves/meltCurve_Q13542_EIF4EBP2.pdf", "Melting_Curves/meltCurve_Q13542_EIF4EBP2.pdf")</f>
        <v>Melting_Curves/meltCurve_Q13542_EIF4EBP2.pdf</v>
      </c>
    </row>
    <row r="3111" spans="1:28" x14ac:dyDescent="0.25">
      <c r="A3111" t="s">
        <v>3115</v>
      </c>
      <c r="B3111">
        <v>0.99334974765950101</v>
      </c>
      <c r="C3111">
        <v>0.90564305994858196</v>
      </c>
      <c r="D3111">
        <v>0.64577973779751296</v>
      </c>
      <c r="E3111">
        <v>0.260954421202303</v>
      </c>
      <c r="F3111">
        <v>0.204833378890033</v>
      </c>
      <c r="G3111">
        <v>0.13815817639970801</v>
      </c>
      <c r="H3111">
        <v>0.119230009846285</v>
      </c>
      <c r="I3111">
        <v>0.115007638089417</v>
      </c>
      <c r="J3111">
        <v>0.11204950693391801</v>
      </c>
      <c r="K3111">
        <v>8.9447396596409504E-2</v>
      </c>
      <c r="L3111">
        <v>1071.5350016851</v>
      </c>
      <c r="M3111">
        <v>22.891928162685701</v>
      </c>
      <c r="N3111">
        <v>47.3419887025536</v>
      </c>
      <c r="O3111">
        <v>46.455613219234301</v>
      </c>
      <c r="P3111">
        <v>-0.10918721758403099</v>
      </c>
      <c r="Q3111">
        <v>0.113702924771532</v>
      </c>
      <c r="R3111">
        <v>0.99785927256367501</v>
      </c>
      <c r="S3111" t="s">
        <v>8972</v>
      </c>
      <c r="T3111" t="s">
        <v>11720</v>
      </c>
      <c r="U3111" t="s">
        <v>11720</v>
      </c>
      <c r="V3111" t="s">
        <v>11720</v>
      </c>
      <c r="W3111" t="s">
        <v>14784</v>
      </c>
      <c r="X3111">
        <v>20</v>
      </c>
      <c r="Y3111" t="s">
        <v>20517</v>
      </c>
      <c r="Z3111" t="s">
        <v>26318</v>
      </c>
      <c r="AA3111">
        <v>0.3245185718098974</v>
      </c>
      <c r="AB3111" t="str">
        <f>HYPERLINK("Melting_Curves/meltCurve_Q13546_RIPK1.pdf", "Melting_Curves/meltCurve_Q13546_RIPK1.pdf")</f>
        <v>Melting_Curves/meltCurve_Q13546_RIPK1.pdf</v>
      </c>
    </row>
    <row r="3112" spans="1:28" x14ac:dyDescent="0.25">
      <c r="A3112" t="s">
        <v>3116</v>
      </c>
      <c r="B3112">
        <v>0.99334974765950101</v>
      </c>
      <c r="C3112">
        <v>1.02695347269841</v>
      </c>
      <c r="D3112">
        <v>1.0771532360701599</v>
      </c>
      <c r="E3112">
        <v>1.02868293752968</v>
      </c>
      <c r="F3112">
        <v>0.308613300511133</v>
      </c>
      <c r="G3112">
        <v>0.150806291295733</v>
      </c>
      <c r="H3112">
        <v>0.100148017052569</v>
      </c>
      <c r="I3112">
        <v>8.8089856105099201E-2</v>
      </c>
      <c r="J3112">
        <v>8.30126733592913E-2</v>
      </c>
      <c r="K3112">
        <v>6.5709131615073094E-2</v>
      </c>
      <c r="L3112">
        <v>13187.112580937999</v>
      </c>
      <c r="M3112">
        <v>250</v>
      </c>
      <c r="N3112">
        <v>52.7942854197155</v>
      </c>
      <c r="O3112">
        <v>52.745074788776002</v>
      </c>
      <c r="P3112">
        <v>-1.0693496439949199</v>
      </c>
      <c r="Q3112">
        <v>9.7553170165251599E-2</v>
      </c>
      <c r="R3112">
        <v>0.99410000469523796</v>
      </c>
      <c r="S3112" t="s">
        <v>8973</v>
      </c>
      <c r="T3112" t="s">
        <v>11720</v>
      </c>
      <c r="U3112" t="s">
        <v>11720</v>
      </c>
      <c r="V3112" t="s">
        <v>11720</v>
      </c>
      <c r="W3112" t="s">
        <v>14785</v>
      </c>
      <c r="X3112">
        <v>18</v>
      </c>
      <c r="Y3112" t="s">
        <v>20518</v>
      </c>
      <c r="Z3112" t="s">
        <v>26319</v>
      </c>
      <c r="AA3112">
        <v>0.48112999811254459</v>
      </c>
      <c r="AB3112" t="str">
        <f>HYPERLINK("Melting_Curves/meltCurve_Q13564_NAE1.pdf", "Melting_Curves/meltCurve_Q13564_NAE1.pdf")</f>
        <v>Melting_Curves/meltCurve_Q13564_NAE1.pdf</v>
      </c>
    </row>
    <row r="3113" spans="1:28" x14ac:dyDescent="0.25">
      <c r="A3113" t="s">
        <v>3117</v>
      </c>
      <c r="B3113">
        <v>0.99334974765950101</v>
      </c>
      <c r="C3113">
        <v>0.930439987033439</v>
      </c>
      <c r="D3113">
        <v>0.81026100461554895</v>
      </c>
      <c r="E3113">
        <v>0.48024787320245899</v>
      </c>
      <c r="F3113">
        <v>0.20468612072167899</v>
      </c>
      <c r="G3113">
        <v>0.151379191112891</v>
      </c>
      <c r="H3113">
        <v>0.105199897228098</v>
      </c>
      <c r="I3113">
        <v>6.7977109635370001E-2</v>
      </c>
      <c r="J3113">
        <v>4.5971089436217798E-2</v>
      </c>
      <c r="K3113">
        <v>2.8609381830157099E-2</v>
      </c>
      <c r="L3113">
        <v>936.35712316479396</v>
      </c>
      <c r="M3113">
        <v>19.0017558441197</v>
      </c>
      <c r="N3113">
        <v>49.562909263869798</v>
      </c>
      <c r="O3113">
        <v>48.741385516072697</v>
      </c>
      <c r="P3113">
        <v>-9.2413304543295202E-2</v>
      </c>
      <c r="Q3113">
        <v>5.1841150518680303E-2</v>
      </c>
      <c r="R3113">
        <v>0.99599509579903001</v>
      </c>
      <c r="S3113" t="s">
        <v>8974</v>
      </c>
      <c r="T3113" t="s">
        <v>11720</v>
      </c>
      <c r="U3113" t="s">
        <v>11720</v>
      </c>
      <c r="V3113" t="s">
        <v>11720</v>
      </c>
      <c r="W3113" t="s">
        <v>14786</v>
      </c>
      <c r="X3113">
        <v>1</v>
      </c>
      <c r="Y3113" t="s">
        <v>20519</v>
      </c>
      <c r="Z3113" t="s">
        <v>26320</v>
      </c>
      <c r="AA3113">
        <v>0.35973659396487379</v>
      </c>
      <c r="AB3113" t="str">
        <f>HYPERLINK("Melting_Curves/meltCurve_Q13572_ITPK1.pdf", "Melting_Curves/meltCurve_Q13572_ITPK1.pdf")</f>
        <v>Melting_Curves/meltCurve_Q13572_ITPK1.pdf</v>
      </c>
    </row>
    <row r="3114" spans="1:28" x14ac:dyDescent="0.25">
      <c r="A3114" t="s">
        <v>3118</v>
      </c>
      <c r="B3114">
        <v>0.99334974765950101</v>
      </c>
      <c r="C3114">
        <v>1.0344242268553401</v>
      </c>
      <c r="D3114">
        <v>0.86717771040695601</v>
      </c>
      <c r="E3114">
        <v>0.81404763622535603</v>
      </c>
      <c r="F3114">
        <v>0.533274493110097</v>
      </c>
      <c r="G3114">
        <v>0.31788370976034003</v>
      </c>
      <c r="H3114">
        <v>0.24744011967235699</v>
      </c>
      <c r="I3114">
        <v>0.209086996941238</v>
      </c>
      <c r="J3114">
        <v>0.22745539444950599</v>
      </c>
      <c r="K3114">
        <v>0.23118104956070301</v>
      </c>
      <c r="L3114">
        <v>1081.7981637722901</v>
      </c>
      <c r="M3114">
        <v>20.725188528072799</v>
      </c>
      <c r="N3114">
        <v>53.609413018052599</v>
      </c>
      <c r="O3114">
        <v>51.7185939320904</v>
      </c>
      <c r="P3114">
        <v>-7.9111436255916101E-2</v>
      </c>
      <c r="Q3114">
        <v>0.21034898027048901</v>
      </c>
      <c r="R3114">
        <v>0.98873601373443898</v>
      </c>
      <c r="S3114" t="s">
        <v>8975</v>
      </c>
      <c r="T3114" t="s">
        <v>11720</v>
      </c>
      <c r="U3114" t="s">
        <v>11720</v>
      </c>
      <c r="V3114" t="s">
        <v>11720</v>
      </c>
      <c r="W3114" t="s">
        <v>14787</v>
      </c>
      <c r="X3114">
        <v>8</v>
      </c>
      <c r="Y3114" t="s">
        <v>20520</v>
      </c>
      <c r="Z3114" t="s">
        <v>26321</v>
      </c>
      <c r="AA3114">
        <v>0.54164562176374054</v>
      </c>
      <c r="AB3114" t="str">
        <f>HYPERLINK("Melting_Curves/meltCurve_Q13573_SNW1.pdf", "Melting_Curves/meltCurve_Q13573_SNW1.pdf")</f>
        <v>Melting_Curves/meltCurve_Q13573_SNW1.pdf</v>
      </c>
    </row>
    <row r="3115" spans="1:28" x14ac:dyDescent="0.25">
      <c r="A3115" t="s">
        <v>3119</v>
      </c>
      <c r="B3115">
        <v>0.99334974765950101</v>
      </c>
      <c r="C3115">
        <v>0.95936335791469596</v>
      </c>
      <c r="D3115">
        <v>0.86489870148652803</v>
      </c>
      <c r="E3115">
        <v>0.65901534160895603</v>
      </c>
      <c r="F3115">
        <v>0.26132645758850598</v>
      </c>
      <c r="G3115">
        <v>0.182089034042138</v>
      </c>
      <c r="H3115">
        <v>0.14317577886573099</v>
      </c>
      <c r="I3115">
        <v>0.13876319111772101</v>
      </c>
      <c r="J3115">
        <v>0.173212801600897</v>
      </c>
      <c r="K3115">
        <v>0.14917624864489201</v>
      </c>
      <c r="L3115">
        <v>1350.0586388849999</v>
      </c>
      <c r="M3115">
        <v>26.8528484072468</v>
      </c>
      <c r="N3115">
        <v>50.916787322448798</v>
      </c>
      <c r="O3115">
        <v>49.999841121097099</v>
      </c>
      <c r="P3115">
        <v>-0.115019258034464</v>
      </c>
      <c r="Q3115">
        <v>0.143348115004448</v>
      </c>
      <c r="R3115">
        <v>0.98949644582371599</v>
      </c>
      <c r="S3115" t="s">
        <v>8976</v>
      </c>
      <c r="T3115" t="s">
        <v>11720</v>
      </c>
      <c r="U3115" t="s">
        <v>11720</v>
      </c>
      <c r="V3115" t="s">
        <v>11720</v>
      </c>
      <c r="W3115" t="s">
        <v>14788</v>
      </c>
      <c r="X3115">
        <v>7</v>
      </c>
      <c r="Y3115" t="s">
        <v>20521</v>
      </c>
      <c r="Z3115" t="s">
        <v>26322</v>
      </c>
      <c r="AA3115">
        <v>0.44343851358581332</v>
      </c>
      <c r="AB3115" t="str">
        <f>HYPERLINK("Melting_Curves/meltCurve_Q13586_STIM1.pdf", "Melting_Curves/meltCurve_Q13586_STIM1.pdf")</f>
        <v>Melting_Curves/meltCurve_Q13586_STIM1.pdf</v>
      </c>
    </row>
    <row r="3116" spans="1:28" x14ac:dyDescent="0.25">
      <c r="A3116" t="s">
        <v>3120</v>
      </c>
      <c r="B3116">
        <v>0.99334974765950101</v>
      </c>
      <c r="C3116">
        <v>0.75601432607847996</v>
      </c>
      <c r="D3116">
        <v>0.85211991445622304</v>
      </c>
      <c r="E3116">
        <v>0.74446247388473796</v>
      </c>
      <c r="F3116">
        <v>0.43869760261759599</v>
      </c>
      <c r="G3116">
        <v>0.53343239279969301</v>
      </c>
      <c r="H3116">
        <v>0.447601208368618</v>
      </c>
      <c r="I3116">
        <v>0.34742541723581599</v>
      </c>
      <c r="J3116">
        <v>0.32396337973259698</v>
      </c>
      <c r="K3116">
        <v>0.56323140273555405</v>
      </c>
      <c r="L3116">
        <v>551.10275811713495</v>
      </c>
      <c r="M3116">
        <v>11.347142988148301</v>
      </c>
      <c r="N3116">
        <v>56.054430416445598</v>
      </c>
      <c r="O3116">
        <v>47.132477365797797</v>
      </c>
      <c r="P3116">
        <v>-3.6715773805477803E-2</v>
      </c>
      <c r="Q3116">
        <v>0.390159323136062</v>
      </c>
      <c r="R3116">
        <v>0.80591106857645001</v>
      </c>
      <c r="S3116" t="s">
        <v>8977</v>
      </c>
      <c r="T3116" t="s">
        <v>11720</v>
      </c>
      <c r="U3116" t="s">
        <v>11720</v>
      </c>
      <c r="V3116" t="s">
        <v>11720</v>
      </c>
      <c r="W3116" t="s">
        <v>14789</v>
      </c>
      <c r="X3116">
        <v>2</v>
      </c>
      <c r="Y3116" t="s">
        <v>20522</v>
      </c>
      <c r="Z3116" t="s">
        <v>26323</v>
      </c>
      <c r="AA3116">
        <v>0.58960545842170187</v>
      </c>
      <c r="AB3116" t="str">
        <f>HYPERLINK("Melting_Curves/meltCurve_Q13595_2_TRA2A.pdf", "Melting_Curves/meltCurve_Q13595_2_TRA2A.pdf")</f>
        <v>Melting_Curves/meltCurve_Q13595_2_TRA2A.pdf</v>
      </c>
    </row>
    <row r="3117" spans="1:28" x14ac:dyDescent="0.25">
      <c r="A3117" t="s">
        <v>3121</v>
      </c>
      <c r="B3117">
        <v>0.99334974765950101</v>
      </c>
      <c r="C3117">
        <v>0.98346831620150399</v>
      </c>
      <c r="D3117">
        <v>0.98020037668825899</v>
      </c>
      <c r="E3117">
        <v>0.728251538630868</v>
      </c>
      <c r="F3117">
        <v>0.20299275089633101</v>
      </c>
      <c r="G3117">
        <v>0.11343981005527699</v>
      </c>
      <c r="H3117">
        <v>7.3351232223192897E-2</v>
      </c>
      <c r="I3117">
        <v>7.3285461192941506E-2</v>
      </c>
      <c r="J3117">
        <v>7.0929257203315998E-2</v>
      </c>
      <c r="K3117">
        <v>5.48146818559275E-2</v>
      </c>
      <c r="L3117">
        <v>2335.1781160054502</v>
      </c>
      <c r="M3117">
        <v>45.839279165225399</v>
      </c>
      <c r="N3117">
        <v>51.1234597179524</v>
      </c>
      <c r="O3117">
        <v>50.846049667512901</v>
      </c>
      <c r="P3117">
        <v>-0.208524397927559</v>
      </c>
      <c r="Q3117">
        <v>7.4799436118781898E-2</v>
      </c>
      <c r="R3117">
        <v>0.99885320168288605</v>
      </c>
      <c r="S3117" t="s">
        <v>8978</v>
      </c>
      <c r="T3117" t="s">
        <v>11720</v>
      </c>
      <c r="U3117" t="s">
        <v>11720</v>
      </c>
      <c r="V3117" t="s">
        <v>11720</v>
      </c>
      <c r="W3117" t="s">
        <v>14790</v>
      </c>
      <c r="X3117">
        <v>24</v>
      </c>
      <c r="Y3117" t="s">
        <v>20523</v>
      </c>
      <c r="Z3117" t="s">
        <v>26324</v>
      </c>
      <c r="AA3117">
        <v>0.41474953147482069</v>
      </c>
      <c r="AB3117" t="str">
        <f>HYPERLINK("Melting_Curves/meltCurve_Q13596_SNX1.pdf", "Melting_Curves/meltCurve_Q13596_SNX1.pdf")</f>
        <v>Melting_Curves/meltCurve_Q13596_SNX1.pdf</v>
      </c>
    </row>
    <row r="3118" spans="1:28" x14ac:dyDescent="0.25">
      <c r="A3118" t="s">
        <v>3122</v>
      </c>
      <c r="B3118">
        <v>0.99334974765950101</v>
      </c>
      <c r="C3118">
        <v>1.0512910199804999</v>
      </c>
      <c r="D3118">
        <v>1.03863880071535</v>
      </c>
      <c r="E3118">
        <v>0.84447542277294896</v>
      </c>
      <c r="F3118">
        <v>0.60379895688803997</v>
      </c>
      <c r="G3118">
        <v>0.551619265885129</v>
      </c>
      <c r="H3118">
        <v>0.79683995934139795</v>
      </c>
      <c r="I3118">
        <v>1.2047606059900799</v>
      </c>
      <c r="J3118">
        <v>0.25092047830292102</v>
      </c>
      <c r="K3118">
        <v>0.14183976539128401</v>
      </c>
      <c r="L3118">
        <v>445.05373306112898</v>
      </c>
      <c r="M3118">
        <v>6.7012526432298998</v>
      </c>
      <c r="N3118">
        <v>66.413513493634198</v>
      </c>
      <c r="O3118">
        <v>61.248949470999797</v>
      </c>
      <c r="P3118">
        <v>-2.7411989811746602E-2</v>
      </c>
      <c r="Q3118">
        <v>0</v>
      </c>
      <c r="R3118">
        <v>0.399103456847549</v>
      </c>
      <c r="S3118" t="s">
        <v>8979</v>
      </c>
      <c r="T3118" t="s">
        <v>11720</v>
      </c>
      <c r="U3118" t="s">
        <v>11720</v>
      </c>
      <c r="V3118" t="s">
        <v>11720</v>
      </c>
      <c r="W3118" t="s">
        <v>14791</v>
      </c>
      <c r="X3118">
        <v>1</v>
      </c>
      <c r="Y3118" t="s">
        <v>20524</v>
      </c>
      <c r="Z3118" t="s">
        <v>26325</v>
      </c>
      <c r="AA3118">
        <v>0.76315673332548373</v>
      </c>
      <c r="AB3118" t="str">
        <f>HYPERLINK("Melting_Curves/meltCurve_Q13610_PWP1.pdf", "Melting_Curves/meltCurve_Q13610_PWP1.pdf")</f>
        <v>Melting_Curves/meltCurve_Q13610_PWP1.pdf</v>
      </c>
    </row>
    <row r="3119" spans="1:28" x14ac:dyDescent="0.25">
      <c r="A3119" t="s">
        <v>3123</v>
      </c>
      <c r="B3119">
        <v>0.99334974765950101</v>
      </c>
      <c r="C3119">
        <v>1.07538335025988</v>
      </c>
      <c r="D3119">
        <v>1.2458094124039101</v>
      </c>
      <c r="E3119">
        <v>1.76010741715189</v>
      </c>
      <c r="F3119">
        <v>1.9189290230637099</v>
      </c>
      <c r="G3119">
        <v>2.4233960159345198</v>
      </c>
      <c r="H3119">
        <v>1.5892562594200199</v>
      </c>
      <c r="I3119">
        <v>0.284354838194187</v>
      </c>
      <c r="J3119">
        <v>0.208433259957714</v>
      </c>
      <c r="K3119">
        <v>0.16347583744710301</v>
      </c>
      <c r="L3119">
        <v>15000</v>
      </c>
      <c r="M3119">
        <v>236.35303444744099</v>
      </c>
      <c r="N3119">
        <v>63.589369528866001</v>
      </c>
      <c r="O3119">
        <v>63.459841699388399</v>
      </c>
      <c r="P3119">
        <v>-0.75811119541568195</v>
      </c>
      <c r="Q3119">
        <v>0.18580074568847499</v>
      </c>
      <c r="R3119">
        <v>0.28781484529382101</v>
      </c>
      <c r="S3119" t="s">
        <v>8980</v>
      </c>
      <c r="T3119" t="s">
        <v>11720</v>
      </c>
      <c r="U3119" t="s">
        <v>11720</v>
      </c>
      <c r="V3119" t="s">
        <v>11720</v>
      </c>
      <c r="W3119" t="s">
        <v>14792</v>
      </c>
      <c r="X3119">
        <v>17</v>
      </c>
      <c r="Y3119" t="s">
        <v>20525</v>
      </c>
      <c r="Z3119" t="s">
        <v>26326</v>
      </c>
      <c r="AA3119">
        <v>0.82272503625313342</v>
      </c>
      <c r="AB3119" t="str">
        <f>HYPERLINK("Melting_Curves/meltCurve_Q13616_CUL1.pdf", "Melting_Curves/meltCurve_Q13616_CUL1.pdf")</f>
        <v>Melting_Curves/meltCurve_Q13616_CUL1.pdf</v>
      </c>
    </row>
    <row r="3120" spans="1:28" x14ac:dyDescent="0.25">
      <c r="A3120" t="s">
        <v>3124</v>
      </c>
      <c r="B3120">
        <v>0.99334974765950101</v>
      </c>
      <c r="C3120">
        <v>1.0491666786720599</v>
      </c>
      <c r="D3120">
        <v>1.17715037783122</v>
      </c>
      <c r="E3120">
        <v>1.44023847110119</v>
      </c>
      <c r="F3120">
        <v>1.1151153477832301</v>
      </c>
      <c r="G3120">
        <v>0.50251240115348905</v>
      </c>
      <c r="H3120">
        <v>0.25451482734519498</v>
      </c>
      <c r="I3120">
        <v>0.223916454262721</v>
      </c>
      <c r="J3120">
        <v>0.14623983947601801</v>
      </c>
      <c r="K3120">
        <v>0.106223034188465</v>
      </c>
      <c r="L3120">
        <v>8724.8843156718394</v>
      </c>
      <c r="M3120">
        <v>153.50993728044099</v>
      </c>
      <c r="N3120">
        <v>57.0048466417662</v>
      </c>
      <c r="O3120">
        <v>56.826312702886398</v>
      </c>
      <c r="P3120">
        <v>-0.55195102542054597</v>
      </c>
      <c r="Q3120">
        <v>0.182715020211945</v>
      </c>
      <c r="R3120">
        <v>0.88814763477626701</v>
      </c>
      <c r="S3120" t="s">
        <v>8981</v>
      </c>
      <c r="T3120" t="s">
        <v>11720</v>
      </c>
      <c r="U3120" t="s">
        <v>11720</v>
      </c>
      <c r="V3120" t="s">
        <v>11720</v>
      </c>
      <c r="W3120" t="s">
        <v>14793</v>
      </c>
      <c r="X3120">
        <v>22</v>
      </c>
      <c r="Y3120" t="s">
        <v>20526</v>
      </c>
      <c r="Z3120" t="s">
        <v>26327</v>
      </c>
      <c r="AA3120">
        <v>0.64159049066895724</v>
      </c>
      <c r="AB3120" t="str">
        <f>HYPERLINK("Melting_Curves/meltCurve_Q13617_CUL2.pdf", "Melting_Curves/meltCurve_Q13617_CUL2.pdf")</f>
        <v>Melting_Curves/meltCurve_Q13617_CUL2.pdf</v>
      </c>
    </row>
    <row r="3121" spans="1:28" x14ac:dyDescent="0.25">
      <c r="A3121" t="s">
        <v>3125</v>
      </c>
      <c r="B3121">
        <v>0.99334974765950101</v>
      </c>
      <c r="C3121">
        <v>1.0300187476620799</v>
      </c>
      <c r="D3121">
        <v>1.2144527883524401</v>
      </c>
      <c r="E3121">
        <v>1.4878905034207</v>
      </c>
      <c r="F3121">
        <v>1.36337753212209</v>
      </c>
      <c r="G3121">
        <v>0.39562141895902603</v>
      </c>
      <c r="H3121">
        <v>0.222656718624231</v>
      </c>
      <c r="I3121">
        <v>0.171289473217553</v>
      </c>
      <c r="J3121">
        <v>0.17382721951517499</v>
      </c>
      <c r="K3121">
        <v>0.16593967043072999</v>
      </c>
      <c r="L3121">
        <v>14190.337900751199</v>
      </c>
      <c r="M3121">
        <v>250</v>
      </c>
      <c r="N3121">
        <v>56.8653154204139</v>
      </c>
      <c r="O3121">
        <v>56.757719272988801</v>
      </c>
      <c r="P3121">
        <v>-0.89918578014341899</v>
      </c>
      <c r="Q3121">
        <v>0.183428255906531</v>
      </c>
      <c r="R3121">
        <v>0.84349177205173498</v>
      </c>
      <c r="S3121" t="s">
        <v>8982</v>
      </c>
      <c r="T3121" t="s">
        <v>11720</v>
      </c>
      <c r="U3121" t="s">
        <v>11720</v>
      </c>
      <c r="V3121" t="s">
        <v>11720</v>
      </c>
      <c r="W3121" t="s">
        <v>14794</v>
      </c>
      <c r="X3121">
        <v>19</v>
      </c>
      <c r="Y3121" t="s">
        <v>20527</v>
      </c>
      <c r="Z3121" t="s">
        <v>26328</v>
      </c>
      <c r="AA3121">
        <v>0.63973780266418145</v>
      </c>
      <c r="AB3121" t="str">
        <f>HYPERLINK("Melting_Curves/meltCurve_Q13618_2_CUL3.pdf", "Melting_Curves/meltCurve_Q13618_2_CUL3.pdf")</f>
        <v>Melting_Curves/meltCurve_Q13618_2_CUL3.pdf</v>
      </c>
    </row>
    <row r="3122" spans="1:28" x14ac:dyDescent="0.25">
      <c r="A3122" t="s">
        <v>3126</v>
      </c>
      <c r="B3122">
        <v>0.99334974765950101</v>
      </c>
      <c r="C3122">
        <v>1.0840880984294099</v>
      </c>
      <c r="D3122">
        <v>1.16432909925411</v>
      </c>
      <c r="E3122">
        <v>1.1973908132450799</v>
      </c>
      <c r="F3122">
        <v>0.53056463947028198</v>
      </c>
      <c r="G3122">
        <v>0.28999953408404699</v>
      </c>
      <c r="H3122">
        <v>0.23748522141591799</v>
      </c>
      <c r="I3122">
        <v>0.186263688971126</v>
      </c>
      <c r="J3122">
        <v>0.20983509725645799</v>
      </c>
      <c r="K3122">
        <v>0.14076108957745001</v>
      </c>
      <c r="L3122">
        <v>13229.3069816022</v>
      </c>
      <c r="M3122">
        <v>250</v>
      </c>
      <c r="N3122">
        <v>53.034893609293199</v>
      </c>
      <c r="O3122">
        <v>52.913863621650897</v>
      </c>
      <c r="P3122">
        <v>-0.92973204483018701</v>
      </c>
      <c r="Q3122">
        <v>0.212868892754461</v>
      </c>
      <c r="R3122">
        <v>0.95327310182445901</v>
      </c>
      <c r="S3122" t="s">
        <v>8983</v>
      </c>
      <c r="T3122" t="s">
        <v>11720</v>
      </c>
      <c r="U3122" t="s">
        <v>11720</v>
      </c>
      <c r="V3122" t="s">
        <v>11720</v>
      </c>
      <c r="W3122" t="s">
        <v>14795</v>
      </c>
      <c r="X3122">
        <v>8</v>
      </c>
      <c r="Y3122" t="s">
        <v>20528</v>
      </c>
      <c r="Z3122" t="s">
        <v>26329</v>
      </c>
      <c r="AA3122">
        <v>0.55186039010545573</v>
      </c>
      <c r="AB3122" t="str">
        <f>HYPERLINK("Melting_Curves/meltCurve_Q13619_CUL4A.pdf", "Melting_Curves/meltCurve_Q13619_CUL4A.pdf")</f>
        <v>Melting_Curves/meltCurve_Q13619_CUL4A.pdf</v>
      </c>
    </row>
    <row r="3123" spans="1:28" x14ac:dyDescent="0.25">
      <c r="A3123" t="s">
        <v>3127</v>
      </c>
      <c r="B3123">
        <v>0.99334974765950101</v>
      </c>
      <c r="C3123">
        <v>0.996536804745353</v>
      </c>
      <c r="D3123">
        <v>1.00475486237337</v>
      </c>
      <c r="E3123">
        <v>0.89328601785290795</v>
      </c>
      <c r="F3123">
        <v>0.85557487988181202</v>
      </c>
      <c r="G3123">
        <v>0.54863116347950602</v>
      </c>
      <c r="H3123">
        <v>0.165396012346059</v>
      </c>
      <c r="I3123">
        <v>0.10524386062815699</v>
      </c>
      <c r="J3123">
        <v>0.111103480595172</v>
      </c>
      <c r="K3123">
        <v>9.6044310306479599E-2</v>
      </c>
      <c r="L3123">
        <v>1393.63720205492</v>
      </c>
      <c r="M3123">
        <v>24.552429838632499</v>
      </c>
      <c r="N3123">
        <v>57.104367338767702</v>
      </c>
      <c r="O3123">
        <v>56.389135999116398</v>
      </c>
      <c r="P3123">
        <v>-0.10139768881854699</v>
      </c>
      <c r="Q3123">
        <v>6.8499959279846506E-2</v>
      </c>
      <c r="R3123">
        <v>0.99331018845368302</v>
      </c>
      <c r="S3123" t="s">
        <v>8984</v>
      </c>
      <c r="T3123" t="s">
        <v>11720</v>
      </c>
      <c r="U3123" t="s">
        <v>11720</v>
      </c>
      <c r="V3123" t="s">
        <v>11720</v>
      </c>
      <c r="W3123" t="s">
        <v>14796</v>
      </c>
      <c r="X3123">
        <v>17</v>
      </c>
      <c r="Y3123" t="s">
        <v>20529</v>
      </c>
      <c r="Z3123" t="s">
        <v>26330</v>
      </c>
      <c r="AA3123">
        <v>0.59763158614839751</v>
      </c>
      <c r="AB3123" t="str">
        <f>HYPERLINK("Melting_Curves/meltCurve_Q13630_TSTA3.pdf", "Melting_Curves/meltCurve_Q13630_TSTA3.pdf")</f>
        <v>Melting_Curves/meltCurve_Q13630_TSTA3.pdf</v>
      </c>
    </row>
    <row r="3124" spans="1:28" x14ac:dyDescent="0.25">
      <c r="A3124" t="s">
        <v>3128</v>
      </c>
      <c r="B3124">
        <v>0.99334974765950101</v>
      </c>
      <c r="C3124">
        <v>0.89579396987415405</v>
      </c>
      <c r="D3124">
        <v>0.76714843640543395</v>
      </c>
      <c r="E3124">
        <v>0.64502542066493895</v>
      </c>
      <c r="F3124">
        <v>0.43802457180809301</v>
      </c>
      <c r="G3124">
        <v>0.29016900954434599</v>
      </c>
      <c r="H3124">
        <v>0.24397187215077501</v>
      </c>
      <c r="I3124">
        <v>0.239131248311963</v>
      </c>
      <c r="J3124">
        <v>0.17394064156605099</v>
      </c>
      <c r="K3124">
        <v>0.11804184992956</v>
      </c>
      <c r="L3124">
        <v>573.97490648040298</v>
      </c>
      <c r="M3124">
        <v>11.2766366088574</v>
      </c>
      <c r="N3124">
        <v>52.096683984239299</v>
      </c>
      <c r="O3124">
        <v>49.377583163372599</v>
      </c>
      <c r="P3124">
        <v>-5.0592532244771601E-2</v>
      </c>
      <c r="Q3124">
        <v>0.11414344084953899</v>
      </c>
      <c r="R3124">
        <v>0.99087856279487596</v>
      </c>
      <c r="S3124" t="s">
        <v>8985</v>
      </c>
      <c r="T3124" t="s">
        <v>11720</v>
      </c>
      <c r="U3124" t="s">
        <v>11720</v>
      </c>
      <c r="V3124" t="s">
        <v>11720</v>
      </c>
      <c r="W3124" t="s">
        <v>14797</v>
      </c>
      <c r="X3124">
        <v>11</v>
      </c>
      <c r="Y3124" t="s">
        <v>20530</v>
      </c>
      <c r="Z3124" t="s">
        <v>26331</v>
      </c>
      <c r="AA3124">
        <v>0.46772487037814048</v>
      </c>
      <c r="AB3124" t="str">
        <f>HYPERLINK("Melting_Curves/meltCurve_Q13636_RAB31.pdf", "Melting_Curves/meltCurve_Q13636_RAB31.pdf")</f>
        <v>Melting_Curves/meltCurve_Q13636_RAB31.pdf</v>
      </c>
    </row>
    <row r="3125" spans="1:28" x14ac:dyDescent="0.25">
      <c r="A3125" t="s">
        <v>3129</v>
      </c>
      <c r="B3125">
        <v>0.99334974765950101</v>
      </c>
      <c r="C3125">
        <v>0.93101478330533805</v>
      </c>
      <c r="D3125">
        <v>0.82382939395771904</v>
      </c>
      <c r="E3125">
        <v>0.65774827741903796</v>
      </c>
      <c r="F3125">
        <v>0.65464436768310896</v>
      </c>
      <c r="G3125">
        <v>0.38569804960923698</v>
      </c>
      <c r="H3125">
        <v>0.30260104309702102</v>
      </c>
      <c r="I3125">
        <v>0.24219741069868</v>
      </c>
      <c r="J3125">
        <v>0.11455483195808</v>
      </c>
      <c r="K3125">
        <v>8.0393746828177404E-2</v>
      </c>
      <c r="L3125">
        <v>508.32725626168701</v>
      </c>
      <c r="M3125">
        <v>9.2775302745786892</v>
      </c>
      <c r="N3125">
        <v>54.791225776289103</v>
      </c>
      <c r="O3125">
        <v>52.426095315194502</v>
      </c>
      <c r="P3125">
        <v>-4.4269628768642703E-2</v>
      </c>
      <c r="Q3125">
        <v>0</v>
      </c>
      <c r="R3125">
        <v>0.98488321756755204</v>
      </c>
      <c r="S3125" t="s">
        <v>8986</v>
      </c>
      <c r="T3125" t="s">
        <v>11720</v>
      </c>
      <c r="U3125" t="s">
        <v>11720</v>
      </c>
      <c r="V3125" t="s">
        <v>11720</v>
      </c>
      <c r="W3125" t="s">
        <v>14798</v>
      </c>
      <c r="X3125">
        <v>12</v>
      </c>
      <c r="Y3125" t="s">
        <v>20531</v>
      </c>
      <c r="Z3125" t="s">
        <v>26332</v>
      </c>
      <c r="AA3125">
        <v>0.52067031314011591</v>
      </c>
      <c r="AB3125" t="str">
        <f>HYPERLINK("Melting_Curves/meltCurve_Q13637_RAB32.pdf", "Melting_Curves/meltCurve_Q13637_RAB32.pdf")</f>
        <v>Melting_Curves/meltCurve_Q13637_RAB32.pdf</v>
      </c>
    </row>
    <row r="3126" spans="1:28" x14ac:dyDescent="0.25">
      <c r="A3126" t="s">
        <v>3130</v>
      </c>
      <c r="B3126">
        <v>0.99334974765950101</v>
      </c>
      <c r="C3126">
        <v>0.90198982399747596</v>
      </c>
      <c r="D3126">
        <v>0.95403040787036097</v>
      </c>
      <c r="E3126">
        <v>0.81604227566902399</v>
      </c>
      <c r="F3126">
        <v>0.67118679220978095</v>
      </c>
      <c r="G3126">
        <v>0.41803661104157602</v>
      </c>
      <c r="H3126">
        <v>0.35332843530450098</v>
      </c>
      <c r="I3126">
        <v>0.46790179768343099</v>
      </c>
      <c r="J3126">
        <v>0.55819512778685698</v>
      </c>
      <c r="K3126">
        <v>0.58526432660133698</v>
      </c>
      <c r="L3126">
        <v>1498.5097567509999</v>
      </c>
      <c r="M3126">
        <v>29.2252293248984</v>
      </c>
      <c r="N3126">
        <v>57.282280520313599</v>
      </c>
      <c r="O3126">
        <v>51.036253275295103</v>
      </c>
      <c r="P3126">
        <v>-7.4919129547965604E-2</v>
      </c>
      <c r="Q3126">
        <v>0.47667626830169602</v>
      </c>
      <c r="R3126">
        <v>0.88690203176254501</v>
      </c>
      <c r="S3126" t="s">
        <v>8987</v>
      </c>
      <c r="T3126" t="s">
        <v>11720</v>
      </c>
      <c r="U3126" t="s">
        <v>11720</v>
      </c>
      <c r="V3126" t="s">
        <v>11720</v>
      </c>
      <c r="W3126" t="s">
        <v>14799</v>
      </c>
      <c r="X3126">
        <v>12</v>
      </c>
      <c r="Y3126" t="s">
        <v>20532</v>
      </c>
      <c r="Z3126" t="s">
        <v>26333</v>
      </c>
      <c r="AA3126">
        <v>0.67683281553638597</v>
      </c>
      <c r="AB3126" t="str">
        <f>HYPERLINK("Melting_Curves/meltCurve_Q13641_TPBG.pdf", "Melting_Curves/meltCurve_Q13641_TPBG.pdf")</f>
        <v>Melting_Curves/meltCurve_Q13641_TPBG.pdf</v>
      </c>
    </row>
    <row r="3127" spans="1:28" x14ac:dyDescent="0.25">
      <c r="A3127" t="s">
        <v>3131</v>
      </c>
      <c r="B3127">
        <v>0.99334974765950101</v>
      </c>
      <c r="C3127">
        <v>1.0083423251846699</v>
      </c>
      <c r="D3127">
        <v>0.86258945509317297</v>
      </c>
      <c r="E3127">
        <v>0.83744600913867195</v>
      </c>
      <c r="F3127">
        <v>0.88096997576674596</v>
      </c>
      <c r="G3127">
        <v>0.73761563853118906</v>
      </c>
      <c r="H3127">
        <v>0.67209977512149199</v>
      </c>
      <c r="I3127">
        <v>0.63752847092242304</v>
      </c>
      <c r="J3127">
        <v>0.57658746914696701</v>
      </c>
      <c r="K3127">
        <v>0.28565218912567197</v>
      </c>
      <c r="L3127">
        <v>439.10231517272501</v>
      </c>
      <c r="M3127">
        <v>6.5759542464262104</v>
      </c>
      <c r="N3127">
        <v>66.773930993502901</v>
      </c>
      <c r="O3127">
        <v>61.407280054219001</v>
      </c>
      <c r="P3127">
        <v>-2.68342229520772E-2</v>
      </c>
      <c r="Q3127">
        <v>0</v>
      </c>
      <c r="R3127">
        <v>0.89363756810070105</v>
      </c>
      <c r="S3127" t="s">
        <v>8988</v>
      </c>
      <c r="T3127" t="s">
        <v>11720</v>
      </c>
      <c r="U3127" t="s">
        <v>11720</v>
      </c>
      <c r="V3127" t="s">
        <v>11720</v>
      </c>
      <c r="W3127" t="s">
        <v>14800</v>
      </c>
      <c r="X3127">
        <v>40</v>
      </c>
      <c r="Y3127" t="s">
        <v>20533</v>
      </c>
      <c r="Z3127" t="s">
        <v>26334</v>
      </c>
      <c r="AA3127">
        <v>0.76679147512936707</v>
      </c>
      <c r="AB3127" t="str">
        <f>HYPERLINK("Melting_Curves/meltCurve_Q13642_5_FHL1.pdf", "Melting_Curves/meltCurve_Q13642_5_FHL1.pdf")</f>
        <v>Melting_Curves/meltCurve_Q13642_5_FHL1.pdf</v>
      </c>
    </row>
    <row r="3128" spans="1:28" x14ac:dyDescent="0.25">
      <c r="A3128" t="s">
        <v>3132</v>
      </c>
      <c r="B3128">
        <v>0.99334974765950101</v>
      </c>
      <c r="C3128">
        <v>0.99682668902524896</v>
      </c>
      <c r="D3128">
        <v>0.90612816226084303</v>
      </c>
      <c r="E3128">
        <v>0.887313284256941</v>
      </c>
      <c r="F3128">
        <v>0.93714866124986596</v>
      </c>
      <c r="G3128">
        <v>0.89263143575065695</v>
      </c>
      <c r="H3128">
        <v>0.69647367862603904</v>
      </c>
      <c r="I3128">
        <v>0.74161931898707301</v>
      </c>
      <c r="J3128">
        <v>0.70726330149661798</v>
      </c>
      <c r="K3128">
        <v>0.61999080384146599</v>
      </c>
      <c r="L3128">
        <v>338.89151549328699</v>
      </c>
      <c r="M3128">
        <v>4.3043271859298597</v>
      </c>
      <c r="O3128">
        <v>66.086881939001699</v>
      </c>
      <c r="P3128">
        <v>-1.64477940525827E-2</v>
      </c>
      <c r="Q3128">
        <v>0</v>
      </c>
      <c r="R3128">
        <v>0.89515391545334</v>
      </c>
      <c r="S3128" t="s">
        <v>8989</v>
      </c>
      <c r="T3128" t="s">
        <v>11720</v>
      </c>
      <c r="U3128" t="s">
        <v>11720</v>
      </c>
      <c r="V3128" t="s">
        <v>11720</v>
      </c>
      <c r="W3128" t="s">
        <v>14801</v>
      </c>
      <c r="X3128">
        <v>15</v>
      </c>
      <c r="Y3128" t="s">
        <v>20534</v>
      </c>
      <c r="Z3128" t="s">
        <v>26335</v>
      </c>
      <c r="AA3128">
        <v>0.84473349077189908</v>
      </c>
      <c r="AB3128" t="str">
        <f>HYPERLINK("Melting_Curves/meltCurve_Q13643_FHL3.pdf", "Melting_Curves/meltCurve_Q13643_FHL3.pdf")</f>
        <v>Melting_Curves/meltCurve_Q13643_FHL3.pdf</v>
      </c>
    </row>
    <row r="3129" spans="1:28" x14ac:dyDescent="0.25">
      <c r="A3129" t="s">
        <v>3133</v>
      </c>
      <c r="B3129">
        <v>0.99334974765950101</v>
      </c>
      <c r="C3129">
        <v>0.66586098265942495</v>
      </c>
      <c r="D3129">
        <v>0.30374299914223601</v>
      </c>
      <c r="E3129">
        <v>0.17046146471490001</v>
      </c>
      <c r="F3129">
        <v>0.21151596690125399</v>
      </c>
      <c r="G3129">
        <v>8.7288554253073206E-2</v>
      </c>
      <c r="H3129">
        <v>7.5651589828252097E-2</v>
      </c>
      <c r="I3129">
        <v>5.9134096956397902E-2</v>
      </c>
      <c r="J3129">
        <v>5.27471661538126E-2</v>
      </c>
      <c r="K3129">
        <v>4.1467535021118399E-2</v>
      </c>
      <c r="L3129">
        <v>1094.63111827225</v>
      </c>
      <c r="M3129">
        <v>24.8717208358653</v>
      </c>
      <c r="N3129">
        <v>44.357787252015001</v>
      </c>
      <c r="O3129">
        <v>43.729511658028201</v>
      </c>
      <c r="P3129">
        <v>-0.12963128593013401</v>
      </c>
      <c r="Q3129">
        <v>8.8340377845884901E-2</v>
      </c>
      <c r="R3129">
        <v>0.97499882351932698</v>
      </c>
      <c r="S3129" t="s">
        <v>8990</v>
      </c>
      <c r="T3129" t="s">
        <v>11720</v>
      </c>
      <c r="U3129" t="s">
        <v>11720</v>
      </c>
      <c r="V3129" t="s">
        <v>11720</v>
      </c>
      <c r="W3129" t="s">
        <v>14802</v>
      </c>
      <c r="X3129">
        <v>9</v>
      </c>
      <c r="Y3129" t="s">
        <v>20535</v>
      </c>
      <c r="Z3129" t="s">
        <v>26336</v>
      </c>
      <c r="AA3129">
        <v>0.2207835925450212</v>
      </c>
      <c r="AB3129" t="str">
        <f>HYPERLINK("Melting_Curves/meltCurve_Q13671_RIN1.pdf", "Melting_Curves/meltCurve_Q13671_RIN1.pdf")</f>
        <v>Melting_Curves/meltCurve_Q13671_RIN1.pdf</v>
      </c>
    </row>
    <row r="3130" spans="1:28" x14ac:dyDescent="0.25">
      <c r="A3130" t="s">
        <v>3134</v>
      </c>
      <c r="B3130">
        <v>0.99334974765950101</v>
      </c>
      <c r="C3130">
        <v>0.97550717483121097</v>
      </c>
      <c r="D3130">
        <v>1.0119585136028399</v>
      </c>
      <c r="E3130">
        <v>1.10980355477255</v>
      </c>
      <c r="F3130">
        <v>0.96812124944294098</v>
      </c>
      <c r="G3130">
        <v>0.63316155400652896</v>
      </c>
      <c r="H3130">
        <v>0.48362586927363299</v>
      </c>
      <c r="I3130">
        <v>0.50321172912714995</v>
      </c>
      <c r="J3130">
        <v>0.49249279714763</v>
      </c>
      <c r="K3130">
        <v>0.363752331832839</v>
      </c>
      <c r="L3130">
        <v>2679.00839319944</v>
      </c>
      <c r="M3130">
        <v>47.706768684906002</v>
      </c>
      <c r="N3130">
        <v>59.192033841225403</v>
      </c>
      <c r="O3130">
        <v>56.057302494689701</v>
      </c>
      <c r="P3130">
        <v>-0.11558554547727901</v>
      </c>
      <c r="Q3130">
        <v>0.45673037455094201</v>
      </c>
      <c r="R3130">
        <v>0.96462856349252901</v>
      </c>
      <c r="S3130" t="s">
        <v>8991</v>
      </c>
      <c r="T3130" t="s">
        <v>11720</v>
      </c>
      <c r="U3130" t="s">
        <v>11720</v>
      </c>
      <c r="V3130" t="s">
        <v>11720</v>
      </c>
      <c r="W3130" t="s">
        <v>14803</v>
      </c>
      <c r="X3130">
        <v>23</v>
      </c>
      <c r="Y3130" t="s">
        <v>20536</v>
      </c>
      <c r="Z3130" t="s">
        <v>26337</v>
      </c>
      <c r="AA3130">
        <v>0.75077049531584694</v>
      </c>
      <c r="AB3130" t="str">
        <f>HYPERLINK("Melting_Curves/meltCurve_Q13683_3_ITGA7.pdf", "Melting_Curves/meltCurve_Q13683_3_ITGA7.pdf")</f>
        <v>Melting_Curves/meltCurve_Q13683_3_ITGA7.pdf</v>
      </c>
    </row>
    <row r="3131" spans="1:28" x14ac:dyDescent="0.25">
      <c r="A3131" t="s">
        <v>3135</v>
      </c>
      <c r="B3131">
        <v>0.99334974765950101</v>
      </c>
      <c r="C3131">
        <v>1.0505342292547899</v>
      </c>
      <c r="D3131">
        <v>1.1256131613178599</v>
      </c>
      <c r="E3131">
        <v>0.91476955784686997</v>
      </c>
      <c r="F3131">
        <v>0.29293376022474299</v>
      </c>
      <c r="G3131">
        <v>0.22795440573195699</v>
      </c>
      <c r="H3131">
        <v>0.13754270685953701</v>
      </c>
      <c r="I3131">
        <v>0.112372632842531</v>
      </c>
      <c r="J3131">
        <v>9.1003965276527501E-2</v>
      </c>
      <c r="K3131">
        <v>6.1721335993770103E-2</v>
      </c>
      <c r="L3131">
        <v>3170.9679404375001</v>
      </c>
      <c r="M3131">
        <v>61.232900018104097</v>
      </c>
      <c r="N3131">
        <v>52.0291967108544</v>
      </c>
      <c r="O3131">
        <v>51.730233814117597</v>
      </c>
      <c r="P3131">
        <v>-0.25901134782122598</v>
      </c>
      <c r="Q3131">
        <v>0.124737995543691</v>
      </c>
      <c r="R3131">
        <v>0.98183404101936</v>
      </c>
      <c r="S3131" t="s">
        <v>8992</v>
      </c>
      <c r="T3131" t="s">
        <v>11720</v>
      </c>
      <c r="U3131" t="s">
        <v>11720</v>
      </c>
      <c r="V3131" t="s">
        <v>11720</v>
      </c>
      <c r="W3131" t="s">
        <v>14804</v>
      </c>
      <c r="X3131">
        <v>17</v>
      </c>
      <c r="Y3131" t="s">
        <v>20537</v>
      </c>
      <c r="Z3131" t="s">
        <v>26338</v>
      </c>
      <c r="AA3131">
        <v>0.46991125277291951</v>
      </c>
      <c r="AB3131" t="str">
        <f>HYPERLINK("Melting_Curves/meltCurve_Q13724_MOGS.pdf", "Melting_Curves/meltCurve_Q13724_MOGS.pdf")</f>
        <v>Melting_Curves/meltCurve_Q13724_MOGS.pdf</v>
      </c>
    </row>
    <row r="3132" spans="1:28" x14ac:dyDescent="0.25">
      <c r="A3132" t="s">
        <v>3136</v>
      </c>
      <c r="B3132">
        <v>0.99334974765950101</v>
      </c>
      <c r="C3132">
        <v>0.95878130943817197</v>
      </c>
      <c r="D3132">
        <v>1.0128921754406399</v>
      </c>
      <c r="E3132">
        <v>0.93770210594495695</v>
      </c>
      <c r="F3132">
        <v>0.99979389647208705</v>
      </c>
      <c r="G3132">
        <v>0.80939625012732297</v>
      </c>
      <c r="H3132">
        <v>0.79985393451387499</v>
      </c>
      <c r="I3132">
        <v>0.85050555470696299</v>
      </c>
      <c r="J3132">
        <v>0.87476138076126397</v>
      </c>
      <c r="K3132">
        <v>0.62745823710914195</v>
      </c>
      <c r="L3132">
        <v>382.79556570951002</v>
      </c>
      <c r="M3132">
        <v>4.5609821203871102</v>
      </c>
      <c r="Q3132">
        <v>0</v>
      </c>
      <c r="R3132">
        <v>0.70080022677138398</v>
      </c>
      <c r="S3132" t="s">
        <v>8993</v>
      </c>
      <c r="T3132" t="s">
        <v>11720</v>
      </c>
      <c r="U3132" t="s">
        <v>11720</v>
      </c>
      <c r="V3132" t="s">
        <v>11720</v>
      </c>
      <c r="W3132" t="s">
        <v>14805</v>
      </c>
      <c r="X3132">
        <v>35</v>
      </c>
      <c r="Y3132" t="s">
        <v>20538</v>
      </c>
      <c r="Z3132" t="s">
        <v>26339</v>
      </c>
      <c r="AA3132">
        <v>0.89406515538108744</v>
      </c>
      <c r="AB3132" t="str">
        <f>HYPERLINK("Melting_Curves/meltCurve_Q13740_2_ALCAM.pdf", "Melting_Curves/meltCurve_Q13740_2_ALCAM.pdf")</f>
        <v>Melting_Curves/meltCurve_Q13740_2_ALCAM.pdf</v>
      </c>
    </row>
    <row r="3133" spans="1:28" x14ac:dyDescent="0.25">
      <c r="A3133" t="s">
        <v>3137</v>
      </c>
      <c r="B3133">
        <v>0.99334974765950101</v>
      </c>
      <c r="C3133">
        <v>0.96570976045794499</v>
      </c>
      <c r="D3133">
        <v>0.78119403253360098</v>
      </c>
      <c r="E3133">
        <v>0.55185376900314298</v>
      </c>
      <c r="F3133">
        <v>0.32275243391377301</v>
      </c>
      <c r="G3133">
        <v>0.122940368421263</v>
      </c>
      <c r="H3133">
        <v>7.5100073137762902E-2</v>
      </c>
      <c r="I3133">
        <v>6.6446504299953496E-2</v>
      </c>
      <c r="J3133">
        <v>7.5199328591433995E-2</v>
      </c>
      <c r="K3133">
        <v>6.9165366238936501E-2</v>
      </c>
      <c r="L3133">
        <v>840.48941663250798</v>
      </c>
      <c r="M3133">
        <v>16.799277130383299</v>
      </c>
      <c r="N3133">
        <v>50.3183454278266</v>
      </c>
      <c r="O3133">
        <v>49.338471938729498</v>
      </c>
      <c r="P3133">
        <v>-8.12382379933341E-2</v>
      </c>
      <c r="Q3133">
        <v>4.5694419663146198E-2</v>
      </c>
      <c r="R3133">
        <v>0.99657263135271601</v>
      </c>
      <c r="S3133" t="s">
        <v>8994</v>
      </c>
      <c r="T3133" t="s">
        <v>11720</v>
      </c>
      <c r="U3133" t="s">
        <v>11720</v>
      </c>
      <c r="V3133" t="s">
        <v>11720</v>
      </c>
      <c r="W3133" t="s">
        <v>14806</v>
      </c>
      <c r="X3133">
        <v>5</v>
      </c>
      <c r="Y3133" t="s">
        <v>20539</v>
      </c>
      <c r="Z3133" t="s">
        <v>26340</v>
      </c>
      <c r="AA3133">
        <v>0.38330707034760991</v>
      </c>
      <c r="AB3133" t="str">
        <f>HYPERLINK("Melting_Curves/meltCurve_Q13795_ARFRP1.pdf", "Melting_Curves/meltCurve_Q13795_ARFRP1.pdf")</f>
        <v>Melting_Curves/meltCurve_Q13795_ARFRP1.pdf</v>
      </c>
    </row>
    <row r="3134" spans="1:28" x14ac:dyDescent="0.25">
      <c r="A3134" t="s">
        <v>3138</v>
      </c>
      <c r="B3134">
        <v>0.99334974765950101</v>
      </c>
      <c r="C3134">
        <v>1.0667116730844</v>
      </c>
      <c r="D3134">
        <v>1.0083050803058899</v>
      </c>
      <c r="E3134">
        <v>1.3155045305334001</v>
      </c>
      <c r="F3134">
        <v>1.5614316397061301</v>
      </c>
      <c r="G3134">
        <v>1.2437726220205401</v>
      </c>
      <c r="H3134">
        <v>0.98114083108666805</v>
      </c>
      <c r="I3134">
        <v>0.79466613507121597</v>
      </c>
      <c r="J3134">
        <v>0.61783956818268604</v>
      </c>
      <c r="K3134">
        <v>0.51273497584399996</v>
      </c>
      <c r="L3134">
        <v>2920.1788167521299</v>
      </c>
      <c r="M3134">
        <v>45.160282870599801</v>
      </c>
      <c r="O3134">
        <v>64.536137600449393</v>
      </c>
      <c r="P3134">
        <v>-8.5462808625190706E-2</v>
      </c>
      <c r="Q3134">
        <v>0.51147938696430195</v>
      </c>
      <c r="R3134">
        <v>0.46842558258747102</v>
      </c>
      <c r="S3134" t="s">
        <v>8995</v>
      </c>
      <c r="T3134" t="s">
        <v>11720</v>
      </c>
      <c r="U3134" t="s">
        <v>11720</v>
      </c>
      <c r="V3134" t="s">
        <v>11720</v>
      </c>
      <c r="W3134" t="s">
        <v>14807</v>
      </c>
      <c r="X3134">
        <v>73</v>
      </c>
      <c r="Y3134" t="s">
        <v>20540</v>
      </c>
      <c r="Z3134" t="s">
        <v>26341</v>
      </c>
      <c r="AA3134">
        <v>0.91389068578109578</v>
      </c>
      <c r="AB3134" t="str">
        <f>HYPERLINK("Melting_Curves/meltCurve_Q13813_SPTAN1.pdf", "Melting_Curves/meltCurve_Q13813_SPTAN1.pdf")</f>
        <v>Melting_Curves/meltCurve_Q13813_SPTAN1.pdf</v>
      </c>
    </row>
    <row r="3135" spans="1:28" x14ac:dyDescent="0.25">
      <c r="A3135" t="s">
        <v>3139</v>
      </c>
      <c r="B3135">
        <v>0.99334974765950101</v>
      </c>
      <c r="C3135">
        <v>1.0379393751533601</v>
      </c>
      <c r="D3135">
        <v>1.1202860501457801</v>
      </c>
      <c r="E3135">
        <v>1.17490715813016</v>
      </c>
      <c r="F3135">
        <v>1.5258282019131</v>
      </c>
      <c r="G3135">
        <v>1.11964709367781</v>
      </c>
      <c r="H3135">
        <v>0.52188373431723201</v>
      </c>
      <c r="I3135">
        <v>0.29390424894578798</v>
      </c>
      <c r="J3135">
        <v>0.17497249886076699</v>
      </c>
      <c r="K3135">
        <v>0.16268366501818099</v>
      </c>
      <c r="L3135">
        <v>4491.4163548810302</v>
      </c>
      <c r="M3135">
        <v>73.977063444467902</v>
      </c>
      <c r="N3135">
        <v>61.141792016750898</v>
      </c>
      <c r="O3135">
        <v>60.669312950282901</v>
      </c>
      <c r="P3135">
        <v>-0.24321249826938701</v>
      </c>
      <c r="Q3135">
        <v>0.20215636952145999</v>
      </c>
      <c r="R3135">
        <v>0.83439921554828</v>
      </c>
      <c r="S3135" t="s">
        <v>8996</v>
      </c>
      <c r="T3135" t="s">
        <v>11720</v>
      </c>
      <c r="U3135" t="s">
        <v>11720</v>
      </c>
      <c r="V3135" t="s">
        <v>11720</v>
      </c>
      <c r="W3135" t="s">
        <v>14808</v>
      </c>
      <c r="X3135">
        <v>3</v>
      </c>
      <c r="Y3135" t="s">
        <v>20541</v>
      </c>
      <c r="Z3135" t="s">
        <v>26342</v>
      </c>
      <c r="AA3135">
        <v>0.75400255438841357</v>
      </c>
      <c r="AB3135" t="str">
        <f>HYPERLINK("Melting_Curves/meltCurve_Q13868_EXOSC2.pdf", "Melting_Curves/meltCurve_Q13868_EXOSC2.pdf")</f>
        <v>Melting_Curves/meltCurve_Q13868_EXOSC2.pdf</v>
      </c>
    </row>
    <row r="3136" spans="1:28" x14ac:dyDescent="0.25">
      <c r="A3136" t="s">
        <v>3140</v>
      </c>
      <c r="B3136">
        <v>0.99334974765950101</v>
      </c>
      <c r="C3136">
        <v>0.91148675800746903</v>
      </c>
      <c r="D3136">
        <v>0.73417520799400005</v>
      </c>
      <c r="E3136">
        <v>0.494869910077394</v>
      </c>
      <c r="F3136">
        <v>0.56275043255658896</v>
      </c>
      <c r="G3136">
        <v>0.29520271712074297</v>
      </c>
      <c r="H3136">
        <v>0.28218768546948603</v>
      </c>
      <c r="I3136">
        <v>0.24379834761598199</v>
      </c>
      <c r="J3136">
        <v>0.25111313785791201</v>
      </c>
      <c r="K3136">
        <v>0.23157734110998501</v>
      </c>
      <c r="L3136">
        <v>592.40138983266604</v>
      </c>
      <c r="M3136">
        <v>12.0414012161028</v>
      </c>
      <c r="N3136">
        <v>51.548676531974799</v>
      </c>
      <c r="O3136">
        <v>47.899119298975002</v>
      </c>
      <c r="P3136">
        <v>-4.95779279544157E-2</v>
      </c>
      <c r="Q3136">
        <v>0.21132957268972799</v>
      </c>
      <c r="R3136">
        <v>0.96802855317247505</v>
      </c>
      <c r="S3136" t="s">
        <v>8997</v>
      </c>
      <c r="T3136" t="s">
        <v>11720</v>
      </c>
      <c r="U3136" t="s">
        <v>11720</v>
      </c>
      <c r="V3136" t="s">
        <v>11720</v>
      </c>
      <c r="W3136" t="s">
        <v>14809</v>
      </c>
      <c r="X3136">
        <v>2</v>
      </c>
      <c r="Y3136" t="s">
        <v>20542</v>
      </c>
      <c r="Z3136" t="s">
        <v>26343</v>
      </c>
      <c r="AA3136">
        <v>0.48157965467161412</v>
      </c>
      <c r="AB3136" t="str">
        <f>HYPERLINK("Melting_Curves/meltCurve_Q13873_BMPR2.pdf", "Melting_Curves/meltCurve_Q13873_BMPR2.pdf")</f>
        <v>Melting_Curves/meltCurve_Q13873_BMPR2.pdf</v>
      </c>
    </row>
    <row r="3137" spans="1:28" x14ac:dyDescent="0.25">
      <c r="A3137" t="s">
        <v>3141</v>
      </c>
      <c r="B3137">
        <v>0.99334974765950101</v>
      </c>
      <c r="C3137">
        <v>0.94170915415254397</v>
      </c>
      <c r="D3137">
        <v>0.93021146807639898</v>
      </c>
      <c r="E3137">
        <v>0.37560641595519201</v>
      </c>
      <c r="F3137">
        <v>0.231992425780883</v>
      </c>
      <c r="G3137">
        <v>0.19853254360705899</v>
      </c>
      <c r="H3137">
        <v>0.18826156878486799</v>
      </c>
      <c r="I3137">
        <v>0.137532600334734</v>
      </c>
      <c r="J3137">
        <v>0.11978179809226699</v>
      </c>
      <c r="K3137">
        <v>0.11932674174541</v>
      </c>
      <c r="L3137">
        <v>1749.7579026478199</v>
      </c>
      <c r="M3137">
        <v>35.933553038736797</v>
      </c>
      <c r="N3137">
        <v>49.205263297386203</v>
      </c>
      <c r="O3137">
        <v>48.544190660586501</v>
      </c>
      <c r="P3137">
        <v>-0.15623823381273999</v>
      </c>
      <c r="Q3137">
        <v>0.15572673829750699</v>
      </c>
      <c r="R3137">
        <v>0.992036114544532</v>
      </c>
      <c r="S3137" t="s">
        <v>8998</v>
      </c>
      <c r="T3137" t="s">
        <v>11720</v>
      </c>
      <c r="U3137" t="s">
        <v>11720</v>
      </c>
      <c r="V3137" t="s">
        <v>11720</v>
      </c>
      <c r="W3137" t="s">
        <v>14810</v>
      </c>
      <c r="X3137">
        <v>9</v>
      </c>
      <c r="Y3137" t="s">
        <v>20543</v>
      </c>
      <c r="Z3137" t="s">
        <v>26344</v>
      </c>
      <c r="AA3137">
        <v>0.40394285797684748</v>
      </c>
      <c r="AB3137" t="str">
        <f>HYPERLINK("Melting_Curves/meltCurve_Q13884_SNTB1.pdf", "Melting_Curves/meltCurve_Q13884_SNTB1.pdf")</f>
        <v>Melting_Curves/meltCurve_Q13884_SNTB1.pdf</v>
      </c>
    </row>
    <row r="3138" spans="1:28" x14ac:dyDescent="0.25">
      <c r="A3138" t="s">
        <v>3142</v>
      </c>
      <c r="B3138">
        <v>0.99334974765950101</v>
      </c>
      <c r="C3138">
        <v>0.95260875431703196</v>
      </c>
      <c r="D3138">
        <v>0.99415492150624696</v>
      </c>
      <c r="E3138">
        <v>1.0168725221064301</v>
      </c>
      <c r="F3138">
        <v>0.72507984288463001</v>
      </c>
      <c r="G3138">
        <v>0.74303934179463604</v>
      </c>
      <c r="H3138">
        <v>0.301714468331236</v>
      </c>
      <c r="I3138">
        <v>8.64783367966898E-2</v>
      </c>
      <c r="J3138">
        <v>6.8702269458381801E-2</v>
      </c>
      <c r="K3138">
        <v>5.4462862777436297E-2</v>
      </c>
      <c r="L3138">
        <v>1175.2629629944099</v>
      </c>
      <c r="M3138">
        <v>20.06557501763</v>
      </c>
      <c r="N3138">
        <v>58.571109520365297</v>
      </c>
      <c r="O3138">
        <v>57.998697378153203</v>
      </c>
      <c r="P3138">
        <v>-8.6494304434033997E-2</v>
      </c>
      <c r="Q3138">
        <v>0</v>
      </c>
      <c r="R3138">
        <v>0.96889088113907296</v>
      </c>
      <c r="S3138" t="s">
        <v>8999</v>
      </c>
      <c r="T3138" t="s">
        <v>11720</v>
      </c>
      <c r="U3138" t="s">
        <v>11720</v>
      </c>
      <c r="V3138" t="s">
        <v>11720</v>
      </c>
      <c r="W3138" t="s">
        <v>14811</v>
      </c>
      <c r="X3138">
        <v>36</v>
      </c>
      <c r="Y3138" t="s">
        <v>20544</v>
      </c>
      <c r="Z3138" t="s">
        <v>26345</v>
      </c>
      <c r="AA3138">
        <v>0.62966784950844989</v>
      </c>
      <c r="AB3138" t="str">
        <f>HYPERLINK("Melting_Curves/meltCurve_Q13885_TUBB2A.pdf", "Melting_Curves/meltCurve_Q13885_TUBB2A.pdf")</f>
        <v>Melting_Curves/meltCurve_Q13885_TUBB2A.pdf</v>
      </c>
    </row>
    <row r="3139" spans="1:28" x14ac:dyDescent="0.25">
      <c r="A3139" t="s">
        <v>3143</v>
      </c>
      <c r="B3139">
        <v>0.99334974765950101</v>
      </c>
      <c r="C3139">
        <v>1.26795327577114</v>
      </c>
      <c r="D3139">
        <v>0.88637302124580997</v>
      </c>
      <c r="E3139">
        <v>0.45974295504687601</v>
      </c>
      <c r="F3139">
        <v>0.50659635692454696</v>
      </c>
      <c r="G3139">
        <v>0.25184766963316702</v>
      </c>
      <c r="H3139">
        <v>0.19543590171354899</v>
      </c>
      <c r="I3139">
        <v>5.21401711598743E-2</v>
      </c>
      <c r="J3139">
        <v>0.14698886494237701</v>
      </c>
      <c r="K3139">
        <v>0</v>
      </c>
      <c r="L3139">
        <v>850.07583409067399</v>
      </c>
      <c r="M3139">
        <v>16.6067144369411</v>
      </c>
      <c r="N3139">
        <v>51.705287180765197</v>
      </c>
      <c r="O3139">
        <v>50.463696728221798</v>
      </c>
      <c r="P3139">
        <v>-7.5986680971898604E-2</v>
      </c>
      <c r="Q3139">
        <v>7.6443693745946298E-2</v>
      </c>
      <c r="R3139">
        <v>0.91332163014547596</v>
      </c>
      <c r="S3139" t="s">
        <v>9000</v>
      </c>
      <c r="T3139" t="s">
        <v>11720</v>
      </c>
      <c r="U3139" t="s">
        <v>11720</v>
      </c>
      <c r="V3139" t="s">
        <v>11720</v>
      </c>
      <c r="W3139" t="s">
        <v>14812</v>
      </c>
      <c r="X3139">
        <v>5</v>
      </c>
      <c r="Y3139" t="s">
        <v>20545</v>
      </c>
      <c r="Z3139" t="s">
        <v>26346</v>
      </c>
      <c r="AA3139">
        <v>0.43877343010196168</v>
      </c>
      <c r="AB3139" t="str">
        <f>HYPERLINK("Melting_Curves/meltCurve_Q13895_BYSL.pdf", "Melting_Curves/meltCurve_Q13895_BYSL.pdf")</f>
        <v>Melting_Curves/meltCurve_Q13895_BYSL.pdf</v>
      </c>
    </row>
    <row r="3140" spans="1:28" x14ac:dyDescent="0.25">
      <c r="A3140" t="s">
        <v>3144</v>
      </c>
      <c r="B3140">
        <v>0.99334974765950101</v>
      </c>
      <c r="C3140">
        <v>0.96047967733871298</v>
      </c>
      <c r="D3140">
        <v>0.94010747205890799</v>
      </c>
      <c r="E3140">
        <v>0.59376173649782604</v>
      </c>
      <c r="F3140">
        <v>0.33108575798587098</v>
      </c>
      <c r="G3140">
        <v>0.23677470191495301</v>
      </c>
      <c r="H3140">
        <v>0.19102537903331199</v>
      </c>
      <c r="I3140">
        <v>0.17700409139515599</v>
      </c>
      <c r="J3140">
        <v>0.16381937125457699</v>
      </c>
      <c r="K3140">
        <v>0.114434866111339</v>
      </c>
      <c r="L3140">
        <v>1213.6435913666301</v>
      </c>
      <c r="M3140">
        <v>24.183656846341201</v>
      </c>
      <c r="N3140">
        <v>51.007866356106597</v>
      </c>
      <c r="O3140">
        <v>49.845083615144901</v>
      </c>
      <c r="P3140">
        <v>-0.101693946332267</v>
      </c>
      <c r="Q3140">
        <v>0.16160477194365699</v>
      </c>
      <c r="R3140">
        <v>0.99572554449219697</v>
      </c>
      <c r="S3140" t="s">
        <v>9001</v>
      </c>
      <c r="T3140" t="s">
        <v>11720</v>
      </c>
      <c r="U3140" t="s">
        <v>11720</v>
      </c>
      <c r="V3140" t="s">
        <v>11720</v>
      </c>
      <c r="W3140" t="s">
        <v>14813</v>
      </c>
      <c r="X3140">
        <v>10</v>
      </c>
      <c r="Y3140" t="s">
        <v>20546</v>
      </c>
      <c r="Z3140" t="s">
        <v>26347</v>
      </c>
      <c r="AA3140">
        <v>0.45424756505534808</v>
      </c>
      <c r="AB3140" t="str">
        <f>HYPERLINK("Melting_Curves/meltCurve_Q13905_2_RAPGEF1.pdf", "Melting_Curves/meltCurve_Q13905_2_RAPGEF1.pdf")</f>
        <v>Melting_Curves/meltCurve_Q13905_2_RAPGEF1.pdf</v>
      </c>
    </row>
    <row r="3141" spans="1:28" x14ac:dyDescent="0.25">
      <c r="A3141" t="s">
        <v>3145</v>
      </c>
      <c r="B3141">
        <v>0.99334974765950101</v>
      </c>
      <c r="C3141">
        <v>1.11179293232639</v>
      </c>
      <c r="D3141">
        <v>0.89829131800218098</v>
      </c>
      <c r="E3141">
        <v>0.78270629588323504</v>
      </c>
      <c r="F3141">
        <v>0.61387873071999199</v>
      </c>
      <c r="G3141">
        <v>0.43875108496980803</v>
      </c>
      <c r="H3141">
        <v>0.28535541243417301</v>
      </c>
      <c r="I3141">
        <v>0.21749571312292099</v>
      </c>
      <c r="J3141">
        <v>0.17648263920031201</v>
      </c>
      <c r="K3141">
        <v>0.14167840930294801</v>
      </c>
      <c r="L3141">
        <v>737.91443914175397</v>
      </c>
      <c r="M3141">
        <v>13.578425705723999</v>
      </c>
      <c r="N3141">
        <v>55.393106022613402</v>
      </c>
      <c r="O3141">
        <v>53.206520661798599</v>
      </c>
      <c r="P3141">
        <v>-5.6578916978220199E-2</v>
      </c>
      <c r="Q3141">
        <v>0.11332287748587801</v>
      </c>
      <c r="R3141">
        <v>0.98302299413551697</v>
      </c>
      <c r="S3141" t="s">
        <v>9002</v>
      </c>
      <c r="T3141" t="s">
        <v>11720</v>
      </c>
      <c r="U3141" t="s">
        <v>11720</v>
      </c>
      <c r="V3141" t="s">
        <v>11720</v>
      </c>
      <c r="W3141" t="s">
        <v>14814</v>
      </c>
      <c r="X3141">
        <v>14</v>
      </c>
      <c r="Y3141" t="s">
        <v>20547</v>
      </c>
      <c r="Z3141" t="s">
        <v>26348</v>
      </c>
      <c r="AA3141">
        <v>0.55721366882034351</v>
      </c>
      <c r="AB3141" t="str">
        <f>HYPERLINK("Melting_Curves/meltCurve_Q13907_IDI1.pdf", "Melting_Curves/meltCurve_Q13907_IDI1.pdf")</f>
        <v>Melting_Curves/meltCurve_Q13907_IDI1.pdf</v>
      </c>
    </row>
    <row r="3142" spans="1:28" x14ac:dyDescent="0.25">
      <c r="A3142" t="s">
        <v>3146</v>
      </c>
      <c r="B3142">
        <v>0.99334974765950101</v>
      </c>
      <c r="C3142">
        <v>1.01045361467728</v>
      </c>
      <c r="D3142">
        <v>0.77679335250144599</v>
      </c>
      <c r="E3142">
        <v>0.45869193899890098</v>
      </c>
      <c r="F3142">
        <v>0.15801667669598099</v>
      </c>
      <c r="G3142">
        <v>0.15125764902073399</v>
      </c>
      <c r="H3142">
        <v>0.119341512277626</v>
      </c>
      <c r="I3142">
        <v>8.2482523477586098E-2</v>
      </c>
      <c r="J3142">
        <v>7.0633107164018993E-2</v>
      </c>
      <c r="K3142">
        <v>4.6617479093764597E-2</v>
      </c>
      <c r="L3142">
        <v>1090.91217647386</v>
      </c>
      <c r="M3142">
        <v>22.3423256663072</v>
      </c>
      <c r="N3142">
        <v>49.1966903039052</v>
      </c>
      <c r="O3142">
        <v>48.441058400310801</v>
      </c>
      <c r="P3142">
        <v>-0.106401832901367</v>
      </c>
      <c r="Q3142">
        <v>7.7247839547718397E-2</v>
      </c>
      <c r="R3142">
        <v>0.99150500657510199</v>
      </c>
      <c r="S3142" t="s">
        <v>9003</v>
      </c>
      <c r="T3142" t="s">
        <v>11720</v>
      </c>
      <c r="U3142" t="s">
        <v>11720</v>
      </c>
      <c r="V3142" t="s">
        <v>11720</v>
      </c>
      <c r="W3142" t="s">
        <v>14815</v>
      </c>
      <c r="X3142">
        <v>12</v>
      </c>
      <c r="Y3142" t="s">
        <v>20548</v>
      </c>
      <c r="Z3142" t="s">
        <v>26349</v>
      </c>
      <c r="AA3142">
        <v>0.35906513934913548</v>
      </c>
      <c r="AB3142" t="str">
        <f>HYPERLINK("Melting_Curves/meltCurve_Q13951_CBFB.pdf", "Melting_Curves/meltCurve_Q13951_CBFB.pdf")</f>
        <v>Melting_Curves/meltCurve_Q13951_CBFB.pdf</v>
      </c>
    </row>
    <row r="3143" spans="1:28" x14ac:dyDescent="0.25">
      <c r="A3143" t="s">
        <v>3147</v>
      </c>
      <c r="B3143">
        <v>0.99334974765950101</v>
      </c>
      <c r="C3143">
        <v>1.11771524212624</v>
      </c>
      <c r="D3143">
        <v>0.81830224633529303</v>
      </c>
      <c r="E3143">
        <v>0.77824171596025005</v>
      </c>
      <c r="F3143">
        <v>0.43801563496061202</v>
      </c>
      <c r="G3143">
        <v>0.25375066636420801</v>
      </c>
      <c r="H3143">
        <v>0.16610368900588399</v>
      </c>
      <c r="I3143">
        <v>0.168305932172294</v>
      </c>
      <c r="J3143">
        <v>0.177492997384118</v>
      </c>
      <c r="K3143">
        <v>0.12841308794526601</v>
      </c>
      <c r="L3143">
        <v>1070.59164835824</v>
      </c>
      <c r="M3143">
        <v>20.697153921283601</v>
      </c>
      <c r="N3143">
        <v>52.584118079063003</v>
      </c>
      <c r="O3143">
        <v>51.250887498668597</v>
      </c>
      <c r="P3143">
        <v>-8.6500615362086405E-2</v>
      </c>
      <c r="Q3143">
        <v>0.14324299468676899</v>
      </c>
      <c r="R3143">
        <v>0.97203607692788596</v>
      </c>
      <c r="S3143" t="s">
        <v>9004</v>
      </c>
      <c r="T3143" t="s">
        <v>11720</v>
      </c>
      <c r="U3143" t="s">
        <v>11720</v>
      </c>
      <c r="V3143" t="s">
        <v>11720</v>
      </c>
      <c r="W3143" t="s">
        <v>14816</v>
      </c>
      <c r="X3143">
        <v>14</v>
      </c>
      <c r="Y3143" t="s">
        <v>20548</v>
      </c>
      <c r="Z3143" t="s">
        <v>26350</v>
      </c>
      <c r="AA3143">
        <v>0.48928437092745208</v>
      </c>
      <c r="AB3143" t="str">
        <f>HYPERLINK("Melting_Curves/meltCurve_Q13951_2_CBFB.pdf", "Melting_Curves/meltCurve_Q13951_2_CBFB.pdf")</f>
        <v>Melting_Curves/meltCurve_Q13951_2_CBFB.pdf</v>
      </c>
    </row>
    <row r="3144" spans="1:28" x14ac:dyDescent="0.25">
      <c r="A3144" t="s">
        <v>3148</v>
      </c>
      <c r="B3144">
        <v>0.99334974765950101</v>
      </c>
      <c r="C3144">
        <v>1.0276787813850701</v>
      </c>
      <c r="D3144">
        <v>0.94240721748799905</v>
      </c>
      <c r="E3144">
        <v>0.79195731073256603</v>
      </c>
      <c r="F3144">
        <v>0.581852889174997</v>
      </c>
      <c r="G3144">
        <v>0.28757167257565602</v>
      </c>
      <c r="H3144">
        <v>0.166722078807098</v>
      </c>
      <c r="I3144">
        <v>0.13534427131676699</v>
      </c>
      <c r="J3144">
        <v>0.14031028664963599</v>
      </c>
      <c r="K3144">
        <v>0.104542782639447</v>
      </c>
      <c r="L3144">
        <v>1038.42025128265</v>
      </c>
      <c r="M3144">
        <v>19.5245677047638</v>
      </c>
      <c r="N3144">
        <v>53.838152180172401</v>
      </c>
      <c r="O3144">
        <v>52.636815641507603</v>
      </c>
      <c r="P3144">
        <v>-8.2960774086031905E-2</v>
      </c>
      <c r="Q3144">
        <v>0.105407243370657</v>
      </c>
      <c r="R3144">
        <v>0.99824055457870897</v>
      </c>
      <c r="S3144" t="s">
        <v>9005</v>
      </c>
      <c r="T3144" t="s">
        <v>11720</v>
      </c>
      <c r="U3144" t="s">
        <v>11720</v>
      </c>
      <c r="V3144" t="s">
        <v>11720</v>
      </c>
      <c r="W3144" t="s">
        <v>14817</v>
      </c>
      <c r="X3144">
        <v>8</v>
      </c>
      <c r="Y3144" t="s">
        <v>20549</v>
      </c>
      <c r="Z3144" t="s">
        <v>26351</v>
      </c>
      <c r="AA3144">
        <v>0.51137946113386945</v>
      </c>
      <c r="AB3144" t="str">
        <f>HYPERLINK("Melting_Curves/meltCurve_Q13952_3_NFYC.pdf", "Melting_Curves/meltCurve_Q13952_3_NFYC.pdf")</f>
        <v>Melting_Curves/meltCurve_Q13952_3_NFYC.pdf</v>
      </c>
    </row>
    <row r="3145" spans="1:28" x14ac:dyDescent="0.25">
      <c r="A3145" t="s">
        <v>3149</v>
      </c>
      <c r="B3145">
        <v>0.99334974765950101</v>
      </c>
      <c r="C3145">
        <v>0.99984633619283703</v>
      </c>
      <c r="D3145">
        <v>0.96351539614146198</v>
      </c>
      <c r="E3145">
        <v>0.74038330308356903</v>
      </c>
      <c r="F3145">
        <v>0.26669512956588998</v>
      </c>
      <c r="G3145">
        <v>0.18577239954723601</v>
      </c>
      <c r="H3145">
        <v>0.13459027035818599</v>
      </c>
      <c r="I3145">
        <v>0.120723424212983</v>
      </c>
      <c r="J3145">
        <v>0.11016350150403501</v>
      </c>
      <c r="K3145">
        <v>9.2715406071268602E-2</v>
      </c>
      <c r="L3145">
        <v>2080.8440255206401</v>
      </c>
      <c r="M3145">
        <v>40.792591496425104</v>
      </c>
      <c r="N3145">
        <v>51.369976666808</v>
      </c>
      <c r="O3145">
        <v>50.888225690548701</v>
      </c>
      <c r="P3145">
        <v>-0.17551001399107299</v>
      </c>
      <c r="Q3145">
        <v>0.124216099322547</v>
      </c>
      <c r="R3145">
        <v>0.99684762970965901</v>
      </c>
      <c r="S3145" t="s">
        <v>9006</v>
      </c>
      <c r="T3145" t="s">
        <v>11720</v>
      </c>
      <c r="U3145" t="s">
        <v>11720</v>
      </c>
      <c r="V3145" t="s">
        <v>11720</v>
      </c>
      <c r="W3145" t="s">
        <v>14818</v>
      </c>
      <c r="X3145">
        <v>21</v>
      </c>
      <c r="Y3145" t="s">
        <v>20550</v>
      </c>
      <c r="Z3145" t="s">
        <v>26352</v>
      </c>
      <c r="AA3145">
        <v>0.44860689734778653</v>
      </c>
      <c r="AB3145" t="str">
        <f>HYPERLINK("Melting_Curves/meltCurve_Q13976_2_PRKG1.pdf", "Melting_Curves/meltCurve_Q13976_2_PRKG1.pdf")</f>
        <v>Melting_Curves/meltCurve_Q13976_2_PRKG1.pdf</v>
      </c>
    </row>
    <row r="3146" spans="1:28" x14ac:dyDescent="0.25">
      <c r="A3146" t="s">
        <v>3150</v>
      </c>
      <c r="B3146">
        <v>0.99334974765950101</v>
      </c>
      <c r="C3146">
        <v>0.98008304632931698</v>
      </c>
      <c r="D3146">
        <v>0.86807558572918597</v>
      </c>
      <c r="E3146">
        <v>0.40979353844879202</v>
      </c>
      <c r="F3146">
        <v>0.25336359765713401</v>
      </c>
      <c r="G3146">
        <v>0.16331753062819299</v>
      </c>
      <c r="H3146">
        <v>0.124561063218927</v>
      </c>
      <c r="I3146">
        <v>0.115690915927961</v>
      </c>
      <c r="J3146">
        <v>0.105239222303984</v>
      </c>
      <c r="K3146">
        <v>7.9379714354395295E-2</v>
      </c>
      <c r="L3146">
        <v>1221.5268541697701</v>
      </c>
      <c r="M3146">
        <v>24.972520079099599</v>
      </c>
      <c r="N3146">
        <v>49.418534997732301</v>
      </c>
      <c r="O3146">
        <v>48.604409869314999</v>
      </c>
      <c r="P3146">
        <v>-0.114017077383489</v>
      </c>
      <c r="Q3146">
        <v>0.112359037120785</v>
      </c>
      <c r="R3146">
        <v>0.99703680124101401</v>
      </c>
      <c r="S3146" t="s">
        <v>9007</v>
      </c>
      <c r="T3146" t="s">
        <v>11720</v>
      </c>
      <c r="U3146" t="s">
        <v>11720</v>
      </c>
      <c r="V3146" t="s">
        <v>11720</v>
      </c>
      <c r="W3146" t="s">
        <v>14819</v>
      </c>
      <c r="X3146">
        <v>20</v>
      </c>
      <c r="Y3146" t="s">
        <v>20551</v>
      </c>
      <c r="Z3146" t="s">
        <v>26353</v>
      </c>
      <c r="AA3146">
        <v>0.38401116106981059</v>
      </c>
      <c r="AB3146" t="str">
        <f>HYPERLINK("Melting_Curves/meltCurve_Q14008_2_CKAP5.pdf", "Melting_Curves/meltCurve_Q14008_2_CKAP5.pdf")</f>
        <v>Melting_Curves/meltCurve_Q14008_2_CKAP5.pdf</v>
      </c>
    </row>
    <row r="3147" spans="1:28" x14ac:dyDescent="0.25">
      <c r="A3147" t="s">
        <v>3151</v>
      </c>
      <c r="B3147">
        <v>0.99334974765950101</v>
      </c>
      <c r="C3147">
        <v>1.0771183426418001</v>
      </c>
      <c r="D3147">
        <v>0.986721611492824</v>
      </c>
      <c r="E3147">
        <v>0.81082996036928101</v>
      </c>
      <c r="F3147">
        <v>0.58721671654187202</v>
      </c>
      <c r="G3147">
        <v>0.432583004222102</v>
      </c>
      <c r="H3147">
        <v>0.46431464555033303</v>
      </c>
      <c r="I3147">
        <v>0.55645319942854099</v>
      </c>
      <c r="J3147">
        <v>0.44759728587041803</v>
      </c>
      <c r="K3147">
        <v>0.457617503558995</v>
      </c>
      <c r="L3147">
        <v>1832.2392649948099</v>
      </c>
      <c r="M3147">
        <v>36.010651995809297</v>
      </c>
      <c r="N3147">
        <v>55.268960988919403</v>
      </c>
      <c r="O3147">
        <v>50.724345567171298</v>
      </c>
      <c r="P3147">
        <v>-9.38268586918279E-2</v>
      </c>
      <c r="Q3147">
        <v>0.47134640220416102</v>
      </c>
      <c r="R3147">
        <v>0.97206537251011604</v>
      </c>
      <c r="S3147" t="s">
        <v>9008</v>
      </c>
      <c r="T3147" t="s">
        <v>11720</v>
      </c>
      <c r="U3147" t="s">
        <v>11720</v>
      </c>
      <c r="V3147" t="s">
        <v>11720</v>
      </c>
      <c r="W3147" t="s">
        <v>14820</v>
      </c>
      <c r="X3147">
        <v>5</v>
      </c>
      <c r="Y3147" t="s">
        <v>20552</v>
      </c>
      <c r="Z3147" t="s">
        <v>26354</v>
      </c>
      <c r="AA3147">
        <v>0.66537749814806857</v>
      </c>
      <c r="AB3147" t="str">
        <f>HYPERLINK("Melting_Curves/meltCurve_Q14011_CIRBP.pdf", "Melting_Curves/meltCurve_Q14011_CIRBP.pdf")</f>
        <v>Melting_Curves/meltCurve_Q14011_CIRBP.pdf</v>
      </c>
    </row>
    <row r="3148" spans="1:28" x14ac:dyDescent="0.25">
      <c r="A3148" t="s">
        <v>3152</v>
      </c>
      <c r="B3148">
        <v>0.99334974765950101</v>
      </c>
      <c r="C3148">
        <v>0.99701620087619303</v>
      </c>
      <c r="D3148">
        <v>0.87747190926677698</v>
      </c>
      <c r="E3148">
        <v>0.77988450956409106</v>
      </c>
      <c r="F3148">
        <v>0.54362408765539905</v>
      </c>
      <c r="G3148">
        <v>0.29057420173217202</v>
      </c>
      <c r="H3148">
        <v>0.20927259151533201</v>
      </c>
      <c r="I3148">
        <v>0.165842100049679</v>
      </c>
      <c r="J3148">
        <v>0.14558077534806799</v>
      </c>
      <c r="K3148">
        <v>0.118595934728102</v>
      </c>
      <c r="L3148">
        <v>874.34997225562199</v>
      </c>
      <c r="M3148">
        <v>16.558247430777701</v>
      </c>
      <c r="N3148">
        <v>53.631504914293998</v>
      </c>
      <c r="O3148">
        <v>52.052365296950697</v>
      </c>
      <c r="P3148">
        <v>-7.0571476161062505E-2</v>
      </c>
      <c r="Q3148">
        <v>0.11266956890480299</v>
      </c>
      <c r="R3148">
        <v>0.99606102740700597</v>
      </c>
      <c r="S3148" t="s">
        <v>9009</v>
      </c>
      <c r="T3148" t="s">
        <v>11720</v>
      </c>
      <c r="U3148" t="s">
        <v>11720</v>
      </c>
      <c r="V3148" t="s">
        <v>11720</v>
      </c>
      <c r="W3148" t="s">
        <v>14821</v>
      </c>
      <c r="X3148">
        <v>15</v>
      </c>
      <c r="Y3148" t="s">
        <v>20553</v>
      </c>
      <c r="Z3148" t="s">
        <v>26355</v>
      </c>
      <c r="AA3148">
        <v>0.5080319683915725</v>
      </c>
      <c r="AB3148" t="str">
        <f>HYPERLINK("Melting_Curves/meltCurve_Q14012_CAMK1.pdf", "Melting_Curves/meltCurve_Q14012_CAMK1.pdf")</f>
        <v>Melting_Curves/meltCurve_Q14012_CAMK1.pdf</v>
      </c>
    </row>
    <row r="3149" spans="1:28" x14ac:dyDescent="0.25">
      <c r="A3149" t="s">
        <v>3153</v>
      </c>
      <c r="B3149">
        <v>0.99334974765950101</v>
      </c>
      <c r="C3149">
        <v>0.99402257992471399</v>
      </c>
      <c r="D3149">
        <v>0.84124569079919698</v>
      </c>
      <c r="E3149">
        <v>0.719572424135552</v>
      </c>
      <c r="F3149">
        <v>0.52065375783613999</v>
      </c>
      <c r="G3149">
        <v>0.20686412227845699</v>
      </c>
      <c r="H3149">
        <v>0.114622387889585</v>
      </c>
      <c r="I3149">
        <v>9.1199950293142706E-2</v>
      </c>
      <c r="J3149">
        <v>6.07200701349438E-2</v>
      </c>
      <c r="K3149">
        <v>4.5279574295547902E-2</v>
      </c>
      <c r="L3149">
        <v>815.98785899034704</v>
      </c>
      <c r="M3149">
        <v>15.4950293024168</v>
      </c>
      <c r="N3149">
        <v>52.796480624315301</v>
      </c>
      <c r="O3149">
        <v>51.807536387425003</v>
      </c>
      <c r="P3149">
        <v>-7.3323780769085606E-2</v>
      </c>
      <c r="Q3149">
        <v>1.9456765040154301E-2</v>
      </c>
      <c r="R3149">
        <v>0.99411780454155996</v>
      </c>
      <c r="S3149" t="s">
        <v>9010</v>
      </c>
      <c r="T3149" t="s">
        <v>11720</v>
      </c>
      <c r="U3149" t="s">
        <v>11720</v>
      </c>
      <c r="V3149" t="s">
        <v>11720</v>
      </c>
      <c r="W3149" t="s">
        <v>14822</v>
      </c>
      <c r="X3149">
        <v>19</v>
      </c>
      <c r="Y3149" t="s">
        <v>20554</v>
      </c>
      <c r="Z3149" t="s">
        <v>26356</v>
      </c>
      <c r="AA3149">
        <v>0.45369096578800161</v>
      </c>
      <c r="AB3149" t="str">
        <f>HYPERLINK("Melting_Curves/meltCurve_Q14019_COTL1.pdf", "Melting_Curves/meltCurve_Q14019_COTL1.pdf")</f>
        <v>Melting_Curves/meltCurve_Q14019_COTL1.pdf</v>
      </c>
    </row>
    <row r="3150" spans="1:28" x14ac:dyDescent="0.25">
      <c r="A3150" t="s">
        <v>3154</v>
      </c>
      <c r="B3150">
        <v>0.99334974765950101</v>
      </c>
      <c r="C3150">
        <v>1.0733039898477601</v>
      </c>
      <c r="D3150">
        <v>0.73512726565420405</v>
      </c>
      <c r="E3150">
        <v>0.85031957615133402</v>
      </c>
      <c r="F3150">
        <v>0.82577430229366799</v>
      </c>
      <c r="G3150">
        <v>0.68227802943360005</v>
      </c>
      <c r="H3150">
        <v>0.76097315874006899</v>
      </c>
      <c r="I3150">
        <v>1.43489885678615</v>
      </c>
      <c r="J3150">
        <v>1.3335314356118</v>
      </c>
      <c r="K3150">
        <v>1.0784398521244101</v>
      </c>
      <c r="L3150">
        <v>2870.0456113157202</v>
      </c>
      <c r="M3150">
        <v>45.747843981295802</v>
      </c>
      <c r="O3150">
        <v>62.616670474533798</v>
      </c>
      <c r="P3150">
        <v>4.8671615132731598E-2</v>
      </c>
      <c r="Q3150">
        <v>1.2664738255141901</v>
      </c>
      <c r="R3150">
        <v>0.28554262771530903</v>
      </c>
      <c r="S3150" t="s">
        <v>9011</v>
      </c>
      <c r="T3150" t="s">
        <v>11720</v>
      </c>
      <c r="U3150" t="s">
        <v>11720</v>
      </c>
      <c r="V3150" t="s">
        <v>11720</v>
      </c>
      <c r="W3150" t="s">
        <v>14823</v>
      </c>
      <c r="X3150">
        <v>5</v>
      </c>
      <c r="Y3150" t="s">
        <v>20555</v>
      </c>
      <c r="Z3150" t="s">
        <v>26357</v>
      </c>
      <c r="AA3150">
        <v>1.063776561644272</v>
      </c>
      <c r="AB3150" t="str">
        <f>HYPERLINK("Melting_Curves/meltCurve_Q14061_COX17.pdf", "Melting_Curves/meltCurve_Q14061_COX17.pdf")</f>
        <v>Melting_Curves/meltCurve_Q14061_COX17.pdf</v>
      </c>
    </row>
    <row r="3151" spans="1:28" x14ac:dyDescent="0.25">
      <c r="A3151" t="s">
        <v>3155</v>
      </c>
      <c r="B3151">
        <v>0.99334974765950101</v>
      </c>
      <c r="C3151">
        <v>1.0835913905619201</v>
      </c>
      <c r="D3151">
        <v>0.93919678346102797</v>
      </c>
      <c r="E3151">
        <v>1.2017902153432201</v>
      </c>
      <c r="F3151">
        <v>1.6525562200903401</v>
      </c>
      <c r="G3151">
        <v>1.0408006708980699</v>
      </c>
      <c r="H3151">
        <v>1.37881043770128</v>
      </c>
      <c r="I3151">
        <v>1.08241111949576</v>
      </c>
      <c r="J3151">
        <v>1.13091856946182</v>
      </c>
      <c r="K3151">
        <v>1.0800033213192599</v>
      </c>
      <c r="L3151">
        <v>12397.1430487056</v>
      </c>
      <c r="M3151">
        <v>250</v>
      </c>
      <c r="O3151">
        <v>49.585403883855498</v>
      </c>
      <c r="P3151">
        <v>0.28685778882496499</v>
      </c>
      <c r="Q3151">
        <v>1.2275833257469999</v>
      </c>
      <c r="R3151">
        <v>0.25061722838074102</v>
      </c>
      <c r="S3151" t="s">
        <v>9012</v>
      </c>
      <c r="T3151" t="s">
        <v>11720</v>
      </c>
      <c r="U3151" t="s">
        <v>11720</v>
      </c>
      <c r="V3151" t="s">
        <v>11720</v>
      </c>
      <c r="W3151" t="s">
        <v>14824</v>
      </c>
      <c r="X3151">
        <v>17</v>
      </c>
      <c r="Y3151" t="s">
        <v>17879</v>
      </c>
      <c r="Z3151" t="s">
        <v>26358</v>
      </c>
      <c r="AA3151">
        <v>1.1548235481715721</v>
      </c>
      <c r="AB3151" t="str">
        <f>HYPERLINK("Melting_Curves/meltCurve_Q14103_3_HNRNPD.pdf", "Melting_Curves/meltCurve_Q14103_3_HNRNPD.pdf")</f>
        <v>Melting_Curves/meltCurve_Q14103_3_HNRNPD.pdf</v>
      </c>
    </row>
    <row r="3152" spans="1:28" x14ac:dyDescent="0.25">
      <c r="A3152" t="s">
        <v>3156</v>
      </c>
      <c r="B3152">
        <v>0.99334974765950101</v>
      </c>
      <c r="C3152">
        <v>0.946781998341922</v>
      </c>
      <c r="D3152">
        <v>0.96910515369540595</v>
      </c>
      <c r="E3152">
        <v>0.96274988718008603</v>
      </c>
      <c r="F3152">
        <v>1.01960020424007</v>
      </c>
      <c r="G3152">
        <v>0.94171595408013398</v>
      </c>
      <c r="H3152">
        <v>0.94948652321810201</v>
      </c>
      <c r="I3152">
        <v>0.94631317119000102</v>
      </c>
      <c r="J3152">
        <v>0.79034411100425095</v>
      </c>
      <c r="K3152">
        <v>0.57045397944304999</v>
      </c>
      <c r="L3152">
        <v>1642.88908931692</v>
      </c>
      <c r="M3152">
        <v>23.1792384032115</v>
      </c>
      <c r="Q3152">
        <v>0</v>
      </c>
      <c r="R3152">
        <v>0.93813273411194698</v>
      </c>
      <c r="S3152" t="s">
        <v>9013</v>
      </c>
      <c r="T3152" t="s">
        <v>11720</v>
      </c>
      <c r="U3152" t="s">
        <v>11720</v>
      </c>
      <c r="V3152" t="s">
        <v>11720</v>
      </c>
      <c r="W3152" t="s">
        <v>14825</v>
      </c>
      <c r="X3152">
        <v>15</v>
      </c>
      <c r="Y3152" t="s">
        <v>20556</v>
      </c>
      <c r="Z3152" t="s">
        <v>26359</v>
      </c>
      <c r="AA3152">
        <v>0.94928232179262395</v>
      </c>
      <c r="AB3152" t="str">
        <f>HYPERLINK("Melting_Curves/meltCurve_Q14108_SCARB2.pdf", "Melting_Curves/meltCurve_Q14108_SCARB2.pdf")</f>
        <v>Melting_Curves/meltCurve_Q14108_SCARB2.pdf</v>
      </c>
    </row>
    <row r="3153" spans="1:28" x14ac:dyDescent="0.25">
      <c r="A3153" t="s">
        <v>3157</v>
      </c>
      <c r="B3153">
        <v>0.99334974765950101</v>
      </c>
      <c r="C3153">
        <v>0.99940549647056998</v>
      </c>
      <c r="D3153">
        <v>0.90108981410301203</v>
      </c>
      <c r="E3153">
        <v>0.79431104153599097</v>
      </c>
      <c r="F3153">
        <v>0.845326895818999</v>
      </c>
      <c r="G3153">
        <v>0.40618795332847402</v>
      </c>
      <c r="H3153">
        <v>0.421334496324965</v>
      </c>
      <c r="I3153">
        <v>0.43572353979108303</v>
      </c>
      <c r="J3153">
        <v>0.496234812781645</v>
      </c>
      <c r="K3153">
        <v>0.40410469442720398</v>
      </c>
      <c r="L3153">
        <v>1125.4750565449301</v>
      </c>
      <c r="M3153">
        <v>21.219178514625401</v>
      </c>
      <c r="N3153">
        <v>57.796916974336</v>
      </c>
      <c r="O3153">
        <v>52.576119203541701</v>
      </c>
      <c r="P3153">
        <v>-5.9249802982557297E-2</v>
      </c>
      <c r="Q3153">
        <v>0.41278699605505897</v>
      </c>
      <c r="R3153">
        <v>0.91489975778119803</v>
      </c>
      <c r="S3153" t="s">
        <v>9014</v>
      </c>
      <c r="T3153" t="s">
        <v>11720</v>
      </c>
      <c r="U3153" t="s">
        <v>11720</v>
      </c>
      <c r="V3153" t="s">
        <v>11720</v>
      </c>
      <c r="W3153" t="s">
        <v>14826</v>
      </c>
      <c r="X3153">
        <v>5</v>
      </c>
      <c r="Y3153" t="s">
        <v>20557</v>
      </c>
      <c r="Z3153" t="s">
        <v>26360</v>
      </c>
      <c r="AA3153">
        <v>0.67532595945573015</v>
      </c>
      <c r="AB3153" t="str">
        <f>HYPERLINK("Melting_Curves/meltCurve_Q14112_2_NID2.pdf", "Melting_Curves/meltCurve_Q14112_2_NID2.pdf")</f>
        <v>Melting_Curves/meltCurve_Q14112_2_NID2.pdf</v>
      </c>
    </row>
    <row r="3154" spans="1:28" x14ac:dyDescent="0.25">
      <c r="A3154" t="s">
        <v>3158</v>
      </c>
      <c r="B3154">
        <v>0.99334974765950101</v>
      </c>
      <c r="C3154">
        <v>1.02258085709159</v>
      </c>
      <c r="D3154">
        <v>0.97104690889261602</v>
      </c>
      <c r="E3154">
        <v>0.96544617710029101</v>
      </c>
      <c r="F3154">
        <v>1.0220877878957</v>
      </c>
      <c r="G3154">
        <v>0.93901049416029803</v>
      </c>
      <c r="H3154">
        <v>0.83416413213872898</v>
      </c>
      <c r="I3154">
        <v>0.678040641974337</v>
      </c>
      <c r="J3154">
        <v>0.61024731740049598</v>
      </c>
      <c r="K3154">
        <v>0.33143243637108399</v>
      </c>
      <c r="L3154">
        <v>1047.1568871530201</v>
      </c>
      <c r="M3154">
        <v>15.4737691188516</v>
      </c>
      <c r="N3154">
        <v>67.673035621111595</v>
      </c>
      <c r="O3154">
        <v>66.573001425219104</v>
      </c>
      <c r="P3154">
        <v>-5.8113472513073403E-2</v>
      </c>
      <c r="Q3154">
        <v>0</v>
      </c>
      <c r="R3154">
        <v>0.97533656867382601</v>
      </c>
      <c r="S3154" t="s">
        <v>9015</v>
      </c>
      <c r="T3154" t="s">
        <v>11720</v>
      </c>
      <c r="U3154" t="s">
        <v>11720</v>
      </c>
      <c r="V3154" t="s">
        <v>11720</v>
      </c>
      <c r="W3154" t="s">
        <v>14827</v>
      </c>
      <c r="X3154">
        <v>6</v>
      </c>
      <c r="Y3154" t="s">
        <v>20558</v>
      </c>
      <c r="Z3154" t="s">
        <v>26361</v>
      </c>
      <c r="AA3154">
        <v>0.86806535653169448</v>
      </c>
      <c r="AB3154" t="str">
        <f>HYPERLINK("Melting_Curves/meltCurve_Q14114_4_LRP8.pdf", "Melting_Curves/meltCurve_Q14114_4_LRP8.pdf")</f>
        <v>Melting_Curves/meltCurve_Q14114_4_LRP8.pdf</v>
      </c>
    </row>
    <row r="3155" spans="1:28" x14ac:dyDescent="0.25">
      <c r="A3155" t="s">
        <v>3159</v>
      </c>
      <c r="B3155">
        <v>0.99334974765950101</v>
      </c>
      <c r="C3155">
        <v>0.936974311617496</v>
      </c>
      <c r="D3155">
        <v>0.886471436204741</v>
      </c>
      <c r="E3155">
        <v>0.86719275552777197</v>
      </c>
      <c r="F3155">
        <v>0.96835814415030397</v>
      </c>
      <c r="G3155">
        <v>0.81504183234411498</v>
      </c>
      <c r="H3155">
        <v>0.76690786198501204</v>
      </c>
      <c r="I3155">
        <v>0.96033002494892505</v>
      </c>
      <c r="J3155">
        <v>0.87195051991324402</v>
      </c>
      <c r="K3155">
        <v>0.71442096664294596</v>
      </c>
      <c r="L3155">
        <v>155.17934654927799</v>
      </c>
      <c r="M3155">
        <v>0.83637326711017301</v>
      </c>
      <c r="O3155">
        <v>57.083165556872501</v>
      </c>
      <c r="P3155">
        <v>-5.4616272678944004E-3</v>
      </c>
      <c r="Q3155">
        <v>0</v>
      </c>
      <c r="R3155">
        <v>0.36920833935770297</v>
      </c>
      <c r="S3155" t="s">
        <v>9016</v>
      </c>
      <c r="T3155" t="s">
        <v>11720</v>
      </c>
      <c r="U3155" t="s">
        <v>11720</v>
      </c>
      <c r="V3155" t="s">
        <v>11720</v>
      </c>
      <c r="W3155" t="s">
        <v>14828</v>
      </c>
      <c r="X3155">
        <v>15</v>
      </c>
      <c r="Y3155" t="s">
        <v>20559</v>
      </c>
      <c r="Z3155" t="s">
        <v>26362</v>
      </c>
      <c r="AA3155">
        <v>0.87852015502134273</v>
      </c>
      <c r="AB3155" t="str">
        <f>HYPERLINK("Melting_Curves/meltCurve_Q14118_DAG1.pdf", "Melting_Curves/meltCurve_Q14118_DAG1.pdf")</f>
        <v>Melting_Curves/meltCurve_Q14118_DAG1.pdf</v>
      </c>
    </row>
    <row r="3156" spans="1:28" x14ac:dyDescent="0.25">
      <c r="A3156" t="s">
        <v>3160</v>
      </c>
      <c r="B3156">
        <v>0.99334974765950101</v>
      </c>
      <c r="C3156">
        <v>0.97128421485259298</v>
      </c>
      <c r="D3156">
        <v>0.96324613157254801</v>
      </c>
      <c r="E3156">
        <v>1.0184634325162001</v>
      </c>
      <c r="F3156">
        <v>0.96301611643699903</v>
      </c>
      <c r="G3156">
        <v>0.76064474570314</v>
      </c>
      <c r="H3156">
        <v>0.42468140991602199</v>
      </c>
      <c r="I3156">
        <v>0.25783913175365403</v>
      </c>
      <c r="J3156">
        <v>0.18522919402021301</v>
      </c>
      <c r="K3156">
        <v>0.14099892327833299</v>
      </c>
      <c r="L3156">
        <v>1448.77650351292</v>
      </c>
      <c r="M3156">
        <v>24.412326628731702</v>
      </c>
      <c r="N3156">
        <v>60.075612622080897</v>
      </c>
      <c r="O3156">
        <v>58.952160603304698</v>
      </c>
      <c r="P3156">
        <v>-9.0247936403234294E-2</v>
      </c>
      <c r="Q3156">
        <v>0.12827084546270601</v>
      </c>
      <c r="R3156">
        <v>0.99748616963547998</v>
      </c>
      <c r="S3156" t="s">
        <v>9017</v>
      </c>
      <c r="T3156" t="s">
        <v>11720</v>
      </c>
      <c r="U3156" t="s">
        <v>11720</v>
      </c>
      <c r="V3156" t="s">
        <v>11720</v>
      </c>
      <c r="W3156" t="s">
        <v>14829</v>
      </c>
      <c r="X3156">
        <v>7</v>
      </c>
      <c r="Y3156" t="s">
        <v>20560</v>
      </c>
      <c r="Z3156" t="s">
        <v>26363</v>
      </c>
      <c r="AA3156">
        <v>0.6975406151618766</v>
      </c>
      <c r="AB3156" t="str">
        <f>HYPERLINK("Melting_Curves/meltCurve_Q14123_2_PDE1C.pdf", "Melting_Curves/meltCurve_Q14123_2_PDE1C.pdf")</f>
        <v>Melting_Curves/meltCurve_Q14123_2_PDE1C.pdf</v>
      </c>
    </row>
    <row r="3157" spans="1:28" x14ac:dyDescent="0.25">
      <c r="A3157" t="s">
        <v>3161</v>
      </c>
      <c r="B3157">
        <v>0.99334974765950101</v>
      </c>
      <c r="C3157">
        <v>0.95332891122437602</v>
      </c>
      <c r="D3157">
        <v>1.0241165186804899</v>
      </c>
      <c r="E3157">
        <v>0.41590190378762099</v>
      </c>
      <c r="F3157">
        <v>0.24642878764077999</v>
      </c>
      <c r="G3157">
        <v>0.15424600440375599</v>
      </c>
      <c r="H3157">
        <v>0.116464039444409</v>
      </c>
      <c r="I3157">
        <v>9.6705878422076105E-2</v>
      </c>
      <c r="J3157">
        <v>9.2297069672323803E-2</v>
      </c>
      <c r="K3157">
        <v>7.1052452708466995E-2</v>
      </c>
      <c r="L3157">
        <v>1986.2886929573201</v>
      </c>
      <c r="M3157">
        <v>40.233348418553703</v>
      </c>
      <c r="N3157">
        <v>49.696388078028399</v>
      </c>
      <c r="O3157">
        <v>49.247716087323099</v>
      </c>
      <c r="P3157">
        <v>-0.180476821886739</v>
      </c>
      <c r="Q3157">
        <v>0.116349628407536</v>
      </c>
      <c r="R3157">
        <v>0.98811344486913</v>
      </c>
      <c r="S3157" t="s">
        <v>9018</v>
      </c>
      <c r="T3157" t="s">
        <v>11720</v>
      </c>
      <c r="U3157" t="s">
        <v>11720</v>
      </c>
      <c r="V3157" t="s">
        <v>11720</v>
      </c>
      <c r="W3157" t="s">
        <v>14830</v>
      </c>
      <c r="X3157">
        <v>20</v>
      </c>
      <c r="Y3157" t="s">
        <v>20561</v>
      </c>
      <c r="Z3157" t="s">
        <v>26364</v>
      </c>
      <c r="AA3157">
        <v>0.39530232943328891</v>
      </c>
      <c r="AB3157" t="str">
        <f>HYPERLINK("Melting_Curves/meltCurve_Q14139_UBE4A.pdf", "Melting_Curves/meltCurve_Q14139_UBE4A.pdf")</f>
        <v>Melting_Curves/meltCurve_Q14139_UBE4A.pdf</v>
      </c>
    </row>
    <row r="3158" spans="1:28" x14ac:dyDescent="0.25">
      <c r="A3158" t="s">
        <v>3162</v>
      </c>
      <c r="B3158">
        <v>0.99334974765950101</v>
      </c>
      <c r="C3158">
        <v>1.0171213307720901</v>
      </c>
      <c r="D3158">
        <v>0.91285189532727995</v>
      </c>
      <c r="E3158">
        <v>0.836986918643851</v>
      </c>
      <c r="F3158">
        <v>0.92321102072571104</v>
      </c>
      <c r="G3158">
        <v>0.810017052345257</v>
      </c>
      <c r="H3158">
        <v>0.84755242182711499</v>
      </c>
      <c r="I3158">
        <v>0.69639234178453002</v>
      </c>
      <c r="J3158">
        <v>1.0930468973182701</v>
      </c>
      <c r="K3158">
        <v>1.1759736202244799</v>
      </c>
      <c r="L3158">
        <v>15000</v>
      </c>
      <c r="M3158">
        <v>223.994624761117</v>
      </c>
      <c r="O3158">
        <v>66.9605448606126</v>
      </c>
      <c r="P3158">
        <v>0.14718331270315299</v>
      </c>
      <c r="Q3158">
        <v>1.1759948703199801</v>
      </c>
      <c r="R3158">
        <v>-4.6186582017602403E-2</v>
      </c>
      <c r="S3158" t="s">
        <v>9019</v>
      </c>
      <c r="T3158" t="s">
        <v>11720</v>
      </c>
      <c r="U3158" t="s">
        <v>11720</v>
      </c>
      <c r="V3158" t="s">
        <v>11720</v>
      </c>
      <c r="W3158" t="s">
        <v>14831</v>
      </c>
      <c r="X3158">
        <v>8</v>
      </c>
      <c r="Y3158" t="s">
        <v>20562</v>
      </c>
      <c r="Z3158" t="s">
        <v>26365</v>
      </c>
      <c r="AA3158">
        <v>1.0177739285495659</v>
      </c>
      <c r="AB3158" t="str">
        <f>HYPERLINK("Melting_Curves/meltCurve_Q14151_SAFB2.pdf", "Melting_Curves/meltCurve_Q14151_SAFB2.pdf")</f>
        <v>Melting_Curves/meltCurve_Q14151_SAFB2.pdf</v>
      </c>
    </row>
    <row r="3159" spans="1:28" x14ac:dyDescent="0.25">
      <c r="A3159" t="s">
        <v>3163</v>
      </c>
      <c r="B3159">
        <v>0.99334974765950101</v>
      </c>
      <c r="C3159">
        <v>1.1046855032501901</v>
      </c>
      <c r="D3159">
        <v>1.1941184152122799</v>
      </c>
      <c r="E3159">
        <v>1.0714177953713599</v>
      </c>
      <c r="F3159">
        <v>0.88345014256001697</v>
      </c>
      <c r="G3159">
        <v>0.64794682871263498</v>
      </c>
      <c r="H3159">
        <v>0.60055368306441304</v>
      </c>
      <c r="I3159">
        <v>0.65060160000411804</v>
      </c>
      <c r="J3159">
        <v>0.77102222024015998</v>
      </c>
      <c r="K3159">
        <v>0.65304040229229499</v>
      </c>
      <c r="L3159">
        <v>13283.3856637687</v>
      </c>
      <c r="M3159">
        <v>250</v>
      </c>
      <c r="O3159">
        <v>53.130142493359301</v>
      </c>
      <c r="P3159">
        <v>-0.39451129097652399</v>
      </c>
      <c r="Q3159">
        <v>0.66463294292164399</v>
      </c>
      <c r="R3159">
        <v>0.84179316571443397</v>
      </c>
      <c r="S3159" t="s">
        <v>9020</v>
      </c>
      <c r="T3159" t="s">
        <v>11720</v>
      </c>
      <c r="U3159" t="s">
        <v>11720</v>
      </c>
      <c r="V3159" t="s">
        <v>11720</v>
      </c>
      <c r="W3159" t="s">
        <v>14832</v>
      </c>
      <c r="X3159">
        <v>32</v>
      </c>
      <c r="Y3159" t="s">
        <v>20563</v>
      </c>
      <c r="Z3159" t="s">
        <v>26366</v>
      </c>
      <c r="AA3159">
        <v>0.81148280038507103</v>
      </c>
      <c r="AB3159" t="str">
        <f>HYPERLINK("Melting_Curves/meltCurve_Q14152_EIF3A.pdf", "Melting_Curves/meltCurve_Q14152_EIF3A.pdf")</f>
        <v>Melting_Curves/meltCurve_Q14152_EIF3A.pdf</v>
      </c>
    </row>
    <row r="3160" spans="1:28" x14ac:dyDescent="0.25">
      <c r="A3160" t="s">
        <v>3164</v>
      </c>
      <c r="B3160">
        <v>0.99334974765950101</v>
      </c>
      <c r="C3160">
        <v>1.0660837713122699</v>
      </c>
      <c r="D3160">
        <v>0.983323731116999</v>
      </c>
      <c r="E3160">
        <v>0.87690608818175697</v>
      </c>
      <c r="F3160">
        <v>0.91983320996245499</v>
      </c>
      <c r="G3160">
        <v>0.66667903250752503</v>
      </c>
      <c r="H3160">
        <v>0.716439164193165</v>
      </c>
      <c r="I3160">
        <v>0.75568628315364705</v>
      </c>
      <c r="J3160">
        <v>1.5771585439261699</v>
      </c>
      <c r="K3160">
        <v>1.4245055912217901</v>
      </c>
      <c r="L3160">
        <v>15000</v>
      </c>
      <c r="M3160">
        <v>228.570750945339</v>
      </c>
      <c r="O3160">
        <v>65.620175540753905</v>
      </c>
      <c r="P3160">
        <v>0.43540490068318299</v>
      </c>
      <c r="Q3160">
        <v>1.5</v>
      </c>
      <c r="R3160">
        <v>0.63252399939350801</v>
      </c>
      <c r="S3160" t="s">
        <v>9021</v>
      </c>
      <c r="T3160" t="s">
        <v>11720</v>
      </c>
      <c r="U3160" t="s">
        <v>11720</v>
      </c>
      <c r="V3160" t="s">
        <v>11720</v>
      </c>
      <c r="W3160" t="s">
        <v>12426</v>
      </c>
      <c r="X3160">
        <v>27</v>
      </c>
      <c r="Y3160" t="s">
        <v>18221</v>
      </c>
      <c r="Z3160" t="s">
        <v>26367</v>
      </c>
      <c r="AA3160">
        <v>1.07284453512579</v>
      </c>
      <c r="AB3160" t="str">
        <f>HYPERLINK("Melting_Curves/meltCurve_Q14157_UBAP2L.pdf", "Melting_Curves/meltCurve_Q14157_UBAP2L.pdf")</f>
        <v>Melting_Curves/meltCurve_Q14157_UBAP2L.pdf</v>
      </c>
    </row>
    <row r="3161" spans="1:28" x14ac:dyDescent="0.25">
      <c r="A3161" t="s">
        <v>3165</v>
      </c>
      <c r="B3161">
        <v>0.99334974765950101</v>
      </c>
      <c r="C3161">
        <v>0.81606470683466004</v>
      </c>
      <c r="D3161">
        <v>0.51139996493830897</v>
      </c>
      <c r="E3161">
        <v>0.28625022725765698</v>
      </c>
      <c r="F3161">
        <v>0.22538245181160099</v>
      </c>
      <c r="G3161">
        <v>0.178845254305287</v>
      </c>
      <c r="H3161">
        <v>0.14853561586564001</v>
      </c>
      <c r="I3161">
        <v>0.13761400940855401</v>
      </c>
      <c r="J3161">
        <v>0.12716273043728599</v>
      </c>
      <c r="K3161">
        <v>0.10484109098439</v>
      </c>
      <c r="L3161">
        <v>889.15049700070097</v>
      </c>
      <c r="M3161">
        <v>19.462334762851501</v>
      </c>
      <c r="N3161">
        <v>46.462400693898097</v>
      </c>
      <c r="O3161">
        <v>45.2115845460144</v>
      </c>
      <c r="P3161">
        <v>-9.2677506751216401E-2</v>
      </c>
      <c r="Q3161">
        <v>0.138860839909347</v>
      </c>
      <c r="R3161">
        <v>0.99341188033061201</v>
      </c>
      <c r="S3161" t="s">
        <v>9022</v>
      </c>
      <c r="T3161" t="s">
        <v>11720</v>
      </c>
      <c r="U3161" t="s">
        <v>11720</v>
      </c>
      <c r="V3161" t="s">
        <v>11720</v>
      </c>
      <c r="W3161" t="s">
        <v>14833</v>
      </c>
      <c r="X3161">
        <v>21</v>
      </c>
      <c r="Y3161" t="s">
        <v>20564</v>
      </c>
      <c r="Z3161" t="s">
        <v>26368</v>
      </c>
      <c r="AA3161">
        <v>0.31658665458209562</v>
      </c>
      <c r="AB3161" t="str">
        <f>HYPERLINK("Melting_Curves/meltCurve_Q14160_SCRIB.pdf", "Melting_Curves/meltCurve_Q14160_SCRIB.pdf")</f>
        <v>Melting_Curves/meltCurve_Q14160_SCRIB.pdf</v>
      </c>
    </row>
    <row r="3162" spans="1:28" x14ac:dyDescent="0.25">
      <c r="A3162" t="s">
        <v>3166</v>
      </c>
      <c r="B3162">
        <v>0.99334974765950101</v>
      </c>
      <c r="C3162">
        <v>0.91904820801408504</v>
      </c>
      <c r="D3162">
        <v>0.847864807976354</v>
      </c>
      <c r="E3162">
        <v>0.87257506763790604</v>
      </c>
      <c r="F3162">
        <v>0.39142534088694703</v>
      </c>
      <c r="G3162">
        <v>0.14135987559668101</v>
      </c>
      <c r="H3162">
        <v>9.3199509471044398E-2</v>
      </c>
      <c r="I3162">
        <v>8.6332651281648701E-2</v>
      </c>
      <c r="J3162">
        <v>6.93991628933638E-2</v>
      </c>
      <c r="K3162">
        <v>5.6701955817412497E-2</v>
      </c>
      <c r="L3162">
        <v>1925.3549894125599</v>
      </c>
      <c r="M3162">
        <v>36.912946653724902</v>
      </c>
      <c r="N3162">
        <v>52.403267677563399</v>
      </c>
      <c r="O3162">
        <v>52.006970983652103</v>
      </c>
      <c r="P3162">
        <v>-0.163437361317019</v>
      </c>
      <c r="Q3162">
        <v>7.8929455979065005E-2</v>
      </c>
      <c r="R3162">
        <v>0.98004280619159301</v>
      </c>
      <c r="S3162" t="s">
        <v>9023</v>
      </c>
      <c r="T3162" t="s">
        <v>11720</v>
      </c>
      <c r="U3162" t="s">
        <v>11720</v>
      </c>
      <c r="V3162" t="s">
        <v>11720</v>
      </c>
      <c r="W3162" t="s">
        <v>14834</v>
      </c>
      <c r="X3162">
        <v>13</v>
      </c>
      <c r="Y3162" t="s">
        <v>20565</v>
      </c>
      <c r="Z3162" t="s">
        <v>26369</v>
      </c>
      <c r="AA3162">
        <v>0.45614992945192218</v>
      </c>
      <c r="AB3162" t="str">
        <f>HYPERLINK("Melting_Curves/meltCurve_Q14165_MLEC.pdf", "Melting_Curves/meltCurve_Q14165_MLEC.pdf")</f>
        <v>Melting_Curves/meltCurve_Q14165_MLEC.pdf</v>
      </c>
    </row>
    <row r="3163" spans="1:28" x14ac:dyDescent="0.25">
      <c r="A3163" t="s">
        <v>3167</v>
      </c>
      <c r="B3163">
        <v>0.99334974765950101</v>
      </c>
      <c r="C3163">
        <v>0.93658515669106801</v>
      </c>
      <c r="D3163">
        <v>0.56564539771519795</v>
      </c>
      <c r="E3163">
        <v>0.16721503987297001</v>
      </c>
      <c r="F3163">
        <v>0.133768415645316</v>
      </c>
      <c r="G3163">
        <v>9.2210284605121595E-2</v>
      </c>
      <c r="H3163">
        <v>7.4905209491116301E-2</v>
      </c>
      <c r="I3163">
        <v>6.9887306037508798E-2</v>
      </c>
      <c r="J3163">
        <v>6.6317174388666106E-2</v>
      </c>
      <c r="K3163">
        <v>5.83565978760755E-2</v>
      </c>
      <c r="L3163">
        <v>1381.13698074992</v>
      </c>
      <c r="M3163">
        <v>29.867298462771998</v>
      </c>
      <c r="N3163">
        <v>46.506752315538002</v>
      </c>
      <c r="O3163">
        <v>46.0366316267896</v>
      </c>
      <c r="P3163">
        <v>-0.14953450736204499</v>
      </c>
      <c r="Q3163">
        <v>7.8052622242632694E-2</v>
      </c>
      <c r="R3163">
        <v>0.99805562928603198</v>
      </c>
      <c r="S3163" t="s">
        <v>9024</v>
      </c>
      <c r="T3163" t="s">
        <v>11720</v>
      </c>
      <c r="U3163" t="s">
        <v>11720</v>
      </c>
      <c r="V3163" t="s">
        <v>11720</v>
      </c>
      <c r="W3163" t="s">
        <v>14835</v>
      </c>
      <c r="X3163">
        <v>18</v>
      </c>
      <c r="Y3163" t="s">
        <v>20566</v>
      </c>
      <c r="Z3163" t="s">
        <v>26370</v>
      </c>
      <c r="AA3163">
        <v>0.27553037870268338</v>
      </c>
      <c r="AB3163" t="str">
        <f>HYPERLINK("Melting_Curves/meltCurve_Q14166_TTLL12.pdf", "Melting_Curves/meltCurve_Q14166_TTLL12.pdf")</f>
        <v>Melting_Curves/meltCurve_Q14166_TTLL12.pdf</v>
      </c>
    </row>
    <row r="3164" spans="1:28" x14ac:dyDescent="0.25">
      <c r="A3164" t="s">
        <v>3168</v>
      </c>
      <c r="B3164">
        <v>0.99334974765950101</v>
      </c>
      <c r="C3164">
        <v>1.2811986110742299</v>
      </c>
      <c r="D3164">
        <v>0.96892063439016496</v>
      </c>
      <c r="E3164">
        <v>1.1161000409864299</v>
      </c>
      <c r="F3164">
        <v>0.80878025146614096</v>
      </c>
      <c r="G3164">
        <v>0.80904816458866402</v>
      </c>
      <c r="H3164">
        <v>0.53685167012946799</v>
      </c>
      <c r="I3164">
        <v>0.49594871748929797</v>
      </c>
      <c r="J3164">
        <v>0.42068073197926298</v>
      </c>
      <c r="K3164">
        <v>0.24793179883085301</v>
      </c>
      <c r="L3164">
        <v>866.10903216197801</v>
      </c>
      <c r="M3164">
        <v>14.2006050167809</v>
      </c>
      <c r="N3164">
        <v>63.047292683644997</v>
      </c>
      <c r="O3164">
        <v>59.819709982639097</v>
      </c>
      <c r="P3164">
        <v>-4.8353345419774499E-2</v>
      </c>
      <c r="Q3164">
        <v>0.18535243013817099</v>
      </c>
      <c r="R3164">
        <v>0.87421057697202198</v>
      </c>
      <c r="S3164" t="s">
        <v>9025</v>
      </c>
      <c r="T3164" t="s">
        <v>11720</v>
      </c>
      <c r="U3164" t="s">
        <v>11720</v>
      </c>
      <c r="V3164" t="s">
        <v>11720</v>
      </c>
      <c r="W3164" t="s">
        <v>14836</v>
      </c>
      <c r="X3164">
        <v>1</v>
      </c>
      <c r="Y3164" t="s">
        <v>20567</v>
      </c>
      <c r="Z3164" t="s">
        <v>26371</v>
      </c>
      <c r="AA3164">
        <v>0.75639414741202271</v>
      </c>
      <c r="AB3164" t="str">
        <f>HYPERLINK("Melting_Curves/meltCurve_Q14185_DOCK1.pdf", "Melting_Curves/meltCurve_Q14185_DOCK1.pdf")</f>
        <v>Melting_Curves/meltCurve_Q14185_DOCK1.pdf</v>
      </c>
    </row>
    <row r="3165" spans="1:28" x14ac:dyDescent="0.25">
      <c r="A3165" t="s">
        <v>3169</v>
      </c>
      <c r="B3165">
        <v>0.99334974765950101</v>
      </c>
      <c r="C3165">
        <v>1.0057169268486601</v>
      </c>
      <c r="D3165">
        <v>1.0946129477864901</v>
      </c>
      <c r="E3165">
        <v>1.15796159121458</v>
      </c>
      <c r="F3165">
        <v>1.18916396803267</v>
      </c>
      <c r="G3165">
        <v>1.09291812464015</v>
      </c>
      <c r="H3165">
        <v>0.73153852332129499</v>
      </c>
      <c r="I3165">
        <v>0.423367597676721</v>
      </c>
      <c r="J3165">
        <v>0.28683900487886399</v>
      </c>
      <c r="K3165">
        <v>0.251648669959391</v>
      </c>
      <c r="L3165">
        <v>2812.33357104775</v>
      </c>
      <c r="M3165">
        <v>45.396312433967502</v>
      </c>
      <c r="N3165">
        <v>62.977512704643402</v>
      </c>
      <c r="O3165">
        <v>61.830852143823698</v>
      </c>
      <c r="P3165">
        <v>-0.13555546829331799</v>
      </c>
      <c r="Q3165">
        <v>0.261481942127756</v>
      </c>
      <c r="R3165">
        <v>0.93322066316118102</v>
      </c>
      <c r="S3165" t="s">
        <v>9026</v>
      </c>
      <c r="T3165" t="s">
        <v>11720</v>
      </c>
      <c r="U3165" t="s">
        <v>11720</v>
      </c>
      <c r="V3165" t="s">
        <v>11720</v>
      </c>
      <c r="W3165" t="s">
        <v>14837</v>
      </c>
      <c r="X3165">
        <v>39</v>
      </c>
      <c r="Y3165" t="s">
        <v>20568</v>
      </c>
      <c r="Z3165" t="s">
        <v>26372</v>
      </c>
      <c r="AA3165">
        <v>0.80405573999757074</v>
      </c>
      <c r="AB3165" t="str">
        <f>HYPERLINK("Melting_Curves/meltCurve_Q14195_2_DPYSL3.pdf", "Melting_Curves/meltCurve_Q14195_2_DPYSL3.pdf")</f>
        <v>Melting_Curves/meltCurve_Q14195_2_DPYSL3.pdf</v>
      </c>
    </row>
    <row r="3166" spans="1:28" x14ac:dyDescent="0.25">
      <c r="A3166" t="s">
        <v>3170</v>
      </c>
      <c r="B3166">
        <v>0.99334974765950101</v>
      </c>
      <c r="C3166">
        <v>1.20800026300187</v>
      </c>
      <c r="D3166">
        <v>1.15764187899585</v>
      </c>
      <c r="E3166">
        <v>1.4021085198718899</v>
      </c>
      <c r="F3166">
        <v>0.48604835522267797</v>
      </c>
      <c r="G3166">
        <v>0.28667129917772</v>
      </c>
      <c r="H3166">
        <v>0.205402068623214</v>
      </c>
      <c r="I3166">
        <v>0.20574109344372399</v>
      </c>
      <c r="J3166">
        <v>0.16551008667265699</v>
      </c>
      <c r="K3166">
        <v>0.134149485001229</v>
      </c>
      <c r="L3166">
        <v>13219.037522995901</v>
      </c>
      <c r="M3166">
        <v>250</v>
      </c>
      <c r="N3166">
        <v>52.984036274243998</v>
      </c>
      <c r="O3166">
        <v>52.872762350223702</v>
      </c>
      <c r="P3166">
        <v>-0.94626371777956297</v>
      </c>
      <c r="Q3166">
        <v>0.19949471328626001</v>
      </c>
      <c r="R3166">
        <v>0.89440889971878501</v>
      </c>
      <c r="S3166" t="s">
        <v>9027</v>
      </c>
      <c r="T3166" t="s">
        <v>11720</v>
      </c>
      <c r="U3166" t="s">
        <v>11720</v>
      </c>
      <c r="V3166" t="s">
        <v>11720</v>
      </c>
      <c r="W3166" t="s">
        <v>14838</v>
      </c>
      <c r="X3166">
        <v>28</v>
      </c>
      <c r="Y3166" t="s">
        <v>20569</v>
      </c>
      <c r="Z3166" t="s">
        <v>26373</v>
      </c>
      <c r="AA3166">
        <v>0.54314987167005713</v>
      </c>
      <c r="AB3166" t="str">
        <f>HYPERLINK("Melting_Curves/meltCurve_Q14204_DYNC1H1.pdf", "Melting_Curves/meltCurve_Q14204_DYNC1H1.pdf")</f>
        <v>Melting_Curves/meltCurve_Q14204_DYNC1H1.pdf</v>
      </c>
    </row>
    <row r="3167" spans="1:28" x14ac:dyDescent="0.25">
      <c r="A3167" t="s">
        <v>3171</v>
      </c>
      <c r="B3167">
        <v>0.99334974765950101</v>
      </c>
      <c r="C3167">
        <v>0.96798498200163796</v>
      </c>
      <c r="D3167">
        <v>0.92462599463041495</v>
      </c>
      <c r="E3167">
        <v>0.92126815659780603</v>
      </c>
      <c r="F3167">
        <v>0.77220129313896302</v>
      </c>
      <c r="G3167">
        <v>0.33558427294514698</v>
      </c>
      <c r="H3167">
        <v>9.8990083065090204E-2</v>
      </c>
      <c r="I3167">
        <v>7.0288193567223795E-2</v>
      </c>
      <c r="J3167">
        <v>5.5676279155993803E-2</v>
      </c>
      <c r="K3167">
        <v>4.36264475833208E-2</v>
      </c>
      <c r="L3167">
        <v>1427.37514289247</v>
      </c>
      <c r="M3167">
        <v>25.8409419576682</v>
      </c>
      <c r="N3167">
        <v>55.407033691518002</v>
      </c>
      <c r="O3167">
        <v>54.909347230811001</v>
      </c>
      <c r="P3167">
        <v>-0.11316807414615</v>
      </c>
      <c r="Q3167">
        <v>3.8129224107530599E-2</v>
      </c>
      <c r="R3167">
        <v>0.99591214807070705</v>
      </c>
      <c r="S3167" t="s">
        <v>9028</v>
      </c>
      <c r="T3167" t="s">
        <v>11720</v>
      </c>
      <c r="U3167" t="s">
        <v>11720</v>
      </c>
      <c r="V3167" t="s">
        <v>11720</v>
      </c>
      <c r="W3167" t="s">
        <v>14839</v>
      </c>
      <c r="X3167">
        <v>12</v>
      </c>
      <c r="Y3167" t="s">
        <v>20570</v>
      </c>
      <c r="Z3167" t="s">
        <v>26374</v>
      </c>
      <c r="AA3167">
        <v>0.53505235959523489</v>
      </c>
      <c r="AB3167" t="str">
        <f>HYPERLINK("Melting_Curves/meltCurve_Q14232_EIF2B1.pdf", "Melting_Curves/meltCurve_Q14232_EIF2B1.pdf")</f>
        <v>Melting_Curves/meltCurve_Q14232_EIF2B1.pdf</v>
      </c>
    </row>
    <row r="3168" spans="1:28" x14ac:dyDescent="0.25">
      <c r="A3168" t="s">
        <v>3172</v>
      </c>
      <c r="B3168">
        <v>0.99334974765950101</v>
      </c>
      <c r="C3168">
        <v>1.02075253304558</v>
      </c>
      <c r="D3168">
        <v>0.90130093739325601</v>
      </c>
      <c r="E3168">
        <v>0.91068991595937798</v>
      </c>
      <c r="F3168">
        <v>0.81226795182932499</v>
      </c>
      <c r="G3168">
        <v>0.418948362341728</v>
      </c>
      <c r="H3168">
        <v>0.18164370775981101</v>
      </c>
      <c r="I3168">
        <v>0.134085090653358</v>
      </c>
      <c r="J3168">
        <v>0.10615102346349101</v>
      </c>
      <c r="K3168">
        <v>8.0302587289173596E-2</v>
      </c>
      <c r="L3168">
        <v>1263.9672420833899</v>
      </c>
      <c r="M3168">
        <v>22.6649955549723</v>
      </c>
      <c r="N3168">
        <v>56.184035081336802</v>
      </c>
      <c r="O3168">
        <v>55.338688025919303</v>
      </c>
      <c r="P3168">
        <v>-9.4473028540127402E-2</v>
      </c>
      <c r="Q3168">
        <v>7.7359712388233706E-2</v>
      </c>
      <c r="R3168">
        <v>0.99274705699059795</v>
      </c>
      <c r="S3168" t="s">
        <v>9029</v>
      </c>
      <c r="T3168" t="s">
        <v>11720</v>
      </c>
      <c r="U3168" t="s">
        <v>11720</v>
      </c>
      <c r="V3168" t="s">
        <v>11720</v>
      </c>
      <c r="W3168" t="s">
        <v>14840</v>
      </c>
      <c r="X3168">
        <v>25</v>
      </c>
      <c r="Y3168" t="s">
        <v>17837</v>
      </c>
      <c r="Z3168" t="s">
        <v>26375</v>
      </c>
      <c r="AA3168">
        <v>0.57224203557496256</v>
      </c>
      <c r="AB3168" t="str">
        <f>HYPERLINK("Melting_Curves/meltCurve_Q14240_2_EIF4A2.pdf", "Melting_Curves/meltCurve_Q14240_2_EIF4A2.pdf")</f>
        <v>Melting_Curves/meltCurve_Q14240_2_EIF4A2.pdf</v>
      </c>
    </row>
    <row r="3169" spans="1:28" x14ac:dyDescent="0.25">
      <c r="A3169" t="s">
        <v>3173</v>
      </c>
      <c r="B3169">
        <v>0.99334974765950101</v>
      </c>
      <c r="C3169">
        <v>0.92746088529092596</v>
      </c>
      <c r="D3169">
        <v>0.53642578728962798</v>
      </c>
      <c r="E3169">
        <v>0.31725497462477198</v>
      </c>
      <c r="F3169">
        <v>0.26554191854676901</v>
      </c>
      <c r="G3169">
        <v>0.261910341918901</v>
      </c>
      <c r="H3169">
        <v>0.212809937664351</v>
      </c>
      <c r="I3169">
        <v>0.19031010854241101</v>
      </c>
      <c r="J3169">
        <v>0.17306767938780199</v>
      </c>
      <c r="K3169">
        <v>0.112355619036538</v>
      </c>
      <c r="L3169">
        <v>1162.9720693787899</v>
      </c>
      <c r="M3169">
        <v>25.374877499417099</v>
      </c>
      <c r="N3169">
        <v>46.767058010234599</v>
      </c>
      <c r="O3169">
        <v>45.549849319345697</v>
      </c>
      <c r="P3169">
        <v>-0.111555128725863</v>
      </c>
      <c r="Q3169">
        <v>0.19901054141095301</v>
      </c>
      <c r="R3169">
        <v>0.97913265738361599</v>
      </c>
      <c r="S3169" t="s">
        <v>9030</v>
      </c>
      <c r="T3169" t="s">
        <v>11720</v>
      </c>
      <c r="U3169" t="s">
        <v>11720</v>
      </c>
      <c r="V3169" t="s">
        <v>11720</v>
      </c>
      <c r="W3169" t="s">
        <v>14841</v>
      </c>
      <c r="X3169">
        <v>3</v>
      </c>
      <c r="Y3169" t="s">
        <v>20571</v>
      </c>
      <c r="Z3169" t="s">
        <v>26376</v>
      </c>
      <c r="AA3169">
        <v>0.36192767226981132</v>
      </c>
      <c r="AB3169" t="str">
        <f>HYPERLINK("Melting_Curves/meltCurve_Q14241_TCEB3.pdf", "Melting_Curves/meltCurve_Q14241_TCEB3.pdf")</f>
        <v>Melting_Curves/meltCurve_Q14241_TCEB3.pdf</v>
      </c>
    </row>
    <row r="3170" spans="1:28" x14ac:dyDescent="0.25">
      <c r="A3170" t="s">
        <v>3174</v>
      </c>
      <c r="B3170">
        <v>0.99334974765950101</v>
      </c>
      <c r="C3170">
        <v>1.00325635552143</v>
      </c>
      <c r="D3170">
        <v>0.92966595902666904</v>
      </c>
      <c r="E3170">
        <v>0.85661837388554196</v>
      </c>
      <c r="F3170">
        <v>0.99160069067020595</v>
      </c>
      <c r="G3170">
        <v>0.77548939137355</v>
      </c>
      <c r="H3170">
        <v>0.87503595845424198</v>
      </c>
      <c r="I3170">
        <v>1.10531988262295</v>
      </c>
      <c r="J3170">
        <v>1.53098786759465</v>
      </c>
      <c r="K3170">
        <v>1.33946118153857</v>
      </c>
      <c r="L3170">
        <v>15000</v>
      </c>
      <c r="M3170">
        <v>233.23371021250301</v>
      </c>
      <c r="O3170">
        <v>64.308444115731803</v>
      </c>
      <c r="P3170">
        <v>0.39462624451474398</v>
      </c>
      <c r="Q3170">
        <v>1.4352338253192201</v>
      </c>
      <c r="R3170">
        <v>0.77266212479793595</v>
      </c>
      <c r="S3170" t="s">
        <v>9031</v>
      </c>
      <c r="T3170" t="s">
        <v>11720</v>
      </c>
      <c r="U3170" t="s">
        <v>11720</v>
      </c>
      <c r="V3170" t="s">
        <v>11720</v>
      </c>
      <c r="W3170" t="s">
        <v>11912</v>
      </c>
      <c r="X3170">
        <v>88</v>
      </c>
      <c r="Y3170" t="s">
        <v>17709</v>
      </c>
      <c r="Z3170" t="s">
        <v>26377</v>
      </c>
      <c r="AA3170">
        <v>1.082446870157147</v>
      </c>
      <c r="AB3170" t="str">
        <f>HYPERLINK("Melting_Curves/meltCurve_Q14247_CTTN.pdf", "Melting_Curves/meltCurve_Q14247_CTTN.pdf")</f>
        <v>Melting_Curves/meltCurve_Q14247_CTTN.pdf</v>
      </c>
    </row>
    <row r="3171" spans="1:28" x14ac:dyDescent="0.25">
      <c r="A3171" t="s">
        <v>3175</v>
      </c>
      <c r="B3171">
        <v>0.99334974765950101</v>
      </c>
      <c r="C3171">
        <v>0.83657224200757696</v>
      </c>
      <c r="D3171">
        <v>0.78303217470085495</v>
      </c>
      <c r="E3171">
        <v>0.37577459996532098</v>
      </c>
      <c r="F3171">
        <v>0.16480981716121701</v>
      </c>
      <c r="G3171">
        <v>8.3980774494691601E-2</v>
      </c>
      <c r="H3171">
        <v>7.2143197374126306E-2</v>
      </c>
      <c r="I3171">
        <v>4.7513833641558E-2</v>
      </c>
      <c r="J3171">
        <v>9.5935680995223899E-2</v>
      </c>
      <c r="K3171">
        <v>4.03484251223779E-2</v>
      </c>
      <c r="L3171">
        <v>939.40515706779195</v>
      </c>
      <c r="M3171">
        <v>19.459421132806</v>
      </c>
      <c r="N3171">
        <v>48.537148670903903</v>
      </c>
      <c r="O3171">
        <v>47.773937756771403</v>
      </c>
      <c r="P3171">
        <v>-9.6756156591974396E-2</v>
      </c>
      <c r="Q3171">
        <v>4.9867959749625698E-2</v>
      </c>
      <c r="R3171">
        <v>0.989994821366741</v>
      </c>
      <c r="S3171" t="s">
        <v>9032</v>
      </c>
      <c r="T3171" t="s">
        <v>11720</v>
      </c>
      <c r="U3171" t="s">
        <v>11720</v>
      </c>
      <c r="V3171" t="s">
        <v>11720</v>
      </c>
      <c r="W3171" t="s">
        <v>14842</v>
      </c>
      <c r="X3171">
        <v>1</v>
      </c>
      <c r="Y3171" t="s">
        <v>20572</v>
      </c>
      <c r="Z3171" t="s">
        <v>26378</v>
      </c>
      <c r="AA3171">
        <v>0.32617478141939982</v>
      </c>
      <c r="AB3171" t="str">
        <f>HYPERLINK("Melting_Curves/meltCurve_Q14249_ENDOG.pdf", "Melting_Curves/meltCurve_Q14249_ENDOG.pdf")</f>
        <v>Melting_Curves/meltCurve_Q14249_ENDOG.pdf</v>
      </c>
    </row>
    <row r="3172" spans="1:28" x14ac:dyDescent="0.25">
      <c r="A3172" t="s">
        <v>3176</v>
      </c>
      <c r="B3172">
        <v>0.99334974765950101</v>
      </c>
      <c r="C3172">
        <v>0.59064964245381402</v>
      </c>
      <c r="D3172">
        <v>0.62761520514642299</v>
      </c>
      <c r="E3172">
        <v>0.637575938551178</v>
      </c>
      <c r="F3172">
        <v>1.1050874333953</v>
      </c>
      <c r="G3172">
        <v>0.73056163062708901</v>
      </c>
      <c r="H3172">
        <v>0.309906007900912</v>
      </c>
      <c r="I3172">
        <v>0.25158697360837601</v>
      </c>
      <c r="J3172">
        <v>0.18325455317556599</v>
      </c>
      <c r="K3172">
        <v>0.158507261626184</v>
      </c>
      <c r="L3172">
        <v>398.99655134472698</v>
      </c>
      <c r="M3172">
        <v>6.8855520806832997</v>
      </c>
      <c r="N3172">
        <v>57.946946802812903</v>
      </c>
      <c r="O3172">
        <v>53.650450989883701</v>
      </c>
      <c r="P3172">
        <v>-3.2148432858969803E-2</v>
      </c>
      <c r="Q3172">
        <v>0</v>
      </c>
      <c r="R3172">
        <v>0.54232503185539604</v>
      </c>
      <c r="S3172" t="s">
        <v>9033</v>
      </c>
      <c r="T3172" t="s">
        <v>11720</v>
      </c>
      <c r="U3172" t="s">
        <v>11720</v>
      </c>
      <c r="V3172" t="s">
        <v>11720</v>
      </c>
      <c r="W3172" t="s">
        <v>14843</v>
      </c>
      <c r="X3172">
        <v>21</v>
      </c>
      <c r="Y3172" t="s">
        <v>20573</v>
      </c>
      <c r="Z3172" t="s">
        <v>26379</v>
      </c>
      <c r="AA3172">
        <v>0.5965055001883971</v>
      </c>
      <c r="AB3172" t="str">
        <f>HYPERLINK("Melting_Curves/meltCurve_Q14254_FLOT2.pdf", "Melting_Curves/meltCurve_Q14254_FLOT2.pdf")</f>
        <v>Melting_Curves/meltCurve_Q14254_FLOT2.pdf</v>
      </c>
    </row>
    <row r="3173" spans="1:28" x14ac:dyDescent="0.25">
      <c r="A3173" t="s">
        <v>3177</v>
      </c>
      <c r="B3173">
        <v>0.99334974765950101</v>
      </c>
      <c r="C3173">
        <v>1.0128707362117999</v>
      </c>
      <c r="D3173">
        <v>0.83797550579600599</v>
      </c>
      <c r="E3173">
        <v>0.75975055689760995</v>
      </c>
      <c r="F3173">
        <v>0.72935906004433904</v>
      </c>
      <c r="G3173">
        <v>0.58888177880679304</v>
      </c>
      <c r="H3173">
        <v>0.41194569191387498</v>
      </c>
      <c r="I3173">
        <v>0.56261884470410195</v>
      </c>
      <c r="J3173">
        <v>0.41190979171625702</v>
      </c>
      <c r="K3173">
        <v>0.38753341925900398</v>
      </c>
      <c r="L3173">
        <v>529.44803754158602</v>
      </c>
      <c r="M3173">
        <v>9.8983809448440905</v>
      </c>
      <c r="N3173">
        <v>60.946723821992698</v>
      </c>
      <c r="O3173">
        <v>51.442492862687402</v>
      </c>
      <c r="P3173">
        <v>-3.1230652285621201E-2</v>
      </c>
      <c r="Q3173">
        <v>0.35109771426216702</v>
      </c>
      <c r="R3173">
        <v>0.94152095740515995</v>
      </c>
      <c r="S3173" t="s">
        <v>9034</v>
      </c>
      <c r="T3173" t="s">
        <v>11720</v>
      </c>
      <c r="U3173" t="s">
        <v>11720</v>
      </c>
      <c r="V3173" t="s">
        <v>11720</v>
      </c>
      <c r="W3173" t="s">
        <v>14844</v>
      </c>
      <c r="X3173">
        <v>7</v>
      </c>
      <c r="Y3173" t="s">
        <v>20574</v>
      </c>
      <c r="Z3173" t="s">
        <v>26380</v>
      </c>
      <c r="AA3173">
        <v>0.6639770408782506</v>
      </c>
      <c r="AB3173" t="str">
        <f>HYPERLINK("Melting_Curves/meltCurve_Q14257_RCN2.pdf", "Melting_Curves/meltCurve_Q14257_RCN2.pdf")</f>
        <v>Melting_Curves/meltCurve_Q14257_RCN2.pdf</v>
      </c>
    </row>
    <row r="3174" spans="1:28" x14ac:dyDescent="0.25">
      <c r="A3174" t="s">
        <v>3178</v>
      </c>
      <c r="B3174">
        <v>0.99334974765950101</v>
      </c>
      <c r="C3174">
        <v>1.0046278914288</v>
      </c>
      <c r="D3174">
        <v>0.65981309867477</v>
      </c>
      <c r="E3174">
        <v>0.53928771740701098</v>
      </c>
      <c r="F3174">
        <v>0.26375782291287497</v>
      </c>
      <c r="G3174">
        <v>0.136550827114757</v>
      </c>
      <c r="H3174">
        <v>9.5365790586657895E-2</v>
      </c>
      <c r="I3174">
        <v>9.6842142991891603E-2</v>
      </c>
      <c r="J3174">
        <v>0.12875635428693899</v>
      </c>
      <c r="K3174">
        <v>8.0667155794016898E-2</v>
      </c>
      <c r="L3174">
        <v>805.90910061698298</v>
      </c>
      <c r="M3174">
        <v>16.4541983551442</v>
      </c>
      <c r="N3174">
        <v>49.498591099466402</v>
      </c>
      <c r="O3174">
        <v>48.272631755519797</v>
      </c>
      <c r="P3174">
        <v>-7.8460942578302301E-2</v>
      </c>
      <c r="Q3174">
        <v>7.9323068691948204E-2</v>
      </c>
      <c r="R3174">
        <v>0.97820987802190196</v>
      </c>
      <c r="S3174" t="s">
        <v>9035</v>
      </c>
      <c r="T3174" t="s">
        <v>11720</v>
      </c>
      <c r="U3174" t="s">
        <v>11720</v>
      </c>
      <c r="V3174" t="s">
        <v>11720</v>
      </c>
      <c r="W3174" t="s">
        <v>14845</v>
      </c>
      <c r="X3174">
        <v>6</v>
      </c>
      <c r="Y3174" t="s">
        <v>20575</v>
      </c>
      <c r="Z3174" t="s">
        <v>26381</v>
      </c>
      <c r="AA3174">
        <v>0.3739248414336771</v>
      </c>
      <c r="AB3174" t="str">
        <f>HYPERLINK("Melting_Curves/meltCurve_Q14258_TRIM25.pdf", "Melting_Curves/meltCurve_Q14258_TRIM25.pdf")</f>
        <v>Melting_Curves/meltCurve_Q14258_TRIM25.pdf</v>
      </c>
    </row>
    <row r="3175" spans="1:28" x14ac:dyDescent="0.25">
      <c r="A3175" t="s">
        <v>3179</v>
      </c>
      <c r="B3175">
        <v>0.99334974765950101</v>
      </c>
      <c r="C3175">
        <v>0.94737523871631102</v>
      </c>
      <c r="D3175">
        <v>1.09103666868355</v>
      </c>
      <c r="E3175">
        <v>1.10544159836012</v>
      </c>
      <c r="F3175">
        <v>0.79075872545412895</v>
      </c>
      <c r="G3175">
        <v>0.38531194923572099</v>
      </c>
      <c r="H3175">
        <v>0.224974901749951</v>
      </c>
      <c r="I3175">
        <v>0.19243948555672699</v>
      </c>
      <c r="J3175">
        <v>0.163072521205814</v>
      </c>
      <c r="K3175">
        <v>0.14131042898225801</v>
      </c>
      <c r="L3175">
        <v>1868.7912766228801</v>
      </c>
      <c r="M3175">
        <v>33.897154221379203</v>
      </c>
      <c r="N3175">
        <v>55.8189755770819</v>
      </c>
      <c r="O3175">
        <v>54.940395844188799</v>
      </c>
      <c r="P3175">
        <v>-0.12791495779783699</v>
      </c>
      <c r="Q3175">
        <v>0.170706755329808</v>
      </c>
      <c r="R3175">
        <v>0.97970503825847199</v>
      </c>
      <c r="S3175" t="s">
        <v>9036</v>
      </c>
      <c r="T3175" t="s">
        <v>11720</v>
      </c>
      <c r="U3175" t="s">
        <v>11720</v>
      </c>
      <c r="V3175" t="s">
        <v>11720</v>
      </c>
      <c r="W3175" t="s">
        <v>14846</v>
      </c>
      <c r="X3175">
        <v>123</v>
      </c>
      <c r="Y3175" t="s">
        <v>20576</v>
      </c>
      <c r="Z3175" t="s">
        <v>26382</v>
      </c>
      <c r="AA3175">
        <v>0.59333942429968445</v>
      </c>
      <c r="AB3175" t="str">
        <f>HYPERLINK("Melting_Curves/meltCurve_Q14315_FLNC.pdf", "Melting_Curves/meltCurve_Q14315_FLNC.pdf")</f>
        <v>Melting_Curves/meltCurve_Q14315_FLNC.pdf</v>
      </c>
    </row>
    <row r="3176" spans="1:28" x14ac:dyDescent="0.25">
      <c r="A3176" t="s">
        <v>3180</v>
      </c>
      <c r="B3176">
        <v>0.99334974765950101</v>
      </c>
      <c r="C3176">
        <v>0.719388299109052</v>
      </c>
      <c r="D3176">
        <v>0.35447499286057099</v>
      </c>
      <c r="E3176">
        <v>0.16520053322123501</v>
      </c>
      <c r="F3176">
        <v>0.12750868113344099</v>
      </c>
      <c r="G3176">
        <v>8.5856708017896397E-2</v>
      </c>
      <c r="H3176">
        <v>6.7374980847036095E-2</v>
      </c>
      <c r="I3176">
        <v>6.8872358325978197E-2</v>
      </c>
      <c r="J3176">
        <v>5.9312638913800703E-2</v>
      </c>
      <c r="K3176">
        <v>4.4009764027104603E-2</v>
      </c>
      <c r="L3176">
        <v>1068.1301876872801</v>
      </c>
      <c r="M3176">
        <v>23.9919073474058</v>
      </c>
      <c r="N3176">
        <v>44.819124072746099</v>
      </c>
      <c r="O3176">
        <v>44.2146008325875</v>
      </c>
      <c r="P3176">
        <v>-0.12563631476246301</v>
      </c>
      <c r="Q3176">
        <v>7.3875927878486E-2</v>
      </c>
      <c r="R3176">
        <v>0.99361023386572001</v>
      </c>
      <c r="S3176" t="s">
        <v>9037</v>
      </c>
      <c r="T3176" t="s">
        <v>11720</v>
      </c>
      <c r="U3176" t="s">
        <v>11720</v>
      </c>
      <c r="V3176" t="s">
        <v>11720</v>
      </c>
      <c r="W3176" t="s">
        <v>14847</v>
      </c>
      <c r="X3176">
        <v>11</v>
      </c>
      <c r="Y3176" t="s">
        <v>20577</v>
      </c>
      <c r="Z3176" t="s">
        <v>26383</v>
      </c>
      <c r="AA3176">
        <v>0.2242248527094608</v>
      </c>
      <c r="AB3176" t="str">
        <f>HYPERLINK("Melting_Curves/meltCurve_Q14318_2_FKBP8.pdf", "Melting_Curves/meltCurve_Q14318_2_FKBP8.pdf")</f>
        <v>Melting_Curves/meltCurve_Q14318_2_FKBP8.pdf</v>
      </c>
    </row>
    <row r="3177" spans="1:28" x14ac:dyDescent="0.25">
      <c r="A3177" t="s">
        <v>3181</v>
      </c>
      <c r="B3177">
        <v>0.99334974765950101</v>
      </c>
      <c r="C3177">
        <v>0.96261863813428405</v>
      </c>
      <c r="D3177">
        <v>0.78108469326397401</v>
      </c>
      <c r="E3177">
        <v>0.49054449736696898</v>
      </c>
      <c r="F3177">
        <v>0.30429036572886298</v>
      </c>
      <c r="G3177">
        <v>0.17784764634405001</v>
      </c>
      <c r="H3177">
        <v>0.143172639224526</v>
      </c>
      <c r="I3177">
        <v>0.141470205436554</v>
      </c>
      <c r="J3177">
        <v>0.17653242705401101</v>
      </c>
      <c r="K3177">
        <v>0.15166414955031099</v>
      </c>
      <c r="L3177">
        <v>940.791690910135</v>
      </c>
      <c r="M3177">
        <v>19.255524303753301</v>
      </c>
      <c r="N3177">
        <v>49.727705143013402</v>
      </c>
      <c r="O3177">
        <v>48.340480415709202</v>
      </c>
      <c r="P3177">
        <v>-8.5353278384536893E-2</v>
      </c>
      <c r="Q3177">
        <v>0.142924137306493</v>
      </c>
      <c r="R3177">
        <v>0.99775837999753603</v>
      </c>
      <c r="S3177" t="s">
        <v>9038</v>
      </c>
      <c r="T3177" t="s">
        <v>11720</v>
      </c>
      <c r="U3177" t="s">
        <v>11720</v>
      </c>
      <c r="V3177" t="s">
        <v>11720</v>
      </c>
      <c r="W3177" t="s">
        <v>14848</v>
      </c>
      <c r="X3177">
        <v>12</v>
      </c>
      <c r="Y3177" t="s">
        <v>20578</v>
      </c>
      <c r="Z3177" t="s">
        <v>26384</v>
      </c>
      <c r="AA3177">
        <v>0.40898758451160638</v>
      </c>
      <c r="AB3177" t="str">
        <f>HYPERLINK("Melting_Curves/meltCurve_Q14320_FAM50A.pdf", "Melting_Curves/meltCurve_Q14320_FAM50A.pdf")</f>
        <v>Melting_Curves/meltCurve_Q14320_FAM50A.pdf</v>
      </c>
    </row>
    <row r="3178" spans="1:28" x14ac:dyDescent="0.25">
      <c r="A3178" t="s">
        <v>3182</v>
      </c>
      <c r="B3178">
        <v>0.99334974765950101</v>
      </c>
      <c r="C3178">
        <v>1.1040471547002899</v>
      </c>
      <c r="D3178">
        <v>1.1240380433099799</v>
      </c>
      <c r="E3178">
        <v>0.96125357892895202</v>
      </c>
      <c r="F3178">
        <v>1.19165302470521</v>
      </c>
      <c r="G3178">
        <v>1.1750248200293401</v>
      </c>
      <c r="H3178">
        <v>0.91481844844923899</v>
      </c>
      <c r="I3178">
        <v>1.05277438727166</v>
      </c>
      <c r="J3178">
        <v>0.92519059267762904</v>
      </c>
      <c r="K3178">
        <v>0.56399382093477901</v>
      </c>
      <c r="L3178">
        <v>15000</v>
      </c>
      <c r="M3178">
        <v>222.30568638988299</v>
      </c>
      <c r="O3178">
        <v>67.469197475698095</v>
      </c>
      <c r="P3178">
        <v>-0.35926965241032499</v>
      </c>
      <c r="Q3178">
        <v>0.56385038679256205</v>
      </c>
      <c r="R3178">
        <v>0.65045577772583396</v>
      </c>
      <c r="S3178" t="s">
        <v>9039</v>
      </c>
      <c r="T3178" t="s">
        <v>11720</v>
      </c>
      <c r="U3178" t="s">
        <v>11720</v>
      </c>
      <c r="V3178" t="s">
        <v>11720</v>
      </c>
      <c r="W3178" t="s">
        <v>14849</v>
      </c>
      <c r="X3178">
        <v>5</v>
      </c>
      <c r="Y3178" t="s">
        <v>20579</v>
      </c>
      <c r="Z3178" t="s">
        <v>26385</v>
      </c>
      <c r="AA3178">
        <v>0.96334950322307655</v>
      </c>
      <c r="AB3178" t="str">
        <f>HYPERLINK("Melting_Curves/meltCurve_Q14332_FZD2.pdf", "Melting_Curves/meltCurve_Q14332_FZD2.pdf")</f>
        <v>Melting_Curves/meltCurve_Q14332_FZD2.pdf</v>
      </c>
    </row>
    <row r="3179" spans="1:28" x14ac:dyDescent="0.25">
      <c r="A3179" t="s">
        <v>3183</v>
      </c>
      <c r="B3179">
        <v>0.99334974765950101</v>
      </c>
      <c r="C3179">
        <v>0.90677439255130499</v>
      </c>
      <c r="D3179">
        <v>0.92985844932307504</v>
      </c>
      <c r="E3179">
        <v>0.88160486510497704</v>
      </c>
      <c r="F3179">
        <v>0.73504064303317995</v>
      </c>
      <c r="G3179">
        <v>0.37265050682506301</v>
      </c>
      <c r="H3179">
        <v>0.29002660798660201</v>
      </c>
      <c r="I3179">
        <v>0.28872603911042</v>
      </c>
      <c r="J3179">
        <v>0.21757762347988599</v>
      </c>
      <c r="K3179">
        <v>0.15338102210076901</v>
      </c>
      <c r="L3179">
        <v>1056.1751867288201</v>
      </c>
      <c r="M3179">
        <v>19.410669161094699</v>
      </c>
      <c r="N3179">
        <v>55.782916163289798</v>
      </c>
      <c r="O3179">
        <v>53.844449531105603</v>
      </c>
      <c r="P3179">
        <v>-7.3031932260947202E-2</v>
      </c>
      <c r="Q3179">
        <v>0.189678595112448</v>
      </c>
      <c r="R3179">
        <v>0.98054299009287604</v>
      </c>
      <c r="S3179" t="s">
        <v>9040</v>
      </c>
      <c r="T3179" t="s">
        <v>11720</v>
      </c>
      <c r="U3179" t="s">
        <v>11720</v>
      </c>
      <c r="V3179" t="s">
        <v>11720</v>
      </c>
      <c r="W3179" t="s">
        <v>14850</v>
      </c>
      <c r="X3179">
        <v>18</v>
      </c>
      <c r="Y3179" t="s">
        <v>20580</v>
      </c>
      <c r="Z3179" t="s">
        <v>26386</v>
      </c>
      <c r="AA3179">
        <v>0.59041163806809749</v>
      </c>
      <c r="AB3179" t="str">
        <f>HYPERLINK("Melting_Curves/meltCurve_Q14344_GNA13.pdf", "Melting_Curves/meltCurve_Q14344_GNA13.pdf")</f>
        <v>Melting_Curves/meltCurve_Q14344_GNA13.pdf</v>
      </c>
    </row>
    <row r="3180" spans="1:28" x14ac:dyDescent="0.25">
      <c r="A3180" t="s">
        <v>3184</v>
      </c>
      <c r="B3180">
        <v>0.99334974765950101</v>
      </c>
      <c r="C3180">
        <v>0.96747722983572904</v>
      </c>
      <c r="D3180">
        <v>0.803106394199531</v>
      </c>
      <c r="E3180">
        <v>0.649342870340893</v>
      </c>
      <c r="F3180">
        <v>0.24495468511561599</v>
      </c>
      <c r="G3180">
        <v>0.11885065078649699</v>
      </c>
      <c r="H3180">
        <v>7.9797804395581304E-2</v>
      </c>
      <c r="I3180">
        <v>6.9386359676085196E-2</v>
      </c>
      <c r="J3180">
        <v>6.1708853565852602E-2</v>
      </c>
      <c r="K3180">
        <v>5.0837909351891801E-2</v>
      </c>
      <c r="L3180">
        <v>1008.38783437645</v>
      </c>
      <c r="M3180">
        <v>20.000346404927701</v>
      </c>
      <c r="N3180">
        <v>50.660164733619503</v>
      </c>
      <c r="O3180">
        <v>49.9225949887946</v>
      </c>
      <c r="P3180">
        <v>-9.5603273435842503E-2</v>
      </c>
      <c r="Q3180">
        <v>4.5494897624550702E-2</v>
      </c>
      <c r="R3180">
        <v>0.98798159899629301</v>
      </c>
      <c r="S3180" t="s">
        <v>9041</v>
      </c>
      <c r="T3180" t="s">
        <v>11720</v>
      </c>
      <c r="U3180" t="s">
        <v>11720</v>
      </c>
      <c r="V3180" t="s">
        <v>11720</v>
      </c>
      <c r="W3180" t="s">
        <v>14851</v>
      </c>
      <c r="X3180">
        <v>8</v>
      </c>
      <c r="Y3180" t="s">
        <v>20581</v>
      </c>
      <c r="Z3180" t="s">
        <v>26387</v>
      </c>
      <c r="AA3180">
        <v>0.39024847935028478</v>
      </c>
      <c r="AB3180" t="str">
        <f>HYPERLINK("Melting_Curves/meltCurve_Q14353_GAMT.pdf", "Melting_Curves/meltCurve_Q14353_GAMT.pdf")</f>
        <v>Melting_Curves/meltCurve_Q14353_GAMT.pdf</v>
      </c>
    </row>
    <row r="3181" spans="1:28" x14ac:dyDescent="0.25">
      <c r="A3181" t="s">
        <v>3185</v>
      </c>
      <c r="B3181">
        <v>0.99334974765950101</v>
      </c>
      <c r="C3181">
        <v>1.00345189628232</v>
      </c>
      <c r="D3181">
        <v>0.94057314751818899</v>
      </c>
      <c r="E3181">
        <v>0.75295696747069896</v>
      </c>
      <c r="F3181">
        <v>0.34108114760776798</v>
      </c>
      <c r="G3181">
        <v>0.14887117057444599</v>
      </c>
      <c r="H3181">
        <v>8.9910095960505601E-2</v>
      </c>
      <c r="I3181">
        <v>7.7121613794975299E-2</v>
      </c>
      <c r="J3181">
        <v>7.4249854093464795E-2</v>
      </c>
      <c r="K3181">
        <v>5.1037301578811797E-2</v>
      </c>
      <c r="L3181">
        <v>1507.1930212672</v>
      </c>
      <c r="M3181">
        <v>29.232388932221799</v>
      </c>
      <c r="N3181">
        <v>51.836598749821</v>
      </c>
      <c r="O3181">
        <v>51.319518771884901</v>
      </c>
      <c r="P3181">
        <v>-0.13208731347535899</v>
      </c>
      <c r="Q3181">
        <v>7.2452112308972097E-2</v>
      </c>
      <c r="R3181">
        <v>0.99814275939293895</v>
      </c>
      <c r="S3181" t="s">
        <v>9042</v>
      </c>
      <c r="T3181" t="s">
        <v>11720</v>
      </c>
      <c r="U3181" t="s">
        <v>11720</v>
      </c>
      <c r="V3181" t="s">
        <v>11720</v>
      </c>
      <c r="W3181" t="s">
        <v>14852</v>
      </c>
      <c r="X3181">
        <v>7</v>
      </c>
      <c r="Y3181" t="s">
        <v>20582</v>
      </c>
      <c r="Z3181" t="s">
        <v>26388</v>
      </c>
      <c r="AA3181">
        <v>0.43603320696550202</v>
      </c>
      <c r="AB3181" t="str">
        <f>HYPERLINK("Melting_Curves/meltCurve_Q14376_GALE.pdf", "Melting_Curves/meltCurve_Q14376_GALE.pdf")</f>
        <v>Melting_Curves/meltCurve_Q14376_GALE.pdf</v>
      </c>
    </row>
    <row r="3182" spans="1:28" x14ac:dyDescent="0.25">
      <c r="A3182" t="s">
        <v>3186</v>
      </c>
      <c r="B3182">
        <v>0.99334974765950101</v>
      </c>
      <c r="C3182">
        <v>0.92315204119204197</v>
      </c>
      <c r="D3182">
        <v>1.02518116701388</v>
      </c>
      <c r="E3182">
        <v>0.89249088549377797</v>
      </c>
      <c r="F3182">
        <v>0.65001874357077805</v>
      </c>
      <c r="G3182">
        <v>0.51077361414464495</v>
      </c>
      <c r="H3182">
        <v>0.32201270000587801</v>
      </c>
      <c r="I3182">
        <v>0.35480631858512801</v>
      </c>
      <c r="J3182">
        <v>0.210780918690844</v>
      </c>
      <c r="K3182">
        <v>0.13033411534278899</v>
      </c>
      <c r="L3182">
        <v>725.81410124872798</v>
      </c>
      <c r="M3182">
        <v>12.9587414210904</v>
      </c>
      <c r="N3182">
        <v>57.207599038184803</v>
      </c>
      <c r="O3182">
        <v>54.726141979539399</v>
      </c>
      <c r="P3182">
        <v>-5.2172798634070497E-2</v>
      </c>
      <c r="Q3182">
        <v>0.118832522650971</v>
      </c>
      <c r="R3182">
        <v>0.97447264708144998</v>
      </c>
      <c r="S3182" t="s">
        <v>9043</v>
      </c>
      <c r="T3182" t="s">
        <v>11720</v>
      </c>
      <c r="U3182" t="s">
        <v>11720</v>
      </c>
      <c r="V3182" t="s">
        <v>11720</v>
      </c>
      <c r="W3182" t="s">
        <v>14853</v>
      </c>
      <c r="X3182">
        <v>5</v>
      </c>
      <c r="Y3182" t="s">
        <v>20583</v>
      </c>
      <c r="Z3182" t="s">
        <v>26389</v>
      </c>
      <c r="AA3182">
        <v>0.6063717360658798</v>
      </c>
      <c r="AB3182" t="str">
        <f>HYPERLINK("Melting_Curves/meltCurve_Q14392_LRRC32.pdf", "Melting_Curves/meltCurve_Q14392_LRRC32.pdf")</f>
        <v>Melting_Curves/meltCurve_Q14392_LRRC32.pdf</v>
      </c>
    </row>
    <row r="3183" spans="1:28" x14ac:dyDescent="0.25">
      <c r="A3183" t="s">
        <v>3187</v>
      </c>
      <c r="B3183">
        <v>0.99334974765950101</v>
      </c>
      <c r="C3183">
        <v>0.99360569023735601</v>
      </c>
      <c r="D3183">
        <v>1.1238012715222101</v>
      </c>
      <c r="E3183">
        <v>1.13076876979056</v>
      </c>
      <c r="F3183">
        <v>0.83802994035240697</v>
      </c>
      <c r="G3183">
        <v>0.67316657520323897</v>
      </c>
      <c r="H3183">
        <v>0.49899374669968799</v>
      </c>
      <c r="I3183">
        <v>0.51002205978760995</v>
      </c>
      <c r="J3183">
        <v>0.33235492535752698</v>
      </c>
      <c r="K3183">
        <v>0.28536187886327202</v>
      </c>
      <c r="L3183">
        <v>1064.0945010303101</v>
      </c>
      <c r="M3183">
        <v>18.310684151435499</v>
      </c>
      <c r="N3183">
        <v>61.165216810408303</v>
      </c>
      <c r="O3183">
        <v>57.4334809647779</v>
      </c>
      <c r="P3183">
        <v>-5.58378255013178E-2</v>
      </c>
      <c r="Q3183">
        <v>0.29946630958696902</v>
      </c>
      <c r="R3183">
        <v>0.93327648007617103</v>
      </c>
      <c r="S3183" t="s">
        <v>9044</v>
      </c>
      <c r="T3183" t="s">
        <v>11720</v>
      </c>
      <c r="U3183" t="s">
        <v>11720</v>
      </c>
      <c r="V3183" t="s">
        <v>11720</v>
      </c>
      <c r="W3183" t="s">
        <v>14854</v>
      </c>
      <c r="X3183">
        <v>11</v>
      </c>
      <c r="Y3183" t="s">
        <v>20584</v>
      </c>
      <c r="Z3183" t="s">
        <v>26390</v>
      </c>
      <c r="AA3183">
        <v>0.73087260811300481</v>
      </c>
      <c r="AB3183" t="str">
        <f>HYPERLINK("Melting_Curves/meltCurve_Q14393_2_GAS6.pdf", "Melting_Curves/meltCurve_Q14393_2_GAS6.pdf")</f>
        <v>Melting_Curves/meltCurve_Q14393_2_GAS6.pdf</v>
      </c>
    </row>
    <row r="3184" spans="1:28" x14ac:dyDescent="0.25">
      <c r="A3184" t="s">
        <v>3188</v>
      </c>
      <c r="B3184">
        <v>0.99334974765950101</v>
      </c>
      <c r="C3184">
        <v>1.0397897678428101</v>
      </c>
      <c r="D3184">
        <v>1.0723901837801499</v>
      </c>
      <c r="E3184">
        <v>1.00109914793837</v>
      </c>
      <c r="F3184">
        <v>1.3216682281360901</v>
      </c>
      <c r="G3184">
        <v>1.13442192581072</v>
      </c>
      <c r="H3184">
        <v>0.97206586544860696</v>
      </c>
      <c r="I3184">
        <v>0.89988977135528303</v>
      </c>
      <c r="J3184">
        <v>0.77659833266832601</v>
      </c>
      <c r="K3184">
        <v>0.72233193729610201</v>
      </c>
      <c r="L3184">
        <v>2775.4644450370902</v>
      </c>
      <c r="M3184">
        <v>42.720933851372401</v>
      </c>
      <c r="O3184">
        <v>64.825446915506305</v>
      </c>
      <c r="P3184">
        <v>-4.7531076850040897E-2</v>
      </c>
      <c r="Q3184">
        <v>0.71150271250705999</v>
      </c>
      <c r="R3184">
        <v>0.51555395540386495</v>
      </c>
      <c r="S3184" t="s">
        <v>9045</v>
      </c>
      <c r="T3184" t="s">
        <v>11720</v>
      </c>
      <c r="U3184" t="s">
        <v>11720</v>
      </c>
      <c r="V3184" t="s">
        <v>11720</v>
      </c>
      <c r="W3184" t="s">
        <v>14855</v>
      </c>
      <c r="X3184">
        <v>19</v>
      </c>
      <c r="Y3184" t="s">
        <v>20585</v>
      </c>
      <c r="Z3184" t="s">
        <v>26391</v>
      </c>
      <c r="AA3184">
        <v>0.95192580974283725</v>
      </c>
      <c r="AB3184" t="str">
        <f>HYPERLINK("Melting_Curves/meltCurve_Q14444_2_CAPRIN1.pdf", "Melting_Curves/meltCurve_Q14444_2_CAPRIN1.pdf")</f>
        <v>Melting_Curves/meltCurve_Q14444_2_CAPRIN1.pdf</v>
      </c>
    </row>
    <row r="3185" spans="1:28" x14ac:dyDescent="0.25">
      <c r="A3185" t="s">
        <v>3189</v>
      </c>
      <c r="B3185">
        <v>0.99334974765950101</v>
      </c>
      <c r="C3185">
        <v>0.98007574603149905</v>
      </c>
      <c r="D3185">
        <v>0.95443840193005103</v>
      </c>
      <c r="E3185">
        <v>0.48428185082055097</v>
      </c>
      <c r="F3185">
        <v>0.45406265893585501</v>
      </c>
      <c r="G3185">
        <v>0.25520913904508902</v>
      </c>
      <c r="H3185">
        <v>0.24152864695738199</v>
      </c>
      <c r="I3185">
        <v>0.188067862581447</v>
      </c>
      <c r="J3185">
        <v>0.152756716645577</v>
      </c>
      <c r="K3185">
        <v>0.13607535543289601</v>
      </c>
      <c r="L3185">
        <v>970.12080766234897</v>
      </c>
      <c r="M3185">
        <v>19.388838002984102</v>
      </c>
      <c r="N3185">
        <v>51.162850850625297</v>
      </c>
      <c r="O3185">
        <v>49.511894526800099</v>
      </c>
      <c r="P3185">
        <v>-8.0877850392578707E-2</v>
      </c>
      <c r="Q3185">
        <v>0.173902664044533</v>
      </c>
      <c r="R3185">
        <v>0.97624728545614503</v>
      </c>
      <c r="S3185" t="s">
        <v>9046</v>
      </c>
      <c r="T3185" t="s">
        <v>11720</v>
      </c>
      <c r="U3185" t="s">
        <v>11720</v>
      </c>
      <c r="V3185" t="s">
        <v>11720</v>
      </c>
      <c r="W3185" t="s">
        <v>14856</v>
      </c>
      <c r="X3185">
        <v>5</v>
      </c>
      <c r="Y3185" t="s">
        <v>20586</v>
      </c>
      <c r="Z3185" t="s">
        <v>26392</v>
      </c>
      <c r="AA3185">
        <v>0.46244549738976998</v>
      </c>
      <c r="AB3185" t="str">
        <f>HYPERLINK("Melting_Curves/meltCurve_Q14498_3_RBM39.pdf", "Melting_Curves/meltCurve_Q14498_3_RBM39.pdf")</f>
        <v>Melting_Curves/meltCurve_Q14498_3_RBM39.pdf</v>
      </c>
    </row>
    <row r="3186" spans="1:28" x14ac:dyDescent="0.25">
      <c r="A3186" t="s">
        <v>3190</v>
      </c>
      <c r="B3186">
        <v>0.99334974765950101</v>
      </c>
      <c r="C3186">
        <v>0.90335643558388201</v>
      </c>
      <c r="D3186">
        <v>0.74722987736034596</v>
      </c>
      <c r="E3186">
        <v>0.41087074166486198</v>
      </c>
      <c r="F3186">
        <v>0.45277468098082502</v>
      </c>
      <c r="G3186">
        <v>0.23508058792005401</v>
      </c>
      <c r="H3186">
        <v>0.201985218519352</v>
      </c>
      <c r="I3186">
        <v>0.19818434822495801</v>
      </c>
      <c r="J3186">
        <v>0.193607898894465</v>
      </c>
      <c r="K3186">
        <v>0.14598616996362099</v>
      </c>
      <c r="L3186">
        <v>700.35348525977395</v>
      </c>
      <c r="M3186">
        <v>14.439259669367299</v>
      </c>
      <c r="N3186">
        <v>49.897216440413601</v>
      </c>
      <c r="O3186">
        <v>47.601564808731503</v>
      </c>
      <c r="P3186">
        <v>-6.3256240511333897E-2</v>
      </c>
      <c r="Q3186">
        <v>0.16595641942995701</v>
      </c>
      <c r="R3186">
        <v>0.97928943154890302</v>
      </c>
      <c r="S3186" t="s">
        <v>9047</v>
      </c>
      <c r="T3186" t="s">
        <v>11720</v>
      </c>
      <c r="U3186" t="s">
        <v>11720</v>
      </c>
      <c r="V3186" t="s">
        <v>11720</v>
      </c>
      <c r="W3186" t="s">
        <v>14857</v>
      </c>
      <c r="X3186">
        <v>3</v>
      </c>
      <c r="Y3186" t="s">
        <v>20587</v>
      </c>
      <c r="Z3186" t="s">
        <v>26393</v>
      </c>
      <c r="AA3186">
        <v>0.42494403425603328</v>
      </c>
      <c r="AB3186" t="str">
        <f>HYPERLINK("Melting_Curves/meltCurve_Q14511_3_NEDD9.pdf", "Melting_Curves/meltCurve_Q14511_3_NEDD9.pdf")</f>
        <v>Melting_Curves/meltCurve_Q14511_3_NEDD9.pdf</v>
      </c>
    </row>
    <row r="3187" spans="1:28" x14ac:dyDescent="0.25">
      <c r="A3187" t="s">
        <v>3191</v>
      </c>
      <c r="B3187">
        <v>0.99334974765950101</v>
      </c>
      <c r="C3187">
        <v>0.98508106303709797</v>
      </c>
      <c r="D3187">
        <v>0.94380980672095804</v>
      </c>
      <c r="E3187">
        <v>1.01911363390253</v>
      </c>
      <c r="F3187">
        <v>0.88491334510405395</v>
      </c>
      <c r="G3187">
        <v>1.09466877244914</v>
      </c>
      <c r="H3187">
        <v>0.98448475357277998</v>
      </c>
      <c r="I3187">
        <v>0.95921852831712495</v>
      </c>
      <c r="J3187">
        <v>0.92111543527307105</v>
      </c>
      <c r="K3187">
        <v>0.80817853527925598</v>
      </c>
      <c r="L3187">
        <v>1662.5843620707501</v>
      </c>
      <c r="M3187">
        <v>23.031661441042498</v>
      </c>
      <c r="Q3187">
        <v>0.41643052274852299</v>
      </c>
      <c r="R3187">
        <v>0.514642778583563</v>
      </c>
      <c r="S3187" t="s">
        <v>9048</v>
      </c>
      <c r="T3187" t="s">
        <v>11720</v>
      </c>
      <c r="U3187" t="s">
        <v>11720</v>
      </c>
      <c r="V3187" t="s">
        <v>11720</v>
      </c>
      <c r="W3187" t="s">
        <v>14858</v>
      </c>
      <c r="X3187">
        <v>11</v>
      </c>
      <c r="Y3187" t="s">
        <v>20588</v>
      </c>
      <c r="Z3187" t="s">
        <v>26394</v>
      </c>
      <c r="AA3187">
        <v>0.9791274895612686</v>
      </c>
      <c r="AB3187" t="str">
        <f>HYPERLINK("Melting_Curves/meltCurve_Q14517_FAT1.pdf", "Melting_Curves/meltCurve_Q14517_FAT1.pdf")</f>
        <v>Melting_Curves/meltCurve_Q14517_FAT1.pdf</v>
      </c>
    </row>
    <row r="3188" spans="1:28" x14ac:dyDescent="0.25">
      <c r="A3188" t="s">
        <v>3192</v>
      </c>
      <c r="B3188">
        <v>0.99334974765950101</v>
      </c>
      <c r="C3188">
        <v>0.98611274381178204</v>
      </c>
      <c r="D3188">
        <v>0.94428920967826302</v>
      </c>
      <c r="E3188">
        <v>0.83197314090800301</v>
      </c>
      <c r="F3188">
        <v>0.68337477483896503</v>
      </c>
      <c r="G3188">
        <v>0.44288830227727699</v>
      </c>
      <c r="H3188">
        <v>0.122552538156691</v>
      </c>
      <c r="I3188">
        <v>8.2131483816788906E-2</v>
      </c>
      <c r="J3188">
        <v>6.9424602578588096E-2</v>
      </c>
      <c r="K3188">
        <v>5.9839831127139601E-2</v>
      </c>
      <c r="L3188">
        <v>905.16367100150501</v>
      </c>
      <c r="M3188">
        <v>16.325018306202999</v>
      </c>
      <c r="N3188">
        <v>55.4464312297956</v>
      </c>
      <c r="O3188">
        <v>54.634449383072798</v>
      </c>
      <c r="P3188">
        <v>-7.4706534243704506E-2</v>
      </c>
      <c r="Q3188">
        <v>0</v>
      </c>
      <c r="R3188">
        <v>0.99409055008701497</v>
      </c>
      <c r="S3188" t="s">
        <v>9049</v>
      </c>
      <c r="T3188" t="s">
        <v>11720</v>
      </c>
      <c r="U3188" t="s">
        <v>11720</v>
      </c>
      <c r="V3188" t="s">
        <v>11720</v>
      </c>
      <c r="W3188" t="s">
        <v>14859</v>
      </c>
      <c r="X3188">
        <v>1</v>
      </c>
      <c r="Y3188" t="s">
        <v>20589</v>
      </c>
      <c r="Z3188" t="s">
        <v>26395</v>
      </c>
      <c r="AA3188">
        <v>0.5319372295502135</v>
      </c>
      <c r="AB3188" t="str">
        <f>HYPERLINK("Melting_Curves/meltCurve_Q14520_2_HABP2.pdf", "Melting_Curves/meltCurve_Q14520_2_HABP2.pdf")</f>
        <v>Melting_Curves/meltCurve_Q14520_2_HABP2.pdf</v>
      </c>
    </row>
    <row r="3189" spans="1:28" x14ac:dyDescent="0.25">
      <c r="A3189" t="s">
        <v>3193</v>
      </c>
      <c r="B3189">
        <v>0.99334974765950101</v>
      </c>
      <c r="C3189">
        <v>0.92676599994888598</v>
      </c>
      <c r="D3189">
        <v>0.81417724038813</v>
      </c>
      <c r="E3189">
        <v>0.42901114246573402</v>
      </c>
      <c r="F3189">
        <v>0.20312330890796701</v>
      </c>
      <c r="G3189">
        <v>0.133488873840171</v>
      </c>
      <c r="H3189">
        <v>9.2602411533608597E-2</v>
      </c>
      <c r="I3189">
        <v>6.7598975411886406E-2</v>
      </c>
      <c r="J3189">
        <v>6.4602723421680094E-2</v>
      </c>
      <c r="K3189">
        <v>4.5788010612981302E-2</v>
      </c>
      <c r="L3189">
        <v>1007.68461255382</v>
      </c>
      <c r="M3189">
        <v>20.600323097363201</v>
      </c>
      <c r="N3189">
        <v>49.235895817316802</v>
      </c>
      <c r="O3189">
        <v>48.462014702380699</v>
      </c>
      <c r="P3189">
        <v>-9.9616152623103305E-2</v>
      </c>
      <c r="Q3189">
        <v>6.2643973028481695E-2</v>
      </c>
      <c r="R3189">
        <v>0.99836060189754705</v>
      </c>
      <c r="S3189" t="s">
        <v>9050</v>
      </c>
      <c r="T3189" t="s">
        <v>11720</v>
      </c>
      <c r="U3189" t="s">
        <v>11720</v>
      </c>
      <c r="V3189" t="s">
        <v>11720</v>
      </c>
      <c r="W3189" t="s">
        <v>14860</v>
      </c>
      <c r="X3189">
        <v>13</v>
      </c>
      <c r="Y3189" t="s">
        <v>20590</v>
      </c>
      <c r="Z3189" t="s">
        <v>26396</v>
      </c>
      <c r="AA3189">
        <v>0.35359512624168687</v>
      </c>
      <c r="AB3189" t="str">
        <f>HYPERLINK("Melting_Curves/meltCurve_Q14534_SQLE.pdf", "Melting_Curves/meltCurve_Q14534_SQLE.pdf")</f>
        <v>Melting_Curves/meltCurve_Q14534_SQLE.pdf</v>
      </c>
    </row>
    <row r="3190" spans="1:28" x14ac:dyDescent="0.25">
      <c r="A3190" t="s">
        <v>3194</v>
      </c>
      <c r="B3190">
        <v>0.99334974765950101</v>
      </c>
      <c r="C3190">
        <v>1.0064938320571399</v>
      </c>
      <c r="D3190">
        <v>0.93003115688114202</v>
      </c>
      <c r="E3190">
        <v>0.71297609598071399</v>
      </c>
      <c r="F3190">
        <v>0.239309377068534</v>
      </c>
      <c r="G3190">
        <v>0.16672712985570301</v>
      </c>
      <c r="H3190">
        <v>0.115430607946341</v>
      </c>
      <c r="I3190">
        <v>0.105743634835582</v>
      </c>
      <c r="J3190">
        <v>7.7104797661830801E-2</v>
      </c>
      <c r="K3190">
        <v>6.6922385988390801E-2</v>
      </c>
      <c r="L3190">
        <v>1947.8015803313399</v>
      </c>
      <c r="M3190">
        <v>38.2719929438652</v>
      </c>
      <c r="N3190">
        <v>51.192277408980303</v>
      </c>
      <c r="O3190">
        <v>50.755312497594701</v>
      </c>
      <c r="P3190">
        <v>-0.169652801134138</v>
      </c>
      <c r="Q3190">
        <v>0.100046064275427</v>
      </c>
      <c r="R3190">
        <v>0.99458217518027703</v>
      </c>
      <c r="S3190" t="s">
        <v>9051</v>
      </c>
      <c r="T3190" t="s">
        <v>11720</v>
      </c>
      <c r="U3190" t="s">
        <v>11720</v>
      </c>
      <c r="V3190" t="s">
        <v>11720</v>
      </c>
      <c r="W3190" t="s">
        <v>14861</v>
      </c>
      <c r="X3190">
        <v>21</v>
      </c>
      <c r="Y3190" t="s">
        <v>20591</v>
      </c>
      <c r="Z3190" t="s">
        <v>26397</v>
      </c>
      <c r="AA3190">
        <v>0.4302994586281173</v>
      </c>
      <c r="AB3190" t="str">
        <f>HYPERLINK("Melting_Curves/meltCurve_Q14554_PDIA5.pdf", "Melting_Curves/meltCurve_Q14554_PDIA5.pdf")</f>
        <v>Melting_Curves/meltCurve_Q14554_PDIA5.pdf</v>
      </c>
    </row>
    <row r="3191" spans="1:28" x14ac:dyDescent="0.25">
      <c r="A3191" t="s">
        <v>3195</v>
      </c>
      <c r="B3191">
        <v>0.99334974765950101</v>
      </c>
      <c r="C3191">
        <v>1.05331030157199</v>
      </c>
      <c r="D3191">
        <v>1.2222354364285399</v>
      </c>
      <c r="E3191">
        <v>1.1247663701786801</v>
      </c>
      <c r="F3191">
        <v>1.3263439313016001</v>
      </c>
      <c r="G3191">
        <v>1.48795602021411</v>
      </c>
      <c r="H3191">
        <v>0.84688041052535601</v>
      </c>
      <c r="I3191">
        <v>0.53089818998087801</v>
      </c>
      <c r="J3191">
        <v>0.17780800832560101</v>
      </c>
      <c r="K3191">
        <v>0.14069229585941001</v>
      </c>
      <c r="L3191">
        <v>3044.0421219863802</v>
      </c>
      <c r="M3191">
        <v>47.788787285468203</v>
      </c>
      <c r="N3191">
        <v>64.063758230406506</v>
      </c>
      <c r="O3191">
        <v>63.586593161961098</v>
      </c>
      <c r="P3191">
        <v>-0.16544731456078099</v>
      </c>
      <c r="Q3191">
        <v>0.119440318005908</v>
      </c>
      <c r="R3191">
        <v>0.78473214687251303</v>
      </c>
      <c r="S3191" t="s">
        <v>9052</v>
      </c>
      <c r="T3191" t="s">
        <v>11720</v>
      </c>
      <c r="U3191" t="s">
        <v>11720</v>
      </c>
      <c r="V3191" t="s">
        <v>11720</v>
      </c>
      <c r="W3191" t="s">
        <v>14862</v>
      </c>
      <c r="X3191">
        <v>6</v>
      </c>
      <c r="Y3191" t="s">
        <v>20592</v>
      </c>
      <c r="Z3191" t="s">
        <v>26398</v>
      </c>
      <c r="AA3191">
        <v>0.81706190145988367</v>
      </c>
      <c r="AB3191" t="str">
        <f>HYPERLINK("Melting_Curves/meltCurve_Q14558_PRPSAP1.pdf", "Melting_Curves/meltCurve_Q14558_PRPSAP1.pdf")</f>
        <v>Melting_Curves/meltCurve_Q14558_PRPSAP1.pdf</v>
      </c>
    </row>
    <row r="3192" spans="1:28" x14ac:dyDescent="0.25">
      <c r="A3192" t="s">
        <v>3196</v>
      </c>
      <c r="B3192">
        <v>0.99334974765950101</v>
      </c>
      <c r="C3192">
        <v>0.94649062635807901</v>
      </c>
      <c r="D3192">
        <v>0.837071940070099</v>
      </c>
      <c r="E3192">
        <v>0.64585191181109403</v>
      </c>
      <c r="F3192">
        <v>0.336864209887626</v>
      </c>
      <c r="G3192">
        <v>0.18922150452009701</v>
      </c>
      <c r="H3192">
        <v>0.13739991598245899</v>
      </c>
      <c r="I3192">
        <v>0.109902809497406</v>
      </c>
      <c r="J3192">
        <v>0.117179296664498</v>
      </c>
      <c r="K3192">
        <v>8.4275698029539894E-2</v>
      </c>
      <c r="L3192">
        <v>897.94288584188598</v>
      </c>
      <c r="M3192">
        <v>17.734352647356801</v>
      </c>
      <c r="N3192">
        <v>51.1889618392809</v>
      </c>
      <c r="O3192">
        <v>50.0023277598806</v>
      </c>
      <c r="P3192">
        <v>-8.0904245432502506E-2</v>
      </c>
      <c r="Q3192">
        <v>8.7603832097674805E-2</v>
      </c>
      <c r="R3192">
        <v>0.99548363393198902</v>
      </c>
      <c r="S3192" t="s">
        <v>9053</v>
      </c>
      <c r="T3192" t="s">
        <v>11720</v>
      </c>
      <c r="U3192" t="s">
        <v>11720</v>
      </c>
      <c r="V3192" t="s">
        <v>11720</v>
      </c>
      <c r="W3192" t="s">
        <v>14863</v>
      </c>
      <c r="X3192">
        <v>9</v>
      </c>
      <c r="Y3192" t="s">
        <v>20593</v>
      </c>
      <c r="Z3192" t="s">
        <v>26399</v>
      </c>
      <c r="AA3192">
        <v>0.42685238721250551</v>
      </c>
      <c r="AB3192" t="str">
        <f>HYPERLINK("Melting_Curves/meltCurve_Q14642_INPP5A.pdf", "Melting_Curves/meltCurve_Q14642_INPP5A.pdf")</f>
        <v>Melting_Curves/meltCurve_Q14642_INPP5A.pdf</v>
      </c>
    </row>
    <row r="3193" spans="1:28" x14ac:dyDescent="0.25">
      <c r="A3193" t="s">
        <v>3197</v>
      </c>
      <c r="B3193">
        <v>0.99334974765950101</v>
      </c>
      <c r="C3193">
        <v>0.92311949204534405</v>
      </c>
      <c r="D3193">
        <v>0.74464754177804005</v>
      </c>
      <c r="E3193">
        <v>0.42361972033350498</v>
      </c>
      <c r="F3193">
        <v>0.26219048345276103</v>
      </c>
      <c r="G3193">
        <v>0.14297413913881099</v>
      </c>
      <c r="H3193">
        <v>8.3439504430571396E-2</v>
      </c>
      <c r="I3193">
        <v>5.5168184414347003E-2</v>
      </c>
      <c r="J3193">
        <v>5.6797208590906902E-2</v>
      </c>
      <c r="K3193">
        <v>4.0144120790000203E-2</v>
      </c>
      <c r="L3193">
        <v>800.24803301345798</v>
      </c>
      <c r="M3193">
        <v>16.365324521382899</v>
      </c>
      <c r="N3193">
        <v>49.172866361140997</v>
      </c>
      <c r="O3193">
        <v>48.186358712488101</v>
      </c>
      <c r="P3193">
        <v>-8.1213932712418099E-2</v>
      </c>
      <c r="Q3193">
        <v>4.3557527645090598E-2</v>
      </c>
      <c r="R3193">
        <v>0.99915538533514403</v>
      </c>
      <c r="S3193" t="s">
        <v>9054</v>
      </c>
      <c r="T3193" t="s">
        <v>11720</v>
      </c>
      <c r="U3193" t="s">
        <v>11720</v>
      </c>
      <c r="V3193" t="s">
        <v>11720</v>
      </c>
      <c r="W3193" t="s">
        <v>14864</v>
      </c>
      <c r="X3193">
        <v>3</v>
      </c>
      <c r="Y3193" t="s">
        <v>20594</v>
      </c>
      <c r="Z3193" t="s">
        <v>26400</v>
      </c>
      <c r="AA3193">
        <v>0.34731096224519192</v>
      </c>
      <c r="AB3193" t="str">
        <f>HYPERLINK("Melting_Curves/meltCurve_Q14644_RASA3.pdf", "Melting_Curves/meltCurve_Q14644_RASA3.pdf")</f>
        <v>Melting_Curves/meltCurve_Q14644_RASA3.pdf</v>
      </c>
    </row>
    <row r="3194" spans="1:28" x14ac:dyDescent="0.25">
      <c r="A3194" t="s">
        <v>3198</v>
      </c>
      <c r="B3194">
        <v>0.99334974765950101</v>
      </c>
      <c r="C3194">
        <v>0.94057226954516004</v>
      </c>
      <c r="D3194">
        <v>0.90263573981107303</v>
      </c>
      <c r="E3194">
        <v>0.72352160770760099</v>
      </c>
      <c r="F3194">
        <v>0.36996583301192598</v>
      </c>
      <c r="G3194">
        <v>0.15928038623750099</v>
      </c>
      <c r="H3194">
        <v>0.11727557541693</v>
      </c>
      <c r="I3194">
        <v>7.4931621223496295E-2</v>
      </c>
      <c r="J3194">
        <v>7.25684652997826E-2</v>
      </c>
      <c r="K3194">
        <v>4.6983919148160802E-2</v>
      </c>
      <c r="L3194">
        <v>1121.4939877335801</v>
      </c>
      <c r="M3194">
        <v>21.747981542022298</v>
      </c>
      <c r="N3194">
        <v>51.8780265410943</v>
      </c>
      <c r="O3194">
        <v>51.1376644723344</v>
      </c>
      <c r="P3194">
        <v>-9.9838893030227804E-2</v>
      </c>
      <c r="Q3194">
        <v>6.0987187869402902E-2</v>
      </c>
      <c r="R3194">
        <v>0.99541877380029897</v>
      </c>
      <c r="S3194" t="s">
        <v>9055</v>
      </c>
      <c r="T3194" t="s">
        <v>11720</v>
      </c>
      <c r="U3194" t="s">
        <v>11720</v>
      </c>
      <c r="V3194" t="s">
        <v>11720</v>
      </c>
      <c r="W3194" t="s">
        <v>14865</v>
      </c>
      <c r="X3194">
        <v>10</v>
      </c>
      <c r="Y3194" t="s">
        <v>18636</v>
      </c>
      <c r="Z3194" t="s">
        <v>26401</v>
      </c>
      <c r="AA3194">
        <v>0.43420471068214611</v>
      </c>
      <c r="AB3194" t="str">
        <f>HYPERLINK("Melting_Curves/meltCurve_Q14653_IRF3.pdf", "Melting_Curves/meltCurve_Q14653_IRF3.pdf")</f>
        <v>Melting_Curves/meltCurve_Q14653_IRF3.pdf</v>
      </c>
    </row>
    <row r="3195" spans="1:28" x14ac:dyDescent="0.25">
      <c r="A3195" t="s">
        <v>3199</v>
      </c>
      <c r="B3195">
        <v>0.99334974765950101</v>
      </c>
      <c r="C3195">
        <v>1.0771505876459899</v>
      </c>
      <c r="D3195">
        <v>0.95948762484098804</v>
      </c>
      <c r="E3195">
        <v>1.01799503630683</v>
      </c>
      <c r="F3195">
        <v>0.98639917290243095</v>
      </c>
      <c r="G3195">
        <v>0.94436308524769996</v>
      </c>
      <c r="H3195">
        <v>0.61274177763701998</v>
      </c>
      <c r="I3195">
        <v>0.246079346259342</v>
      </c>
      <c r="J3195">
        <v>0.252539930711775</v>
      </c>
      <c r="K3195">
        <v>0.205711273084317</v>
      </c>
      <c r="L3195">
        <v>3332.6130843608498</v>
      </c>
      <c r="M3195">
        <v>54.654693648515703</v>
      </c>
      <c r="N3195">
        <v>61.613572552821097</v>
      </c>
      <c r="O3195">
        <v>60.894320005552103</v>
      </c>
      <c r="P3195">
        <v>-0.175909897032452</v>
      </c>
      <c r="Q3195">
        <v>0.216030211298358</v>
      </c>
      <c r="R3195">
        <v>0.99039132781721595</v>
      </c>
      <c r="S3195" t="s">
        <v>9056</v>
      </c>
      <c r="T3195" t="s">
        <v>11720</v>
      </c>
      <c r="U3195" t="s">
        <v>11720</v>
      </c>
      <c r="V3195" t="s">
        <v>11720</v>
      </c>
      <c r="W3195" t="s">
        <v>14866</v>
      </c>
      <c r="X3195">
        <v>3</v>
      </c>
      <c r="Y3195" t="s">
        <v>20595</v>
      </c>
      <c r="Z3195" t="s">
        <v>26402</v>
      </c>
      <c r="AA3195">
        <v>0.76590456090458714</v>
      </c>
      <c r="AB3195" t="str">
        <f>HYPERLINK("Melting_Curves/meltCurve_Q14657_LAGE3.pdf", "Melting_Curves/meltCurve_Q14657_LAGE3.pdf")</f>
        <v>Melting_Curves/meltCurve_Q14657_LAGE3.pdf</v>
      </c>
    </row>
    <row r="3196" spans="1:28" x14ac:dyDescent="0.25">
      <c r="A3196" t="s">
        <v>3200</v>
      </c>
      <c r="B3196">
        <v>0.99334974765950101</v>
      </c>
      <c r="C3196">
        <v>0.84638882173208396</v>
      </c>
      <c r="D3196">
        <v>0.56767382921393506</v>
      </c>
      <c r="E3196">
        <v>0.41351344258164602</v>
      </c>
      <c r="F3196">
        <v>0.25188990788261501</v>
      </c>
      <c r="G3196">
        <v>0.174246125513391</v>
      </c>
      <c r="H3196">
        <v>0.10271036586296001</v>
      </c>
      <c r="I3196">
        <v>8.0928049752723996E-2</v>
      </c>
      <c r="J3196">
        <v>6.1272129462912002E-2</v>
      </c>
      <c r="K3196">
        <v>4.5981602079277803E-2</v>
      </c>
      <c r="L3196">
        <v>629.11064246213596</v>
      </c>
      <c r="M3196">
        <v>13.189289032592001</v>
      </c>
      <c r="N3196">
        <v>48.080133359473599</v>
      </c>
      <c r="O3196">
        <v>46.642073778411799</v>
      </c>
      <c r="P3196">
        <v>-6.7193109570823903E-2</v>
      </c>
      <c r="Q3196">
        <v>4.96826096890918E-2</v>
      </c>
      <c r="R3196">
        <v>0.98928416234862404</v>
      </c>
      <c r="S3196" t="s">
        <v>9057</v>
      </c>
      <c r="T3196" t="s">
        <v>11720</v>
      </c>
      <c r="U3196" t="s">
        <v>11720</v>
      </c>
      <c r="V3196" t="s">
        <v>11720</v>
      </c>
      <c r="W3196" t="s">
        <v>14867</v>
      </c>
      <c r="X3196">
        <v>12</v>
      </c>
      <c r="Y3196" t="s">
        <v>20596</v>
      </c>
      <c r="Z3196" t="s">
        <v>26403</v>
      </c>
      <c r="AA3196">
        <v>0.32544758795923773</v>
      </c>
      <c r="AB3196" t="str">
        <f>HYPERLINK("Melting_Curves/meltCurve_Q14669_3_TRIP12.pdf", "Melting_Curves/meltCurve_Q14669_3_TRIP12.pdf")</f>
        <v>Melting_Curves/meltCurve_Q14669_3_TRIP12.pdf</v>
      </c>
    </row>
    <row r="3197" spans="1:28" x14ac:dyDescent="0.25">
      <c r="A3197" t="s">
        <v>3201</v>
      </c>
      <c r="B3197">
        <v>0.99334974765950101</v>
      </c>
      <c r="C3197">
        <v>0.93726771695914302</v>
      </c>
      <c r="D3197">
        <v>0.86537404272765195</v>
      </c>
      <c r="E3197">
        <v>0.72659460002356402</v>
      </c>
      <c r="F3197">
        <v>0.48760099235565102</v>
      </c>
      <c r="G3197">
        <v>0.28872420471304699</v>
      </c>
      <c r="H3197">
        <v>0.227104920502401</v>
      </c>
      <c r="I3197">
        <v>0.21505264197078799</v>
      </c>
      <c r="J3197">
        <v>0.19475123604059499</v>
      </c>
      <c r="K3197">
        <v>0.20525194576483399</v>
      </c>
      <c r="L3197">
        <v>850.70212029882305</v>
      </c>
      <c r="M3197">
        <v>16.5322631284332</v>
      </c>
      <c r="N3197">
        <v>52.863496461781303</v>
      </c>
      <c r="O3197">
        <v>50.721878772194401</v>
      </c>
      <c r="P3197">
        <v>-6.6991051703820595E-2</v>
      </c>
      <c r="Q3197">
        <v>0.17792802622364801</v>
      </c>
      <c r="R3197">
        <v>0.99500929335353205</v>
      </c>
      <c r="S3197" t="s">
        <v>9058</v>
      </c>
      <c r="T3197" t="s">
        <v>11720</v>
      </c>
      <c r="U3197" t="s">
        <v>11720</v>
      </c>
      <c r="V3197" t="s">
        <v>11720</v>
      </c>
      <c r="W3197" t="s">
        <v>14868</v>
      </c>
      <c r="X3197">
        <v>3</v>
      </c>
      <c r="Y3197" t="s">
        <v>20597</v>
      </c>
      <c r="Z3197" t="s">
        <v>26404</v>
      </c>
      <c r="AA3197">
        <v>0.50783240612135971</v>
      </c>
      <c r="AB3197" t="str">
        <f>HYPERLINK("Melting_Curves/meltCurve_Q14676_4_MDC1.pdf", "Melting_Curves/meltCurve_Q14676_4_MDC1.pdf")</f>
        <v>Melting_Curves/meltCurve_Q14676_4_MDC1.pdf</v>
      </c>
    </row>
    <row r="3198" spans="1:28" x14ac:dyDescent="0.25">
      <c r="A3198" t="s">
        <v>3202</v>
      </c>
      <c r="B3198">
        <v>0.99334974765950101</v>
      </c>
      <c r="C3198">
        <v>1.4456713882484</v>
      </c>
      <c r="D3198">
        <v>1.54027722453255</v>
      </c>
      <c r="E3198">
        <v>1.0018436831067301</v>
      </c>
      <c r="F3198">
        <v>1.4727435891232601</v>
      </c>
      <c r="G3198">
        <v>0.66225380170757997</v>
      </c>
      <c r="H3198">
        <v>0.84289878011406005</v>
      </c>
      <c r="I3198">
        <v>0.28287999688277499</v>
      </c>
      <c r="J3198">
        <v>1.0906246131614299</v>
      </c>
      <c r="K3198">
        <v>0.90868468573098204</v>
      </c>
      <c r="L3198">
        <v>4026.7108484068499</v>
      </c>
      <c r="M3198">
        <v>72.491305397113294</v>
      </c>
      <c r="O3198">
        <v>55.505272898315297</v>
      </c>
      <c r="P3198">
        <v>-7.9642428966906695E-2</v>
      </c>
      <c r="Q3198">
        <v>0.75607701578687603</v>
      </c>
      <c r="R3198">
        <v>0.19892141210644701</v>
      </c>
      <c r="S3198" t="s">
        <v>9059</v>
      </c>
      <c r="T3198" t="s">
        <v>11720</v>
      </c>
      <c r="U3198" t="s">
        <v>11720</v>
      </c>
      <c r="V3198" t="s">
        <v>11720</v>
      </c>
      <c r="W3198" t="s">
        <v>14869</v>
      </c>
      <c r="X3198">
        <v>22</v>
      </c>
      <c r="Y3198" t="s">
        <v>20598</v>
      </c>
      <c r="Z3198" t="s">
        <v>26405</v>
      </c>
      <c r="AA3198">
        <v>0.8827736039971138</v>
      </c>
      <c r="AB3198" t="str">
        <f>HYPERLINK("Melting_Curves/meltCurve_Q14677_CLINT1.pdf", "Melting_Curves/meltCurve_Q14677_CLINT1.pdf")</f>
        <v>Melting_Curves/meltCurve_Q14677_CLINT1.pdf</v>
      </c>
    </row>
    <row r="3199" spans="1:28" x14ac:dyDescent="0.25">
      <c r="A3199" t="s">
        <v>3203</v>
      </c>
      <c r="B3199">
        <v>0.99334974765950101</v>
      </c>
      <c r="C3199">
        <v>1.16097770367972</v>
      </c>
      <c r="D3199">
        <v>1.01642456609941</v>
      </c>
      <c r="E3199">
        <v>1.1034914480396401</v>
      </c>
      <c r="F3199">
        <v>1.0922293012516899</v>
      </c>
      <c r="G3199">
        <v>0.82340359201306002</v>
      </c>
      <c r="H3199">
        <v>0.81095129888574502</v>
      </c>
      <c r="I3199">
        <v>0.79068034589300495</v>
      </c>
      <c r="J3199">
        <v>0.91706814366009404</v>
      </c>
      <c r="K3199">
        <v>0.52852510826902499</v>
      </c>
      <c r="L3199">
        <v>731.95480664895297</v>
      </c>
      <c r="M3199">
        <v>9.9379906585627609</v>
      </c>
      <c r="Q3199">
        <v>0</v>
      </c>
      <c r="R3199">
        <v>0.63568196781240405</v>
      </c>
      <c r="S3199" t="s">
        <v>9060</v>
      </c>
      <c r="T3199" t="s">
        <v>11720</v>
      </c>
      <c r="U3199" t="s">
        <v>11720</v>
      </c>
      <c r="V3199" t="s">
        <v>11720</v>
      </c>
      <c r="W3199" t="s">
        <v>14870</v>
      </c>
      <c r="X3199">
        <v>1</v>
      </c>
      <c r="Y3199" t="s">
        <v>20599</v>
      </c>
      <c r="Z3199" t="s">
        <v>26406</v>
      </c>
      <c r="AA3199">
        <v>0.91318629485253411</v>
      </c>
      <c r="AB3199" t="str">
        <f>HYPERLINK("Melting_Curves/meltCurve_Q14681_KCTD2.pdf", "Melting_Curves/meltCurve_Q14681_KCTD2.pdf")</f>
        <v>Melting_Curves/meltCurve_Q14681_KCTD2.pdf</v>
      </c>
    </row>
    <row r="3200" spans="1:28" x14ac:dyDescent="0.25">
      <c r="A3200" t="s">
        <v>3204</v>
      </c>
      <c r="B3200">
        <v>0.99334974765950101</v>
      </c>
      <c r="C3200">
        <v>1.09127703231645</v>
      </c>
      <c r="D3200">
        <v>1.0536338722957099</v>
      </c>
      <c r="E3200">
        <v>0.87616689771409295</v>
      </c>
      <c r="F3200">
        <v>1.09128805563911</v>
      </c>
      <c r="G3200">
        <v>0.63375367685278905</v>
      </c>
      <c r="H3200">
        <v>0.55309326789856605</v>
      </c>
      <c r="I3200">
        <v>0.45882398677194303</v>
      </c>
      <c r="J3200">
        <v>0.466504536293745</v>
      </c>
      <c r="K3200">
        <v>0.39957565093823499</v>
      </c>
      <c r="L3200">
        <v>10522.9214152887</v>
      </c>
      <c r="M3200">
        <v>185.41452669560499</v>
      </c>
      <c r="N3200">
        <v>57.622692709399097</v>
      </c>
      <c r="O3200">
        <v>56.746887308433003</v>
      </c>
      <c r="P3200">
        <v>-0.43333938085803198</v>
      </c>
      <c r="Q3200">
        <v>0.46949871863938603</v>
      </c>
      <c r="R3200">
        <v>0.93651947327752705</v>
      </c>
      <c r="S3200" t="s">
        <v>9061</v>
      </c>
      <c r="T3200" t="s">
        <v>11720</v>
      </c>
      <c r="U3200" t="s">
        <v>11720</v>
      </c>
      <c r="V3200" t="s">
        <v>11720</v>
      </c>
      <c r="W3200" t="s">
        <v>14871</v>
      </c>
      <c r="X3200">
        <v>4</v>
      </c>
      <c r="Y3200" t="s">
        <v>20600</v>
      </c>
      <c r="Z3200" t="s">
        <v>26407</v>
      </c>
      <c r="AA3200">
        <v>0.76585305345190779</v>
      </c>
      <c r="AB3200" t="str">
        <f>HYPERLINK("Melting_Curves/meltCurve_Q14693_LPIN1.pdf", "Melting_Curves/meltCurve_Q14693_LPIN1.pdf")</f>
        <v>Melting_Curves/meltCurve_Q14693_LPIN1.pdf</v>
      </c>
    </row>
    <row r="3201" spans="1:28" x14ac:dyDescent="0.25">
      <c r="A3201" t="s">
        <v>3205</v>
      </c>
      <c r="B3201">
        <v>0.99334974765950101</v>
      </c>
      <c r="C3201">
        <v>0.78152197212909402</v>
      </c>
      <c r="D3201">
        <v>0.52612431537870097</v>
      </c>
      <c r="E3201">
        <v>0.32475434928411701</v>
      </c>
      <c r="F3201">
        <v>0.30197602150253899</v>
      </c>
      <c r="G3201">
        <v>0.24630447066854699</v>
      </c>
      <c r="H3201">
        <v>0.21884848252366801</v>
      </c>
      <c r="I3201">
        <v>0.16283430060764301</v>
      </c>
      <c r="J3201">
        <v>0.12742581358885599</v>
      </c>
      <c r="K3201">
        <v>0.11399094196184099</v>
      </c>
      <c r="L3201">
        <v>727.10321233108596</v>
      </c>
      <c r="M3201">
        <v>15.8853400411198</v>
      </c>
      <c r="N3201">
        <v>46.9477680459783</v>
      </c>
      <c r="O3201">
        <v>45.065031345696703</v>
      </c>
      <c r="P3201">
        <v>-7.3667641058285896E-2</v>
      </c>
      <c r="Q3201">
        <v>0.164118416977443</v>
      </c>
      <c r="R3201">
        <v>0.97752466053530696</v>
      </c>
      <c r="S3201" t="s">
        <v>9062</v>
      </c>
      <c r="T3201" t="s">
        <v>11720</v>
      </c>
      <c r="U3201" t="s">
        <v>11720</v>
      </c>
      <c r="V3201" t="s">
        <v>11720</v>
      </c>
      <c r="W3201" t="s">
        <v>14872</v>
      </c>
      <c r="X3201">
        <v>5</v>
      </c>
      <c r="Y3201" t="s">
        <v>20601</v>
      </c>
      <c r="Z3201" t="s">
        <v>26408</v>
      </c>
      <c r="AA3201">
        <v>0.34696715867427491</v>
      </c>
      <c r="AB3201" t="str">
        <f>HYPERLINK("Melting_Curves/meltCurve_Q14694_USP10.pdf", "Melting_Curves/meltCurve_Q14694_USP10.pdf")</f>
        <v>Melting_Curves/meltCurve_Q14694_USP10.pdf</v>
      </c>
    </row>
    <row r="3202" spans="1:28" x14ac:dyDescent="0.25">
      <c r="A3202" t="s">
        <v>3206</v>
      </c>
      <c r="B3202">
        <v>0.99334974765950101</v>
      </c>
      <c r="C3202">
        <v>0.95459185095596399</v>
      </c>
      <c r="D3202">
        <v>0.87044099947406695</v>
      </c>
      <c r="E3202">
        <v>0.79821792410775505</v>
      </c>
      <c r="F3202">
        <v>0.65573195406263396</v>
      </c>
      <c r="G3202">
        <v>0.46412431139281601</v>
      </c>
      <c r="H3202">
        <v>0.30980599391781599</v>
      </c>
      <c r="I3202">
        <v>0.23336675827040601</v>
      </c>
      <c r="J3202">
        <v>0.171161776366201</v>
      </c>
      <c r="K3202">
        <v>0.12206063598621</v>
      </c>
      <c r="L3202">
        <v>561.04805270181498</v>
      </c>
      <c r="M3202">
        <v>9.9679195056234597</v>
      </c>
      <c r="N3202">
        <v>56.2853912830033</v>
      </c>
      <c r="O3202">
        <v>54.160620211169402</v>
      </c>
      <c r="P3202">
        <v>-4.6033573817920198E-2</v>
      </c>
      <c r="Q3202">
        <v>0</v>
      </c>
      <c r="R3202">
        <v>0.99835136337811403</v>
      </c>
      <c r="S3202" t="s">
        <v>9063</v>
      </c>
      <c r="T3202" t="s">
        <v>11720</v>
      </c>
      <c r="U3202" t="s">
        <v>11720</v>
      </c>
      <c r="V3202" t="s">
        <v>11720</v>
      </c>
      <c r="W3202" t="s">
        <v>14873</v>
      </c>
      <c r="X3202">
        <v>12</v>
      </c>
      <c r="Y3202" t="s">
        <v>20602</v>
      </c>
      <c r="Z3202" t="s">
        <v>26409</v>
      </c>
      <c r="AA3202">
        <v>0.56248014655999989</v>
      </c>
      <c r="AB3202" t="str">
        <f>HYPERLINK("Melting_Curves/meltCurve_Q14696_MESDC2.pdf", "Melting_Curves/meltCurve_Q14696_MESDC2.pdf")</f>
        <v>Melting_Curves/meltCurve_Q14696_MESDC2.pdf</v>
      </c>
    </row>
    <row r="3203" spans="1:28" x14ac:dyDescent="0.25">
      <c r="A3203" t="s">
        <v>3207</v>
      </c>
      <c r="B3203">
        <v>0.99334974765950101</v>
      </c>
      <c r="C3203">
        <v>1.1104045567799701</v>
      </c>
      <c r="D3203">
        <v>0.87900803435769204</v>
      </c>
      <c r="E3203">
        <v>0.91322956871707395</v>
      </c>
      <c r="F3203">
        <v>0.20208388389623</v>
      </c>
      <c r="G3203">
        <v>0.110934441118369</v>
      </c>
      <c r="H3203">
        <v>8.7896772093887507E-2</v>
      </c>
      <c r="I3203">
        <v>7.1536210044015905E-2</v>
      </c>
      <c r="J3203">
        <v>4.7344300288147498E-2</v>
      </c>
      <c r="K3203">
        <v>0</v>
      </c>
      <c r="L3203">
        <v>3525.8095688016501</v>
      </c>
      <c r="M3203">
        <v>68.257480691870498</v>
      </c>
      <c r="N3203">
        <v>51.756600282765199</v>
      </c>
      <c r="O3203">
        <v>51.610276634732898</v>
      </c>
      <c r="P3203">
        <v>-0.30982210496665002</v>
      </c>
      <c r="Q3203">
        <v>6.2959974597777302E-2</v>
      </c>
      <c r="R3203">
        <v>0.98257605426783301</v>
      </c>
      <c r="S3203" t="s">
        <v>9064</v>
      </c>
      <c r="T3203" t="s">
        <v>11720</v>
      </c>
      <c r="U3203" t="s">
        <v>11720</v>
      </c>
      <c r="V3203" t="s">
        <v>11720</v>
      </c>
      <c r="W3203" t="s">
        <v>14874</v>
      </c>
      <c r="X3203">
        <v>49</v>
      </c>
      <c r="Y3203" t="s">
        <v>20603</v>
      </c>
      <c r="Z3203" t="s">
        <v>26410</v>
      </c>
      <c r="AA3203">
        <v>0.42812868607028931</v>
      </c>
      <c r="AB3203" t="str">
        <f>HYPERLINK("Melting_Curves/meltCurve_Q14697_GANAB.pdf", "Melting_Curves/meltCurve_Q14697_GANAB.pdf")</f>
        <v>Melting_Curves/meltCurve_Q14697_GANAB.pdf</v>
      </c>
    </row>
    <row r="3204" spans="1:28" x14ac:dyDescent="0.25">
      <c r="A3204" t="s">
        <v>3208</v>
      </c>
      <c r="B3204">
        <v>0.99334974765950101</v>
      </c>
      <c r="C3204">
        <v>0.96025526684330398</v>
      </c>
      <c r="D3204">
        <v>0.89865888762784996</v>
      </c>
      <c r="E3204">
        <v>0.867455168359065</v>
      </c>
      <c r="F3204">
        <v>0.65985034048012803</v>
      </c>
      <c r="G3204">
        <v>0.287714805920114</v>
      </c>
      <c r="H3204">
        <v>0.10002070701358901</v>
      </c>
      <c r="I3204">
        <v>7.5924750681546402E-2</v>
      </c>
      <c r="J3204">
        <v>6.1336123694645202E-2</v>
      </c>
      <c r="K3204">
        <v>3.69463684704208E-2</v>
      </c>
      <c r="L3204">
        <v>1124.9502485978901</v>
      </c>
      <c r="M3204">
        <v>20.693327777477201</v>
      </c>
      <c r="N3204">
        <v>54.5146123024697</v>
      </c>
      <c r="O3204">
        <v>53.8629011141307</v>
      </c>
      <c r="P3204">
        <v>-9.3362266888338E-2</v>
      </c>
      <c r="Q3204">
        <v>2.7972776668293901E-2</v>
      </c>
      <c r="R3204">
        <v>0.99439664962533603</v>
      </c>
      <c r="S3204" t="s">
        <v>9065</v>
      </c>
      <c r="T3204" t="s">
        <v>11720</v>
      </c>
      <c r="U3204" t="s">
        <v>11720</v>
      </c>
      <c r="V3204" t="s">
        <v>11720</v>
      </c>
      <c r="W3204" t="s">
        <v>14875</v>
      </c>
      <c r="X3204">
        <v>18</v>
      </c>
      <c r="Y3204" t="s">
        <v>20604</v>
      </c>
      <c r="Z3204" t="s">
        <v>26411</v>
      </c>
      <c r="AA3204">
        <v>0.50578052997182255</v>
      </c>
      <c r="AB3204" t="str">
        <f>HYPERLINK("Melting_Curves/meltCurve_Q14699_RFTN1.pdf", "Melting_Curves/meltCurve_Q14699_RFTN1.pdf")</f>
        <v>Melting_Curves/meltCurve_Q14699_RFTN1.pdf</v>
      </c>
    </row>
    <row r="3205" spans="1:28" x14ac:dyDescent="0.25">
      <c r="A3205" t="s">
        <v>3209</v>
      </c>
      <c r="B3205">
        <v>0.99334974765950101</v>
      </c>
      <c r="C3205">
        <v>0.83571957569121003</v>
      </c>
      <c r="D3205">
        <v>0.83987299635623003</v>
      </c>
      <c r="E3205">
        <v>0.83608276787559199</v>
      </c>
      <c r="F3205">
        <v>1.1396139765192601</v>
      </c>
      <c r="G3205">
        <v>1.1081666749980399</v>
      </c>
      <c r="H3205">
        <v>1.23871529758723</v>
      </c>
      <c r="I3205">
        <v>1.45979602484884</v>
      </c>
      <c r="J3205">
        <v>1.5402762000874599</v>
      </c>
      <c r="K3205">
        <v>1.1990182049329201</v>
      </c>
      <c r="L3205">
        <v>1814.64456882164</v>
      </c>
      <c r="M3205">
        <v>30.8847954709106</v>
      </c>
      <c r="O3205">
        <v>58.510592855313597</v>
      </c>
      <c r="P3205">
        <v>5.2238151089094603E-2</v>
      </c>
      <c r="Q3205">
        <v>1.3958540061059099</v>
      </c>
      <c r="R3205">
        <v>0.70190424907548798</v>
      </c>
      <c r="S3205" t="s">
        <v>9066</v>
      </c>
      <c r="T3205" t="s">
        <v>11720</v>
      </c>
      <c r="U3205" t="s">
        <v>11720</v>
      </c>
      <c r="V3205" t="s">
        <v>11720</v>
      </c>
      <c r="W3205" t="s">
        <v>14876</v>
      </c>
      <c r="X3205">
        <v>4</v>
      </c>
      <c r="Y3205" t="s">
        <v>20605</v>
      </c>
      <c r="Z3205" t="s">
        <v>26412</v>
      </c>
      <c r="AA3205">
        <v>1.145932218407246</v>
      </c>
      <c r="AB3205" t="str">
        <f>HYPERLINK("Melting_Curves/meltCurve_Q14714_SSPN.pdf", "Melting_Curves/meltCurve_Q14714_SSPN.pdf")</f>
        <v>Melting_Curves/meltCurve_Q14714_SSPN.pdf</v>
      </c>
    </row>
    <row r="3206" spans="1:28" x14ac:dyDescent="0.25">
      <c r="A3206" t="s">
        <v>3210</v>
      </c>
      <c r="B3206">
        <v>0.99334974765950101</v>
      </c>
      <c r="C3206">
        <v>1.0085702151351399</v>
      </c>
      <c r="D3206">
        <v>0.85711841600583305</v>
      </c>
      <c r="E3206">
        <v>0.80564602307241695</v>
      </c>
      <c r="F3206">
        <v>0.422115657140745</v>
      </c>
      <c r="G3206">
        <v>0.22759669313505801</v>
      </c>
      <c r="H3206">
        <v>0.15123970796038</v>
      </c>
      <c r="I3206">
        <v>0.14594135561343999</v>
      </c>
      <c r="J3206">
        <v>0.12311952950124901</v>
      </c>
      <c r="K3206">
        <v>0.12548049266925099</v>
      </c>
      <c r="L3206">
        <v>1219.3650911284201</v>
      </c>
      <c r="M3206">
        <v>23.491575894176101</v>
      </c>
      <c r="N3206">
        <v>52.549771890053997</v>
      </c>
      <c r="O3206">
        <v>51.534717804342797</v>
      </c>
      <c r="P3206">
        <v>-9.9721333174550494E-2</v>
      </c>
      <c r="Q3206">
        <v>0.124958868176323</v>
      </c>
      <c r="R3206">
        <v>0.98818935504607497</v>
      </c>
      <c r="S3206" t="s">
        <v>9067</v>
      </c>
      <c r="T3206" t="s">
        <v>11720</v>
      </c>
      <c r="U3206" t="s">
        <v>11720</v>
      </c>
      <c r="V3206" t="s">
        <v>11720</v>
      </c>
      <c r="W3206" t="s">
        <v>14877</v>
      </c>
      <c r="X3206">
        <v>3</v>
      </c>
      <c r="Y3206" t="s">
        <v>20606</v>
      </c>
      <c r="Z3206" t="s">
        <v>26413</v>
      </c>
      <c r="AA3206">
        <v>0.48123859813130798</v>
      </c>
      <c r="AB3206" t="str">
        <f>HYPERLINK("Melting_Curves/meltCurve_Q14739_LBR.pdf", "Melting_Curves/meltCurve_Q14739_LBR.pdf")</f>
        <v>Melting_Curves/meltCurve_Q14739_LBR.pdf</v>
      </c>
    </row>
    <row r="3207" spans="1:28" x14ac:dyDescent="0.25">
      <c r="A3207" t="s">
        <v>3211</v>
      </c>
      <c r="B3207">
        <v>0.99334974765950101</v>
      </c>
      <c r="C3207">
        <v>0.99713520868157701</v>
      </c>
      <c r="D3207">
        <v>0.92872123327575296</v>
      </c>
      <c r="E3207">
        <v>0.98334039722192901</v>
      </c>
      <c r="F3207">
        <v>1.0557285139682899</v>
      </c>
      <c r="G3207">
        <v>0.33803329914102997</v>
      </c>
      <c r="H3207">
        <v>0.21707962327198499</v>
      </c>
      <c r="I3207">
        <v>0.20426345945424701</v>
      </c>
      <c r="J3207">
        <v>0.184645057210375</v>
      </c>
      <c r="K3207">
        <v>0.16569411686681099</v>
      </c>
      <c r="L3207">
        <v>14163.4908634278</v>
      </c>
      <c r="M3207">
        <v>250</v>
      </c>
      <c r="N3207">
        <v>56.764678867503299</v>
      </c>
      <c r="O3207">
        <v>56.650338088346601</v>
      </c>
      <c r="P3207">
        <v>-0.89041772760632198</v>
      </c>
      <c r="Q3207">
        <v>0.192920557608903</v>
      </c>
      <c r="R3207">
        <v>0.99334181697814705</v>
      </c>
      <c r="S3207" t="s">
        <v>9068</v>
      </c>
      <c r="T3207" t="s">
        <v>11720</v>
      </c>
      <c r="U3207" t="s">
        <v>11720</v>
      </c>
      <c r="V3207" t="s">
        <v>11720</v>
      </c>
      <c r="W3207" t="s">
        <v>14878</v>
      </c>
      <c r="X3207">
        <v>28</v>
      </c>
      <c r="Y3207" t="s">
        <v>20607</v>
      </c>
      <c r="Z3207" t="s">
        <v>26414</v>
      </c>
      <c r="AA3207">
        <v>0.64103652088211271</v>
      </c>
      <c r="AB3207" t="str">
        <f>HYPERLINK("Melting_Curves/meltCurve_Q14764_MVP.pdf", "Melting_Curves/meltCurve_Q14764_MVP.pdf")</f>
        <v>Melting_Curves/meltCurve_Q14764_MVP.pdf</v>
      </c>
    </row>
    <row r="3208" spans="1:28" x14ac:dyDescent="0.25">
      <c r="A3208" t="s">
        <v>3212</v>
      </c>
      <c r="B3208">
        <v>0.99334974765950101</v>
      </c>
      <c r="C3208">
        <v>1.0081575150944899</v>
      </c>
      <c r="D3208">
        <v>1.0028093680441099</v>
      </c>
      <c r="E3208">
        <v>0.91629647511238899</v>
      </c>
      <c r="F3208">
        <v>0.95947037453511497</v>
      </c>
      <c r="G3208">
        <v>0.90147095279772504</v>
      </c>
      <c r="H3208">
        <v>0.849379182076206</v>
      </c>
      <c r="I3208">
        <v>1.2563454322833201</v>
      </c>
      <c r="J3208">
        <v>1.0355234425970701</v>
      </c>
      <c r="K3208">
        <v>1.09969940483742</v>
      </c>
      <c r="L3208">
        <v>3599.5660004036099</v>
      </c>
      <c r="M3208">
        <v>57.509942766240101</v>
      </c>
      <c r="O3208">
        <v>62.514779774051497</v>
      </c>
      <c r="P3208">
        <v>2.8765700231311999E-2</v>
      </c>
      <c r="Q3208">
        <v>1.1250761485753999</v>
      </c>
      <c r="R3208">
        <v>0.305123436911648</v>
      </c>
      <c r="S3208" t="s">
        <v>9069</v>
      </c>
      <c r="T3208" t="s">
        <v>11720</v>
      </c>
      <c r="U3208" t="s">
        <v>11720</v>
      </c>
      <c r="V3208" t="s">
        <v>11720</v>
      </c>
      <c r="W3208" t="s">
        <v>14879</v>
      </c>
      <c r="X3208">
        <v>26</v>
      </c>
      <c r="Y3208" t="s">
        <v>20608</v>
      </c>
      <c r="Z3208" t="s">
        <v>26415</v>
      </c>
      <c r="AA3208">
        <v>1.030645196902904</v>
      </c>
      <c r="AB3208" t="str">
        <f>HYPERLINK("Melting_Curves/meltCurve_Q14766_3_LTBP1.pdf", "Melting_Curves/meltCurve_Q14766_3_LTBP1.pdf")</f>
        <v>Melting_Curves/meltCurve_Q14766_3_LTBP1.pdf</v>
      </c>
    </row>
    <row r="3209" spans="1:28" x14ac:dyDescent="0.25">
      <c r="A3209" t="s">
        <v>3213</v>
      </c>
      <c r="B3209">
        <v>0.99334974765950101</v>
      </c>
      <c r="C3209">
        <v>0.90764974269911203</v>
      </c>
      <c r="D3209">
        <v>0.74333242963249002</v>
      </c>
      <c r="E3209">
        <v>0.45828663223469701</v>
      </c>
      <c r="F3209">
        <v>0.38135456436103099</v>
      </c>
      <c r="G3209">
        <v>0.28206827862408401</v>
      </c>
      <c r="H3209">
        <v>0.25174158483646503</v>
      </c>
      <c r="I3209">
        <v>0.25299175781431699</v>
      </c>
      <c r="J3209">
        <v>0.25141425539566398</v>
      </c>
      <c r="K3209">
        <v>0.215696097684033</v>
      </c>
      <c r="L3209">
        <v>825.20209735699302</v>
      </c>
      <c r="M3209">
        <v>17.267014172441598</v>
      </c>
      <c r="N3209">
        <v>49.633358382021001</v>
      </c>
      <c r="O3209">
        <v>47.163492948203803</v>
      </c>
      <c r="P3209">
        <v>-6.9873176804192499E-2</v>
      </c>
      <c r="Q3209">
        <v>0.236632212341848</v>
      </c>
      <c r="R3209">
        <v>0.99717315797728101</v>
      </c>
      <c r="S3209" t="s">
        <v>9070</v>
      </c>
      <c r="T3209" t="s">
        <v>11720</v>
      </c>
      <c r="U3209" t="s">
        <v>11720</v>
      </c>
      <c r="V3209" t="s">
        <v>11720</v>
      </c>
      <c r="W3209" t="s">
        <v>14880</v>
      </c>
      <c r="X3209">
        <v>81</v>
      </c>
      <c r="Y3209" t="s">
        <v>20609</v>
      </c>
      <c r="Z3209" t="s">
        <v>26416</v>
      </c>
      <c r="AA3209">
        <v>0.44974830781593272</v>
      </c>
      <c r="AB3209" t="str">
        <f>HYPERLINK("Melting_Curves/meltCurve_Q14789_2_GOLGB1.pdf", "Melting_Curves/meltCurve_Q14789_2_GOLGB1.pdf")</f>
        <v>Melting_Curves/meltCurve_Q14789_2_GOLGB1.pdf</v>
      </c>
    </row>
    <row r="3210" spans="1:28" x14ac:dyDescent="0.25">
      <c r="A3210" t="s">
        <v>3214</v>
      </c>
      <c r="B3210">
        <v>0.99334974765950101</v>
      </c>
      <c r="C3210">
        <v>0.93773625120679205</v>
      </c>
      <c r="D3210">
        <v>0.78115755867978098</v>
      </c>
      <c r="E3210">
        <v>0.335199601935466</v>
      </c>
      <c r="F3210">
        <v>0.22864773593684801</v>
      </c>
      <c r="G3210">
        <v>9.8811741014338803E-2</v>
      </c>
      <c r="H3210">
        <v>8.0758829668122298E-2</v>
      </c>
      <c r="I3210">
        <v>7.6656351963727304E-2</v>
      </c>
      <c r="J3210">
        <v>8.0836199257802402E-2</v>
      </c>
      <c r="K3210">
        <v>6.0848461596465502E-2</v>
      </c>
      <c r="L3210">
        <v>1059.9957306424501</v>
      </c>
      <c r="M3210">
        <v>21.966272062676101</v>
      </c>
      <c r="N3210">
        <v>48.6087072106044</v>
      </c>
      <c r="O3210">
        <v>47.861013281161497</v>
      </c>
      <c r="P3210">
        <v>-0.106280950434336</v>
      </c>
      <c r="Q3210">
        <v>7.3743667844281297E-2</v>
      </c>
      <c r="R3210">
        <v>0.99748739134133202</v>
      </c>
      <c r="S3210" t="s">
        <v>9071</v>
      </c>
      <c r="T3210" t="s">
        <v>11720</v>
      </c>
      <c r="U3210" t="s">
        <v>11720</v>
      </c>
      <c r="V3210" t="s">
        <v>11720</v>
      </c>
      <c r="W3210" t="s">
        <v>14881</v>
      </c>
      <c r="X3210">
        <v>10</v>
      </c>
      <c r="Y3210" t="s">
        <v>20610</v>
      </c>
      <c r="Z3210" t="s">
        <v>26417</v>
      </c>
      <c r="AA3210">
        <v>0.33939058678058748</v>
      </c>
      <c r="AB3210" t="str">
        <f>HYPERLINK("Melting_Curves/meltCurve_Q14790_CASP8.pdf", "Melting_Curves/meltCurve_Q14790_CASP8.pdf")</f>
        <v>Melting_Curves/meltCurve_Q14790_CASP8.pdf</v>
      </c>
    </row>
    <row r="3211" spans="1:28" x14ac:dyDescent="0.25">
      <c r="A3211" t="s">
        <v>3215</v>
      </c>
      <c r="B3211">
        <v>0.99334974765950101</v>
      </c>
      <c r="C3211">
        <v>1.0530810980797101</v>
      </c>
      <c r="D3211">
        <v>0.99251594128053</v>
      </c>
      <c r="E3211">
        <v>0.79334418208215396</v>
      </c>
      <c r="F3211">
        <v>0.37703862595087401</v>
      </c>
      <c r="G3211">
        <v>0.26754270124340401</v>
      </c>
      <c r="H3211">
        <v>0.215505935145964</v>
      </c>
      <c r="I3211">
        <v>0.28559448071610199</v>
      </c>
      <c r="J3211">
        <v>0.25474273141856402</v>
      </c>
      <c r="K3211">
        <v>0.25282772413219401</v>
      </c>
      <c r="L3211">
        <v>2273.6593508250498</v>
      </c>
      <c r="M3211">
        <v>44.513829498524402</v>
      </c>
      <c r="N3211">
        <v>51.902646923119597</v>
      </c>
      <c r="O3211">
        <v>50.974830648987897</v>
      </c>
      <c r="P3211">
        <v>-0.16295105626293399</v>
      </c>
      <c r="Q3211">
        <v>0.25359005552548802</v>
      </c>
      <c r="R3211">
        <v>0.99535773148782902</v>
      </c>
      <c r="S3211" t="s">
        <v>9072</v>
      </c>
      <c r="T3211" t="s">
        <v>11720</v>
      </c>
      <c r="U3211" t="s">
        <v>11720</v>
      </c>
      <c r="V3211" t="s">
        <v>11720</v>
      </c>
      <c r="W3211" t="s">
        <v>14882</v>
      </c>
      <c r="X3211">
        <v>5</v>
      </c>
      <c r="Y3211" t="s">
        <v>20611</v>
      </c>
      <c r="Z3211" t="s">
        <v>26418</v>
      </c>
      <c r="AA3211">
        <v>0.53132894007131948</v>
      </c>
      <c r="AB3211" t="str">
        <f>HYPERLINK("Melting_Curves/meltCurve_Q147X3_NAA30.pdf", "Melting_Curves/meltCurve_Q147X3_NAA30.pdf")</f>
        <v>Melting_Curves/meltCurve_Q147X3_NAA30.pdf</v>
      </c>
    </row>
    <row r="3212" spans="1:28" x14ac:dyDescent="0.25">
      <c r="A3212" t="s">
        <v>3216</v>
      </c>
      <c r="B3212">
        <v>0.99334974765950101</v>
      </c>
      <c r="C3212">
        <v>0.91802217239709005</v>
      </c>
      <c r="D3212">
        <v>0.79209563292769802</v>
      </c>
      <c r="E3212">
        <v>0.615013803522512</v>
      </c>
      <c r="F3212">
        <v>0.80845848208730098</v>
      </c>
      <c r="G3212">
        <v>0.58235072817897904</v>
      </c>
      <c r="H3212">
        <v>0.55311629050919797</v>
      </c>
      <c r="I3212">
        <v>0.55371950812478898</v>
      </c>
      <c r="J3212">
        <v>0.66784737944054595</v>
      </c>
      <c r="K3212">
        <v>0.55285630544892805</v>
      </c>
      <c r="L3212">
        <v>643.172639198605</v>
      </c>
      <c r="M3212">
        <v>13.785224609825701</v>
      </c>
      <c r="O3212">
        <v>45.7077044471147</v>
      </c>
      <c r="P3212">
        <v>-3.14500684433539E-2</v>
      </c>
      <c r="Q3212">
        <v>0.58294230719437101</v>
      </c>
      <c r="R3212">
        <v>0.80809219432721802</v>
      </c>
      <c r="S3212" t="s">
        <v>9073</v>
      </c>
      <c r="T3212" t="s">
        <v>11720</v>
      </c>
      <c r="U3212" t="s">
        <v>11720</v>
      </c>
      <c r="V3212" t="s">
        <v>11720</v>
      </c>
      <c r="W3212" t="s">
        <v>14883</v>
      </c>
      <c r="X3212">
        <v>28</v>
      </c>
      <c r="Y3212" t="s">
        <v>20612</v>
      </c>
      <c r="Z3212" t="s">
        <v>26419</v>
      </c>
      <c r="AA3212">
        <v>0.6892499054277742</v>
      </c>
      <c r="AB3212" t="str">
        <f>HYPERLINK("Melting_Curves/meltCurve_Q14847_LASP1.pdf", "Melting_Curves/meltCurve_Q14847_LASP1.pdf")</f>
        <v>Melting_Curves/meltCurve_Q14847_LASP1.pdf</v>
      </c>
    </row>
    <row r="3213" spans="1:28" x14ac:dyDescent="0.25">
      <c r="A3213" t="s">
        <v>3217</v>
      </c>
      <c r="B3213">
        <v>0.99334974765950101</v>
      </c>
      <c r="C3213">
        <v>0.90784465647033097</v>
      </c>
      <c r="D3213">
        <v>0.75678527650201399</v>
      </c>
      <c r="E3213">
        <v>0.52369625425659805</v>
      </c>
      <c r="F3213">
        <v>0.72216934821960499</v>
      </c>
      <c r="G3213">
        <v>0.30191539308191401</v>
      </c>
      <c r="H3213">
        <v>0.20796782293910601</v>
      </c>
      <c r="I3213">
        <v>0.16854446831370601</v>
      </c>
      <c r="J3213">
        <v>0.23640315887003899</v>
      </c>
      <c r="K3213">
        <v>0.21832235311891801</v>
      </c>
      <c r="L3213">
        <v>512.517110728906</v>
      </c>
      <c r="M3213">
        <v>9.9021948341164503</v>
      </c>
      <c r="N3213">
        <v>53.099376781141501</v>
      </c>
      <c r="O3213">
        <v>49.779691718003299</v>
      </c>
      <c r="P3213">
        <v>-4.4249231067322002E-2</v>
      </c>
      <c r="Q3213">
        <v>0.110661301732696</v>
      </c>
      <c r="R3213">
        <v>0.91383763349477898</v>
      </c>
      <c r="S3213" t="s">
        <v>9074</v>
      </c>
      <c r="T3213" t="s">
        <v>11720</v>
      </c>
      <c r="U3213" t="s">
        <v>11720</v>
      </c>
      <c r="V3213" t="s">
        <v>11720</v>
      </c>
      <c r="W3213" t="s">
        <v>14884</v>
      </c>
      <c r="X3213">
        <v>2</v>
      </c>
      <c r="Y3213" t="s">
        <v>20613</v>
      </c>
      <c r="Z3213" t="s">
        <v>26420</v>
      </c>
      <c r="AA3213">
        <v>0.49415450122777232</v>
      </c>
      <c r="AB3213" t="str">
        <f>HYPERLINK("Melting_Curves/meltCurve_Q14872_MTF1.pdf", "Melting_Curves/meltCurve_Q14872_MTF1.pdf")</f>
        <v>Melting_Curves/meltCurve_Q14872_MTF1.pdf</v>
      </c>
    </row>
    <row r="3214" spans="1:28" x14ac:dyDescent="0.25">
      <c r="A3214" t="s">
        <v>3218</v>
      </c>
      <c r="B3214">
        <v>0.99334974765950101</v>
      </c>
      <c r="C3214">
        <v>1.0483352339555001</v>
      </c>
      <c r="D3214">
        <v>0.99539620586881905</v>
      </c>
      <c r="E3214">
        <v>0.879328785850504</v>
      </c>
      <c r="F3214">
        <v>0.54584010404524397</v>
      </c>
      <c r="G3214">
        <v>0.41410084428508598</v>
      </c>
      <c r="H3214">
        <v>0.36754232288528998</v>
      </c>
      <c r="I3214">
        <v>0.398109870976531</v>
      </c>
      <c r="J3214">
        <v>0.34549622210798803</v>
      </c>
      <c r="K3214">
        <v>0.21829179534102899</v>
      </c>
      <c r="L3214">
        <v>1735.9168994578999</v>
      </c>
      <c r="M3214">
        <v>33.378884437934801</v>
      </c>
      <c r="N3214">
        <v>53.822760682681199</v>
      </c>
      <c r="O3214">
        <v>51.820835759804602</v>
      </c>
      <c r="P3214">
        <v>-0.106618018983641</v>
      </c>
      <c r="Q3214">
        <v>0.33790342229679798</v>
      </c>
      <c r="R3214">
        <v>0.974660345339457</v>
      </c>
      <c r="S3214" t="s">
        <v>9075</v>
      </c>
      <c r="T3214" t="s">
        <v>11720</v>
      </c>
      <c r="U3214" t="s">
        <v>11720</v>
      </c>
      <c r="V3214" t="s">
        <v>11720</v>
      </c>
      <c r="W3214" t="s">
        <v>14885</v>
      </c>
      <c r="X3214">
        <v>20</v>
      </c>
      <c r="Y3214" t="s">
        <v>20614</v>
      </c>
      <c r="Z3214" t="s">
        <v>26421</v>
      </c>
      <c r="AA3214">
        <v>0.60630467104253749</v>
      </c>
      <c r="AB3214" t="str">
        <f>HYPERLINK("Melting_Curves/meltCurve_Q14914_2_PTGR1.pdf", "Melting_Curves/meltCurve_Q14914_2_PTGR1.pdf")</f>
        <v>Melting_Curves/meltCurve_Q14914_2_PTGR1.pdf</v>
      </c>
    </row>
    <row r="3215" spans="1:28" x14ac:dyDescent="0.25">
      <c r="A3215" t="s">
        <v>3219</v>
      </c>
      <c r="B3215">
        <v>0.99334974765950101</v>
      </c>
      <c r="C3215">
        <v>0.94371357646723897</v>
      </c>
      <c r="D3215">
        <v>0.85445936482298301</v>
      </c>
      <c r="E3215">
        <v>0.77242996793373597</v>
      </c>
      <c r="F3215">
        <v>0.69028483249453798</v>
      </c>
      <c r="G3215">
        <v>0.46169699200695702</v>
      </c>
      <c r="H3215">
        <v>0.41129962675130299</v>
      </c>
      <c r="I3215">
        <v>0.31945373229691598</v>
      </c>
      <c r="J3215">
        <v>0.24178798686432401</v>
      </c>
      <c r="K3215">
        <v>0.13463544006699399</v>
      </c>
      <c r="L3215">
        <v>475.13887080515099</v>
      </c>
      <c r="M3215">
        <v>8.2927455014512308</v>
      </c>
      <c r="N3215">
        <v>57.295737903592702</v>
      </c>
      <c r="O3215">
        <v>54.253932280306898</v>
      </c>
      <c r="P3215">
        <v>-3.8250425017334097E-2</v>
      </c>
      <c r="Q3215">
        <v>0</v>
      </c>
      <c r="R3215">
        <v>0.98985754806989501</v>
      </c>
      <c r="S3215" t="s">
        <v>9076</v>
      </c>
      <c r="T3215" t="s">
        <v>11720</v>
      </c>
      <c r="U3215" t="s">
        <v>11720</v>
      </c>
      <c r="V3215" t="s">
        <v>11720</v>
      </c>
      <c r="W3215" t="s">
        <v>14886</v>
      </c>
      <c r="X3215">
        <v>4</v>
      </c>
      <c r="Y3215" t="s">
        <v>20615</v>
      </c>
      <c r="Z3215" t="s">
        <v>26422</v>
      </c>
      <c r="AA3215">
        <v>0.58701460017164142</v>
      </c>
      <c r="AB3215" t="str">
        <f>HYPERLINK("Melting_Curves/meltCurve_Q14964_RAB39A.pdf", "Melting_Curves/meltCurve_Q14964_RAB39A.pdf")</f>
        <v>Melting_Curves/meltCurve_Q14964_RAB39A.pdf</v>
      </c>
    </row>
    <row r="3216" spans="1:28" x14ac:dyDescent="0.25">
      <c r="A3216" t="s">
        <v>3220</v>
      </c>
      <c r="B3216">
        <v>0.99334974765950101</v>
      </c>
      <c r="C3216">
        <v>0.84670051784769995</v>
      </c>
      <c r="D3216">
        <v>0.69455429184686301</v>
      </c>
      <c r="E3216">
        <v>0.49504137698862399</v>
      </c>
      <c r="F3216">
        <v>0.57808119523702906</v>
      </c>
      <c r="G3216">
        <v>0.35516726131875798</v>
      </c>
      <c r="H3216">
        <v>0.327880487072299</v>
      </c>
      <c r="I3216">
        <v>0.321021888251322</v>
      </c>
      <c r="J3216">
        <v>0.329590974506073</v>
      </c>
      <c r="K3216">
        <v>0.379352366804102</v>
      </c>
      <c r="L3216">
        <v>611.96100295365602</v>
      </c>
      <c r="M3216">
        <v>12.9721719136817</v>
      </c>
      <c r="N3216">
        <v>51.360321503980899</v>
      </c>
      <c r="O3216">
        <v>46.096038280275003</v>
      </c>
      <c r="P3216">
        <v>-4.7407929844931099E-2</v>
      </c>
      <c r="Q3216">
        <v>0.32627212253735999</v>
      </c>
      <c r="R3216">
        <v>0.95084199784630197</v>
      </c>
      <c r="S3216" t="s">
        <v>9077</v>
      </c>
      <c r="T3216" t="s">
        <v>11720</v>
      </c>
      <c r="U3216" t="s">
        <v>11720</v>
      </c>
      <c r="V3216" t="s">
        <v>11720</v>
      </c>
      <c r="W3216" t="s">
        <v>14887</v>
      </c>
      <c r="X3216">
        <v>2</v>
      </c>
      <c r="Y3216" t="s">
        <v>20616</v>
      </c>
      <c r="Z3216" t="s">
        <v>26423</v>
      </c>
      <c r="AA3216">
        <v>0.51154800504526032</v>
      </c>
      <c r="AB3216" t="str">
        <f>HYPERLINK("Melting_Curves/meltCurve_Q14966_ZNF638.pdf", "Melting_Curves/meltCurve_Q14966_ZNF638.pdf")</f>
        <v>Melting_Curves/meltCurve_Q14966_ZNF638.pdf</v>
      </c>
    </row>
    <row r="3217" spans="1:28" x14ac:dyDescent="0.25">
      <c r="A3217" t="s">
        <v>3221</v>
      </c>
      <c r="B3217">
        <v>0.99334974765950101</v>
      </c>
      <c r="C3217">
        <v>0.91961610955328099</v>
      </c>
      <c r="D3217">
        <v>1.02429949693181</v>
      </c>
      <c r="E3217">
        <v>0.85373235973636397</v>
      </c>
      <c r="F3217">
        <v>0.27258128602133003</v>
      </c>
      <c r="G3217">
        <v>0.143987807476472</v>
      </c>
      <c r="H3217">
        <v>8.0914954040660306E-2</v>
      </c>
      <c r="I3217">
        <v>6.7596985683320496E-2</v>
      </c>
      <c r="J3217">
        <v>5.8250603766865298E-2</v>
      </c>
      <c r="K3217">
        <v>4.7666734859373602E-2</v>
      </c>
      <c r="L3217">
        <v>2573.4514036913502</v>
      </c>
      <c r="M3217">
        <v>49.828283570106997</v>
      </c>
      <c r="N3217">
        <v>51.8201149715849</v>
      </c>
      <c r="O3217">
        <v>51.563417537436898</v>
      </c>
      <c r="P3217">
        <v>-0.223005649069557</v>
      </c>
      <c r="Q3217">
        <v>7.6915961442960298E-2</v>
      </c>
      <c r="R3217">
        <v>0.993078489056887</v>
      </c>
      <c r="S3217" t="s">
        <v>9078</v>
      </c>
      <c r="T3217" t="s">
        <v>11720</v>
      </c>
      <c r="U3217" t="s">
        <v>11720</v>
      </c>
      <c r="V3217" t="s">
        <v>11720</v>
      </c>
      <c r="W3217" t="s">
        <v>14888</v>
      </c>
      <c r="X3217">
        <v>33</v>
      </c>
      <c r="Y3217" t="s">
        <v>20617</v>
      </c>
      <c r="Z3217" t="s">
        <v>26424</v>
      </c>
      <c r="AA3217">
        <v>0.43738685460644772</v>
      </c>
      <c r="AB3217" t="str">
        <f>HYPERLINK("Melting_Curves/meltCurve_Q14974_KPNB1.pdf", "Melting_Curves/meltCurve_Q14974_KPNB1.pdf")</f>
        <v>Melting_Curves/meltCurve_Q14974_KPNB1.pdf</v>
      </c>
    </row>
    <row r="3218" spans="1:28" x14ac:dyDescent="0.25">
      <c r="A3218" t="s">
        <v>3222</v>
      </c>
      <c r="B3218">
        <v>0.99334974765950101</v>
      </c>
      <c r="C3218">
        <v>1.0448360437952</v>
      </c>
      <c r="D3218">
        <v>0.949634412311403</v>
      </c>
      <c r="E3218">
        <v>0.86509422036084804</v>
      </c>
      <c r="F3218">
        <v>0.84165432185332201</v>
      </c>
      <c r="G3218">
        <v>0.63825164979000304</v>
      </c>
      <c r="H3218">
        <v>0.47947987054790298</v>
      </c>
      <c r="I3218">
        <v>0.53138549470296903</v>
      </c>
      <c r="J3218">
        <v>0.68972905424378805</v>
      </c>
      <c r="K3218">
        <v>1.160900665375</v>
      </c>
      <c r="L3218">
        <v>1465.3586719103901</v>
      </c>
      <c r="M3218">
        <v>28.835851789485002</v>
      </c>
      <c r="O3218">
        <v>50.574725200128498</v>
      </c>
      <c r="P3218">
        <v>-4.1887386155356997E-2</v>
      </c>
      <c r="Q3218">
        <v>0.70613981248039703</v>
      </c>
      <c r="R3218">
        <v>0.34425858991113101</v>
      </c>
      <c r="S3218" t="s">
        <v>9079</v>
      </c>
      <c r="T3218" t="s">
        <v>11720</v>
      </c>
      <c r="U3218" t="s">
        <v>11720</v>
      </c>
      <c r="V3218" t="s">
        <v>11720</v>
      </c>
      <c r="W3218" t="s">
        <v>14889</v>
      </c>
      <c r="X3218">
        <v>6</v>
      </c>
      <c r="Y3218" t="s">
        <v>20618</v>
      </c>
      <c r="Z3218" t="s">
        <v>26425</v>
      </c>
      <c r="AA3218">
        <v>0.81409262415157957</v>
      </c>
      <c r="AB3218" t="str">
        <f>HYPERLINK("Melting_Curves/meltCurve_Q14978_NOLC1.pdf", "Melting_Curves/meltCurve_Q14978_NOLC1.pdf")</f>
        <v>Melting_Curves/meltCurve_Q14978_NOLC1.pdf</v>
      </c>
    </row>
    <row r="3219" spans="1:28" x14ac:dyDescent="0.25">
      <c r="A3219" t="s">
        <v>3223</v>
      </c>
      <c r="B3219">
        <v>0.99334974765950101</v>
      </c>
      <c r="C3219">
        <v>0.94716471450344997</v>
      </c>
      <c r="D3219">
        <v>0.87612062915691002</v>
      </c>
      <c r="E3219">
        <v>0.81530613923245399</v>
      </c>
      <c r="F3219">
        <v>0.62132291279331697</v>
      </c>
      <c r="G3219">
        <v>0.489387450823077</v>
      </c>
      <c r="H3219">
        <v>0.47083890733273098</v>
      </c>
      <c r="I3219">
        <v>0.60256242483856903</v>
      </c>
      <c r="J3219">
        <v>0.50483571400678096</v>
      </c>
      <c r="K3219">
        <v>0.49822094447968002</v>
      </c>
      <c r="L3219">
        <v>922.85242828759101</v>
      </c>
      <c r="M3219">
        <v>18.413117291019098</v>
      </c>
      <c r="O3219">
        <v>49.539368395419302</v>
      </c>
      <c r="P3219">
        <v>-4.6469251960786599E-2</v>
      </c>
      <c r="Q3219">
        <v>0.49993190125821901</v>
      </c>
      <c r="R3219">
        <v>0.94432595207185199</v>
      </c>
      <c r="S3219" t="s">
        <v>9080</v>
      </c>
      <c r="T3219" t="s">
        <v>11720</v>
      </c>
      <c r="U3219" t="s">
        <v>11720</v>
      </c>
      <c r="V3219" t="s">
        <v>11720</v>
      </c>
      <c r="W3219" t="s">
        <v>14890</v>
      </c>
      <c r="X3219">
        <v>25</v>
      </c>
      <c r="Y3219" t="s">
        <v>20619</v>
      </c>
      <c r="Z3219" t="s">
        <v>26426</v>
      </c>
      <c r="AA3219">
        <v>0.67676640434697688</v>
      </c>
      <c r="AB3219" t="str">
        <f>HYPERLINK("Melting_Curves/meltCurve_Q14980_NUMA1.pdf", "Melting_Curves/meltCurve_Q14980_NUMA1.pdf")</f>
        <v>Melting_Curves/meltCurve_Q14980_NUMA1.pdf</v>
      </c>
    </row>
    <row r="3220" spans="1:28" x14ac:dyDescent="0.25">
      <c r="A3220" t="s">
        <v>3224</v>
      </c>
      <c r="B3220">
        <v>0.99334974765950101</v>
      </c>
      <c r="C3220">
        <v>0.97640421329731997</v>
      </c>
      <c r="D3220">
        <v>1.0400346659478401</v>
      </c>
      <c r="E3220">
        <v>0.649523077906906</v>
      </c>
      <c r="F3220">
        <v>0.53659825361600499</v>
      </c>
      <c r="G3220">
        <v>0.36879852967467303</v>
      </c>
      <c r="H3220">
        <v>0.33919875970721403</v>
      </c>
      <c r="I3220">
        <v>0.29692430550024701</v>
      </c>
      <c r="J3220">
        <v>0.341620926876612</v>
      </c>
      <c r="K3220">
        <v>0.26431167253774701</v>
      </c>
      <c r="L3220">
        <v>1202.6058614148899</v>
      </c>
      <c r="M3220">
        <v>23.701407657850101</v>
      </c>
      <c r="N3220">
        <v>52.906192551377202</v>
      </c>
      <c r="O3220">
        <v>50.382784583338299</v>
      </c>
      <c r="P3220">
        <v>-8.10849256491534E-2</v>
      </c>
      <c r="Q3220">
        <v>0.31055292758612801</v>
      </c>
      <c r="R3220">
        <v>0.97835368865108696</v>
      </c>
      <c r="S3220" t="s">
        <v>9081</v>
      </c>
      <c r="T3220" t="s">
        <v>11720</v>
      </c>
      <c r="U3220" t="s">
        <v>11720</v>
      </c>
      <c r="V3220" t="s">
        <v>11720</v>
      </c>
      <c r="W3220" t="s">
        <v>14891</v>
      </c>
      <c r="X3220">
        <v>6</v>
      </c>
      <c r="Y3220" t="s">
        <v>20620</v>
      </c>
      <c r="Z3220" t="s">
        <v>26427</v>
      </c>
      <c r="AA3220">
        <v>0.56427094147550272</v>
      </c>
      <c r="AB3220" t="str">
        <f>HYPERLINK("Melting_Curves/meltCurve_Q14C86_3_GAPVD1.pdf", "Melting_Curves/meltCurve_Q14C86_3_GAPVD1.pdf")</f>
        <v>Melting_Curves/meltCurve_Q14C86_3_GAPVD1.pdf</v>
      </c>
    </row>
    <row r="3221" spans="1:28" x14ac:dyDescent="0.25">
      <c r="A3221" t="s">
        <v>3225</v>
      </c>
      <c r="B3221">
        <v>0.99334974765950101</v>
      </c>
      <c r="C3221">
        <v>0.99694798021898101</v>
      </c>
      <c r="D3221">
        <v>0.67832522477604795</v>
      </c>
      <c r="E3221">
        <v>0.56005189218437301</v>
      </c>
      <c r="F3221">
        <v>0.95939800484157201</v>
      </c>
      <c r="G3221">
        <v>0.37845873207696501</v>
      </c>
      <c r="H3221">
        <v>0.39492679602054698</v>
      </c>
      <c r="I3221">
        <v>0.344298328459681</v>
      </c>
      <c r="J3221">
        <v>0.49352888642835002</v>
      </c>
      <c r="K3221">
        <v>0.46968247602760999</v>
      </c>
      <c r="L3221">
        <v>501.54732904899799</v>
      </c>
      <c r="M3221">
        <v>9.9973773211839898</v>
      </c>
      <c r="N3221">
        <v>58.275173980980398</v>
      </c>
      <c r="O3221">
        <v>48.284532515578903</v>
      </c>
      <c r="P3221">
        <v>-3.2338150331923297E-2</v>
      </c>
      <c r="Q3221">
        <v>0.37556719290114998</v>
      </c>
      <c r="R3221">
        <v>0.65576552935467702</v>
      </c>
      <c r="S3221" t="s">
        <v>9082</v>
      </c>
      <c r="T3221" t="s">
        <v>11720</v>
      </c>
      <c r="U3221" t="s">
        <v>11720</v>
      </c>
      <c r="V3221" t="s">
        <v>11720</v>
      </c>
      <c r="W3221" t="s">
        <v>14892</v>
      </c>
      <c r="X3221">
        <v>3</v>
      </c>
      <c r="Y3221" t="s">
        <v>20621</v>
      </c>
      <c r="Z3221" t="s">
        <v>26428</v>
      </c>
      <c r="AA3221">
        <v>0.61506185417144954</v>
      </c>
      <c r="AB3221" t="str">
        <f>HYPERLINK("Melting_Curves/meltCurve_Q14CS0_UBXN2B.pdf", "Melting_Curves/meltCurve_Q14CS0_UBXN2B.pdf")</f>
        <v>Melting_Curves/meltCurve_Q14CS0_UBXN2B.pdf</v>
      </c>
    </row>
    <row r="3222" spans="1:28" x14ac:dyDescent="0.25">
      <c r="A3222" t="s">
        <v>3226</v>
      </c>
      <c r="B3222">
        <v>0.99334974765950101</v>
      </c>
      <c r="C3222">
        <v>0.95597690735678398</v>
      </c>
      <c r="D3222">
        <v>1.0280521393406501</v>
      </c>
      <c r="E3222">
        <v>0.97769139187918597</v>
      </c>
      <c r="F3222">
        <v>0.30522011917444197</v>
      </c>
      <c r="G3222">
        <v>0.20503676632790599</v>
      </c>
      <c r="H3222">
        <v>0.13991368003469801</v>
      </c>
      <c r="I3222">
        <v>0.112547233220024</v>
      </c>
      <c r="J3222">
        <v>0.115842072935277</v>
      </c>
      <c r="K3222">
        <v>0.103196518795011</v>
      </c>
      <c r="L3222">
        <v>4360.04913357853</v>
      </c>
      <c r="M3222">
        <v>83.666662187704205</v>
      </c>
      <c r="N3222">
        <v>52.308986491714201</v>
      </c>
      <c r="O3222">
        <v>52.082394952825602</v>
      </c>
      <c r="P3222">
        <v>-0.34736612221466301</v>
      </c>
      <c r="Q3222">
        <v>0.13506015945799099</v>
      </c>
      <c r="R3222">
        <v>0.99430660452106001</v>
      </c>
      <c r="S3222" t="s">
        <v>9083</v>
      </c>
      <c r="T3222" t="s">
        <v>11720</v>
      </c>
      <c r="U3222" t="s">
        <v>11720</v>
      </c>
      <c r="V3222" t="s">
        <v>11720</v>
      </c>
      <c r="W3222" t="s">
        <v>14893</v>
      </c>
      <c r="X3222">
        <v>10</v>
      </c>
      <c r="Y3222" t="s">
        <v>20622</v>
      </c>
      <c r="Z3222" t="s">
        <v>26429</v>
      </c>
      <c r="AA3222">
        <v>0.48497686907982013</v>
      </c>
      <c r="AB3222" t="str">
        <f>HYPERLINK("Melting_Curves/meltCurve_Q14CX7_2_NAA25.pdf", "Melting_Curves/meltCurve_Q14CX7_2_NAA25.pdf")</f>
        <v>Melting_Curves/meltCurve_Q14CX7_2_NAA25.pdf</v>
      </c>
    </row>
    <row r="3223" spans="1:28" x14ac:dyDescent="0.25">
      <c r="A3223" t="s">
        <v>3227</v>
      </c>
      <c r="B3223">
        <v>0.99334974765950101</v>
      </c>
      <c r="C3223">
        <v>0.97644957506893704</v>
      </c>
      <c r="D3223">
        <v>0.95674744192707295</v>
      </c>
      <c r="E3223">
        <v>1.50033180094834</v>
      </c>
      <c r="F3223">
        <v>1.3720134167173901</v>
      </c>
      <c r="G3223">
        <v>0.46131113801231799</v>
      </c>
      <c r="H3223">
        <v>0.262792679084565</v>
      </c>
      <c r="I3223">
        <v>0.22883082816143199</v>
      </c>
      <c r="J3223">
        <v>0.15291269545742101</v>
      </c>
      <c r="K3223">
        <v>0.101977237830917</v>
      </c>
      <c r="L3223">
        <v>14211.6093028777</v>
      </c>
      <c r="M3223">
        <v>250</v>
      </c>
      <c r="N3223">
        <v>56.952876026237398</v>
      </c>
      <c r="O3223">
        <v>56.842799209032897</v>
      </c>
      <c r="P3223">
        <v>-0.89432133905213196</v>
      </c>
      <c r="Q3223">
        <v>0.186628345117827</v>
      </c>
      <c r="R3223">
        <v>0.833680894774952</v>
      </c>
      <c r="S3223" t="s">
        <v>9084</v>
      </c>
      <c r="T3223" t="s">
        <v>11720</v>
      </c>
      <c r="U3223" t="s">
        <v>11720</v>
      </c>
      <c r="V3223" t="s">
        <v>11720</v>
      </c>
      <c r="W3223" t="s">
        <v>14894</v>
      </c>
      <c r="X3223">
        <v>1</v>
      </c>
      <c r="Y3223" t="s">
        <v>20623</v>
      </c>
      <c r="Z3223" t="s">
        <v>26430</v>
      </c>
      <c r="AA3223">
        <v>0.6434566412790319</v>
      </c>
      <c r="AB3223" t="str">
        <f>HYPERLINK("Melting_Curves/meltCurve_Q15006_EMC2.pdf", "Melting_Curves/meltCurve_Q15006_EMC2.pdf")</f>
        <v>Melting_Curves/meltCurve_Q15006_EMC2.pdf</v>
      </c>
    </row>
    <row r="3224" spans="1:28" x14ac:dyDescent="0.25">
      <c r="A3224" t="s">
        <v>3228</v>
      </c>
      <c r="B3224">
        <v>0.99334974765950101</v>
      </c>
      <c r="C3224">
        <v>1.0315828447603299</v>
      </c>
      <c r="D3224">
        <v>1.08019446074304</v>
      </c>
      <c r="E3224">
        <v>1.20269691629394</v>
      </c>
      <c r="F3224">
        <v>0.96662301613428303</v>
      </c>
      <c r="G3224">
        <v>1.2298266405628</v>
      </c>
      <c r="H3224">
        <v>0.36200259883810298</v>
      </c>
      <c r="I3224">
        <v>0.19658220591520401</v>
      </c>
      <c r="J3224">
        <v>0.16610104720152699</v>
      </c>
      <c r="K3224">
        <v>0.12892403524194501</v>
      </c>
      <c r="L3224">
        <v>12283.800903547401</v>
      </c>
      <c r="M3224">
        <v>202.54308435416601</v>
      </c>
      <c r="N3224">
        <v>60.7669963961878</v>
      </c>
      <c r="O3224">
        <v>60.641928840164802</v>
      </c>
      <c r="P3224">
        <v>-0.698173411681145</v>
      </c>
      <c r="Q3224">
        <v>0.16386022133691</v>
      </c>
      <c r="R3224">
        <v>0.94516811797442501</v>
      </c>
      <c r="S3224" t="s">
        <v>9085</v>
      </c>
      <c r="T3224" t="s">
        <v>11720</v>
      </c>
      <c r="U3224" t="s">
        <v>11720</v>
      </c>
      <c r="V3224" t="s">
        <v>11720</v>
      </c>
      <c r="W3224" t="s">
        <v>14895</v>
      </c>
      <c r="X3224">
        <v>14</v>
      </c>
      <c r="Y3224" t="s">
        <v>20624</v>
      </c>
      <c r="Z3224" t="s">
        <v>26431</v>
      </c>
      <c r="AA3224">
        <v>0.73947854676825331</v>
      </c>
      <c r="AB3224" t="str">
        <f>HYPERLINK("Melting_Curves/meltCurve_Q15008_PSMD6.pdf", "Melting_Curves/meltCurve_Q15008_PSMD6.pdf")</f>
        <v>Melting_Curves/meltCurve_Q15008_PSMD6.pdf</v>
      </c>
    </row>
    <row r="3225" spans="1:28" x14ac:dyDescent="0.25">
      <c r="A3225" t="s">
        <v>3229</v>
      </c>
      <c r="B3225">
        <v>0.99334974765950101</v>
      </c>
      <c r="C3225">
        <v>0.98627944609035101</v>
      </c>
      <c r="D3225">
        <v>0.81340564302287199</v>
      </c>
      <c r="E3225">
        <v>0.78109946423865695</v>
      </c>
      <c r="F3225">
        <v>0.54420190936240398</v>
      </c>
      <c r="G3225">
        <v>0.256906849562966</v>
      </c>
      <c r="H3225">
        <v>0.192438561832322</v>
      </c>
      <c r="I3225">
        <v>0.115416414689696</v>
      </c>
      <c r="J3225">
        <v>8.4051058375424995E-2</v>
      </c>
      <c r="K3225">
        <v>2.6980491674809599E-2</v>
      </c>
      <c r="L3225">
        <v>707.24620352566296</v>
      </c>
      <c r="M3225">
        <v>13.205098896068</v>
      </c>
      <c r="N3225">
        <v>53.579488209174102</v>
      </c>
      <c r="O3225">
        <v>52.374978287273301</v>
      </c>
      <c r="P3225">
        <v>-6.2879924178050606E-2</v>
      </c>
      <c r="Q3225">
        <v>2.5709439055623898E-3</v>
      </c>
      <c r="R3225">
        <v>0.98833465410301102</v>
      </c>
      <c r="S3225" t="s">
        <v>9086</v>
      </c>
      <c r="T3225" t="s">
        <v>11720</v>
      </c>
      <c r="U3225" t="s">
        <v>11720</v>
      </c>
      <c r="V3225" t="s">
        <v>11720</v>
      </c>
      <c r="W3225" t="s">
        <v>14896</v>
      </c>
      <c r="X3225">
        <v>6</v>
      </c>
      <c r="Y3225" t="s">
        <v>20625</v>
      </c>
      <c r="Z3225" t="s">
        <v>26432</v>
      </c>
      <c r="AA3225">
        <v>0.47782733205832179</v>
      </c>
      <c r="AB3225" t="str">
        <f>HYPERLINK("Melting_Curves/meltCurve_Q15011_3_HERPUD1.pdf", "Melting_Curves/meltCurve_Q15011_3_HERPUD1.pdf")</f>
        <v>Melting_Curves/meltCurve_Q15011_3_HERPUD1.pdf</v>
      </c>
    </row>
    <row r="3226" spans="1:28" x14ac:dyDescent="0.25">
      <c r="A3226" t="s">
        <v>3230</v>
      </c>
      <c r="B3226">
        <v>0.99334974765950101</v>
      </c>
      <c r="C3226">
        <v>0.824775290800845</v>
      </c>
      <c r="D3226">
        <v>0.86811919468378296</v>
      </c>
      <c r="E3226">
        <v>0.72802982944292505</v>
      </c>
      <c r="F3226">
        <v>0.66670691851854902</v>
      </c>
      <c r="G3226">
        <v>0.64326423123995302</v>
      </c>
      <c r="H3226">
        <v>0.56149625641677703</v>
      </c>
      <c r="I3226">
        <v>0.62300764233943795</v>
      </c>
      <c r="J3226">
        <v>0.62413440183233104</v>
      </c>
      <c r="K3226">
        <v>0.42887240475392502</v>
      </c>
      <c r="L3226">
        <v>372.66176346856901</v>
      </c>
      <c r="M3226">
        <v>7.3593730056718298</v>
      </c>
      <c r="O3226">
        <v>47.301487696538402</v>
      </c>
      <c r="P3226">
        <v>-2.0689544978729501E-2</v>
      </c>
      <c r="Q3226">
        <v>0.46890069949966701</v>
      </c>
      <c r="R3226">
        <v>0.86983546547345103</v>
      </c>
      <c r="S3226" t="s">
        <v>9087</v>
      </c>
      <c r="T3226" t="s">
        <v>11720</v>
      </c>
      <c r="U3226" t="s">
        <v>11720</v>
      </c>
      <c r="V3226" t="s">
        <v>11720</v>
      </c>
      <c r="W3226" t="s">
        <v>14897</v>
      </c>
      <c r="X3226">
        <v>1</v>
      </c>
      <c r="Y3226" t="s">
        <v>20626</v>
      </c>
      <c r="Z3226" t="s">
        <v>26433</v>
      </c>
      <c r="AA3226">
        <v>0.68936787384458198</v>
      </c>
      <c r="AB3226" t="str">
        <f>HYPERLINK("Melting_Curves/meltCurve_Q15012_LAPTM4A.pdf", "Melting_Curves/meltCurve_Q15012_LAPTM4A.pdf")</f>
        <v>Melting_Curves/meltCurve_Q15012_LAPTM4A.pdf</v>
      </c>
    </row>
    <row r="3227" spans="1:28" x14ac:dyDescent="0.25">
      <c r="A3227" t="s">
        <v>3231</v>
      </c>
      <c r="B3227">
        <v>0.99334974765950101</v>
      </c>
      <c r="C3227">
        <v>0.95609293713895604</v>
      </c>
      <c r="D3227">
        <v>0.83190016168996594</v>
      </c>
      <c r="E3227">
        <v>0.68261741959632405</v>
      </c>
      <c r="F3227">
        <v>0.329715546846718</v>
      </c>
      <c r="G3227">
        <v>0.14072255396043901</v>
      </c>
      <c r="H3227">
        <v>0.132904204925751</v>
      </c>
      <c r="I3227">
        <v>0.134382984013485</v>
      </c>
      <c r="J3227">
        <v>0.122545745594046</v>
      </c>
      <c r="K3227">
        <v>9.62294968848659E-2</v>
      </c>
      <c r="L3227">
        <v>1044.17219192992</v>
      </c>
      <c r="M3227">
        <v>20.595121629001898</v>
      </c>
      <c r="N3227">
        <v>51.251569925749301</v>
      </c>
      <c r="O3227">
        <v>50.229235953872099</v>
      </c>
      <c r="P3227">
        <v>-9.2318901062272404E-2</v>
      </c>
      <c r="Q3227">
        <v>9.9403531567473599E-2</v>
      </c>
      <c r="R3227">
        <v>0.98930708913562404</v>
      </c>
      <c r="S3227" t="s">
        <v>9088</v>
      </c>
      <c r="T3227" t="s">
        <v>11720</v>
      </c>
      <c r="U3227" t="s">
        <v>11720</v>
      </c>
      <c r="V3227" t="s">
        <v>11720</v>
      </c>
      <c r="W3227" t="s">
        <v>14898</v>
      </c>
      <c r="X3227">
        <v>3</v>
      </c>
      <c r="Y3227" t="s">
        <v>20627</v>
      </c>
      <c r="Z3227" t="s">
        <v>26434</v>
      </c>
      <c r="AA3227">
        <v>0.43244755636692139</v>
      </c>
      <c r="AB3227" t="str">
        <f>HYPERLINK("Melting_Curves/meltCurve_Q15013_MAD2L1BP.pdf", "Melting_Curves/meltCurve_Q15013_MAD2L1BP.pdf")</f>
        <v>Melting_Curves/meltCurve_Q15013_MAD2L1BP.pdf</v>
      </c>
    </row>
    <row r="3228" spans="1:28" x14ac:dyDescent="0.25">
      <c r="A3228" t="s">
        <v>3232</v>
      </c>
      <c r="B3228">
        <v>0.99334974765950101</v>
      </c>
      <c r="C3228">
        <v>1.0035163904737501</v>
      </c>
      <c r="D3228">
        <v>1.0561613745977501</v>
      </c>
      <c r="E3228">
        <v>1.28406429750117</v>
      </c>
      <c r="F3228">
        <v>1.6223667113708999</v>
      </c>
      <c r="G3228">
        <v>1.7368312778014201</v>
      </c>
      <c r="H3228">
        <v>1.5199533910445999</v>
      </c>
      <c r="I3228">
        <v>1.53688922157709</v>
      </c>
      <c r="J3228">
        <v>0.56508388997229198</v>
      </c>
      <c r="K3228">
        <v>0.26860716998860601</v>
      </c>
      <c r="L3228">
        <v>15000</v>
      </c>
      <c r="M3228">
        <v>224.26304654371</v>
      </c>
      <c r="N3228">
        <v>67.116253456418903</v>
      </c>
      <c r="O3228">
        <v>66.880421909114403</v>
      </c>
      <c r="P3228">
        <v>-0.61318080406630104</v>
      </c>
      <c r="Q3228">
        <v>0.26854127014943802</v>
      </c>
      <c r="R3228">
        <v>0.23092553023978599</v>
      </c>
      <c r="S3228" t="s">
        <v>9089</v>
      </c>
      <c r="T3228" t="s">
        <v>11720</v>
      </c>
      <c r="U3228" t="s">
        <v>11720</v>
      </c>
      <c r="V3228" t="s">
        <v>11720</v>
      </c>
      <c r="W3228" t="s">
        <v>14899</v>
      </c>
      <c r="X3228">
        <v>11</v>
      </c>
      <c r="Y3228" t="s">
        <v>20628</v>
      </c>
      <c r="Z3228" t="s">
        <v>26435</v>
      </c>
      <c r="AA3228">
        <v>0.92417459536615476</v>
      </c>
      <c r="AB3228" t="str">
        <f>HYPERLINK("Melting_Curves/meltCurve_Q15018_FAM175B.pdf", "Melting_Curves/meltCurve_Q15018_FAM175B.pdf")</f>
        <v>Melting_Curves/meltCurve_Q15018_FAM175B.pdf</v>
      </c>
    </row>
    <row r="3229" spans="1:28" x14ac:dyDescent="0.25">
      <c r="A3229" t="s">
        <v>3233</v>
      </c>
      <c r="B3229">
        <v>0.99334974765950101</v>
      </c>
      <c r="C3229">
        <v>1.16757188185454</v>
      </c>
      <c r="D3229">
        <v>0.87733128517958403</v>
      </c>
      <c r="E3229">
        <v>0.90950200289374294</v>
      </c>
      <c r="F3229">
        <v>0.666079793847702</v>
      </c>
      <c r="G3229">
        <v>0.32654175874791502</v>
      </c>
      <c r="H3229">
        <v>0.27438189376982403</v>
      </c>
      <c r="I3229">
        <v>0.36471268502486198</v>
      </c>
      <c r="J3229">
        <v>0.56732704203438999</v>
      </c>
      <c r="K3229">
        <v>0.473051399144926</v>
      </c>
      <c r="L3229">
        <v>2373.6050534077999</v>
      </c>
      <c r="M3229">
        <v>45.180468978121098</v>
      </c>
      <c r="N3229">
        <v>54.480889612645598</v>
      </c>
      <c r="O3229">
        <v>52.433479288186703</v>
      </c>
      <c r="P3229">
        <v>-0.12917857305696001</v>
      </c>
      <c r="Q3229">
        <v>0.40033621299008998</v>
      </c>
      <c r="R3229">
        <v>0.88073935262023895</v>
      </c>
      <c r="S3229" t="s">
        <v>9090</v>
      </c>
      <c r="T3229" t="s">
        <v>11720</v>
      </c>
      <c r="U3229" t="s">
        <v>11720</v>
      </c>
      <c r="V3229" t="s">
        <v>11720</v>
      </c>
      <c r="W3229" t="s">
        <v>14900</v>
      </c>
      <c r="X3229">
        <v>27</v>
      </c>
      <c r="Y3229" t="s">
        <v>20629</v>
      </c>
      <c r="Z3229" t="s">
        <v>26436</v>
      </c>
      <c r="AA3229">
        <v>0.65262101978900744</v>
      </c>
      <c r="AB3229" t="str">
        <f>HYPERLINK("Melting_Curves/meltCurve_Q15019_2_SEPT2.pdf", "Melting_Curves/meltCurve_Q15019_2_SEPT2.pdf")</f>
        <v>Melting_Curves/meltCurve_Q15019_2_SEPT2.pdf</v>
      </c>
    </row>
    <row r="3230" spans="1:28" x14ac:dyDescent="0.25">
      <c r="A3230" t="s">
        <v>3234</v>
      </c>
      <c r="B3230">
        <v>0.99334974765950101</v>
      </c>
      <c r="C3230">
        <v>1.0354804260506301</v>
      </c>
      <c r="D3230">
        <v>1.13525452310301</v>
      </c>
      <c r="E3230">
        <v>1.5140017272950499</v>
      </c>
      <c r="F3230">
        <v>1.67163833819184</v>
      </c>
      <c r="G3230">
        <v>1.5420486370847799</v>
      </c>
      <c r="H3230">
        <v>0.71058904062873096</v>
      </c>
      <c r="I3230">
        <v>0.27760575729681702</v>
      </c>
      <c r="J3230">
        <v>0.181256276994161</v>
      </c>
      <c r="K3230">
        <v>0.13073462085668899</v>
      </c>
      <c r="L3230">
        <v>4207.2707657767396</v>
      </c>
      <c r="M3230">
        <v>68.222381873715705</v>
      </c>
      <c r="N3230">
        <v>62.050758910903497</v>
      </c>
      <c r="O3230">
        <v>61.6170263065302</v>
      </c>
      <c r="P3230">
        <v>-0.22945501486407999</v>
      </c>
      <c r="Q3230">
        <v>0.17104438659138199</v>
      </c>
      <c r="R3230">
        <v>0.65404270306605705</v>
      </c>
      <c r="S3230" t="s">
        <v>9091</v>
      </c>
      <c r="T3230" t="s">
        <v>11720</v>
      </c>
      <c r="U3230" t="s">
        <v>11720</v>
      </c>
      <c r="V3230" t="s">
        <v>11720</v>
      </c>
      <c r="W3230" t="s">
        <v>14901</v>
      </c>
      <c r="X3230">
        <v>6</v>
      </c>
      <c r="Y3230" t="s">
        <v>20630</v>
      </c>
      <c r="Z3230" t="s">
        <v>26437</v>
      </c>
      <c r="AA3230">
        <v>0.77102341110458217</v>
      </c>
      <c r="AB3230" t="str">
        <f>HYPERLINK("Melting_Curves/meltCurve_Q15024_EXOSC7.pdf", "Melting_Curves/meltCurve_Q15024_EXOSC7.pdf")</f>
        <v>Melting_Curves/meltCurve_Q15024_EXOSC7.pdf</v>
      </c>
    </row>
    <row r="3231" spans="1:28" x14ac:dyDescent="0.25">
      <c r="A3231" t="s">
        <v>3235</v>
      </c>
      <c r="B3231">
        <v>0.99334974765950101</v>
      </c>
      <c r="C3231">
        <v>0.98622583479898396</v>
      </c>
      <c r="D3231">
        <v>1.16593141081423</v>
      </c>
      <c r="E3231">
        <v>1.2743682171775601</v>
      </c>
      <c r="F3231">
        <v>2.4851552235385701</v>
      </c>
      <c r="G3231">
        <v>1.9634427460846899</v>
      </c>
      <c r="H3231">
        <v>1.0196579205816501</v>
      </c>
      <c r="I3231">
        <v>0.30630473298643501</v>
      </c>
      <c r="J3231">
        <v>0.245923683110255</v>
      </c>
      <c r="K3231">
        <v>0.19728217595956299</v>
      </c>
      <c r="L3231">
        <v>15000</v>
      </c>
      <c r="M3231">
        <v>236.47756977035701</v>
      </c>
      <c r="N3231">
        <v>63.588386791714598</v>
      </c>
      <c r="O3231">
        <v>63.426427794095702</v>
      </c>
      <c r="P3231">
        <v>-0.72554694389772001</v>
      </c>
      <c r="Q3231">
        <v>0.221594675958214</v>
      </c>
      <c r="R3231">
        <v>0.337844266824952</v>
      </c>
      <c r="S3231" t="s">
        <v>9092</v>
      </c>
      <c r="T3231" t="s">
        <v>11720</v>
      </c>
      <c r="U3231" t="s">
        <v>11720</v>
      </c>
      <c r="V3231" t="s">
        <v>11720</v>
      </c>
      <c r="W3231" t="s">
        <v>14902</v>
      </c>
      <c r="X3231">
        <v>29</v>
      </c>
      <c r="Y3231" t="s">
        <v>20631</v>
      </c>
      <c r="Z3231" t="s">
        <v>26438</v>
      </c>
      <c r="AA3231">
        <v>0.82965107146212602</v>
      </c>
      <c r="AB3231" t="str">
        <f>HYPERLINK("Melting_Curves/meltCurve_Q15029_2_EFTUD2.pdf", "Melting_Curves/meltCurve_Q15029_2_EFTUD2.pdf")</f>
        <v>Melting_Curves/meltCurve_Q15029_2_EFTUD2.pdf</v>
      </c>
    </row>
    <row r="3232" spans="1:28" x14ac:dyDescent="0.25">
      <c r="A3232" t="s">
        <v>3236</v>
      </c>
      <c r="B3232">
        <v>0.99334974765950101</v>
      </c>
      <c r="C3232">
        <v>0.96832942677449396</v>
      </c>
      <c r="D3232">
        <v>0.93751598038263895</v>
      </c>
      <c r="E3232">
        <v>0.37437557320673998</v>
      </c>
      <c r="F3232">
        <v>0.17874336620275799</v>
      </c>
      <c r="G3232">
        <v>0.12813381980414401</v>
      </c>
      <c r="H3232">
        <v>0.103011570745556</v>
      </c>
      <c r="I3232">
        <v>7.0531345338308099E-2</v>
      </c>
      <c r="J3232">
        <v>5.4950138310279298E-2</v>
      </c>
      <c r="K3232">
        <v>4.6308270161773801E-2</v>
      </c>
      <c r="L3232">
        <v>1676.2535660634401</v>
      </c>
      <c r="M3232">
        <v>34.190891938660798</v>
      </c>
      <c r="N3232">
        <v>49.285505319215503</v>
      </c>
      <c r="O3232">
        <v>48.859517563553098</v>
      </c>
      <c r="P3232">
        <v>-0.16055020997618699</v>
      </c>
      <c r="Q3232">
        <v>8.2284797472048296E-2</v>
      </c>
      <c r="R3232">
        <v>0.99564440227125095</v>
      </c>
      <c r="S3232" t="s">
        <v>9093</v>
      </c>
      <c r="T3232" t="s">
        <v>11720</v>
      </c>
      <c r="U3232" t="s">
        <v>11720</v>
      </c>
      <c r="V3232" t="s">
        <v>11720</v>
      </c>
      <c r="W3232" t="s">
        <v>14903</v>
      </c>
      <c r="X3232">
        <v>12</v>
      </c>
      <c r="Y3232" t="s">
        <v>20632</v>
      </c>
      <c r="Z3232" t="s">
        <v>26439</v>
      </c>
      <c r="AA3232">
        <v>0.36268529499365237</v>
      </c>
      <c r="AB3232" t="str">
        <f>HYPERLINK("Melting_Curves/meltCurve_Q15031_LARS2.pdf", "Melting_Curves/meltCurve_Q15031_LARS2.pdf")</f>
        <v>Melting_Curves/meltCurve_Q15031_LARS2.pdf</v>
      </c>
    </row>
    <row r="3233" spans="1:28" x14ac:dyDescent="0.25">
      <c r="A3233" t="s">
        <v>3237</v>
      </c>
      <c r="B3233">
        <v>0.99334974765950101</v>
      </c>
      <c r="C3233">
        <v>0.93113522784014102</v>
      </c>
      <c r="D3233">
        <v>0.77264063897082802</v>
      </c>
      <c r="E3233">
        <v>0.35444366043965703</v>
      </c>
      <c r="F3233">
        <v>0.20240434432089899</v>
      </c>
      <c r="G3233">
        <v>0.133100162944506</v>
      </c>
      <c r="H3233">
        <v>0.10310044141447799</v>
      </c>
      <c r="I3233">
        <v>7.4724125532132701E-2</v>
      </c>
      <c r="J3233">
        <v>6.3379471352592101E-2</v>
      </c>
      <c r="K3233">
        <v>5.1947945354446801E-2</v>
      </c>
      <c r="L3233">
        <v>1021.89490140893</v>
      </c>
      <c r="M3233">
        <v>21.1730521736269</v>
      </c>
      <c r="N3233">
        <v>48.628990242768502</v>
      </c>
      <c r="O3233">
        <v>47.839594177743699</v>
      </c>
      <c r="P3233">
        <v>-0.1025187274503</v>
      </c>
      <c r="Q3233">
        <v>7.3477579879219504E-2</v>
      </c>
      <c r="R3233">
        <v>0.99818100384816399</v>
      </c>
      <c r="S3233" t="s">
        <v>9094</v>
      </c>
      <c r="T3233" t="s">
        <v>11720</v>
      </c>
      <c r="U3233" t="s">
        <v>11720</v>
      </c>
      <c r="V3233" t="s">
        <v>11720</v>
      </c>
      <c r="W3233" t="s">
        <v>14904</v>
      </c>
      <c r="X3233">
        <v>17</v>
      </c>
      <c r="Y3233" t="s">
        <v>20633</v>
      </c>
      <c r="Z3233" t="s">
        <v>26440</v>
      </c>
      <c r="AA3233">
        <v>0.34032441997164359</v>
      </c>
      <c r="AB3233" t="str">
        <f>HYPERLINK("Melting_Curves/meltCurve_Q15036_SNX17.pdf", "Melting_Curves/meltCurve_Q15036_SNX17.pdf")</f>
        <v>Melting_Curves/meltCurve_Q15036_SNX17.pdf</v>
      </c>
    </row>
    <row r="3234" spans="1:28" x14ac:dyDescent="0.25">
      <c r="A3234" t="s">
        <v>3238</v>
      </c>
      <c r="B3234">
        <v>0.99334974765950101</v>
      </c>
      <c r="C3234">
        <v>1.0388733138611901</v>
      </c>
      <c r="D3234">
        <v>1.1667435253994001</v>
      </c>
      <c r="E3234">
        <v>1.38997482720287</v>
      </c>
      <c r="F3234">
        <v>1.4743674509842499</v>
      </c>
      <c r="G3234">
        <v>1.4981645660861</v>
      </c>
      <c r="H3234">
        <v>1.42540568558685</v>
      </c>
      <c r="I3234">
        <v>2.6387021669167998</v>
      </c>
      <c r="J3234">
        <v>1.9901257399810901</v>
      </c>
      <c r="K3234">
        <v>2.0235614719846602</v>
      </c>
      <c r="L3234">
        <v>1303.8784311874001</v>
      </c>
      <c r="M3234">
        <v>27.587833889640301</v>
      </c>
      <c r="O3234">
        <v>47.016541377887599</v>
      </c>
      <c r="P3234">
        <v>7.3346716680928306E-2</v>
      </c>
      <c r="Q3234">
        <v>1.5</v>
      </c>
      <c r="R3234">
        <v>0.23249388213748101</v>
      </c>
      <c r="S3234" t="s">
        <v>9095</v>
      </c>
      <c r="T3234" t="s">
        <v>11720</v>
      </c>
      <c r="U3234" t="s">
        <v>11720</v>
      </c>
      <c r="V3234" t="s">
        <v>11720</v>
      </c>
      <c r="W3234" t="s">
        <v>14905</v>
      </c>
      <c r="X3234">
        <v>5</v>
      </c>
      <c r="Y3234" t="s">
        <v>20634</v>
      </c>
      <c r="Z3234" t="s">
        <v>26441</v>
      </c>
      <c r="AA3234">
        <v>1.375364374030196</v>
      </c>
      <c r="AB3234" t="str">
        <f>HYPERLINK("Melting_Curves/meltCurve_Q15043_2_SLC39A14.pdf", "Melting_Curves/meltCurve_Q15043_2_SLC39A14.pdf")</f>
        <v>Melting_Curves/meltCurve_Q15043_2_SLC39A14.pdf</v>
      </c>
    </row>
    <row r="3235" spans="1:28" x14ac:dyDescent="0.25">
      <c r="A3235" t="s">
        <v>3239</v>
      </c>
      <c r="B3235">
        <v>0.99334974765950101</v>
      </c>
      <c r="C3235">
        <v>1.1274332341028901</v>
      </c>
      <c r="D3235">
        <v>1.28456946334887</v>
      </c>
      <c r="E3235">
        <v>1.7251836528731901</v>
      </c>
      <c r="F3235">
        <v>1.3597060351585499</v>
      </c>
      <c r="G3235">
        <v>0.79081392350108803</v>
      </c>
      <c r="H3235">
        <v>0.31774829884584899</v>
      </c>
      <c r="I3235">
        <v>0.26343392567316198</v>
      </c>
      <c r="J3235">
        <v>0.22418194016050599</v>
      </c>
      <c r="K3235">
        <v>0.191817759656883</v>
      </c>
      <c r="L3235">
        <v>3165.7845523724</v>
      </c>
      <c r="M3235">
        <v>54.410522568922602</v>
      </c>
      <c r="N3235">
        <v>58.857689394645099</v>
      </c>
      <c r="O3235">
        <v>58.104879663356598</v>
      </c>
      <c r="P3235">
        <v>-0.179805182090777</v>
      </c>
      <c r="Q3235">
        <v>0.23194621734594001</v>
      </c>
      <c r="R3235">
        <v>0.72528089498749904</v>
      </c>
      <c r="S3235" t="s">
        <v>9096</v>
      </c>
      <c r="T3235" t="s">
        <v>11720</v>
      </c>
      <c r="U3235" t="s">
        <v>11720</v>
      </c>
      <c r="V3235" t="s">
        <v>11720</v>
      </c>
      <c r="W3235" t="s">
        <v>14906</v>
      </c>
      <c r="X3235">
        <v>13</v>
      </c>
      <c r="Y3235" t="s">
        <v>20635</v>
      </c>
      <c r="Z3235" t="s">
        <v>26442</v>
      </c>
      <c r="AA3235">
        <v>0.69913053981852191</v>
      </c>
      <c r="AB3235" t="str">
        <f>HYPERLINK("Melting_Curves/meltCurve_Q15046_KARS.pdf", "Melting_Curves/meltCurve_Q15046_KARS.pdf")</f>
        <v>Melting_Curves/meltCurve_Q15046_KARS.pdf</v>
      </c>
    </row>
    <row r="3236" spans="1:28" x14ac:dyDescent="0.25">
      <c r="A3236" t="s">
        <v>3240</v>
      </c>
      <c r="B3236">
        <v>0.99334974765950101</v>
      </c>
      <c r="C3236">
        <v>1.0170593035869</v>
      </c>
      <c r="D3236">
        <v>0.77477320177100195</v>
      </c>
      <c r="E3236">
        <v>0.72756556344984802</v>
      </c>
      <c r="F3236">
        <v>0.30795751701587099</v>
      </c>
      <c r="G3236">
        <v>0.29242114828781002</v>
      </c>
      <c r="H3236">
        <v>0.16893083722972399</v>
      </c>
      <c r="I3236">
        <v>0.247237293515989</v>
      </c>
      <c r="J3236">
        <v>0.21298022696309801</v>
      </c>
      <c r="K3236">
        <v>0.285424605006668</v>
      </c>
      <c r="L3236">
        <v>1037.6484693214099</v>
      </c>
      <c r="M3236">
        <v>20.753884267144699</v>
      </c>
      <c r="N3236">
        <v>51.416796569621503</v>
      </c>
      <c r="O3236">
        <v>49.540539593294703</v>
      </c>
      <c r="P3236">
        <v>-8.1900677036318106E-2</v>
      </c>
      <c r="Q3236">
        <v>0.218018213825348</v>
      </c>
      <c r="R3236">
        <v>0.95340879764901099</v>
      </c>
      <c r="S3236" t="s">
        <v>9097</v>
      </c>
      <c r="T3236" t="s">
        <v>11720</v>
      </c>
      <c r="U3236" t="s">
        <v>11720</v>
      </c>
      <c r="V3236" t="s">
        <v>11720</v>
      </c>
      <c r="W3236" t="s">
        <v>14907</v>
      </c>
      <c r="X3236">
        <v>21</v>
      </c>
      <c r="Y3236" t="s">
        <v>20636</v>
      </c>
      <c r="Z3236" t="s">
        <v>26443</v>
      </c>
      <c r="AA3236">
        <v>0.48874677627002511</v>
      </c>
      <c r="AB3236" t="str">
        <f>HYPERLINK("Melting_Curves/meltCurve_Q15056_2_EIF4H.pdf", "Melting_Curves/meltCurve_Q15056_2_EIF4H.pdf")</f>
        <v>Melting_Curves/meltCurve_Q15056_2_EIF4H.pdf</v>
      </c>
    </row>
    <row r="3237" spans="1:28" x14ac:dyDescent="0.25">
      <c r="A3237" t="s">
        <v>3241</v>
      </c>
      <c r="B3237">
        <v>0.99334974765950101</v>
      </c>
      <c r="C3237">
        <v>0.93409437192957101</v>
      </c>
      <c r="D3237">
        <v>0.97055064974497796</v>
      </c>
      <c r="E3237">
        <v>0.59938748942665099</v>
      </c>
      <c r="F3237">
        <v>0.19909199076745801</v>
      </c>
      <c r="G3237">
        <v>0.16496691831204599</v>
      </c>
      <c r="H3237">
        <v>0.12372412277275199</v>
      </c>
      <c r="I3237">
        <v>0.11870031644220699</v>
      </c>
      <c r="J3237">
        <v>0.114375612264294</v>
      </c>
      <c r="K3237">
        <v>8.6700167482727006E-2</v>
      </c>
      <c r="L3237">
        <v>2027.8527452164999</v>
      </c>
      <c r="M3237">
        <v>40.394335363145203</v>
      </c>
      <c r="N3237">
        <v>50.538753684339298</v>
      </c>
      <c r="O3237">
        <v>50.0788492747213</v>
      </c>
      <c r="P3237">
        <v>-0.177825188991729</v>
      </c>
      <c r="Q3237">
        <v>0.118167139219522</v>
      </c>
      <c r="R3237">
        <v>0.99500354606445895</v>
      </c>
      <c r="S3237" t="s">
        <v>9098</v>
      </c>
      <c r="T3237" t="s">
        <v>11720</v>
      </c>
      <c r="U3237" t="s">
        <v>11720</v>
      </c>
      <c r="V3237" t="s">
        <v>11720</v>
      </c>
      <c r="W3237" t="s">
        <v>14908</v>
      </c>
      <c r="X3237">
        <v>20</v>
      </c>
      <c r="Y3237" t="s">
        <v>20637</v>
      </c>
      <c r="Z3237" t="s">
        <v>26444</v>
      </c>
      <c r="AA3237">
        <v>0.42103269443186248</v>
      </c>
      <c r="AB3237" t="str">
        <f>HYPERLINK("Melting_Curves/meltCurve_Q15057_ACAP2.pdf", "Melting_Curves/meltCurve_Q15057_ACAP2.pdf")</f>
        <v>Melting_Curves/meltCurve_Q15057_ACAP2.pdf</v>
      </c>
    </row>
    <row r="3238" spans="1:28" x14ac:dyDescent="0.25">
      <c r="A3238" t="s">
        <v>3242</v>
      </c>
      <c r="B3238">
        <v>0.99334974765950101</v>
      </c>
      <c r="C3238">
        <v>1.0732324054395299</v>
      </c>
      <c r="D3238">
        <v>1.04229986619232</v>
      </c>
      <c r="E3238">
        <v>1.6180462444450701</v>
      </c>
      <c r="F3238">
        <v>2.7847681661945698</v>
      </c>
      <c r="G3238">
        <v>1.43472392289238</v>
      </c>
      <c r="H3238">
        <v>0.48417969408116701</v>
      </c>
      <c r="I3238">
        <v>0.27058017429062797</v>
      </c>
      <c r="J3238">
        <v>0.18989059659979701</v>
      </c>
      <c r="K3238">
        <v>0.15390647673726199</v>
      </c>
      <c r="L3238">
        <v>9205.9428364004707</v>
      </c>
      <c r="M3238">
        <v>151.52843018864101</v>
      </c>
      <c r="N3238">
        <v>60.9656435713297</v>
      </c>
      <c r="O3238">
        <v>60.743339937933897</v>
      </c>
      <c r="P3238">
        <v>-0.49603276750895903</v>
      </c>
      <c r="Q3238">
        <v>0.20461987100214599</v>
      </c>
      <c r="R3238">
        <v>0.36452362896857998</v>
      </c>
      <c r="S3238" t="s">
        <v>9099</v>
      </c>
      <c r="T3238" t="s">
        <v>11720</v>
      </c>
      <c r="U3238" t="s">
        <v>11720</v>
      </c>
      <c r="V3238" t="s">
        <v>11720</v>
      </c>
      <c r="W3238" t="s">
        <v>14909</v>
      </c>
      <c r="X3238">
        <v>7</v>
      </c>
      <c r="Y3238" t="s">
        <v>20638</v>
      </c>
      <c r="Z3238" t="s">
        <v>26445</v>
      </c>
      <c r="AA3238">
        <v>0.75509207727486527</v>
      </c>
      <c r="AB3238" t="str">
        <f>HYPERLINK("Melting_Curves/meltCurve_Q15061_WDR43.pdf", "Melting_Curves/meltCurve_Q15061_WDR43.pdf")</f>
        <v>Melting_Curves/meltCurve_Q15061_WDR43.pdf</v>
      </c>
    </row>
    <row r="3239" spans="1:28" x14ac:dyDescent="0.25">
      <c r="A3239" t="s">
        <v>3243</v>
      </c>
      <c r="B3239">
        <v>0.99334974765950101</v>
      </c>
      <c r="C3239">
        <v>1.0739009641592601</v>
      </c>
      <c r="D3239">
        <v>1.1159999140277901</v>
      </c>
      <c r="E3239">
        <v>1.0861853437820099</v>
      </c>
      <c r="F3239">
        <v>1.0255590330546001</v>
      </c>
      <c r="G3239">
        <v>0.89599641372135597</v>
      </c>
      <c r="H3239">
        <v>0.53682767551084398</v>
      </c>
      <c r="I3239">
        <v>0.46988697795377798</v>
      </c>
      <c r="J3239">
        <v>0.46743676823674302</v>
      </c>
      <c r="K3239">
        <v>0.329743811423651</v>
      </c>
      <c r="L3239">
        <v>2251.9918321077598</v>
      </c>
      <c r="M3239">
        <v>38.002050982253898</v>
      </c>
      <c r="N3239">
        <v>61.939363920976497</v>
      </c>
      <c r="O3239">
        <v>59.096371920156201</v>
      </c>
      <c r="P3239">
        <v>-9.5911297713614702E-2</v>
      </c>
      <c r="Q3239">
        <v>0.40340121886837199</v>
      </c>
      <c r="R3239">
        <v>0.95624468962416898</v>
      </c>
      <c r="S3239" t="s">
        <v>9100</v>
      </c>
      <c r="T3239" t="s">
        <v>11720</v>
      </c>
      <c r="U3239" t="s">
        <v>11720</v>
      </c>
      <c r="V3239" t="s">
        <v>11720</v>
      </c>
      <c r="W3239" t="s">
        <v>14910</v>
      </c>
      <c r="X3239">
        <v>20</v>
      </c>
      <c r="Y3239" t="s">
        <v>20639</v>
      </c>
      <c r="Z3239" t="s">
        <v>26446</v>
      </c>
      <c r="AA3239">
        <v>0.7889878669826843</v>
      </c>
      <c r="AB3239" t="str">
        <f>HYPERLINK("Melting_Curves/meltCurve_Q15067_ACOX1.pdf", "Melting_Curves/meltCurve_Q15067_ACOX1.pdf")</f>
        <v>Melting_Curves/meltCurve_Q15067_ACOX1.pdf</v>
      </c>
    </row>
    <row r="3240" spans="1:28" x14ac:dyDescent="0.25">
      <c r="A3240" t="s">
        <v>3244</v>
      </c>
      <c r="B3240">
        <v>0.99334974765950101</v>
      </c>
      <c r="C3240">
        <v>0.99047503102663104</v>
      </c>
      <c r="D3240">
        <v>0.98345091616462399</v>
      </c>
      <c r="E3240">
        <v>0.89367974656546501</v>
      </c>
      <c r="F3240">
        <v>0.90448164363938399</v>
      </c>
      <c r="G3240">
        <v>0.77072075607262303</v>
      </c>
      <c r="H3240">
        <v>0.75299404714847595</v>
      </c>
      <c r="I3240">
        <v>0.97271072376079404</v>
      </c>
      <c r="J3240">
        <v>0.91612240118107202</v>
      </c>
      <c r="K3240">
        <v>0.82131651966475105</v>
      </c>
      <c r="L3240">
        <v>1447.5090588124201</v>
      </c>
      <c r="M3240">
        <v>29.598408767188499</v>
      </c>
      <c r="O3240">
        <v>48.683354073581803</v>
      </c>
      <c r="P3240">
        <v>-2.2446560011600399E-2</v>
      </c>
      <c r="Q3240">
        <v>0.85232094038111195</v>
      </c>
      <c r="R3240">
        <v>0.48461438066405699</v>
      </c>
      <c r="S3240" t="s">
        <v>9101</v>
      </c>
      <c r="T3240" t="s">
        <v>11720</v>
      </c>
      <c r="U3240" t="s">
        <v>11720</v>
      </c>
      <c r="V3240" t="s">
        <v>11720</v>
      </c>
      <c r="W3240" t="s">
        <v>14911</v>
      </c>
      <c r="X3240">
        <v>147</v>
      </c>
      <c r="Y3240" t="s">
        <v>20640</v>
      </c>
      <c r="Z3240" t="s">
        <v>26447</v>
      </c>
      <c r="AA3240">
        <v>0.89708028573526499</v>
      </c>
      <c r="AB3240" t="str">
        <f>HYPERLINK("Melting_Curves/meltCurve_Q15075_EEA1.pdf", "Melting_Curves/meltCurve_Q15075_EEA1.pdf")</f>
        <v>Melting_Curves/meltCurve_Q15075_EEA1.pdf</v>
      </c>
    </row>
    <row r="3241" spans="1:28" x14ac:dyDescent="0.25">
      <c r="A3241" t="s">
        <v>3245</v>
      </c>
      <c r="B3241">
        <v>0.99334974765950101</v>
      </c>
      <c r="C3241">
        <v>0.91283450055019499</v>
      </c>
      <c r="D3241">
        <v>0.78260021945399105</v>
      </c>
      <c r="E3241">
        <v>0.35598645721628802</v>
      </c>
      <c r="F3241">
        <v>0.14961611666191399</v>
      </c>
      <c r="G3241">
        <v>0.102829448828593</v>
      </c>
      <c r="H3241">
        <v>6.6172637770791201E-2</v>
      </c>
      <c r="I3241">
        <v>6.1162069685448399E-2</v>
      </c>
      <c r="J3241">
        <v>5.7645606960449E-2</v>
      </c>
      <c r="K3241">
        <v>5.4630699151821303E-2</v>
      </c>
      <c r="L3241">
        <v>1088.4386522898701</v>
      </c>
      <c r="M3241">
        <v>22.545469053116399</v>
      </c>
      <c r="N3241">
        <v>48.5377814740486</v>
      </c>
      <c r="O3241">
        <v>47.902484552465999</v>
      </c>
      <c r="P3241">
        <v>-0.110965815980212</v>
      </c>
      <c r="Q3241">
        <v>5.6940353767681397E-2</v>
      </c>
      <c r="R3241">
        <v>0.99846687448414995</v>
      </c>
      <c r="S3241" t="s">
        <v>9102</v>
      </c>
      <c r="T3241" t="s">
        <v>11720</v>
      </c>
      <c r="U3241" t="s">
        <v>11720</v>
      </c>
      <c r="V3241" t="s">
        <v>11720</v>
      </c>
      <c r="W3241" t="s">
        <v>14912</v>
      </c>
      <c r="X3241">
        <v>10</v>
      </c>
      <c r="Y3241" t="s">
        <v>20641</v>
      </c>
      <c r="Z3241" t="s">
        <v>26448</v>
      </c>
      <c r="AA3241">
        <v>0.32750768116146461</v>
      </c>
      <c r="AB3241" t="str">
        <f>HYPERLINK("Melting_Curves/meltCurve_Q15102_PAFAH1B3.pdf", "Melting_Curves/meltCurve_Q15102_PAFAH1B3.pdf")</f>
        <v>Melting_Curves/meltCurve_Q15102_PAFAH1B3.pdf</v>
      </c>
    </row>
    <row r="3242" spans="1:28" x14ac:dyDescent="0.25">
      <c r="A3242" t="s">
        <v>3246</v>
      </c>
      <c r="B3242">
        <v>0.99334974765950101</v>
      </c>
      <c r="C3242">
        <v>1.0523899774494601</v>
      </c>
      <c r="D3242">
        <v>0.981573010332356</v>
      </c>
      <c r="E3242">
        <v>0.99905226113452605</v>
      </c>
      <c r="F3242">
        <v>0.62474908290219999</v>
      </c>
      <c r="G3242">
        <v>0.534758874036804</v>
      </c>
      <c r="H3242">
        <v>0.32910960587268001</v>
      </c>
      <c r="I3242">
        <v>0.403669682698648</v>
      </c>
      <c r="J3242">
        <v>0.245385042905026</v>
      </c>
      <c r="K3242">
        <v>0.223104142823117</v>
      </c>
      <c r="L3242">
        <v>1029.8095178768001</v>
      </c>
      <c r="M3242">
        <v>18.8535650280444</v>
      </c>
      <c r="N3242">
        <v>56.830732663256299</v>
      </c>
      <c r="O3242">
        <v>54.018097192589899</v>
      </c>
      <c r="P3242">
        <v>-6.4593909827932797E-2</v>
      </c>
      <c r="Q3242">
        <v>0.25974813291260701</v>
      </c>
      <c r="R3242">
        <v>0.95834514244548996</v>
      </c>
      <c r="S3242" t="s">
        <v>9103</v>
      </c>
      <c r="T3242" t="s">
        <v>11720</v>
      </c>
      <c r="U3242" t="s">
        <v>11720</v>
      </c>
      <c r="V3242" t="s">
        <v>11720</v>
      </c>
      <c r="W3242" t="s">
        <v>14913</v>
      </c>
      <c r="X3242">
        <v>8</v>
      </c>
      <c r="Y3242" t="s">
        <v>20642</v>
      </c>
      <c r="Z3242" t="s">
        <v>26449</v>
      </c>
      <c r="AA3242">
        <v>0.63140314880097492</v>
      </c>
      <c r="AB3242" t="str">
        <f>HYPERLINK("Melting_Curves/meltCurve_Q15113_PCOLCE.pdf", "Melting_Curves/meltCurve_Q15113_PCOLCE.pdf")</f>
        <v>Melting_Curves/meltCurve_Q15113_PCOLCE.pdf</v>
      </c>
    </row>
    <row r="3243" spans="1:28" x14ac:dyDescent="0.25">
      <c r="A3243" t="s">
        <v>3247</v>
      </c>
      <c r="B3243">
        <v>0.99334974765950101</v>
      </c>
      <c r="C3243">
        <v>0.93436416690134405</v>
      </c>
      <c r="D3243">
        <v>0.987095303455648</v>
      </c>
      <c r="E3243">
        <v>0.329142795634638</v>
      </c>
      <c r="F3243">
        <v>0.201617482830386</v>
      </c>
      <c r="G3243">
        <v>8.7269350220768399E-2</v>
      </c>
      <c r="H3243">
        <v>7.3116371572824301E-2</v>
      </c>
      <c r="I3243">
        <v>6.1150357434181998E-2</v>
      </c>
      <c r="J3243">
        <v>8.4067004782740401E-2</v>
      </c>
      <c r="K3243">
        <v>5.0651623711897499E-2</v>
      </c>
      <c r="L3243">
        <v>2102.7832278037699</v>
      </c>
      <c r="M3243">
        <v>42.9299563905738</v>
      </c>
      <c r="N3243">
        <v>49.192141863821398</v>
      </c>
      <c r="O3243">
        <v>48.875796216902401</v>
      </c>
      <c r="P3243">
        <v>-0.20116794250189901</v>
      </c>
      <c r="Q3243">
        <v>8.3881857225370796E-2</v>
      </c>
      <c r="R3243">
        <v>0.99036708755795899</v>
      </c>
      <c r="S3243" t="s">
        <v>9104</v>
      </c>
      <c r="T3243" t="s">
        <v>11720</v>
      </c>
      <c r="U3243" t="s">
        <v>11720</v>
      </c>
      <c r="V3243" t="s">
        <v>11720</v>
      </c>
      <c r="W3243" t="s">
        <v>14914</v>
      </c>
      <c r="X3243">
        <v>5</v>
      </c>
      <c r="Y3243" t="s">
        <v>20643</v>
      </c>
      <c r="Z3243" t="s">
        <v>26450</v>
      </c>
      <c r="AA3243">
        <v>0.36085086607941869</v>
      </c>
      <c r="AB3243" t="str">
        <f>HYPERLINK("Melting_Curves/meltCurve_Q15118_PDK1.pdf", "Melting_Curves/meltCurve_Q15118_PDK1.pdf")</f>
        <v>Melting_Curves/meltCurve_Q15118_PDK1.pdf</v>
      </c>
    </row>
    <row r="3244" spans="1:28" x14ac:dyDescent="0.25">
      <c r="A3244" t="s">
        <v>3248</v>
      </c>
      <c r="B3244">
        <v>0.99334974765950101</v>
      </c>
      <c r="C3244">
        <v>1.0675205739203699</v>
      </c>
      <c r="D3244">
        <v>0.83208409648183101</v>
      </c>
      <c r="E3244">
        <v>0.56460088351095195</v>
      </c>
      <c r="F3244">
        <v>0.575356303454445</v>
      </c>
      <c r="G3244">
        <v>0.27223916128537901</v>
      </c>
      <c r="H3244">
        <v>0.23754102409157299</v>
      </c>
      <c r="I3244">
        <v>0.18520916503742901</v>
      </c>
      <c r="J3244">
        <v>0.234491137394951</v>
      </c>
      <c r="K3244">
        <v>0.172346706853857</v>
      </c>
      <c r="L3244">
        <v>767.84704673107603</v>
      </c>
      <c r="M3244">
        <v>15.067907660615001</v>
      </c>
      <c r="N3244">
        <v>52.442809812553897</v>
      </c>
      <c r="O3244">
        <v>50.086792800394697</v>
      </c>
      <c r="P3244">
        <v>-6.2163497491693198E-2</v>
      </c>
      <c r="Q3244">
        <v>0.17353824320550901</v>
      </c>
      <c r="R3244">
        <v>0.96701766527765998</v>
      </c>
      <c r="S3244" t="s">
        <v>9105</v>
      </c>
      <c r="T3244" t="s">
        <v>11720</v>
      </c>
      <c r="U3244" t="s">
        <v>11720</v>
      </c>
      <c r="V3244" t="s">
        <v>11720</v>
      </c>
      <c r="W3244" t="s">
        <v>14915</v>
      </c>
      <c r="X3244">
        <v>2</v>
      </c>
      <c r="Y3244" t="s">
        <v>20644</v>
      </c>
      <c r="Z3244" t="s">
        <v>26451</v>
      </c>
      <c r="AA3244">
        <v>0.4944245792268826</v>
      </c>
      <c r="AB3244" t="str">
        <f>HYPERLINK("Melting_Curves/meltCurve_Q15119_PDK2.pdf", "Melting_Curves/meltCurve_Q15119_PDK2.pdf")</f>
        <v>Melting_Curves/meltCurve_Q15119_PDK2.pdf</v>
      </c>
    </row>
    <row r="3245" spans="1:28" x14ac:dyDescent="0.25">
      <c r="A3245" t="s">
        <v>3249</v>
      </c>
      <c r="B3245">
        <v>0.99334974765950101</v>
      </c>
      <c r="C3245">
        <v>1.00041537455219</v>
      </c>
      <c r="D3245">
        <v>0.82725769760405499</v>
      </c>
      <c r="E3245">
        <v>0.69801215430171004</v>
      </c>
      <c r="F3245">
        <v>0.38493023036177498</v>
      </c>
      <c r="G3245">
        <v>0.23182162246222801</v>
      </c>
      <c r="H3245">
        <v>0.188195984421305</v>
      </c>
      <c r="I3245">
        <v>0.195500398471115</v>
      </c>
      <c r="J3245">
        <v>0.20832080111856899</v>
      </c>
      <c r="K3245">
        <v>0.19757367299422399</v>
      </c>
      <c r="L3245">
        <v>1021.26191908674</v>
      </c>
      <c r="M3245">
        <v>20.198759223977898</v>
      </c>
      <c r="N3245">
        <v>51.706154792055401</v>
      </c>
      <c r="O3245">
        <v>50.0728721320597</v>
      </c>
      <c r="P3245">
        <v>-8.2658017981533397E-2</v>
      </c>
      <c r="Q3245">
        <v>0.180386326476276</v>
      </c>
      <c r="R3245">
        <v>0.98871929951106297</v>
      </c>
      <c r="S3245" t="s">
        <v>9106</v>
      </c>
      <c r="T3245" t="s">
        <v>11720</v>
      </c>
      <c r="U3245" t="s">
        <v>11720</v>
      </c>
      <c r="V3245" t="s">
        <v>11720</v>
      </c>
      <c r="W3245" t="s">
        <v>14916</v>
      </c>
      <c r="X3245">
        <v>12</v>
      </c>
      <c r="Y3245" t="s">
        <v>20645</v>
      </c>
      <c r="Z3245" t="s">
        <v>26452</v>
      </c>
      <c r="AA3245">
        <v>0.48008448487580552</v>
      </c>
      <c r="AB3245" t="str">
        <f>HYPERLINK("Melting_Curves/meltCurve_Q15121_PEA15.pdf", "Melting_Curves/meltCurve_Q15121_PEA15.pdf")</f>
        <v>Melting_Curves/meltCurve_Q15121_PEA15.pdf</v>
      </c>
    </row>
    <row r="3246" spans="1:28" x14ac:dyDescent="0.25">
      <c r="A3246" t="s">
        <v>3250</v>
      </c>
      <c r="B3246">
        <v>0.99334974765950101</v>
      </c>
      <c r="C3246">
        <v>0.95231614881675497</v>
      </c>
      <c r="D3246">
        <v>0.96679340408869396</v>
      </c>
      <c r="E3246">
        <v>0.83821663832309801</v>
      </c>
      <c r="F3246">
        <v>0.93923577585903895</v>
      </c>
      <c r="G3246">
        <v>0.85965052802172404</v>
      </c>
      <c r="H3246">
        <v>0.72947646443000203</v>
      </c>
      <c r="I3246">
        <v>0.679928848124147</v>
      </c>
      <c r="J3246">
        <v>0.37954682196556999</v>
      </c>
      <c r="K3246">
        <v>0.19859250399371001</v>
      </c>
      <c r="L3246">
        <v>1010.16736574753</v>
      </c>
      <c r="M3246">
        <v>15.482784421953101</v>
      </c>
      <c r="N3246">
        <v>65.244554157758103</v>
      </c>
      <c r="O3246">
        <v>64.185198332630307</v>
      </c>
      <c r="P3246">
        <v>-6.0310500967726298E-2</v>
      </c>
      <c r="Q3246">
        <v>0</v>
      </c>
      <c r="R3246">
        <v>0.93045820547762903</v>
      </c>
      <c r="S3246" t="s">
        <v>9107</v>
      </c>
      <c r="T3246" t="s">
        <v>11720</v>
      </c>
      <c r="U3246" t="s">
        <v>11720</v>
      </c>
      <c r="V3246" t="s">
        <v>11720</v>
      </c>
      <c r="W3246" t="s">
        <v>14917</v>
      </c>
      <c r="X3246">
        <v>31</v>
      </c>
      <c r="Y3246" t="s">
        <v>20646</v>
      </c>
      <c r="Z3246" t="s">
        <v>26453</v>
      </c>
      <c r="AA3246">
        <v>0.8153912839217955</v>
      </c>
      <c r="AB3246" t="str">
        <f>HYPERLINK("Melting_Curves/meltCurve_Q15124_PGM5.pdf", "Melting_Curves/meltCurve_Q15124_PGM5.pdf")</f>
        <v>Melting_Curves/meltCurve_Q15124_PGM5.pdf</v>
      </c>
    </row>
    <row r="3247" spans="1:28" x14ac:dyDescent="0.25">
      <c r="A3247" t="s">
        <v>3251</v>
      </c>
      <c r="B3247">
        <v>0.99334974765950101</v>
      </c>
      <c r="C3247">
        <v>0.90010425891767298</v>
      </c>
      <c r="D3247">
        <v>0.52394398544800502</v>
      </c>
      <c r="E3247">
        <v>0.191729360243757</v>
      </c>
      <c r="F3247">
        <v>0.120045872281415</v>
      </c>
      <c r="G3247">
        <v>0.11995063888519999</v>
      </c>
      <c r="H3247">
        <v>0.106531963571492</v>
      </c>
      <c r="I3247">
        <v>8.6689869520803195E-2</v>
      </c>
      <c r="J3247">
        <v>6.45020394002572E-2</v>
      </c>
      <c r="K3247">
        <v>5.3050229168371099E-2</v>
      </c>
      <c r="L3247">
        <v>1246.46038585421</v>
      </c>
      <c r="M3247">
        <v>27.124680034013</v>
      </c>
      <c r="N3247">
        <v>46.282170279862598</v>
      </c>
      <c r="O3247">
        <v>45.705409404001202</v>
      </c>
      <c r="P3247">
        <v>-0.13535269137546599</v>
      </c>
      <c r="Q3247">
        <v>8.7725281718208994E-2</v>
      </c>
      <c r="R3247">
        <v>0.99693472257621596</v>
      </c>
      <c r="S3247" t="s">
        <v>9108</v>
      </c>
      <c r="T3247" t="s">
        <v>11720</v>
      </c>
      <c r="U3247" t="s">
        <v>11720</v>
      </c>
      <c r="V3247" t="s">
        <v>11720</v>
      </c>
      <c r="W3247" t="s">
        <v>14918</v>
      </c>
      <c r="X3247">
        <v>17</v>
      </c>
      <c r="Y3247" t="s">
        <v>20647</v>
      </c>
      <c r="Z3247" t="s">
        <v>26454</v>
      </c>
      <c r="AA3247">
        <v>0.2757527119687459</v>
      </c>
      <c r="AB3247" t="str">
        <f>HYPERLINK("Melting_Curves/meltCurve_Q15126_PMVK.pdf", "Melting_Curves/meltCurve_Q15126_PMVK.pdf")</f>
        <v>Melting_Curves/meltCurve_Q15126_PMVK.pdf</v>
      </c>
    </row>
    <row r="3248" spans="1:28" x14ac:dyDescent="0.25">
      <c r="A3248" t="s">
        <v>3252</v>
      </c>
      <c r="B3248">
        <v>0.99334974765950101</v>
      </c>
      <c r="C3248">
        <v>1.01186820784151</v>
      </c>
      <c r="D3248">
        <v>1.05557183010514</v>
      </c>
      <c r="E3248">
        <v>1.00747248142057</v>
      </c>
      <c r="F3248">
        <v>0.326276328117793</v>
      </c>
      <c r="G3248">
        <v>0.141032090167723</v>
      </c>
      <c r="H3248">
        <v>9.2026231675857897E-2</v>
      </c>
      <c r="I3248">
        <v>8.2564810789126294E-2</v>
      </c>
      <c r="J3248">
        <v>6.4608239330484096E-2</v>
      </c>
      <c r="K3248">
        <v>6.6885172758518796E-2</v>
      </c>
      <c r="L3248">
        <v>13194.594859418101</v>
      </c>
      <c r="M3248">
        <v>250</v>
      </c>
      <c r="N3248">
        <v>52.820010455232101</v>
      </c>
      <c r="O3248">
        <v>52.775001975669802</v>
      </c>
      <c r="P3248">
        <v>-1.0783712273477</v>
      </c>
      <c r="Q3248">
        <v>8.94233026794755E-2</v>
      </c>
      <c r="R3248">
        <v>0.99631536468957205</v>
      </c>
      <c r="S3248" t="s">
        <v>9109</v>
      </c>
      <c r="T3248" t="s">
        <v>11720</v>
      </c>
      <c r="U3248" t="s">
        <v>11720</v>
      </c>
      <c r="V3248" t="s">
        <v>11720</v>
      </c>
      <c r="W3248" t="s">
        <v>14919</v>
      </c>
      <c r="X3248">
        <v>5</v>
      </c>
      <c r="Y3248" t="s">
        <v>20648</v>
      </c>
      <c r="Z3248" t="s">
        <v>26455</v>
      </c>
      <c r="AA3248">
        <v>0.47736412990840299</v>
      </c>
      <c r="AB3248" t="str">
        <f>HYPERLINK("Melting_Curves/meltCurve_Q15139_PRKD1.pdf", "Melting_Curves/meltCurve_Q15139_PRKD1.pdf")</f>
        <v>Melting_Curves/meltCurve_Q15139_PRKD1.pdf</v>
      </c>
    </row>
    <row r="3249" spans="1:28" x14ac:dyDescent="0.25">
      <c r="A3249" t="s">
        <v>3253</v>
      </c>
      <c r="B3249">
        <v>0.99334974765950101</v>
      </c>
      <c r="C3249">
        <v>0.99095804740922999</v>
      </c>
      <c r="D3249">
        <v>0.91707966355070702</v>
      </c>
      <c r="E3249">
        <v>0.713205686283232</v>
      </c>
      <c r="F3249">
        <v>0.25456351323211901</v>
      </c>
      <c r="G3249">
        <v>0.16696912498314001</v>
      </c>
      <c r="H3249">
        <v>0.128679959268581</v>
      </c>
      <c r="I3249">
        <v>0.115335277648956</v>
      </c>
      <c r="J3249">
        <v>0.106893938721627</v>
      </c>
      <c r="K3249">
        <v>8.7566343757868106E-2</v>
      </c>
      <c r="L3249">
        <v>1886.35947916034</v>
      </c>
      <c r="M3249">
        <v>37.081351229941198</v>
      </c>
      <c r="N3249">
        <v>51.230039020464801</v>
      </c>
      <c r="O3249">
        <v>50.723579318887097</v>
      </c>
      <c r="P3249">
        <v>-0.161840840559202</v>
      </c>
      <c r="Q3249">
        <v>0.11447434763415</v>
      </c>
      <c r="R3249">
        <v>0.99483056635663403</v>
      </c>
      <c r="S3249" t="s">
        <v>9110</v>
      </c>
      <c r="T3249" t="s">
        <v>11720</v>
      </c>
      <c r="U3249" t="s">
        <v>11720</v>
      </c>
      <c r="V3249" t="s">
        <v>11720</v>
      </c>
      <c r="W3249" t="s">
        <v>14920</v>
      </c>
      <c r="X3249">
        <v>16</v>
      </c>
      <c r="Y3249" t="s">
        <v>20649</v>
      </c>
      <c r="Z3249" t="s">
        <v>26456</v>
      </c>
      <c r="AA3249">
        <v>0.43898192485301618</v>
      </c>
      <c r="AB3249" t="str">
        <f>HYPERLINK("Melting_Curves/meltCurve_Q15147_PLCB4.pdf", "Melting_Curves/meltCurve_Q15147_PLCB4.pdf")</f>
        <v>Melting_Curves/meltCurve_Q15147_PLCB4.pdf</v>
      </c>
    </row>
    <row r="3250" spans="1:28" x14ac:dyDescent="0.25">
      <c r="A3250" t="s">
        <v>3254</v>
      </c>
      <c r="B3250">
        <v>0.99334974765950101</v>
      </c>
      <c r="C3250">
        <v>1.0018407807902301</v>
      </c>
      <c r="D3250">
        <v>0.94444555060868596</v>
      </c>
      <c r="E3250">
        <v>0.78746951685509003</v>
      </c>
      <c r="F3250">
        <v>0.44340174365428497</v>
      </c>
      <c r="G3250">
        <v>0.347280050347824</v>
      </c>
      <c r="H3250">
        <v>0.219539145424858</v>
      </c>
      <c r="I3250">
        <v>0.258161846808243</v>
      </c>
      <c r="J3250">
        <v>0.18799986322337001</v>
      </c>
      <c r="K3250">
        <v>0.18958699634222001</v>
      </c>
      <c r="L3250">
        <v>1216.3164522715399</v>
      </c>
      <c r="M3250">
        <v>23.537968127020399</v>
      </c>
      <c r="N3250">
        <v>52.917104592400598</v>
      </c>
      <c r="O3250">
        <v>51.306014477935598</v>
      </c>
      <c r="P3250">
        <v>-9.03471055645894E-2</v>
      </c>
      <c r="Q3250">
        <v>0.21229052268024401</v>
      </c>
      <c r="R3250">
        <v>0.99097803944698404</v>
      </c>
      <c r="S3250" t="s">
        <v>9111</v>
      </c>
      <c r="T3250" t="s">
        <v>11720</v>
      </c>
      <c r="U3250" t="s">
        <v>11720</v>
      </c>
      <c r="V3250" t="s">
        <v>11720</v>
      </c>
      <c r="W3250" t="s">
        <v>14921</v>
      </c>
      <c r="X3250">
        <v>252</v>
      </c>
      <c r="Y3250" t="s">
        <v>20650</v>
      </c>
      <c r="Z3250" t="s">
        <v>26457</v>
      </c>
      <c r="AA3250">
        <v>0.52688166877071485</v>
      </c>
      <c r="AB3250" t="str">
        <f>HYPERLINK("Melting_Curves/meltCurve_Q15149_3_PLEC.pdf", "Melting_Curves/meltCurve_Q15149_3_PLEC.pdf")</f>
        <v>Melting_Curves/meltCurve_Q15149_3_PLEC.pdf</v>
      </c>
    </row>
    <row r="3251" spans="1:28" x14ac:dyDescent="0.25">
      <c r="A3251" t="s">
        <v>3255</v>
      </c>
      <c r="B3251">
        <v>0.99334974765950101</v>
      </c>
      <c r="C3251">
        <v>0.99148322336908201</v>
      </c>
      <c r="D3251">
        <v>1.0268756268894199</v>
      </c>
      <c r="E3251">
        <v>0.84780341397696002</v>
      </c>
      <c r="F3251">
        <v>0.42329136993699601</v>
      </c>
      <c r="G3251">
        <v>0.17497697967364501</v>
      </c>
      <c r="H3251">
        <v>8.0734472444128694E-2</v>
      </c>
      <c r="I3251">
        <v>6.3949789618434699E-2</v>
      </c>
      <c r="J3251">
        <v>6.10143235013157E-2</v>
      </c>
      <c r="K3251">
        <v>5.1697669603715801E-2</v>
      </c>
      <c r="L3251">
        <v>1689.47667827704</v>
      </c>
      <c r="M3251">
        <v>32.265030426985199</v>
      </c>
      <c r="N3251">
        <v>52.603270623666504</v>
      </c>
      <c r="O3251">
        <v>52.162554461430403</v>
      </c>
      <c r="P3251">
        <v>-0.144021106247813</v>
      </c>
      <c r="Q3251">
        <v>6.8654572542445197E-2</v>
      </c>
      <c r="R3251">
        <v>0.99742169285675697</v>
      </c>
      <c r="S3251" t="s">
        <v>9112</v>
      </c>
      <c r="T3251" t="s">
        <v>11720</v>
      </c>
      <c r="U3251" t="s">
        <v>11720</v>
      </c>
      <c r="V3251" t="s">
        <v>11720</v>
      </c>
      <c r="W3251" t="s">
        <v>14922</v>
      </c>
      <c r="X3251">
        <v>252</v>
      </c>
      <c r="Y3251" t="s">
        <v>20650</v>
      </c>
      <c r="Z3251" t="s">
        <v>26458</v>
      </c>
      <c r="AA3251">
        <v>0.4576253369137479</v>
      </c>
      <c r="AB3251" t="str">
        <f>HYPERLINK("Melting_Curves/meltCurve_Q15149_4_PLEC.pdf", "Melting_Curves/meltCurve_Q15149_4_PLEC.pdf")</f>
        <v>Melting_Curves/meltCurve_Q15149_4_PLEC.pdf</v>
      </c>
    </row>
    <row r="3252" spans="1:28" x14ac:dyDescent="0.25">
      <c r="A3252" t="s">
        <v>3256</v>
      </c>
      <c r="B3252">
        <v>0.99334974765950101</v>
      </c>
      <c r="C3252">
        <v>0.99950688066637405</v>
      </c>
      <c r="D3252">
        <v>1.0556369734358499</v>
      </c>
      <c r="E3252">
        <v>0.94155853496036601</v>
      </c>
      <c r="F3252">
        <v>0.66562127468218002</v>
      </c>
      <c r="G3252">
        <v>0.39544158967349502</v>
      </c>
      <c r="H3252">
        <v>0.234829611696767</v>
      </c>
      <c r="I3252">
        <v>0.20163884555120001</v>
      </c>
      <c r="J3252">
        <v>0.224602292171726</v>
      </c>
      <c r="K3252">
        <v>0.27082350901815799</v>
      </c>
      <c r="L3252">
        <v>1517.8002658304599</v>
      </c>
      <c r="M3252">
        <v>28.220572071709299</v>
      </c>
      <c r="N3252">
        <v>54.976428679614003</v>
      </c>
      <c r="O3252">
        <v>53.515576505211698</v>
      </c>
      <c r="P3252">
        <v>-0.10164864312152699</v>
      </c>
      <c r="Q3252">
        <v>0.22896807565024599</v>
      </c>
      <c r="R3252">
        <v>0.99189061347131302</v>
      </c>
      <c r="S3252" t="s">
        <v>9113</v>
      </c>
      <c r="T3252" t="s">
        <v>11720</v>
      </c>
      <c r="U3252" t="s">
        <v>11720</v>
      </c>
      <c r="V3252" t="s">
        <v>11720</v>
      </c>
      <c r="W3252" t="s">
        <v>14923</v>
      </c>
      <c r="X3252">
        <v>253</v>
      </c>
      <c r="Y3252" t="s">
        <v>20650</v>
      </c>
      <c r="Z3252" t="s">
        <v>26459</v>
      </c>
      <c r="AA3252">
        <v>0.58889982332219382</v>
      </c>
      <c r="AB3252" t="str">
        <f>HYPERLINK("Melting_Curves/meltCurve_Q15149_8_PLEC.pdf", "Melting_Curves/meltCurve_Q15149_8_PLEC.pdf")</f>
        <v>Melting_Curves/meltCurve_Q15149_8_PLEC.pdf</v>
      </c>
    </row>
    <row r="3253" spans="1:28" x14ac:dyDescent="0.25">
      <c r="A3253" t="s">
        <v>3257</v>
      </c>
      <c r="B3253">
        <v>0.99334974765950101</v>
      </c>
      <c r="C3253">
        <v>1.06437990044728</v>
      </c>
      <c r="D3253">
        <v>0.87537090390745598</v>
      </c>
      <c r="E3253">
        <v>1.0631263006496701</v>
      </c>
      <c r="F3253">
        <v>0.31636847511481597</v>
      </c>
      <c r="G3253">
        <v>5.69798395311579E-2</v>
      </c>
      <c r="H3253">
        <v>0.105367231878333</v>
      </c>
      <c r="I3253">
        <v>0.12745356328396101</v>
      </c>
      <c r="J3253">
        <v>0.15213192032099199</v>
      </c>
      <c r="K3253">
        <v>0.151739756905093</v>
      </c>
      <c r="L3253">
        <v>13184.2270505337</v>
      </c>
      <c r="M3253">
        <v>250</v>
      </c>
      <c r="N3253">
        <v>52.794177374917297</v>
      </c>
      <c r="O3253">
        <v>52.7335334058196</v>
      </c>
      <c r="P3253">
        <v>-1.0444795946427401</v>
      </c>
      <c r="Q3253">
        <v>0.11873440776793601</v>
      </c>
      <c r="R3253">
        <v>0.98321287417662095</v>
      </c>
      <c r="S3253" t="s">
        <v>9114</v>
      </c>
      <c r="T3253" t="s">
        <v>11720</v>
      </c>
      <c r="U3253" t="s">
        <v>11720</v>
      </c>
      <c r="V3253" t="s">
        <v>11720</v>
      </c>
      <c r="W3253" t="s">
        <v>14924</v>
      </c>
      <c r="X3253">
        <v>37</v>
      </c>
      <c r="Y3253" t="s">
        <v>20651</v>
      </c>
      <c r="Z3253" t="s">
        <v>26460</v>
      </c>
      <c r="AA3253">
        <v>0.49296926939234559</v>
      </c>
      <c r="AB3253" t="str">
        <f>HYPERLINK("Melting_Curves/meltCurve_Q15155_NOMO1.pdf", "Melting_Curves/meltCurve_Q15155_NOMO1.pdf")</f>
        <v>Melting_Curves/meltCurve_Q15155_NOMO1.pdf</v>
      </c>
    </row>
    <row r="3254" spans="1:28" x14ac:dyDescent="0.25">
      <c r="A3254" t="s">
        <v>3258</v>
      </c>
      <c r="B3254">
        <v>0.99334974765950101</v>
      </c>
      <c r="C3254">
        <v>1.03395552123671</v>
      </c>
      <c r="D3254">
        <v>0.91658274701631004</v>
      </c>
      <c r="E3254">
        <v>0.88635153174001502</v>
      </c>
      <c r="F3254">
        <v>0.885042808688002</v>
      </c>
      <c r="G3254">
        <v>0.76460036099970097</v>
      </c>
      <c r="H3254">
        <v>0.73026881748650097</v>
      </c>
      <c r="I3254">
        <v>0.75296372331642802</v>
      </c>
      <c r="J3254">
        <v>0.74391423383178401</v>
      </c>
      <c r="K3254">
        <v>0.72822021734683695</v>
      </c>
      <c r="L3254">
        <v>696.93690023146405</v>
      </c>
      <c r="M3254">
        <v>13.3952117985576</v>
      </c>
      <c r="O3254">
        <v>50.910279938283303</v>
      </c>
      <c r="P3254">
        <v>-1.8436225956735199E-2</v>
      </c>
      <c r="Q3254">
        <v>0.71976676427668096</v>
      </c>
      <c r="R3254">
        <v>0.93731376927867804</v>
      </c>
      <c r="S3254" t="s">
        <v>9115</v>
      </c>
      <c r="T3254" t="s">
        <v>11720</v>
      </c>
      <c r="U3254" t="s">
        <v>11720</v>
      </c>
      <c r="V3254" t="s">
        <v>11720</v>
      </c>
      <c r="W3254" t="s">
        <v>14925</v>
      </c>
      <c r="X3254">
        <v>3</v>
      </c>
      <c r="Y3254" t="s">
        <v>20652</v>
      </c>
      <c r="Z3254" t="s">
        <v>26461</v>
      </c>
      <c r="AA3254">
        <v>0.8395151711380151</v>
      </c>
      <c r="AB3254" t="str">
        <f>HYPERLINK("Melting_Curves/meltCurve_Q15170_2_TCEAL1.pdf", "Melting_Curves/meltCurve_Q15170_2_TCEAL1.pdf")</f>
        <v>Melting_Curves/meltCurve_Q15170_2_TCEAL1.pdf</v>
      </c>
    </row>
    <row r="3255" spans="1:28" x14ac:dyDescent="0.25">
      <c r="A3255" t="s">
        <v>3259</v>
      </c>
      <c r="B3255">
        <v>0.99334974765950101</v>
      </c>
      <c r="C3255">
        <v>0.92840997092341104</v>
      </c>
      <c r="D3255">
        <v>1.00667385562148</v>
      </c>
      <c r="E3255">
        <v>0.71026925420188203</v>
      </c>
      <c r="F3255">
        <v>0.10607935547285199</v>
      </c>
      <c r="G3255">
        <v>7.4649619214364304E-2</v>
      </c>
      <c r="H3255">
        <v>5.1318971169976801E-2</v>
      </c>
      <c r="I3255">
        <v>4.2574999859507301E-2</v>
      </c>
      <c r="J3255">
        <v>3.7539873607296402E-2</v>
      </c>
      <c r="K3255">
        <v>2.6192839114291901E-2</v>
      </c>
      <c r="L3255">
        <v>3107.6679810343198</v>
      </c>
      <c r="M3255">
        <v>61.323715861798597</v>
      </c>
      <c r="N3255">
        <v>50.756511446082897</v>
      </c>
      <c r="O3255">
        <v>50.622639268206299</v>
      </c>
      <c r="P3255">
        <v>-0.28888759446155898</v>
      </c>
      <c r="Q3255">
        <v>4.6095190088737803E-2</v>
      </c>
      <c r="R3255">
        <v>0.99640224398434996</v>
      </c>
      <c r="S3255" t="s">
        <v>9116</v>
      </c>
      <c r="T3255" t="s">
        <v>11720</v>
      </c>
      <c r="U3255" t="s">
        <v>11720</v>
      </c>
      <c r="V3255" t="s">
        <v>11720</v>
      </c>
      <c r="W3255" t="s">
        <v>14926</v>
      </c>
      <c r="X3255">
        <v>7</v>
      </c>
      <c r="Y3255" t="s">
        <v>20653</v>
      </c>
      <c r="Z3255" t="s">
        <v>26462</v>
      </c>
      <c r="AA3255">
        <v>0.38698717208641459</v>
      </c>
      <c r="AB3255" t="str">
        <f>HYPERLINK("Melting_Curves/meltCurve_Q15172_PPP2R5A.pdf", "Melting_Curves/meltCurve_Q15172_PPP2R5A.pdf")</f>
        <v>Melting_Curves/meltCurve_Q15172_PPP2R5A.pdf</v>
      </c>
    </row>
    <row r="3256" spans="1:28" x14ac:dyDescent="0.25">
      <c r="A3256" t="s">
        <v>3260</v>
      </c>
      <c r="B3256">
        <v>0.99334974765950101</v>
      </c>
      <c r="C3256">
        <v>1.08292490748477</v>
      </c>
      <c r="D3256">
        <v>1.0613668789965101</v>
      </c>
      <c r="E3256">
        <v>0.72286132856965701</v>
      </c>
      <c r="F3256">
        <v>0.32366970401809703</v>
      </c>
      <c r="G3256">
        <v>0.23200306487671099</v>
      </c>
      <c r="H3256">
        <v>0.19800901186324699</v>
      </c>
      <c r="I3256">
        <v>0.12974189046745099</v>
      </c>
      <c r="J3256">
        <v>6.33342636224382E-2</v>
      </c>
      <c r="K3256">
        <v>7.5159044036826106E-2</v>
      </c>
      <c r="L3256">
        <v>1732.8476717635201</v>
      </c>
      <c r="M3256">
        <v>33.855515752781201</v>
      </c>
      <c r="N3256">
        <v>51.644990637139202</v>
      </c>
      <c r="O3256">
        <v>51.0060282615229</v>
      </c>
      <c r="P3256">
        <v>-0.14428431842531</v>
      </c>
      <c r="Q3256">
        <v>0.13050031803735199</v>
      </c>
      <c r="R3256">
        <v>0.98113050920035905</v>
      </c>
      <c r="S3256" t="s">
        <v>9117</v>
      </c>
      <c r="T3256" t="s">
        <v>11720</v>
      </c>
      <c r="U3256" t="s">
        <v>11720</v>
      </c>
      <c r="V3256" t="s">
        <v>11720</v>
      </c>
      <c r="W3256" t="s">
        <v>14927</v>
      </c>
      <c r="X3256">
        <v>2</v>
      </c>
      <c r="Y3256" t="s">
        <v>20654</v>
      </c>
      <c r="Z3256" t="s">
        <v>26463</v>
      </c>
      <c r="AA3256">
        <v>0.45894135592219398</v>
      </c>
      <c r="AB3256" t="str">
        <f>HYPERLINK("Melting_Curves/meltCurve_Q15173_2_PPP2R5B.pdf", "Melting_Curves/meltCurve_Q15173_2_PPP2R5B.pdf")</f>
        <v>Melting_Curves/meltCurve_Q15173_2_PPP2R5B.pdf</v>
      </c>
    </row>
    <row r="3257" spans="1:28" x14ac:dyDescent="0.25">
      <c r="A3257" t="s">
        <v>3261</v>
      </c>
      <c r="B3257">
        <v>0.99334974765950101</v>
      </c>
      <c r="C3257">
        <v>1.08351253376915</v>
      </c>
      <c r="D3257">
        <v>1.0284266836448801</v>
      </c>
      <c r="E3257">
        <v>0.80728596679517395</v>
      </c>
      <c r="F3257">
        <v>0.47670379278531999</v>
      </c>
      <c r="G3257">
        <v>0.21992581139782899</v>
      </c>
      <c r="H3257">
        <v>0.120634893996931</v>
      </c>
      <c r="I3257">
        <v>8.5998683557981195E-2</v>
      </c>
      <c r="J3257">
        <v>7.8465595105535094E-2</v>
      </c>
      <c r="K3257">
        <v>6.2048450654277498E-2</v>
      </c>
      <c r="L3257">
        <v>1348.9679215791</v>
      </c>
      <c r="M3257">
        <v>25.647383205265001</v>
      </c>
      <c r="N3257">
        <v>52.958909928205401</v>
      </c>
      <c r="O3257">
        <v>52.2800651043678</v>
      </c>
      <c r="P3257">
        <v>-0.11277959863615</v>
      </c>
      <c r="Q3257">
        <v>8.0443584696502105E-2</v>
      </c>
      <c r="R3257">
        <v>0.99309611983500901</v>
      </c>
      <c r="S3257" t="s">
        <v>9118</v>
      </c>
      <c r="T3257" t="s">
        <v>11720</v>
      </c>
      <c r="U3257" t="s">
        <v>11720</v>
      </c>
      <c r="V3257" t="s">
        <v>11720</v>
      </c>
      <c r="W3257" t="s">
        <v>14928</v>
      </c>
      <c r="X3257">
        <v>22</v>
      </c>
      <c r="Y3257" t="s">
        <v>20655</v>
      </c>
      <c r="Z3257" t="s">
        <v>26464</v>
      </c>
      <c r="AA3257">
        <v>0.47459563744319377</v>
      </c>
      <c r="AB3257" t="str">
        <f>HYPERLINK("Melting_Curves/meltCurve_Q15181_PPA1.pdf", "Melting_Curves/meltCurve_Q15181_PPA1.pdf")</f>
        <v>Melting_Curves/meltCurve_Q15181_PPA1.pdf</v>
      </c>
    </row>
    <row r="3258" spans="1:28" x14ac:dyDescent="0.25">
      <c r="A3258" t="s">
        <v>3262</v>
      </c>
      <c r="B3258">
        <v>0.99334974765950101</v>
      </c>
      <c r="C3258">
        <v>0.95633043560549602</v>
      </c>
      <c r="D3258">
        <v>0.81342537634658896</v>
      </c>
      <c r="E3258">
        <v>0.39850628079946199</v>
      </c>
      <c r="F3258">
        <v>0.23510491254461199</v>
      </c>
      <c r="G3258">
        <v>0.13922634937846901</v>
      </c>
      <c r="H3258">
        <v>0.101243248258749</v>
      </c>
      <c r="I3258">
        <v>8.36246703976916E-2</v>
      </c>
      <c r="J3258">
        <v>9.0071567978737804E-2</v>
      </c>
      <c r="K3258">
        <v>6.4778357607504097E-2</v>
      </c>
      <c r="L3258">
        <v>1058.37499737799</v>
      </c>
      <c r="M3258">
        <v>21.7219197471907</v>
      </c>
      <c r="N3258">
        <v>49.143606072666699</v>
      </c>
      <c r="O3258">
        <v>48.316514632766001</v>
      </c>
      <c r="P3258">
        <v>-0.10287930886082999</v>
      </c>
      <c r="Q3258">
        <v>8.4675206201562395E-2</v>
      </c>
      <c r="R3258">
        <v>0.99880102864140896</v>
      </c>
      <c r="S3258" t="s">
        <v>9119</v>
      </c>
      <c r="T3258" t="s">
        <v>11720</v>
      </c>
      <c r="U3258" t="s">
        <v>11720</v>
      </c>
      <c r="V3258" t="s">
        <v>11720</v>
      </c>
      <c r="W3258" t="s">
        <v>14929</v>
      </c>
      <c r="X3258">
        <v>19</v>
      </c>
      <c r="Y3258" t="s">
        <v>20656</v>
      </c>
      <c r="Z3258" t="s">
        <v>26465</v>
      </c>
      <c r="AA3258">
        <v>0.36168895381837279</v>
      </c>
      <c r="AB3258" t="str">
        <f>HYPERLINK("Melting_Curves/meltCurve_Q15208_STK38.pdf", "Melting_Curves/meltCurve_Q15208_STK38.pdf")</f>
        <v>Melting_Curves/meltCurve_Q15208_STK38.pdf</v>
      </c>
    </row>
    <row r="3259" spans="1:28" x14ac:dyDescent="0.25">
      <c r="A3259" t="s">
        <v>3263</v>
      </c>
      <c r="B3259">
        <v>0.99334974765950101</v>
      </c>
      <c r="C3259">
        <v>0.94140368473444702</v>
      </c>
      <c r="D3259">
        <v>0.86680383380076997</v>
      </c>
      <c r="E3259">
        <v>0.80793850645812004</v>
      </c>
      <c r="F3259">
        <v>0.83914487159250695</v>
      </c>
      <c r="G3259">
        <v>0.74249543847285604</v>
      </c>
      <c r="H3259">
        <v>0.74865213699226696</v>
      </c>
      <c r="I3259">
        <v>0.86671079358488301</v>
      </c>
      <c r="J3259">
        <v>0.87979768378642498</v>
      </c>
      <c r="K3259">
        <v>0.68599663920742604</v>
      </c>
      <c r="L3259">
        <v>939.90801837904598</v>
      </c>
      <c r="M3259">
        <v>20.9273378036001</v>
      </c>
      <c r="O3259">
        <v>44.508865040642803</v>
      </c>
      <c r="P3259">
        <v>-2.4618861748193301E-2</v>
      </c>
      <c r="Q3259">
        <v>0.79056531528748197</v>
      </c>
      <c r="R3259">
        <v>0.61266804427235599</v>
      </c>
      <c r="S3259" t="s">
        <v>9120</v>
      </c>
      <c r="T3259" t="s">
        <v>11720</v>
      </c>
      <c r="U3259" t="s">
        <v>11720</v>
      </c>
      <c r="V3259" t="s">
        <v>11720</v>
      </c>
      <c r="W3259" t="s">
        <v>14930</v>
      </c>
      <c r="X3259">
        <v>2</v>
      </c>
      <c r="Y3259" t="s">
        <v>20657</v>
      </c>
      <c r="Z3259" t="s">
        <v>26466</v>
      </c>
      <c r="AA3259">
        <v>0.82808347717213426</v>
      </c>
      <c r="AB3259" t="str">
        <f>HYPERLINK("Melting_Curves/meltCurve_Q15223_PVRL1.pdf", "Melting_Curves/meltCurve_Q15223_PVRL1.pdf")</f>
        <v>Melting_Curves/meltCurve_Q15223_PVRL1.pdf</v>
      </c>
    </row>
    <row r="3260" spans="1:28" x14ac:dyDescent="0.25">
      <c r="A3260" t="s">
        <v>3264</v>
      </c>
      <c r="B3260">
        <v>0.99334974765950101</v>
      </c>
      <c r="C3260">
        <v>0.95718040980500196</v>
      </c>
      <c r="D3260">
        <v>0.69658687062979097</v>
      </c>
      <c r="E3260">
        <v>0.49208072511287998</v>
      </c>
      <c r="F3260">
        <v>0.30194267626404298</v>
      </c>
      <c r="G3260">
        <v>0.20854175419058499</v>
      </c>
      <c r="H3260">
        <v>0.16349903191985901</v>
      </c>
      <c r="I3260">
        <v>0.15579401210840099</v>
      </c>
      <c r="J3260">
        <v>0.18069139181374699</v>
      </c>
      <c r="K3260">
        <v>0.20856935059940701</v>
      </c>
      <c r="L3260">
        <v>850.85914882746999</v>
      </c>
      <c r="M3260">
        <v>17.660335698291799</v>
      </c>
      <c r="N3260">
        <v>49.3190540462247</v>
      </c>
      <c r="O3260">
        <v>47.574091179406999</v>
      </c>
      <c r="P3260">
        <v>-7.7256420610246401E-2</v>
      </c>
      <c r="Q3260">
        <v>0.16757901287910401</v>
      </c>
      <c r="R3260">
        <v>0.99115722148760699</v>
      </c>
      <c r="S3260" t="s">
        <v>9121</v>
      </c>
      <c r="T3260" t="s">
        <v>11720</v>
      </c>
      <c r="U3260" t="s">
        <v>11720</v>
      </c>
      <c r="V3260" t="s">
        <v>11720</v>
      </c>
      <c r="W3260" t="s">
        <v>14931</v>
      </c>
      <c r="X3260">
        <v>10</v>
      </c>
      <c r="Y3260" t="s">
        <v>20658</v>
      </c>
      <c r="Z3260" t="s">
        <v>26467</v>
      </c>
      <c r="AA3260">
        <v>0.40981052302247822</v>
      </c>
      <c r="AB3260" t="str">
        <f>HYPERLINK("Melting_Curves/meltCurve_Q15233_2_NONO.pdf", "Melting_Curves/meltCurve_Q15233_2_NONO.pdf")</f>
        <v>Melting_Curves/meltCurve_Q15233_2_NONO.pdf</v>
      </c>
    </row>
    <row r="3261" spans="1:28" x14ac:dyDescent="0.25">
      <c r="A3261" t="s">
        <v>3265</v>
      </c>
      <c r="B3261">
        <v>0.99334974765950101</v>
      </c>
      <c r="C3261">
        <v>0.86537520827109304</v>
      </c>
      <c r="D3261">
        <v>0.82910521694208505</v>
      </c>
      <c r="E3261">
        <v>0.77403877117244602</v>
      </c>
      <c r="F3261">
        <v>0.48093587659213699</v>
      </c>
      <c r="G3261">
        <v>0.28314500318526897</v>
      </c>
      <c r="H3261">
        <v>0.28996083285290802</v>
      </c>
      <c r="I3261">
        <v>0.190660807036406</v>
      </c>
      <c r="J3261">
        <v>0.30443081973770603</v>
      </c>
      <c r="K3261">
        <v>0.21524587841648901</v>
      </c>
      <c r="L3261">
        <v>751.80089567674997</v>
      </c>
      <c r="M3261">
        <v>14.681408364275301</v>
      </c>
      <c r="N3261">
        <v>53.091650764061903</v>
      </c>
      <c r="O3261">
        <v>50.285751403375201</v>
      </c>
      <c r="P3261">
        <v>-5.8177224556437097E-2</v>
      </c>
      <c r="Q3261">
        <v>0.20302878310734601</v>
      </c>
      <c r="R3261">
        <v>0.95971617436845102</v>
      </c>
      <c r="S3261" t="s">
        <v>9122</v>
      </c>
      <c r="T3261" t="s">
        <v>11720</v>
      </c>
      <c r="U3261" t="s">
        <v>11720</v>
      </c>
      <c r="V3261" t="s">
        <v>11720</v>
      </c>
      <c r="W3261" t="s">
        <v>14932</v>
      </c>
      <c r="X3261">
        <v>14</v>
      </c>
      <c r="Y3261" t="s">
        <v>20659</v>
      </c>
      <c r="Z3261" t="s">
        <v>26468</v>
      </c>
      <c r="AA3261">
        <v>0.51970822777736136</v>
      </c>
      <c r="AB3261" t="str">
        <f>HYPERLINK("Melting_Curves/meltCurve_Q15257_PPP2R4.pdf", "Melting_Curves/meltCurve_Q15257_PPP2R4.pdf")</f>
        <v>Melting_Curves/meltCurve_Q15257_PPP2R4.pdf</v>
      </c>
    </row>
    <row r="3262" spans="1:28" x14ac:dyDescent="0.25">
      <c r="A3262" t="s">
        <v>3266</v>
      </c>
      <c r="B3262">
        <v>0.99334974765950101</v>
      </c>
      <c r="C3262">
        <v>1.0030049153070599</v>
      </c>
      <c r="D3262">
        <v>1.0026997980630299</v>
      </c>
      <c r="E3262">
        <v>1.08423573369496</v>
      </c>
      <c r="F3262">
        <v>0.96477576764518502</v>
      </c>
      <c r="G3262">
        <v>0.92691719911118398</v>
      </c>
      <c r="H3262">
        <v>0.85096139909326995</v>
      </c>
      <c r="I3262">
        <v>1.29989612001014</v>
      </c>
      <c r="J3262">
        <v>1.26706171132087</v>
      </c>
      <c r="K3262">
        <v>1.1489405410467599</v>
      </c>
      <c r="L3262">
        <v>6570.7748188511596</v>
      </c>
      <c r="M3262">
        <v>104.785394680384</v>
      </c>
      <c r="O3262">
        <v>62.684146243482601</v>
      </c>
      <c r="P3262">
        <v>0.10095153865157901</v>
      </c>
      <c r="Q3262">
        <v>1.24156268366888</v>
      </c>
      <c r="R3262">
        <v>0.70483669882278899</v>
      </c>
      <c r="S3262" t="s">
        <v>9123</v>
      </c>
      <c r="T3262" t="s">
        <v>11720</v>
      </c>
      <c r="U3262" t="s">
        <v>11720</v>
      </c>
      <c r="V3262" t="s">
        <v>11720</v>
      </c>
      <c r="W3262" t="s">
        <v>14933</v>
      </c>
      <c r="X3262">
        <v>9</v>
      </c>
      <c r="Y3262" t="s">
        <v>20660</v>
      </c>
      <c r="Z3262" t="s">
        <v>26469</v>
      </c>
      <c r="AA3262">
        <v>1.058572746685714</v>
      </c>
      <c r="AB3262" t="str">
        <f>HYPERLINK("Melting_Curves/meltCurve_Q15274_QPRT.pdf", "Melting_Curves/meltCurve_Q15274_QPRT.pdf")</f>
        <v>Melting_Curves/meltCurve_Q15274_QPRT.pdf</v>
      </c>
    </row>
    <row r="3263" spans="1:28" x14ac:dyDescent="0.25">
      <c r="A3263" t="s">
        <v>3267</v>
      </c>
      <c r="B3263">
        <v>0.99334974765950101</v>
      </c>
      <c r="C3263">
        <v>0.98457771867194899</v>
      </c>
      <c r="D3263">
        <v>1.05327250589266</v>
      </c>
      <c r="E3263">
        <v>0.99852559048152201</v>
      </c>
      <c r="F3263">
        <v>0.43279361410984701</v>
      </c>
      <c r="G3263">
        <v>0.29112249277518099</v>
      </c>
      <c r="H3263">
        <v>0.24131363943357401</v>
      </c>
      <c r="I3263">
        <v>0.25129910184281601</v>
      </c>
      <c r="J3263">
        <v>0.28025973488056199</v>
      </c>
      <c r="K3263">
        <v>0.256016970831633</v>
      </c>
      <c r="L3263">
        <v>6148.6429818558599</v>
      </c>
      <c r="M3263">
        <v>117.22386995338201</v>
      </c>
      <c r="N3263">
        <v>52.790228467403502</v>
      </c>
      <c r="O3263">
        <v>52.436880391694402</v>
      </c>
      <c r="P3263">
        <v>-0.41134454267509002</v>
      </c>
      <c r="Q3263">
        <v>0.26398526333953498</v>
      </c>
      <c r="R3263">
        <v>0.99613397830834505</v>
      </c>
      <c r="S3263" t="s">
        <v>9124</v>
      </c>
      <c r="T3263" t="s">
        <v>11720</v>
      </c>
      <c r="U3263" t="s">
        <v>11720</v>
      </c>
      <c r="V3263" t="s">
        <v>11720</v>
      </c>
      <c r="W3263" t="s">
        <v>14934</v>
      </c>
      <c r="X3263">
        <v>47</v>
      </c>
      <c r="Y3263" t="s">
        <v>20661</v>
      </c>
      <c r="Z3263" t="s">
        <v>26470</v>
      </c>
      <c r="AA3263">
        <v>0.56979231006961994</v>
      </c>
      <c r="AB3263" t="str">
        <f>HYPERLINK("Melting_Curves/meltCurve_Q15276_RABEP1.pdf", "Melting_Curves/meltCurve_Q15276_RABEP1.pdf")</f>
        <v>Melting_Curves/meltCurve_Q15276_RABEP1.pdf</v>
      </c>
    </row>
    <row r="3264" spans="1:28" x14ac:dyDescent="0.25">
      <c r="A3264" t="s">
        <v>3268</v>
      </c>
      <c r="B3264">
        <v>0.99334974765950101</v>
      </c>
      <c r="C3264">
        <v>0.85235105141543799</v>
      </c>
      <c r="D3264">
        <v>0.39737229480356301</v>
      </c>
      <c r="E3264">
        <v>0.17168423969455299</v>
      </c>
      <c r="F3264">
        <v>3.7531934179811197E-2</v>
      </c>
      <c r="G3264">
        <v>4.0143757020704003E-2</v>
      </c>
      <c r="H3264">
        <v>0</v>
      </c>
      <c r="I3264">
        <v>0</v>
      </c>
      <c r="J3264">
        <v>0</v>
      </c>
      <c r="K3264">
        <v>0</v>
      </c>
      <c r="L3264">
        <v>1131.3228453064401</v>
      </c>
      <c r="M3264">
        <v>24.8596878686905</v>
      </c>
      <c r="N3264">
        <v>45.5566406316361</v>
      </c>
      <c r="O3264">
        <v>45.216911331184903</v>
      </c>
      <c r="P3264">
        <v>-0.13566059015819701</v>
      </c>
      <c r="Q3264">
        <v>1.3009447391816699E-2</v>
      </c>
      <c r="R3264">
        <v>0.99324545921053697</v>
      </c>
      <c r="S3264" t="s">
        <v>9125</v>
      </c>
      <c r="T3264" t="s">
        <v>11720</v>
      </c>
      <c r="U3264" t="s">
        <v>11720</v>
      </c>
      <c r="V3264" t="s">
        <v>11720</v>
      </c>
      <c r="W3264" t="s">
        <v>14935</v>
      </c>
      <c r="X3264">
        <v>5</v>
      </c>
      <c r="Y3264" t="s">
        <v>20662</v>
      </c>
      <c r="Z3264" t="s">
        <v>26471</v>
      </c>
      <c r="AA3264">
        <v>0.20375893153268379</v>
      </c>
      <c r="AB3264" t="str">
        <f>HYPERLINK("Melting_Curves/meltCurve_Q15283_2_RASA2.pdf", "Melting_Curves/meltCurve_Q15283_2_RASA2.pdf")</f>
        <v>Melting_Curves/meltCurve_Q15283_2_RASA2.pdf</v>
      </c>
    </row>
    <row r="3265" spans="1:28" x14ac:dyDescent="0.25">
      <c r="A3265" t="s">
        <v>3269</v>
      </c>
      <c r="B3265">
        <v>0.99334974765950101</v>
      </c>
      <c r="C3265">
        <v>1.01481162273764</v>
      </c>
      <c r="D3265">
        <v>0.90421871964161604</v>
      </c>
      <c r="E3265">
        <v>0.82560060962409099</v>
      </c>
      <c r="F3265">
        <v>0.80318687162612401</v>
      </c>
      <c r="G3265">
        <v>0.43922780513710402</v>
      </c>
      <c r="H3265">
        <v>0.28538167952064297</v>
      </c>
      <c r="I3265">
        <v>0.18319185585556499</v>
      </c>
      <c r="J3265">
        <v>0.14586791113111999</v>
      </c>
      <c r="K3265">
        <v>0.10743314992482</v>
      </c>
      <c r="L3265">
        <v>825.97090867864904</v>
      </c>
      <c r="M3265">
        <v>14.699013336835399</v>
      </c>
      <c r="N3265">
        <v>56.650334558297402</v>
      </c>
      <c r="O3265">
        <v>55.182965050106503</v>
      </c>
      <c r="P3265">
        <v>-6.28678021111089E-2</v>
      </c>
      <c r="Q3265">
        <v>5.6031251679764998E-2</v>
      </c>
      <c r="R3265">
        <v>0.98870298067153894</v>
      </c>
      <c r="S3265" t="s">
        <v>9126</v>
      </c>
      <c r="T3265" t="s">
        <v>11720</v>
      </c>
      <c r="U3265" t="s">
        <v>11720</v>
      </c>
      <c r="V3265" t="s">
        <v>11720</v>
      </c>
      <c r="W3265" t="s">
        <v>14936</v>
      </c>
      <c r="X3265">
        <v>11</v>
      </c>
      <c r="Y3265" t="s">
        <v>20663</v>
      </c>
      <c r="Z3265" t="s">
        <v>26472</v>
      </c>
      <c r="AA3265">
        <v>0.58222237297609825</v>
      </c>
      <c r="AB3265" t="str">
        <f>HYPERLINK("Melting_Curves/meltCurve_Q15286_RAB35.pdf", "Melting_Curves/meltCurve_Q15286_RAB35.pdf")</f>
        <v>Melting_Curves/meltCurve_Q15286_RAB35.pdf</v>
      </c>
    </row>
    <row r="3266" spans="1:28" x14ac:dyDescent="0.25">
      <c r="A3266" t="s">
        <v>3270</v>
      </c>
      <c r="B3266">
        <v>0.99334974765950101</v>
      </c>
      <c r="C3266">
        <v>1.17341000695169</v>
      </c>
      <c r="D3266">
        <v>1.3139716360287701</v>
      </c>
      <c r="E3266">
        <v>1.34373933780326</v>
      </c>
      <c r="F3266">
        <v>1.52680636587608</v>
      </c>
      <c r="G3266">
        <v>1.4888812176091799</v>
      </c>
      <c r="H3266">
        <v>1.37149261204545</v>
      </c>
      <c r="I3266">
        <v>1.4665639980912</v>
      </c>
      <c r="J3266">
        <v>0.50541327059265495</v>
      </c>
      <c r="K3266">
        <v>0.222408246020488</v>
      </c>
      <c r="L3266">
        <v>15000</v>
      </c>
      <c r="M3266">
        <v>224.438067395112</v>
      </c>
      <c r="N3266">
        <v>67.009199456401007</v>
      </c>
      <c r="O3266">
        <v>66.828275634633798</v>
      </c>
      <c r="P3266">
        <v>-0.65293034745018796</v>
      </c>
      <c r="Q3266">
        <v>0.222338533872672</v>
      </c>
      <c r="R3266">
        <v>0.36796643541090002</v>
      </c>
      <c r="S3266" t="s">
        <v>9127</v>
      </c>
      <c r="T3266" t="s">
        <v>11720</v>
      </c>
      <c r="U3266" t="s">
        <v>11720</v>
      </c>
      <c r="V3266" t="s">
        <v>11720</v>
      </c>
      <c r="W3266" t="s">
        <v>14937</v>
      </c>
      <c r="X3266">
        <v>3</v>
      </c>
      <c r="Y3266" t="s">
        <v>20664</v>
      </c>
      <c r="Z3266" t="s">
        <v>26473</v>
      </c>
      <c r="AA3266">
        <v>0.91803280654302655</v>
      </c>
      <c r="AB3266" t="str">
        <f>HYPERLINK("Melting_Curves/meltCurve_Q15291_2_RBBP5.pdf", "Melting_Curves/meltCurve_Q15291_2_RBBP5.pdf")</f>
        <v>Melting_Curves/meltCurve_Q15291_2_RBBP5.pdf</v>
      </c>
    </row>
    <row r="3267" spans="1:28" x14ac:dyDescent="0.25">
      <c r="A3267" t="s">
        <v>3271</v>
      </c>
      <c r="B3267">
        <v>0.99334974765950101</v>
      </c>
      <c r="C3267">
        <v>1.0094519442524399</v>
      </c>
      <c r="D3267">
        <v>0.93159110033369497</v>
      </c>
      <c r="E3267">
        <v>0.78528999525102905</v>
      </c>
      <c r="F3267">
        <v>0.74693791935037601</v>
      </c>
      <c r="G3267">
        <v>0.61108257404648703</v>
      </c>
      <c r="H3267">
        <v>0.63392766232911002</v>
      </c>
      <c r="I3267">
        <v>0.85029211479841804</v>
      </c>
      <c r="J3267">
        <v>0.89150263555750497</v>
      </c>
      <c r="K3267">
        <v>0.83028369570739102</v>
      </c>
      <c r="L3267">
        <v>2083.7304054374999</v>
      </c>
      <c r="M3267">
        <v>44.336294751617999</v>
      </c>
      <c r="O3267">
        <v>46.902985185062299</v>
      </c>
      <c r="P3267">
        <v>-5.6338158018478801E-2</v>
      </c>
      <c r="Q3267">
        <v>0.76160171591927806</v>
      </c>
      <c r="R3267">
        <v>0.59091081295528403</v>
      </c>
      <c r="S3267" t="s">
        <v>9128</v>
      </c>
      <c r="T3267" t="s">
        <v>11720</v>
      </c>
      <c r="U3267" t="s">
        <v>11720</v>
      </c>
      <c r="V3267" t="s">
        <v>11720</v>
      </c>
      <c r="W3267" t="s">
        <v>14938</v>
      </c>
      <c r="X3267">
        <v>32</v>
      </c>
      <c r="Y3267" t="s">
        <v>20665</v>
      </c>
      <c r="Z3267" t="s">
        <v>26474</v>
      </c>
      <c r="AA3267">
        <v>0.81784649302663703</v>
      </c>
      <c r="AB3267" t="str">
        <f>HYPERLINK("Melting_Curves/meltCurve_Q15293_RCN1.pdf", "Melting_Curves/meltCurve_Q15293_RCN1.pdf")</f>
        <v>Melting_Curves/meltCurve_Q15293_RCN1.pdf</v>
      </c>
    </row>
    <row r="3268" spans="1:28" x14ac:dyDescent="0.25">
      <c r="A3268" t="s">
        <v>3272</v>
      </c>
      <c r="B3268">
        <v>0.99334974765950101</v>
      </c>
      <c r="C3268">
        <v>0.83738757404361497</v>
      </c>
      <c r="D3268">
        <v>0.46749232281798703</v>
      </c>
      <c r="E3268">
        <v>0.20228290589324499</v>
      </c>
      <c r="F3268">
        <v>0.146604467601052</v>
      </c>
      <c r="G3268">
        <v>8.3245041485413604E-2</v>
      </c>
      <c r="H3268">
        <v>6.3537978653234198E-2</v>
      </c>
      <c r="I3268">
        <v>7.3102624761392898E-2</v>
      </c>
      <c r="J3268">
        <v>9.0644003898910502E-2</v>
      </c>
      <c r="K3268">
        <v>7.0975999787134106E-2</v>
      </c>
      <c r="L3268">
        <v>1068.34616042991</v>
      </c>
      <c r="M3268">
        <v>23.447492114503898</v>
      </c>
      <c r="N3268">
        <v>45.911757738779698</v>
      </c>
      <c r="O3268">
        <v>45.235808944481398</v>
      </c>
      <c r="P3268">
        <v>-0.11902536485405001</v>
      </c>
      <c r="Q3268">
        <v>8.1502562172889897E-2</v>
      </c>
      <c r="R3268">
        <v>0.99677122848471</v>
      </c>
      <c r="S3268" t="s">
        <v>9129</v>
      </c>
      <c r="T3268" t="s">
        <v>11720</v>
      </c>
      <c r="U3268" t="s">
        <v>11720</v>
      </c>
      <c r="V3268" t="s">
        <v>11720</v>
      </c>
      <c r="W3268" t="s">
        <v>14939</v>
      </c>
      <c r="X3268">
        <v>4</v>
      </c>
      <c r="Y3268" t="s">
        <v>20666</v>
      </c>
      <c r="Z3268" t="s">
        <v>26475</v>
      </c>
      <c r="AA3268">
        <v>0.26196593765203979</v>
      </c>
      <c r="AB3268" t="str">
        <f>HYPERLINK("Melting_Curves/meltCurve_Q15311_RALBP1.pdf", "Melting_Curves/meltCurve_Q15311_RALBP1.pdf")</f>
        <v>Melting_Curves/meltCurve_Q15311_RALBP1.pdf</v>
      </c>
    </row>
    <row r="3269" spans="1:28" x14ac:dyDescent="0.25">
      <c r="A3269" t="s">
        <v>3273</v>
      </c>
      <c r="B3269">
        <v>0.99334974765950101</v>
      </c>
      <c r="C3269">
        <v>1.0157085521237199</v>
      </c>
      <c r="D3269">
        <v>1.0488304435067799</v>
      </c>
      <c r="E3269">
        <v>1.0340685383733199</v>
      </c>
      <c r="F3269">
        <v>1.0431204083082</v>
      </c>
      <c r="G3269">
        <v>0.455497393357986</v>
      </c>
      <c r="H3269">
        <v>0.207919187322777</v>
      </c>
      <c r="I3269">
        <v>0.15652386811642399</v>
      </c>
      <c r="J3269">
        <v>0.160332597216129</v>
      </c>
      <c r="K3269">
        <v>0.117365487309397</v>
      </c>
      <c r="L3269">
        <v>7348.3012504836397</v>
      </c>
      <c r="M3269">
        <v>129.530249940955</v>
      </c>
      <c r="N3269">
        <v>56.9004782221147</v>
      </c>
      <c r="O3269">
        <v>56.716864298873901</v>
      </c>
      <c r="P3269">
        <v>-0.479311511091149</v>
      </c>
      <c r="Q3269">
        <v>0.16050352344061999</v>
      </c>
      <c r="R3269">
        <v>0.99424385095414802</v>
      </c>
      <c r="S3269" t="s">
        <v>9130</v>
      </c>
      <c r="T3269" t="s">
        <v>11720</v>
      </c>
      <c r="U3269" t="s">
        <v>11720</v>
      </c>
      <c r="V3269" t="s">
        <v>11720</v>
      </c>
      <c r="W3269" t="s">
        <v>14940</v>
      </c>
      <c r="X3269">
        <v>6</v>
      </c>
      <c r="Y3269" t="s">
        <v>20667</v>
      </c>
      <c r="Z3269" t="s">
        <v>26476</v>
      </c>
      <c r="AA3269">
        <v>0.62898509958921267</v>
      </c>
      <c r="AB3269" t="str">
        <f>HYPERLINK("Melting_Curves/meltCurve_Q15363_TMED2.pdf", "Melting_Curves/meltCurve_Q15363_TMED2.pdf")</f>
        <v>Melting_Curves/meltCurve_Q15363_TMED2.pdf</v>
      </c>
    </row>
    <row r="3270" spans="1:28" x14ac:dyDescent="0.25">
      <c r="A3270" t="s">
        <v>3274</v>
      </c>
      <c r="B3270">
        <v>0.99334974765950101</v>
      </c>
      <c r="C3270">
        <v>1.0184034617436899</v>
      </c>
      <c r="D3270">
        <v>0.83101858372813797</v>
      </c>
      <c r="E3270">
        <v>0.58976086637844105</v>
      </c>
      <c r="F3270">
        <v>0.21686681045187001</v>
      </c>
      <c r="G3270">
        <v>0.13380005326710001</v>
      </c>
      <c r="H3270">
        <v>9.2547927314478307E-2</v>
      </c>
      <c r="I3270">
        <v>7.7942833501950998E-2</v>
      </c>
      <c r="J3270">
        <v>6.9138098194387307E-2</v>
      </c>
      <c r="K3270">
        <v>5.3121969984795903E-2</v>
      </c>
      <c r="L3270">
        <v>1134.24951203155</v>
      </c>
      <c r="M3270">
        <v>22.666117719662701</v>
      </c>
      <c r="N3270">
        <v>50.347997841794701</v>
      </c>
      <c r="O3270">
        <v>49.656996599619497</v>
      </c>
      <c r="P3270">
        <v>-0.10676469834350399</v>
      </c>
      <c r="Q3270">
        <v>6.4416910573874095E-2</v>
      </c>
      <c r="R3270">
        <v>0.99259568545360599</v>
      </c>
      <c r="S3270" t="s">
        <v>9131</v>
      </c>
      <c r="T3270" t="s">
        <v>11720</v>
      </c>
      <c r="U3270" t="s">
        <v>11720</v>
      </c>
      <c r="V3270" t="s">
        <v>11720</v>
      </c>
      <c r="W3270" t="s">
        <v>14941</v>
      </c>
      <c r="X3270">
        <v>18</v>
      </c>
      <c r="Y3270" t="s">
        <v>20668</v>
      </c>
      <c r="Z3270" t="s">
        <v>26477</v>
      </c>
      <c r="AA3270">
        <v>0.38775332952794161</v>
      </c>
      <c r="AB3270" t="str">
        <f>HYPERLINK("Melting_Curves/meltCurve_Q15365_PCBP1.pdf", "Melting_Curves/meltCurve_Q15365_PCBP1.pdf")</f>
        <v>Melting_Curves/meltCurve_Q15365_PCBP1.pdf</v>
      </c>
    </row>
    <row r="3271" spans="1:28" x14ac:dyDescent="0.25">
      <c r="A3271" t="s">
        <v>3275</v>
      </c>
      <c r="B3271">
        <v>0.99334974765950101</v>
      </c>
      <c r="C3271">
        <v>0.97937282378225998</v>
      </c>
      <c r="D3271">
        <v>0.94860589424206598</v>
      </c>
      <c r="E3271">
        <v>0.85236630487286202</v>
      </c>
      <c r="F3271">
        <v>0.56841189790289903</v>
      </c>
      <c r="G3271">
        <v>0.28750798741976302</v>
      </c>
      <c r="H3271">
        <v>0.19261853316407301</v>
      </c>
      <c r="I3271">
        <v>0.198990404110649</v>
      </c>
      <c r="J3271">
        <v>0.15024330991295001</v>
      </c>
      <c r="K3271">
        <v>0.10679120724418199</v>
      </c>
      <c r="L3271">
        <v>1194.76393202381</v>
      </c>
      <c r="M3271">
        <v>22.4994868728371</v>
      </c>
      <c r="N3271">
        <v>53.899835493340802</v>
      </c>
      <c r="O3271">
        <v>52.687684143312801</v>
      </c>
      <c r="P3271">
        <v>-9.1637963951302498E-2</v>
      </c>
      <c r="Q3271">
        <v>0.141652690814347</v>
      </c>
      <c r="R3271">
        <v>0.99637629985693399</v>
      </c>
      <c r="S3271" t="s">
        <v>9132</v>
      </c>
      <c r="T3271" t="s">
        <v>11720</v>
      </c>
      <c r="U3271" t="s">
        <v>11720</v>
      </c>
      <c r="V3271" t="s">
        <v>11720</v>
      </c>
      <c r="W3271" t="s">
        <v>14942</v>
      </c>
      <c r="X3271">
        <v>14</v>
      </c>
      <c r="Y3271" t="s">
        <v>20669</v>
      </c>
      <c r="Z3271" t="s">
        <v>26478</v>
      </c>
      <c r="AA3271">
        <v>0.5261148062927864</v>
      </c>
      <c r="AB3271" t="str">
        <f>HYPERLINK("Melting_Curves/meltCurve_Q15370_TCEB2.pdf", "Melting_Curves/meltCurve_Q15370_TCEB2.pdf")</f>
        <v>Melting_Curves/meltCurve_Q15370_TCEB2.pdf</v>
      </c>
    </row>
    <row r="3272" spans="1:28" x14ac:dyDescent="0.25">
      <c r="A3272" t="s">
        <v>3276</v>
      </c>
      <c r="B3272">
        <v>0.99334974765950101</v>
      </c>
      <c r="C3272">
        <v>0.91989878394552704</v>
      </c>
      <c r="D3272">
        <v>0.79683095697688</v>
      </c>
      <c r="E3272">
        <v>0.64102693855756399</v>
      </c>
      <c r="F3272">
        <v>0.43837108501015598</v>
      </c>
      <c r="G3272">
        <v>0.225001186489657</v>
      </c>
      <c r="H3272">
        <v>0.12594119001944401</v>
      </c>
      <c r="I3272">
        <v>0.100637728116274</v>
      </c>
      <c r="J3272">
        <v>8.5376578568986006E-2</v>
      </c>
      <c r="K3272">
        <v>7.3836976943962795E-2</v>
      </c>
      <c r="L3272">
        <v>666.26555910246805</v>
      </c>
      <c r="M3272">
        <v>12.932849580118701</v>
      </c>
      <c r="N3272">
        <v>51.7625256303116</v>
      </c>
      <c r="O3272">
        <v>50.332223152930702</v>
      </c>
      <c r="P3272">
        <v>-6.2339875070141403E-2</v>
      </c>
      <c r="Q3272">
        <v>2.9714532941864699E-2</v>
      </c>
      <c r="R3272">
        <v>0.99692580666404995</v>
      </c>
      <c r="S3272" t="s">
        <v>9133</v>
      </c>
      <c r="T3272" t="s">
        <v>11720</v>
      </c>
      <c r="U3272" t="s">
        <v>11720</v>
      </c>
      <c r="V3272" t="s">
        <v>11720</v>
      </c>
      <c r="W3272" t="s">
        <v>14943</v>
      </c>
      <c r="X3272">
        <v>16</v>
      </c>
      <c r="Y3272" t="s">
        <v>20670</v>
      </c>
      <c r="Z3272" t="s">
        <v>26479</v>
      </c>
      <c r="AA3272">
        <v>0.42981780370758033</v>
      </c>
      <c r="AB3272" t="str">
        <f>HYPERLINK("Melting_Curves/meltCurve_Q15382_RHEB.pdf", "Melting_Curves/meltCurve_Q15382_RHEB.pdf")</f>
        <v>Melting_Curves/meltCurve_Q15382_RHEB.pdf</v>
      </c>
    </row>
    <row r="3273" spans="1:28" x14ac:dyDescent="0.25">
      <c r="A3273" t="s">
        <v>3277</v>
      </c>
      <c r="B3273">
        <v>0.99334974765950101</v>
      </c>
      <c r="C3273">
        <v>1.07351763574149</v>
      </c>
      <c r="D3273">
        <v>1.26583247404635</v>
      </c>
      <c r="E3273">
        <v>1.4514065560319001</v>
      </c>
      <c r="F3273">
        <v>0.85932694057712999</v>
      </c>
      <c r="G3273">
        <v>0.38734268778964598</v>
      </c>
      <c r="H3273">
        <v>0.31765655963320399</v>
      </c>
      <c r="I3273">
        <v>0.314192549594697</v>
      </c>
      <c r="J3273">
        <v>0.22574447666235301</v>
      </c>
      <c r="K3273">
        <v>0.143999823760011</v>
      </c>
      <c r="L3273">
        <v>2676.46772794449</v>
      </c>
      <c r="M3273">
        <v>48.543129048668</v>
      </c>
      <c r="N3273">
        <v>55.933012368237101</v>
      </c>
      <c r="O3273">
        <v>55.042543488127301</v>
      </c>
      <c r="P3273">
        <v>-0.16543329178340099</v>
      </c>
      <c r="Q3273">
        <v>0.249668439240747</v>
      </c>
      <c r="R3273">
        <v>0.85142321669165499</v>
      </c>
      <c r="S3273" t="s">
        <v>9134</v>
      </c>
      <c r="T3273" t="s">
        <v>11720</v>
      </c>
      <c r="U3273" t="s">
        <v>11720</v>
      </c>
      <c r="V3273" t="s">
        <v>11720</v>
      </c>
      <c r="W3273" t="s">
        <v>14944</v>
      </c>
      <c r="X3273">
        <v>6</v>
      </c>
      <c r="Y3273" t="s">
        <v>20671</v>
      </c>
      <c r="Z3273" t="s">
        <v>26480</v>
      </c>
      <c r="AA3273">
        <v>0.63016759678427481</v>
      </c>
      <c r="AB3273" t="str">
        <f>HYPERLINK("Melting_Curves/meltCurve_Q15386_UBE3C.pdf", "Melting_Curves/meltCurve_Q15386_UBE3C.pdf")</f>
        <v>Melting_Curves/meltCurve_Q15386_UBE3C.pdf</v>
      </c>
    </row>
    <row r="3274" spans="1:28" x14ac:dyDescent="0.25">
      <c r="A3274" t="s">
        <v>3278</v>
      </c>
      <c r="B3274">
        <v>0.99334974765950101</v>
      </c>
      <c r="C3274">
        <v>0.96075787864456796</v>
      </c>
      <c r="D3274">
        <v>1.0326675909046199</v>
      </c>
      <c r="E3274">
        <v>1.0380663265191601</v>
      </c>
      <c r="F3274">
        <v>1.5053035115273601</v>
      </c>
      <c r="G3274">
        <v>0.73506998726824802</v>
      </c>
      <c r="H3274">
        <v>0.43843978484944701</v>
      </c>
      <c r="I3274">
        <v>0.29567701142238401</v>
      </c>
      <c r="J3274">
        <v>0.22252244935071699</v>
      </c>
      <c r="K3274">
        <v>0.15085951636935299</v>
      </c>
      <c r="L3274">
        <v>2092.2038268229498</v>
      </c>
      <c r="M3274">
        <v>35.360226657173001</v>
      </c>
      <c r="N3274">
        <v>60.053581263002798</v>
      </c>
      <c r="O3274">
        <v>58.980007446581901</v>
      </c>
      <c r="P3274">
        <v>-0.119438845875819</v>
      </c>
      <c r="Q3274">
        <v>0.203118339590632</v>
      </c>
      <c r="R3274">
        <v>0.83762908862808705</v>
      </c>
      <c r="S3274" t="s">
        <v>9135</v>
      </c>
      <c r="T3274" t="s">
        <v>11720</v>
      </c>
      <c r="U3274" t="s">
        <v>11720</v>
      </c>
      <c r="V3274" t="s">
        <v>11720</v>
      </c>
      <c r="W3274" t="s">
        <v>14945</v>
      </c>
      <c r="X3274">
        <v>12</v>
      </c>
      <c r="Y3274" t="s">
        <v>20672</v>
      </c>
      <c r="Z3274" t="s">
        <v>26481</v>
      </c>
      <c r="AA3274">
        <v>0.71618174267840762</v>
      </c>
      <c r="AB3274" t="str">
        <f>HYPERLINK("Melting_Curves/meltCurve_Q15393_SF3B3.pdf", "Melting_Curves/meltCurve_Q15393_SF3B3.pdf")</f>
        <v>Melting_Curves/meltCurve_Q15393_SF3B3.pdf</v>
      </c>
    </row>
    <row r="3275" spans="1:28" x14ac:dyDescent="0.25">
      <c r="A3275" t="s">
        <v>3279</v>
      </c>
      <c r="B3275">
        <v>0.99334974765950101</v>
      </c>
      <c r="C3275">
        <v>0.99137014383060096</v>
      </c>
      <c r="D3275">
        <v>0.90694516917043499</v>
      </c>
      <c r="E3275">
        <v>0.73053451880659903</v>
      </c>
      <c r="F3275">
        <v>0.33090122265256999</v>
      </c>
      <c r="G3275">
        <v>0.164615127661662</v>
      </c>
      <c r="H3275">
        <v>8.8331846209554199E-2</v>
      </c>
      <c r="I3275">
        <v>5.7209279872454902E-2</v>
      </c>
      <c r="J3275">
        <v>4.8363597648041899E-2</v>
      </c>
      <c r="K3275">
        <v>3.4007636970658998E-2</v>
      </c>
      <c r="L3275">
        <v>1232.5321714525301</v>
      </c>
      <c r="M3275">
        <v>23.922565101353602</v>
      </c>
      <c r="N3275">
        <v>51.7492873675901</v>
      </c>
      <c r="O3275">
        <v>51.165770143225203</v>
      </c>
      <c r="P3275">
        <v>-0.111054003657149</v>
      </c>
      <c r="Q3275">
        <v>4.99225307356264E-2</v>
      </c>
      <c r="R3275">
        <v>0.99592044478117303</v>
      </c>
      <c r="S3275" t="s">
        <v>9136</v>
      </c>
      <c r="T3275" t="s">
        <v>11720</v>
      </c>
      <c r="U3275" t="s">
        <v>11720</v>
      </c>
      <c r="V3275" t="s">
        <v>11720</v>
      </c>
      <c r="W3275" t="s">
        <v>14946</v>
      </c>
      <c r="X3275">
        <v>18</v>
      </c>
      <c r="Y3275" t="s">
        <v>20673</v>
      </c>
      <c r="Z3275" t="s">
        <v>26482</v>
      </c>
      <c r="AA3275">
        <v>0.42420746120359698</v>
      </c>
      <c r="AB3275" t="str">
        <f>HYPERLINK("Melting_Curves/meltCurve_Q15404_RSU1.pdf", "Melting_Curves/meltCurve_Q15404_RSU1.pdf")</f>
        <v>Melting_Curves/meltCurve_Q15404_RSU1.pdf</v>
      </c>
    </row>
    <row r="3276" spans="1:28" x14ac:dyDescent="0.25">
      <c r="A3276" t="s">
        <v>3280</v>
      </c>
      <c r="B3276">
        <v>0.99334974765950101</v>
      </c>
      <c r="C3276">
        <v>0.94984110437091895</v>
      </c>
      <c r="D3276">
        <v>0.82802714426396695</v>
      </c>
      <c r="E3276">
        <v>0.70203338791650105</v>
      </c>
      <c r="F3276">
        <v>0.1726680909786</v>
      </c>
      <c r="G3276">
        <v>0.117971848773816</v>
      </c>
      <c r="H3276">
        <v>7.1614806547002793E-2</v>
      </c>
      <c r="I3276">
        <v>6.4001828668619601E-2</v>
      </c>
      <c r="J3276">
        <v>6.7792418161534404E-2</v>
      </c>
      <c r="K3276">
        <v>5.9836275860221201E-2</v>
      </c>
      <c r="L3276">
        <v>2108.0793994645101</v>
      </c>
      <c r="M3276">
        <v>41.535604087220399</v>
      </c>
      <c r="N3276">
        <v>50.937583190583901</v>
      </c>
      <c r="O3276">
        <v>50.636330374996099</v>
      </c>
      <c r="P3276">
        <v>-0.19078065786114101</v>
      </c>
      <c r="Q3276">
        <v>6.9673834044997801E-2</v>
      </c>
      <c r="R3276">
        <v>0.97918578296679304</v>
      </c>
      <c r="S3276" t="s">
        <v>9137</v>
      </c>
      <c r="T3276" t="s">
        <v>11720</v>
      </c>
      <c r="U3276" t="s">
        <v>11720</v>
      </c>
      <c r="V3276" t="s">
        <v>11720</v>
      </c>
      <c r="W3276" t="s">
        <v>14947</v>
      </c>
      <c r="X3276">
        <v>23</v>
      </c>
      <c r="Y3276" t="s">
        <v>20674</v>
      </c>
      <c r="Z3276" t="s">
        <v>26483</v>
      </c>
      <c r="AA3276">
        <v>0.40617614728237511</v>
      </c>
      <c r="AB3276" t="str">
        <f>HYPERLINK("Melting_Curves/meltCurve_Q15417_CNN3.pdf", "Melting_Curves/meltCurve_Q15417_CNN3.pdf")</f>
        <v>Melting_Curves/meltCurve_Q15417_CNN3.pdf</v>
      </c>
    </row>
    <row r="3277" spans="1:28" x14ac:dyDescent="0.25">
      <c r="A3277" t="s">
        <v>3281</v>
      </c>
      <c r="B3277">
        <v>0.99334974765950101</v>
      </c>
      <c r="C3277">
        <v>1.0082235779796</v>
      </c>
      <c r="D3277">
        <v>0.97329193255056001</v>
      </c>
      <c r="E3277">
        <v>0.87547029396188303</v>
      </c>
      <c r="F3277">
        <v>0.92308466204556505</v>
      </c>
      <c r="G3277">
        <v>0.97112058446147398</v>
      </c>
      <c r="H3277">
        <v>0.88823755885332301</v>
      </c>
      <c r="I3277">
        <v>1.2237679771505401</v>
      </c>
      <c r="J3277">
        <v>2.1064117745268298</v>
      </c>
      <c r="K3277">
        <v>3.8769379673554698</v>
      </c>
      <c r="L3277">
        <v>15000</v>
      </c>
      <c r="M3277">
        <v>234.16501711634299</v>
      </c>
      <c r="O3277">
        <v>64.052718428550506</v>
      </c>
      <c r="P3277">
        <v>0.45697712619867698</v>
      </c>
      <c r="Q3277">
        <v>1.5</v>
      </c>
      <c r="R3277">
        <v>0.25380899333340501</v>
      </c>
      <c r="S3277" t="s">
        <v>9138</v>
      </c>
      <c r="T3277" t="s">
        <v>11720</v>
      </c>
      <c r="U3277" t="s">
        <v>11720</v>
      </c>
      <c r="V3277" t="s">
        <v>11720</v>
      </c>
      <c r="W3277" t="s">
        <v>14948</v>
      </c>
      <c r="X3277">
        <v>11</v>
      </c>
      <c r="Y3277" t="s">
        <v>20675</v>
      </c>
      <c r="Z3277" t="s">
        <v>26484</v>
      </c>
      <c r="AA3277">
        <v>1.098979416547667</v>
      </c>
      <c r="AB3277" t="str">
        <f>HYPERLINK("Melting_Curves/meltCurve_Q15424_SAFB.pdf", "Melting_Curves/meltCurve_Q15424_SAFB.pdf")</f>
        <v>Melting_Curves/meltCurve_Q15424_SAFB.pdf</v>
      </c>
    </row>
    <row r="3278" spans="1:28" x14ac:dyDescent="0.25">
      <c r="A3278" t="s">
        <v>3282</v>
      </c>
      <c r="B3278">
        <v>0.99334974765950101</v>
      </c>
      <c r="C3278">
        <v>1.1059161962361499</v>
      </c>
      <c r="D3278">
        <v>0.97718898402422605</v>
      </c>
      <c r="E3278">
        <v>0.71567112473328698</v>
      </c>
      <c r="F3278">
        <v>0.49113668966932</v>
      </c>
      <c r="G3278">
        <v>0.27857310285414799</v>
      </c>
      <c r="H3278">
        <v>0.20661610684715301</v>
      </c>
      <c r="I3278">
        <v>0.19509407596303099</v>
      </c>
      <c r="J3278">
        <v>0.16735505303150999</v>
      </c>
      <c r="K3278">
        <v>0.130476301647593</v>
      </c>
      <c r="L3278">
        <v>1126.42910689328</v>
      </c>
      <c r="M3278">
        <v>21.718154174815201</v>
      </c>
      <c r="N3278">
        <v>52.827299965070303</v>
      </c>
      <c r="O3278">
        <v>51.4320575415056</v>
      </c>
      <c r="P3278">
        <v>-8.83344596051482E-2</v>
      </c>
      <c r="Q3278">
        <v>0.163259164548302</v>
      </c>
      <c r="R3278">
        <v>0.98776649179393405</v>
      </c>
      <c r="S3278" t="s">
        <v>9139</v>
      </c>
      <c r="T3278" t="s">
        <v>11720</v>
      </c>
      <c r="U3278" t="s">
        <v>11720</v>
      </c>
      <c r="V3278" t="s">
        <v>11720</v>
      </c>
      <c r="W3278" t="s">
        <v>14949</v>
      </c>
      <c r="X3278">
        <v>9</v>
      </c>
      <c r="Y3278" t="s">
        <v>20676</v>
      </c>
      <c r="Z3278" t="s">
        <v>26485</v>
      </c>
      <c r="AA3278">
        <v>0.50417451053161477</v>
      </c>
      <c r="AB3278" t="str">
        <f>HYPERLINK("Melting_Curves/meltCurve_Q15428_SF3A2.pdf", "Melting_Curves/meltCurve_Q15428_SF3A2.pdf")</f>
        <v>Melting_Curves/meltCurve_Q15428_SF3A2.pdf</v>
      </c>
    </row>
    <row r="3279" spans="1:28" x14ac:dyDescent="0.25">
      <c r="A3279" t="s">
        <v>3283</v>
      </c>
      <c r="B3279">
        <v>0.99334974765950101</v>
      </c>
      <c r="C3279">
        <v>0.567224539376877</v>
      </c>
      <c r="D3279">
        <v>1.17810299932257</v>
      </c>
      <c r="E3279">
        <v>0.63148513496000502</v>
      </c>
      <c r="F3279">
        <v>0.29068371411840299</v>
      </c>
      <c r="G3279">
        <v>0.13283042143173099</v>
      </c>
      <c r="H3279">
        <v>7.4636123548299696E-2</v>
      </c>
      <c r="I3279">
        <v>6.1633674226148703E-2</v>
      </c>
      <c r="J3279">
        <v>6.4621903072541301E-2</v>
      </c>
      <c r="K3279">
        <v>5.8439152339174703E-2</v>
      </c>
      <c r="L3279">
        <v>1717.7922260092801</v>
      </c>
      <c r="M3279">
        <v>33.753441318775003</v>
      </c>
      <c r="N3279">
        <v>51.1364262954271</v>
      </c>
      <c r="O3279">
        <v>50.714722262143603</v>
      </c>
      <c r="P3279">
        <v>-0.15401143189184599</v>
      </c>
      <c r="Q3279">
        <v>7.4391945331760301E-2</v>
      </c>
      <c r="R3279">
        <v>0.85297550847342996</v>
      </c>
      <c r="S3279" t="s">
        <v>9140</v>
      </c>
      <c r="T3279" t="s">
        <v>11720</v>
      </c>
      <c r="U3279" t="s">
        <v>11720</v>
      </c>
      <c r="V3279" t="s">
        <v>11720</v>
      </c>
      <c r="W3279" t="s">
        <v>14950</v>
      </c>
      <c r="X3279">
        <v>27</v>
      </c>
      <c r="Y3279" t="s">
        <v>20677</v>
      </c>
      <c r="Z3279" t="s">
        <v>26486</v>
      </c>
      <c r="AA3279">
        <v>0.41504441746290749</v>
      </c>
      <c r="AB3279" t="str">
        <f>HYPERLINK("Melting_Curves/meltCurve_Q15435_PPP1R7.pdf", "Melting_Curves/meltCurve_Q15435_PPP1R7.pdf")</f>
        <v>Melting_Curves/meltCurve_Q15435_PPP1R7.pdf</v>
      </c>
    </row>
    <row r="3280" spans="1:28" x14ac:dyDescent="0.25">
      <c r="A3280" t="s">
        <v>3284</v>
      </c>
      <c r="B3280">
        <v>0.99334974765950101</v>
      </c>
      <c r="C3280">
        <v>0.98258894754502601</v>
      </c>
      <c r="D3280">
        <v>1.07265515563741</v>
      </c>
      <c r="E3280">
        <v>0.83982155471141995</v>
      </c>
      <c r="F3280">
        <v>0.53495013061033103</v>
      </c>
      <c r="G3280">
        <v>0.35889144984966198</v>
      </c>
      <c r="H3280">
        <v>0.21935885700362301</v>
      </c>
      <c r="I3280">
        <v>0.17333151545288</v>
      </c>
      <c r="J3280">
        <v>0.14844577831901801</v>
      </c>
      <c r="K3280">
        <v>0.12465031700740099</v>
      </c>
      <c r="L3280">
        <v>1145.4587465833699</v>
      </c>
      <c r="M3280">
        <v>21.543705646830599</v>
      </c>
      <c r="N3280">
        <v>54.058090557852097</v>
      </c>
      <c r="O3280">
        <v>52.717339647051901</v>
      </c>
      <c r="P3280">
        <v>-8.6928617644683404E-2</v>
      </c>
      <c r="Q3280">
        <v>0.14916541841469</v>
      </c>
      <c r="R3280">
        <v>0.98744381543177895</v>
      </c>
      <c r="S3280" t="s">
        <v>9141</v>
      </c>
      <c r="T3280" t="s">
        <v>11720</v>
      </c>
      <c r="U3280" t="s">
        <v>11720</v>
      </c>
      <c r="V3280" t="s">
        <v>11720</v>
      </c>
      <c r="W3280" t="s">
        <v>14951</v>
      </c>
      <c r="X3280">
        <v>5</v>
      </c>
      <c r="Y3280" t="s">
        <v>20678</v>
      </c>
      <c r="Z3280" t="s">
        <v>26487</v>
      </c>
      <c r="AA3280">
        <v>0.53293255570016496</v>
      </c>
      <c r="AB3280" t="str">
        <f>HYPERLINK("Melting_Curves/meltCurve_Q15437_SEC23B.pdf", "Melting_Curves/meltCurve_Q15437_SEC23B.pdf")</f>
        <v>Melting_Curves/meltCurve_Q15437_SEC23B.pdf</v>
      </c>
    </row>
    <row r="3281" spans="1:28" x14ac:dyDescent="0.25">
      <c r="A3281" t="s">
        <v>3285</v>
      </c>
      <c r="B3281">
        <v>0.99334974765950101</v>
      </c>
      <c r="C3281">
        <v>0.93220200891259897</v>
      </c>
      <c r="D3281">
        <v>0.85864170933078099</v>
      </c>
      <c r="E3281">
        <v>0.74174719469577799</v>
      </c>
      <c r="F3281">
        <v>0.41698995334636801</v>
      </c>
      <c r="G3281">
        <v>0.199268710139722</v>
      </c>
      <c r="H3281">
        <v>0.12542148214683199</v>
      </c>
      <c r="I3281">
        <v>0.10165900475987601</v>
      </c>
      <c r="J3281">
        <v>0.107699179688243</v>
      </c>
      <c r="K3281">
        <v>8.81730809146581E-2</v>
      </c>
      <c r="L3281">
        <v>956.01499870526197</v>
      </c>
      <c r="M3281">
        <v>18.477220849928798</v>
      </c>
      <c r="N3281">
        <v>52.212431887843302</v>
      </c>
      <c r="O3281">
        <v>51.145573182593601</v>
      </c>
      <c r="P3281">
        <v>-8.3370684747911802E-2</v>
      </c>
      <c r="Q3281">
        <v>7.6949559872701204E-2</v>
      </c>
      <c r="R3281">
        <v>0.99212724529239504</v>
      </c>
      <c r="S3281" t="s">
        <v>9142</v>
      </c>
      <c r="T3281" t="s">
        <v>11720</v>
      </c>
      <c r="U3281" t="s">
        <v>11720</v>
      </c>
      <c r="V3281" t="s">
        <v>11720</v>
      </c>
      <c r="W3281" t="s">
        <v>14952</v>
      </c>
      <c r="X3281">
        <v>6</v>
      </c>
      <c r="Y3281" t="s">
        <v>20679</v>
      </c>
      <c r="Z3281" t="s">
        <v>26488</v>
      </c>
      <c r="AA3281">
        <v>0.45290261031305651</v>
      </c>
      <c r="AB3281" t="str">
        <f>HYPERLINK("Melting_Curves/meltCurve_Q15438_2_CYTH1.pdf", "Melting_Curves/meltCurve_Q15438_2_CYTH1.pdf")</f>
        <v>Melting_Curves/meltCurve_Q15438_2_CYTH1.pdf</v>
      </c>
    </row>
    <row r="3282" spans="1:28" x14ac:dyDescent="0.25">
      <c r="A3282" t="s">
        <v>3286</v>
      </c>
      <c r="B3282">
        <v>0.99334974765950101</v>
      </c>
      <c r="C3282">
        <v>1.0441758076879499</v>
      </c>
      <c r="D3282">
        <v>0.993722898591619</v>
      </c>
      <c r="E3282">
        <v>0.75129269351019501</v>
      </c>
      <c r="F3282">
        <v>0.46237143828720301</v>
      </c>
      <c r="G3282">
        <v>0.23089109457634799</v>
      </c>
      <c r="H3282">
        <v>0.18983933311520099</v>
      </c>
      <c r="I3282">
        <v>0.18803217082023899</v>
      </c>
      <c r="J3282">
        <v>0.172473400255932</v>
      </c>
      <c r="K3282">
        <v>0.16060883893819999</v>
      </c>
      <c r="L3282">
        <v>1395.61582699768</v>
      </c>
      <c r="M3282">
        <v>26.9935107482628</v>
      </c>
      <c r="N3282">
        <v>52.524740888194899</v>
      </c>
      <c r="O3282">
        <v>51.420647902574899</v>
      </c>
      <c r="P3282">
        <v>-0.10861130669685901</v>
      </c>
      <c r="Q3282">
        <v>0.17242207776500701</v>
      </c>
      <c r="R3282">
        <v>0.99751834494474501</v>
      </c>
      <c r="S3282" t="s">
        <v>9143</v>
      </c>
      <c r="T3282" t="s">
        <v>11720</v>
      </c>
      <c r="U3282" t="s">
        <v>11720</v>
      </c>
      <c r="V3282" t="s">
        <v>11720</v>
      </c>
      <c r="W3282" t="s">
        <v>14953</v>
      </c>
      <c r="X3282">
        <v>15</v>
      </c>
      <c r="Y3282" t="s">
        <v>20680</v>
      </c>
      <c r="Z3282" t="s">
        <v>26489</v>
      </c>
      <c r="AA3282">
        <v>0.50171495000115007</v>
      </c>
      <c r="AB3282" t="str">
        <f>HYPERLINK("Melting_Curves/meltCurve_Q15459_SF3A1.pdf", "Melting_Curves/meltCurve_Q15459_SF3A1.pdf")</f>
        <v>Melting_Curves/meltCurve_Q15459_SF3A1.pdf</v>
      </c>
    </row>
    <row r="3283" spans="1:28" x14ac:dyDescent="0.25">
      <c r="A3283" t="s">
        <v>3287</v>
      </c>
      <c r="B3283">
        <v>0.99334974765950101</v>
      </c>
      <c r="C3283">
        <v>1.07838579781528</v>
      </c>
      <c r="D3283">
        <v>0.77912485759740402</v>
      </c>
      <c r="E3283">
        <v>0.646706469925724</v>
      </c>
      <c r="F3283">
        <v>0.455831786262338</v>
      </c>
      <c r="G3283">
        <v>0.31179941225395302</v>
      </c>
      <c r="H3283">
        <v>0.25688378761976599</v>
      </c>
      <c r="I3283">
        <v>0.24930015286898999</v>
      </c>
      <c r="J3283">
        <v>0.29119231161591502</v>
      </c>
      <c r="K3283">
        <v>0.26532309605479798</v>
      </c>
      <c r="L3283">
        <v>893.52812679455303</v>
      </c>
      <c r="M3283">
        <v>17.9117804278719</v>
      </c>
      <c r="N3283">
        <v>51.924575341778898</v>
      </c>
      <c r="O3283">
        <v>49.275614889839801</v>
      </c>
      <c r="P3283">
        <v>-6.7924070260462599E-2</v>
      </c>
      <c r="Q3283">
        <v>0.25259641250023002</v>
      </c>
      <c r="R3283">
        <v>0.97409168964667803</v>
      </c>
      <c r="S3283" t="s">
        <v>9144</v>
      </c>
      <c r="T3283" t="s">
        <v>11720</v>
      </c>
      <c r="U3283" t="s">
        <v>11720</v>
      </c>
      <c r="V3283" t="s">
        <v>11720</v>
      </c>
      <c r="W3283" t="s">
        <v>14954</v>
      </c>
      <c r="X3283">
        <v>1</v>
      </c>
      <c r="Y3283" t="s">
        <v>20681</v>
      </c>
      <c r="Z3283" t="s">
        <v>26490</v>
      </c>
      <c r="AA3283">
        <v>0.51175007053775012</v>
      </c>
      <c r="AB3283" t="str">
        <f>HYPERLINK("Melting_Curves/meltCurve_Q15464_SHB.pdf", "Melting_Curves/meltCurve_Q15464_SHB.pdf")</f>
        <v>Melting_Curves/meltCurve_Q15464_SHB.pdf</v>
      </c>
    </row>
    <row r="3284" spans="1:28" x14ac:dyDescent="0.25">
      <c r="A3284" t="s">
        <v>3288</v>
      </c>
      <c r="B3284">
        <v>0.99334974765950101</v>
      </c>
      <c r="C3284">
        <v>0.93513327707219396</v>
      </c>
      <c r="D3284">
        <v>0.85836530884527495</v>
      </c>
      <c r="E3284">
        <v>0.82446031300070999</v>
      </c>
      <c r="F3284">
        <v>0.71907872435257603</v>
      </c>
      <c r="G3284">
        <v>0.57658018834108304</v>
      </c>
      <c r="H3284">
        <v>0.48642916421205701</v>
      </c>
      <c r="I3284">
        <v>0.49756541956093803</v>
      </c>
      <c r="J3284">
        <v>0.36216669317574601</v>
      </c>
      <c r="K3284">
        <v>0.22583884502118501</v>
      </c>
      <c r="L3284">
        <v>400.45146768453299</v>
      </c>
      <c r="M3284">
        <v>6.59691401158892</v>
      </c>
      <c r="N3284">
        <v>60.702847902113398</v>
      </c>
      <c r="O3284">
        <v>55.8511369562979</v>
      </c>
      <c r="P3284">
        <v>-2.9596980502589201E-2</v>
      </c>
      <c r="Q3284">
        <v>0</v>
      </c>
      <c r="R3284">
        <v>0.97560646411502405</v>
      </c>
      <c r="S3284" t="s">
        <v>9145</v>
      </c>
      <c r="T3284" t="s">
        <v>11720</v>
      </c>
      <c r="U3284" t="s">
        <v>11720</v>
      </c>
      <c r="V3284" t="s">
        <v>11720</v>
      </c>
      <c r="W3284" t="s">
        <v>14955</v>
      </c>
      <c r="X3284">
        <v>9</v>
      </c>
      <c r="Y3284" t="s">
        <v>20682</v>
      </c>
      <c r="Z3284" t="s">
        <v>26491</v>
      </c>
      <c r="AA3284">
        <v>0.65411421823077087</v>
      </c>
      <c r="AB3284" t="str">
        <f>HYPERLINK("Melting_Curves/meltCurve_Q15493_RGN.pdf", "Melting_Curves/meltCurve_Q15493_RGN.pdf")</f>
        <v>Melting_Curves/meltCurve_Q15493_RGN.pdf</v>
      </c>
    </row>
    <row r="3285" spans="1:28" x14ac:dyDescent="0.25">
      <c r="A3285" t="s">
        <v>3289</v>
      </c>
      <c r="B3285">
        <v>0.99334974765950101</v>
      </c>
      <c r="C3285">
        <v>0.96261294305401701</v>
      </c>
      <c r="D3285">
        <v>0.89673637521862204</v>
      </c>
      <c r="E3285">
        <v>0.63701614848809096</v>
      </c>
      <c r="F3285">
        <v>1.0086295014821001</v>
      </c>
      <c r="G3285">
        <v>0.441423859351879</v>
      </c>
      <c r="H3285">
        <v>0.52281716647356102</v>
      </c>
      <c r="I3285">
        <v>0.44410907918612802</v>
      </c>
      <c r="J3285">
        <v>0.52233573430402502</v>
      </c>
      <c r="K3285">
        <v>0.48058728554094998</v>
      </c>
      <c r="L3285">
        <v>583.41021541078396</v>
      </c>
      <c r="M3285">
        <v>10.9987009610419</v>
      </c>
      <c r="N3285">
        <v>63.479189757263299</v>
      </c>
      <c r="O3285">
        <v>51.380538697968397</v>
      </c>
      <c r="P3285">
        <v>-3.11557134737971E-2</v>
      </c>
      <c r="Q3285">
        <v>0.41801947613635398</v>
      </c>
      <c r="R3285">
        <v>0.72236494408820195</v>
      </c>
      <c r="S3285" t="s">
        <v>9146</v>
      </c>
      <c r="T3285" t="s">
        <v>11720</v>
      </c>
      <c r="U3285" t="s">
        <v>11720</v>
      </c>
      <c r="V3285" t="s">
        <v>11720</v>
      </c>
      <c r="W3285" t="s">
        <v>14956</v>
      </c>
      <c r="X3285">
        <v>3</v>
      </c>
      <c r="Y3285" t="s">
        <v>20683</v>
      </c>
      <c r="Z3285" t="s">
        <v>26492</v>
      </c>
      <c r="AA3285">
        <v>0.68915984770729011</v>
      </c>
      <c r="AB3285" t="str">
        <f>HYPERLINK("Melting_Curves/meltCurve_Q15506_SPA17.pdf", "Melting_Curves/meltCurve_Q15506_SPA17.pdf")</f>
        <v>Melting_Curves/meltCurve_Q15506_SPA17.pdf</v>
      </c>
    </row>
    <row r="3286" spans="1:28" x14ac:dyDescent="0.25">
      <c r="A3286" t="s">
        <v>3290</v>
      </c>
      <c r="B3286">
        <v>0.99334974765950101</v>
      </c>
      <c r="C3286">
        <v>0.89685376340096701</v>
      </c>
      <c r="D3286">
        <v>0.91430521599776404</v>
      </c>
      <c r="E3286">
        <v>0.895973182148186</v>
      </c>
      <c r="F3286">
        <v>0.65519576101589405</v>
      </c>
      <c r="G3286">
        <v>0.52725128497132201</v>
      </c>
      <c r="H3286">
        <v>0.40340021477643301</v>
      </c>
      <c r="I3286">
        <v>0.32174770591384899</v>
      </c>
      <c r="J3286">
        <v>0.207673241201704</v>
      </c>
      <c r="K3286">
        <v>0.142482641284118</v>
      </c>
      <c r="L3286">
        <v>544.52634584708903</v>
      </c>
      <c r="M3286">
        <v>9.3922081838840192</v>
      </c>
      <c r="N3286">
        <v>57.976392245190702</v>
      </c>
      <c r="O3286">
        <v>55.530331888222698</v>
      </c>
      <c r="P3286">
        <v>-4.23102558629311E-2</v>
      </c>
      <c r="Q3286">
        <v>0</v>
      </c>
      <c r="R3286">
        <v>0.982965295348038</v>
      </c>
      <c r="S3286" t="s">
        <v>9147</v>
      </c>
      <c r="T3286" t="s">
        <v>11720</v>
      </c>
      <c r="U3286" t="s">
        <v>11720</v>
      </c>
      <c r="V3286" t="s">
        <v>11720</v>
      </c>
      <c r="W3286" t="s">
        <v>14957</v>
      </c>
      <c r="X3286">
        <v>4</v>
      </c>
      <c r="Y3286" t="s">
        <v>20684</v>
      </c>
      <c r="Z3286" t="s">
        <v>26493</v>
      </c>
      <c r="AA3286">
        <v>0.60783038944744616</v>
      </c>
      <c r="AB3286" t="str">
        <f>HYPERLINK("Melting_Curves/meltCurve_Q15526_2_SURF1.pdf", "Melting_Curves/meltCurve_Q15526_2_SURF1.pdf")</f>
        <v>Melting_Curves/meltCurve_Q15526_2_SURF1.pdf</v>
      </c>
    </row>
    <row r="3287" spans="1:28" x14ac:dyDescent="0.25">
      <c r="A3287" t="s">
        <v>3291</v>
      </c>
      <c r="B3287">
        <v>0.99334974765950101</v>
      </c>
      <c r="C3287">
        <v>0.98734562006964699</v>
      </c>
      <c r="D3287">
        <v>0.85854950437100697</v>
      </c>
      <c r="E3287">
        <v>0.74578688432747597</v>
      </c>
      <c r="F3287">
        <v>0.67683075989402797</v>
      </c>
      <c r="G3287">
        <v>0.43951767686772902</v>
      </c>
      <c r="H3287">
        <v>0.38959403958362498</v>
      </c>
      <c r="I3287">
        <v>0.50818550854496503</v>
      </c>
      <c r="J3287">
        <v>0.54267246067814801</v>
      </c>
      <c r="K3287">
        <v>0.57257833010076797</v>
      </c>
      <c r="L3287">
        <v>930.51117232564195</v>
      </c>
      <c r="M3287">
        <v>18.721859855659201</v>
      </c>
      <c r="N3287">
        <v>62.1850148864388</v>
      </c>
      <c r="O3287">
        <v>49.145213509773697</v>
      </c>
      <c r="P3287">
        <v>-4.8731454782207799E-2</v>
      </c>
      <c r="Q3287">
        <v>0.48833788106467901</v>
      </c>
      <c r="R3287">
        <v>0.91154027063769405</v>
      </c>
      <c r="S3287" t="s">
        <v>9148</v>
      </c>
      <c r="T3287" t="s">
        <v>11720</v>
      </c>
      <c r="U3287" t="s">
        <v>11720</v>
      </c>
      <c r="V3287" t="s">
        <v>11720</v>
      </c>
      <c r="W3287" t="s">
        <v>14958</v>
      </c>
      <c r="X3287">
        <v>6</v>
      </c>
      <c r="Y3287" t="s">
        <v>20685</v>
      </c>
      <c r="Z3287" t="s">
        <v>26494</v>
      </c>
      <c r="AA3287">
        <v>0.66192560088166608</v>
      </c>
      <c r="AB3287" t="str">
        <f>HYPERLINK("Melting_Curves/meltCurve_Q15545_TAF7.pdf", "Melting_Curves/meltCurve_Q15545_TAF7.pdf")</f>
        <v>Melting_Curves/meltCurve_Q15545_TAF7.pdf</v>
      </c>
    </row>
    <row r="3288" spans="1:28" x14ac:dyDescent="0.25">
      <c r="A3288" t="s">
        <v>3292</v>
      </c>
      <c r="B3288">
        <v>0.99334974765950101</v>
      </c>
      <c r="C3288">
        <v>0.72192924963684502</v>
      </c>
      <c r="D3288">
        <v>0.29872321121466999</v>
      </c>
      <c r="E3288">
        <v>0.19858802663324501</v>
      </c>
      <c r="F3288">
        <v>0.190920661143195</v>
      </c>
      <c r="G3288">
        <v>0.136543812277239</v>
      </c>
      <c r="H3288">
        <v>0.128472382962181</v>
      </c>
      <c r="I3288">
        <v>0.10225439621763401</v>
      </c>
      <c r="J3288">
        <v>0.12042411358353999</v>
      </c>
      <c r="K3288">
        <v>9.86627241675819E-2</v>
      </c>
      <c r="L3288">
        <v>1377.8253666263199</v>
      </c>
      <c r="M3288">
        <v>31.342634358614099</v>
      </c>
      <c r="N3288">
        <v>44.405023403957102</v>
      </c>
      <c r="O3288">
        <v>43.782318686161602</v>
      </c>
      <c r="P3288">
        <v>-0.15485217985732699</v>
      </c>
      <c r="Q3288">
        <v>0.134756995148264</v>
      </c>
      <c r="R3288">
        <v>0.99016881003949198</v>
      </c>
      <c r="S3288" t="s">
        <v>9149</v>
      </c>
      <c r="T3288" t="s">
        <v>11720</v>
      </c>
      <c r="U3288" t="s">
        <v>11720</v>
      </c>
      <c r="V3288" t="s">
        <v>11720</v>
      </c>
      <c r="W3288" t="s">
        <v>14959</v>
      </c>
      <c r="X3288">
        <v>10</v>
      </c>
      <c r="Y3288" t="s">
        <v>20686</v>
      </c>
      <c r="Z3288" t="s">
        <v>26495</v>
      </c>
      <c r="AA3288">
        <v>0.25467064181163429</v>
      </c>
      <c r="AB3288" t="str">
        <f>HYPERLINK("Melting_Curves/meltCurve_Q15555_4_MAPRE2.pdf", "Melting_Curves/meltCurve_Q15555_4_MAPRE2.pdf")</f>
        <v>Melting_Curves/meltCurve_Q15555_4_MAPRE2.pdf</v>
      </c>
    </row>
    <row r="3289" spans="1:28" x14ac:dyDescent="0.25">
      <c r="A3289" t="s">
        <v>3293</v>
      </c>
      <c r="B3289">
        <v>0.99334974765950101</v>
      </c>
      <c r="C3289">
        <v>1.00810719117631</v>
      </c>
      <c r="D3289">
        <v>1.02275358039261</v>
      </c>
      <c r="E3289">
        <v>1.02344159618512</v>
      </c>
      <c r="F3289">
        <v>0.93734897155117902</v>
      </c>
      <c r="G3289">
        <v>0.909379239354424</v>
      </c>
      <c r="H3289">
        <v>0.53016889811706902</v>
      </c>
      <c r="I3289">
        <v>0.48512025600293601</v>
      </c>
      <c r="J3289">
        <v>0.271511127977694</v>
      </c>
      <c r="K3289">
        <v>0.20425930256330299</v>
      </c>
      <c r="L3289">
        <v>1231.03015955096</v>
      </c>
      <c r="M3289">
        <v>20.010414502543899</v>
      </c>
      <c r="N3289">
        <v>62.593365515040702</v>
      </c>
      <c r="O3289">
        <v>60.914958397002302</v>
      </c>
      <c r="P3289">
        <v>-7.0194524222085303E-2</v>
      </c>
      <c r="Q3289">
        <v>0.145293542612111</v>
      </c>
      <c r="R3289">
        <v>0.98265216516757903</v>
      </c>
      <c r="S3289" t="s">
        <v>9150</v>
      </c>
      <c r="T3289" t="s">
        <v>11720</v>
      </c>
      <c r="U3289" t="s">
        <v>11720</v>
      </c>
      <c r="V3289" t="s">
        <v>11720</v>
      </c>
      <c r="W3289" t="s">
        <v>14960</v>
      </c>
      <c r="X3289">
        <v>14</v>
      </c>
      <c r="Y3289" t="s">
        <v>20687</v>
      </c>
      <c r="Z3289" t="s">
        <v>26496</v>
      </c>
      <c r="AA3289">
        <v>0.76233642269228952</v>
      </c>
      <c r="AB3289" t="str">
        <f>HYPERLINK("Melting_Curves/meltCurve_Q15582_TGFBI.pdf", "Melting_Curves/meltCurve_Q15582_TGFBI.pdf")</f>
        <v>Melting_Curves/meltCurve_Q15582_TGFBI.pdf</v>
      </c>
    </row>
    <row r="3290" spans="1:28" x14ac:dyDescent="0.25">
      <c r="A3290" t="s">
        <v>3294</v>
      </c>
      <c r="B3290">
        <v>0.99334974765950101</v>
      </c>
      <c r="C3290">
        <v>1.01697920619678</v>
      </c>
      <c r="D3290">
        <v>0.91791815102742003</v>
      </c>
      <c r="E3290">
        <v>0.81878040376912897</v>
      </c>
      <c r="F3290">
        <v>0.80795924080423898</v>
      </c>
      <c r="G3290">
        <v>0.62163711084481099</v>
      </c>
      <c r="H3290">
        <v>0.52907942657589202</v>
      </c>
      <c r="I3290">
        <v>0.55942052501429296</v>
      </c>
      <c r="J3290">
        <v>0.651920701815352</v>
      </c>
      <c r="K3290">
        <v>0.66786945662316799</v>
      </c>
      <c r="L3290">
        <v>935.83993299267001</v>
      </c>
      <c r="M3290">
        <v>18.2691472669039</v>
      </c>
      <c r="O3290">
        <v>50.623230517577497</v>
      </c>
      <c r="P3290">
        <v>-3.6503216281696303E-2</v>
      </c>
      <c r="Q3290">
        <v>0.59542178229651199</v>
      </c>
      <c r="R3290">
        <v>0.90977262107098</v>
      </c>
      <c r="S3290" t="s">
        <v>9151</v>
      </c>
      <c r="T3290" t="s">
        <v>11720</v>
      </c>
      <c r="U3290" t="s">
        <v>11720</v>
      </c>
      <c r="V3290" t="s">
        <v>11720</v>
      </c>
      <c r="W3290" t="s">
        <v>14961</v>
      </c>
      <c r="X3290">
        <v>19</v>
      </c>
      <c r="Y3290" t="s">
        <v>20688</v>
      </c>
      <c r="Z3290" t="s">
        <v>26497</v>
      </c>
      <c r="AA3290">
        <v>0.75342446451094724</v>
      </c>
      <c r="AB3290" t="str">
        <f>HYPERLINK("Melting_Curves/meltCurve_Q15599_SLC9A3R2.pdf", "Melting_Curves/meltCurve_Q15599_SLC9A3R2.pdf")</f>
        <v>Melting_Curves/meltCurve_Q15599_SLC9A3R2.pdf</v>
      </c>
    </row>
    <row r="3291" spans="1:28" x14ac:dyDescent="0.25">
      <c r="A3291" t="s">
        <v>3295</v>
      </c>
      <c r="B3291">
        <v>0.99334974765950101</v>
      </c>
      <c r="C3291">
        <v>0.94058684399640102</v>
      </c>
      <c r="D3291">
        <v>0.77203046074594595</v>
      </c>
      <c r="E3291">
        <v>0.33697877425598899</v>
      </c>
      <c r="F3291">
        <v>0.17603167671880199</v>
      </c>
      <c r="G3291">
        <v>0.116137581946663</v>
      </c>
      <c r="H3291">
        <v>8.4207447451265294E-2</v>
      </c>
      <c r="I3291">
        <v>7.8510301389296697E-2</v>
      </c>
      <c r="J3291">
        <v>4.9191567132360302E-2</v>
      </c>
      <c r="K3291">
        <v>4.5581467235082801E-2</v>
      </c>
      <c r="L3291">
        <v>1093.19271158677</v>
      </c>
      <c r="M3291">
        <v>22.690519373681699</v>
      </c>
      <c r="N3291">
        <v>48.480407592705703</v>
      </c>
      <c r="O3291">
        <v>47.808864285836698</v>
      </c>
      <c r="P3291">
        <v>-0.110834372516512</v>
      </c>
      <c r="Q3291">
        <v>6.5907550014178098E-2</v>
      </c>
      <c r="R3291">
        <v>0.99863901589079995</v>
      </c>
      <c r="S3291" t="s">
        <v>9152</v>
      </c>
      <c r="T3291" t="s">
        <v>11720</v>
      </c>
      <c r="U3291" t="s">
        <v>11720</v>
      </c>
      <c r="V3291" t="s">
        <v>11720</v>
      </c>
      <c r="W3291" t="s">
        <v>14962</v>
      </c>
      <c r="X3291">
        <v>11</v>
      </c>
      <c r="Y3291" t="s">
        <v>20689</v>
      </c>
      <c r="Z3291" t="s">
        <v>26498</v>
      </c>
      <c r="AA3291">
        <v>0.3306855505548375</v>
      </c>
      <c r="AB3291" t="str">
        <f>HYPERLINK("Melting_Curves/meltCurve_Q15628_TRADD.pdf", "Melting_Curves/meltCurve_Q15628_TRADD.pdf")</f>
        <v>Melting_Curves/meltCurve_Q15628_TRADD.pdf</v>
      </c>
    </row>
    <row r="3292" spans="1:28" x14ac:dyDescent="0.25">
      <c r="A3292" t="s">
        <v>3296</v>
      </c>
      <c r="B3292">
        <v>0.99334974765950101</v>
      </c>
      <c r="C3292">
        <v>0.99451974700248502</v>
      </c>
      <c r="D3292">
        <v>0.87546113812071702</v>
      </c>
      <c r="E3292">
        <v>0.77988027218169198</v>
      </c>
      <c r="F3292">
        <v>0.72445653733811299</v>
      </c>
      <c r="G3292">
        <v>0.48750362943912401</v>
      </c>
      <c r="H3292">
        <v>0.38753217056130501</v>
      </c>
      <c r="I3292">
        <v>0.39801953462904799</v>
      </c>
      <c r="J3292">
        <v>0.41199770978401801</v>
      </c>
      <c r="K3292">
        <v>0.40495284705777601</v>
      </c>
      <c r="L3292">
        <v>760.10407405701199</v>
      </c>
      <c r="M3292">
        <v>14.483307165375299</v>
      </c>
      <c r="N3292">
        <v>57.621201232860798</v>
      </c>
      <c r="O3292">
        <v>51.511313426863502</v>
      </c>
      <c r="P3292">
        <v>-4.4807306291636297E-2</v>
      </c>
      <c r="Q3292">
        <v>0.362627404746168</v>
      </c>
      <c r="R3292">
        <v>0.97957417528202595</v>
      </c>
      <c r="S3292" t="s">
        <v>9153</v>
      </c>
      <c r="T3292" t="s">
        <v>11720</v>
      </c>
      <c r="U3292" t="s">
        <v>11720</v>
      </c>
      <c r="V3292" t="s">
        <v>11720</v>
      </c>
      <c r="W3292" t="s">
        <v>14963</v>
      </c>
      <c r="X3292">
        <v>20</v>
      </c>
      <c r="Y3292" t="s">
        <v>20690</v>
      </c>
      <c r="Z3292" t="s">
        <v>26499</v>
      </c>
      <c r="AA3292">
        <v>0.6425336018542287</v>
      </c>
      <c r="AB3292" t="str">
        <f>HYPERLINK("Melting_Curves/meltCurve_Q15637_5_SF1.pdf", "Melting_Curves/meltCurve_Q15637_5_SF1.pdf")</f>
        <v>Melting_Curves/meltCurve_Q15637_5_SF1.pdf</v>
      </c>
    </row>
    <row r="3293" spans="1:28" x14ac:dyDescent="0.25">
      <c r="A3293" t="s">
        <v>3297</v>
      </c>
      <c r="B3293">
        <v>0.99334974765950101</v>
      </c>
      <c r="C3293">
        <v>1.0302066108707499</v>
      </c>
      <c r="D3293">
        <v>0.98734049208904695</v>
      </c>
      <c r="E3293">
        <v>0.56405915267108797</v>
      </c>
      <c r="F3293">
        <v>0.15963427835672001</v>
      </c>
      <c r="G3293">
        <v>0.122980365850913</v>
      </c>
      <c r="H3293">
        <v>9.8263014054157993E-2</v>
      </c>
      <c r="I3293">
        <v>7.7173155253408399E-2</v>
      </c>
      <c r="J3293">
        <v>7.4560605042857706E-2</v>
      </c>
      <c r="K3293">
        <v>5.5824774844448602E-2</v>
      </c>
      <c r="L3293">
        <v>2189.4779756122198</v>
      </c>
      <c r="M3293">
        <v>43.691424978830199</v>
      </c>
      <c r="N3293">
        <v>50.3249259787463</v>
      </c>
      <c r="O3293">
        <v>50.007645468689198</v>
      </c>
      <c r="P3293">
        <v>-0.20001526783143</v>
      </c>
      <c r="Q3293">
        <v>8.42796521529348E-2</v>
      </c>
      <c r="R3293">
        <v>0.99801022532402195</v>
      </c>
      <c r="S3293" t="s">
        <v>9154</v>
      </c>
      <c r="T3293" t="s">
        <v>11720</v>
      </c>
      <c r="U3293" t="s">
        <v>11720</v>
      </c>
      <c r="V3293" t="s">
        <v>11720</v>
      </c>
      <c r="W3293" t="s">
        <v>14964</v>
      </c>
      <c r="X3293">
        <v>20</v>
      </c>
      <c r="Y3293" t="s">
        <v>20691</v>
      </c>
      <c r="Z3293" t="s">
        <v>26500</v>
      </c>
      <c r="AA3293">
        <v>0.3956033511618624</v>
      </c>
      <c r="AB3293" t="str">
        <f>HYPERLINK("Melting_Curves/meltCurve_Q15642_TRIP10.pdf", "Melting_Curves/meltCurve_Q15642_TRIP10.pdf")</f>
        <v>Melting_Curves/meltCurve_Q15642_TRIP10.pdf</v>
      </c>
    </row>
    <row r="3294" spans="1:28" x14ac:dyDescent="0.25">
      <c r="A3294" t="s">
        <v>3298</v>
      </c>
      <c r="B3294">
        <v>0.99334974765950101</v>
      </c>
      <c r="C3294">
        <v>1.14915563428728</v>
      </c>
      <c r="D3294">
        <v>0.98956645021435397</v>
      </c>
      <c r="E3294">
        <v>0.85586448164454099</v>
      </c>
      <c r="F3294">
        <v>0.63637859648682804</v>
      </c>
      <c r="G3294">
        <v>0.49580942681701501</v>
      </c>
      <c r="H3294">
        <v>0.41669956975038103</v>
      </c>
      <c r="I3294">
        <v>0.36438212098540101</v>
      </c>
      <c r="J3294">
        <v>0.33393439181125301</v>
      </c>
      <c r="K3294">
        <v>0.272559008491361</v>
      </c>
      <c r="L3294">
        <v>992.12601901401104</v>
      </c>
      <c r="M3294">
        <v>18.595537279024899</v>
      </c>
      <c r="N3294">
        <v>56.408623836068202</v>
      </c>
      <c r="O3294">
        <v>52.747386236752497</v>
      </c>
      <c r="P3294">
        <v>-6.0163005587946503E-2</v>
      </c>
      <c r="Q3294">
        <v>0.31740535100144102</v>
      </c>
      <c r="R3294">
        <v>0.965531969445383</v>
      </c>
      <c r="S3294" t="s">
        <v>9155</v>
      </c>
      <c r="T3294" t="s">
        <v>11720</v>
      </c>
      <c r="U3294" t="s">
        <v>11720</v>
      </c>
      <c r="V3294" t="s">
        <v>11720</v>
      </c>
      <c r="W3294" t="s">
        <v>14965</v>
      </c>
      <c r="X3294">
        <v>21</v>
      </c>
      <c r="Y3294" t="s">
        <v>20691</v>
      </c>
      <c r="Z3294" t="s">
        <v>26501</v>
      </c>
      <c r="AA3294">
        <v>0.6317666712629969</v>
      </c>
      <c r="AB3294" t="str">
        <f>HYPERLINK("Melting_Curves/meltCurve_Q15642_2_TRIP10.pdf", "Melting_Curves/meltCurve_Q15642_2_TRIP10.pdf")</f>
        <v>Melting_Curves/meltCurve_Q15642_2_TRIP10.pdf</v>
      </c>
    </row>
    <row r="3295" spans="1:28" x14ac:dyDescent="0.25">
      <c r="A3295" t="s">
        <v>3299</v>
      </c>
      <c r="B3295">
        <v>0.99334974765950101</v>
      </c>
      <c r="C3295">
        <v>0.90581448729210201</v>
      </c>
      <c r="D3295">
        <v>0.50380014480281698</v>
      </c>
      <c r="E3295">
        <v>0.32598067991273599</v>
      </c>
      <c r="F3295">
        <v>0.26453787949417101</v>
      </c>
      <c r="G3295">
        <v>0.190986168250116</v>
      </c>
      <c r="H3295">
        <v>0.17101331615833601</v>
      </c>
      <c r="I3295">
        <v>0.15961540699264701</v>
      </c>
      <c r="J3295">
        <v>0.14678171436736301</v>
      </c>
      <c r="K3295">
        <v>0.125042497886832</v>
      </c>
      <c r="L3295">
        <v>998.80220724555704</v>
      </c>
      <c r="M3295">
        <v>21.771226909543</v>
      </c>
      <c r="N3295">
        <v>46.752973990894503</v>
      </c>
      <c r="O3295">
        <v>45.4953629364637</v>
      </c>
      <c r="P3295">
        <v>-9.9603284593027697E-2</v>
      </c>
      <c r="Q3295">
        <v>0.16745484423676599</v>
      </c>
      <c r="R3295">
        <v>0.98328269593658602</v>
      </c>
      <c r="S3295" t="s">
        <v>9156</v>
      </c>
      <c r="T3295" t="s">
        <v>11720</v>
      </c>
      <c r="U3295" t="s">
        <v>11720</v>
      </c>
      <c r="V3295" t="s">
        <v>11720</v>
      </c>
      <c r="W3295" t="s">
        <v>14966</v>
      </c>
      <c r="X3295">
        <v>33</v>
      </c>
      <c r="Y3295" t="s">
        <v>20692</v>
      </c>
      <c r="Z3295" t="s">
        <v>26502</v>
      </c>
      <c r="AA3295">
        <v>0.34122956679735078</v>
      </c>
      <c r="AB3295" t="str">
        <f>HYPERLINK("Melting_Curves/meltCurve_Q15643_TRIP11.pdf", "Melting_Curves/meltCurve_Q15643_TRIP11.pdf")</f>
        <v>Melting_Curves/meltCurve_Q15643_TRIP11.pdf</v>
      </c>
    </row>
    <row r="3296" spans="1:28" x14ac:dyDescent="0.25">
      <c r="A3296" t="s">
        <v>3300</v>
      </c>
      <c r="B3296">
        <v>0.99334974765950101</v>
      </c>
      <c r="C3296">
        <v>1.0027592961441301</v>
      </c>
      <c r="D3296">
        <v>0.88914679949016395</v>
      </c>
      <c r="E3296">
        <v>0.77071320296134604</v>
      </c>
      <c r="F3296">
        <v>0.41909861156014699</v>
      </c>
      <c r="G3296">
        <v>0.19195247030559401</v>
      </c>
      <c r="H3296">
        <v>0.14032046234314499</v>
      </c>
      <c r="I3296">
        <v>0.105357340884894</v>
      </c>
      <c r="J3296">
        <v>9.5573002241828603E-2</v>
      </c>
      <c r="K3296">
        <v>7.0699521114824193E-2</v>
      </c>
      <c r="L3296">
        <v>1158.5077374889099</v>
      </c>
      <c r="M3296">
        <v>22.304167378728899</v>
      </c>
      <c r="N3296">
        <v>52.387696873514102</v>
      </c>
      <c r="O3296">
        <v>51.529198665345703</v>
      </c>
      <c r="P3296">
        <v>-9.8848950723237905E-2</v>
      </c>
      <c r="Q3296">
        <v>8.6538729550268395E-2</v>
      </c>
      <c r="R3296">
        <v>0.99501729341858702</v>
      </c>
      <c r="S3296" t="s">
        <v>9157</v>
      </c>
      <c r="T3296" t="s">
        <v>11720</v>
      </c>
      <c r="U3296" t="s">
        <v>11720</v>
      </c>
      <c r="V3296" t="s">
        <v>11720</v>
      </c>
      <c r="W3296" t="s">
        <v>14967</v>
      </c>
      <c r="X3296">
        <v>9</v>
      </c>
      <c r="Y3296" t="s">
        <v>20693</v>
      </c>
      <c r="Z3296" t="s">
        <v>26503</v>
      </c>
      <c r="AA3296">
        <v>0.46048803826162071</v>
      </c>
      <c r="AB3296" t="str">
        <f>HYPERLINK("Melting_Curves/meltCurve_Q15645_TRIP13.pdf", "Melting_Curves/meltCurve_Q15645_TRIP13.pdf")</f>
        <v>Melting_Curves/meltCurve_Q15645_TRIP13.pdf</v>
      </c>
    </row>
    <row r="3297" spans="1:28" x14ac:dyDescent="0.25">
      <c r="A3297" t="s">
        <v>3301</v>
      </c>
      <c r="B3297">
        <v>0.99334974765950101</v>
      </c>
      <c r="C3297">
        <v>1.0709362443645101</v>
      </c>
      <c r="D3297">
        <v>0.90046991484679495</v>
      </c>
      <c r="E3297">
        <v>0.62625339646731204</v>
      </c>
      <c r="F3297">
        <v>0.322879585920887</v>
      </c>
      <c r="G3297">
        <v>0.24658561354317199</v>
      </c>
      <c r="H3297">
        <v>0.19063154730788401</v>
      </c>
      <c r="I3297">
        <v>0.228131039384316</v>
      </c>
      <c r="J3297">
        <v>0.21404923537252801</v>
      </c>
      <c r="K3297">
        <v>0.23573039287758901</v>
      </c>
      <c r="L3297">
        <v>1449.27282395475</v>
      </c>
      <c r="M3297">
        <v>28.988306332193901</v>
      </c>
      <c r="N3297">
        <v>50.987101234501999</v>
      </c>
      <c r="O3297">
        <v>49.758952363188001</v>
      </c>
      <c r="P3297">
        <v>-0.114252970495946</v>
      </c>
      <c r="Q3297">
        <v>0.215536339583631</v>
      </c>
      <c r="R3297">
        <v>0.99146630501631206</v>
      </c>
      <c r="S3297" t="s">
        <v>9158</v>
      </c>
      <c r="T3297" t="s">
        <v>11720</v>
      </c>
      <c r="U3297" t="s">
        <v>11720</v>
      </c>
      <c r="V3297" t="s">
        <v>11720</v>
      </c>
      <c r="W3297" t="s">
        <v>14968</v>
      </c>
      <c r="X3297">
        <v>1</v>
      </c>
      <c r="Y3297" t="s">
        <v>20694</v>
      </c>
      <c r="Z3297" t="s">
        <v>26504</v>
      </c>
      <c r="AA3297">
        <v>0.48209605879098461</v>
      </c>
      <c r="AB3297" t="str">
        <f>HYPERLINK("Melting_Curves/meltCurve_Q15648_MED1.pdf", "Melting_Curves/meltCurve_Q15648_MED1.pdf")</f>
        <v>Melting_Curves/meltCurve_Q15648_MED1.pdf</v>
      </c>
    </row>
    <row r="3298" spans="1:28" x14ac:dyDescent="0.25">
      <c r="A3298" t="s">
        <v>3302</v>
      </c>
      <c r="B3298">
        <v>0.99334974765950101</v>
      </c>
      <c r="C3298">
        <v>0.82975647237831596</v>
      </c>
      <c r="D3298">
        <v>0.59698509434098401</v>
      </c>
      <c r="E3298">
        <v>0.56300626558882205</v>
      </c>
      <c r="F3298">
        <v>0.61141975880814803</v>
      </c>
      <c r="G3298">
        <v>0.39803776899315202</v>
      </c>
      <c r="H3298">
        <v>0.35566086142826803</v>
      </c>
      <c r="I3298">
        <v>0.54764374170931296</v>
      </c>
      <c r="J3298">
        <v>0.58753106286282797</v>
      </c>
      <c r="K3298">
        <v>0.52149636192179705</v>
      </c>
      <c r="L3298">
        <v>1255.77783896698</v>
      </c>
      <c r="M3298">
        <v>28.615902391567499</v>
      </c>
      <c r="O3298">
        <v>43.671280170003698</v>
      </c>
      <c r="P3298">
        <v>-8.0664395931872093E-2</v>
      </c>
      <c r="Q3298">
        <v>0.50758990385570302</v>
      </c>
      <c r="R3298">
        <v>0.82450713712972101</v>
      </c>
      <c r="S3298" t="s">
        <v>9159</v>
      </c>
      <c r="T3298" t="s">
        <v>11720</v>
      </c>
      <c r="U3298" t="s">
        <v>11720</v>
      </c>
      <c r="V3298" t="s">
        <v>11720</v>
      </c>
      <c r="W3298" t="s">
        <v>14969</v>
      </c>
      <c r="X3298">
        <v>1</v>
      </c>
      <c r="Y3298" t="s">
        <v>20695</v>
      </c>
      <c r="Z3298" t="s">
        <v>26505</v>
      </c>
      <c r="AA3298">
        <v>0.57546819461385701</v>
      </c>
      <c r="AB3298" t="str">
        <f>HYPERLINK("Melting_Curves/meltCurve_Q15652_3_JMJD1C.pdf", "Melting_Curves/meltCurve_Q15652_3_JMJD1C.pdf")</f>
        <v>Melting_Curves/meltCurve_Q15652_3_JMJD1C.pdf</v>
      </c>
    </row>
    <row r="3299" spans="1:28" x14ac:dyDescent="0.25">
      <c r="A3299" t="s">
        <v>3303</v>
      </c>
      <c r="B3299">
        <v>0.99334974765950101</v>
      </c>
      <c r="C3299">
        <v>0.89746685997075704</v>
      </c>
      <c r="D3299">
        <v>0.71863354410723701</v>
      </c>
      <c r="E3299">
        <v>0.53502939956097095</v>
      </c>
      <c r="F3299">
        <v>0.28822188990993702</v>
      </c>
      <c r="G3299">
        <v>0.195548979812704</v>
      </c>
      <c r="H3299">
        <v>0.12405960929340699</v>
      </c>
      <c r="I3299">
        <v>0.12630759159347599</v>
      </c>
      <c r="J3299">
        <v>0.131515908399576</v>
      </c>
      <c r="K3299">
        <v>0.10613486147417101</v>
      </c>
      <c r="L3299">
        <v>721.82964208540295</v>
      </c>
      <c r="M3299">
        <v>14.7230590507704</v>
      </c>
      <c r="N3299">
        <v>49.7394801736517</v>
      </c>
      <c r="O3299">
        <v>48.149333582570698</v>
      </c>
      <c r="P3299">
        <v>-6.9185987953095898E-2</v>
      </c>
      <c r="Q3299">
        <v>9.5052952532350105E-2</v>
      </c>
      <c r="R3299">
        <v>0.99431499585878502</v>
      </c>
      <c r="S3299" t="s">
        <v>9160</v>
      </c>
      <c r="T3299" t="s">
        <v>11720</v>
      </c>
      <c r="U3299" t="s">
        <v>11720</v>
      </c>
      <c r="V3299" t="s">
        <v>11720</v>
      </c>
      <c r="W3299" t="s">
        <v>14970</v>
      </c>
      <c r="X3299">
        <v>15</v>
      </c>
      <c r="Y3299" t="s">
        <v>20696</v>
      </c>
      <c r="Z3299" t="s">
        <v>26506</v>
      </c>
      <c r="AA3299">
        <v>0.39045964113417458</v>
      </c>
      <c r="AB3299" t="str">
        <f>HYPERLINK("Melting_Curves/meltCurve_Q15654_TRIP6.pdf", "Melting_Curves/meltCurve_Q15654_TRIP6.pdf")</f>
        <v>Melting_Curves/meltCurve_Q15654_TRIP6.pdf</v>
      </c>
    </row>
    <row r="3300" spans="1:28" x14ac:dyDescent="0.25">
      <c r="A3300" t="s">
        <v>3304</v>
      </c>
      <c r="B3300">
        <v>0.99334974765950101</v>
      </c>
      <c r="C3300">
        <v>1.0033351886144399</v>
      </c>
      <c r="D3300">
        <v>0.93104626166964799</v>
      </c>
      <c r="E3300">
        <v>0.82898987691662496</v>
      </c>
      <c r="F3300">
        <v>0.32701168000568898</v>
      </c>
      <c r="G3300">
        <v>0.17318812214066701</v>
      </c>
      <c r="H3300">
        <v>0.123021136881559</v>
      </c>
      <c r="I3300">
        <v>0.12480711945265401</v>
      </c>
      <c r="J3300">
        <v>0.10615265909855801</v>
      </c>
      <c r="K3300">
        <v>9.5195904095173201E-2</v>
      </c>
      <c r="L3300">
        <v>2168.8129428561601</v>
      </c>
      <c r="M3300">
        <v>42.029227866269302</v>
      </c>
      <c r="N3300">
        <v>51.939944660182903</v>
      </c>
      <c r="O3300">
        <v>51.486066097930397</v>
      </c>
      <c r="P3300">
        <v>-0.179697865180236</v>
      </c>
      <c r="Q3300">
        <v>0.119477197418283</v>
      </c>
      <c r="R3300">
        <v>0.99568474681639996</v>
      </c>
      <c r="S3300" t="s">
        <v>9161</v>
      </c>
      <c r="T3300" t="s">
        <v>11720</v>
      </c>
      <c r="U3300" t="s">
        <v>11720</v>
      </c>
      <c r="V3300" t="s">
        <v>11720</v>
      </c>
      <c r="W3300" t="s">
        <v>14971</v>
      </c>
      <c r="X3300">
        <v>20</v>
      </c>
      <c r="Y3300" t="s">
        <v>20697</v>
      </c>
      <c r="Z3300" t="s">
        <v>26507</v>
      </c>
      <c r="AA3300">
        <v>0.46286138741346189</v>
      </c>
      <c r="AB3300" t="str">
        <f>HYPERLINK("Melting_Curves/meltCurve_Q15691_MAPRE1.pdf", "Melting_Curves/meltCurve_Q15691_MAPRE1.pdf")</f>
        <v>Melting_Curves/meltCurve_Q15691_MAPRE1.pdf</v>
      </c>
    </row>
    <row r="3301" spans="1:28" x14ac:dyDescent="0.25">
      <c r="A3301" t="s">
        <v>3305</v>
      </c>
      <c r="B3301">
        <v>0.99334974765950101</v>
      </c>
      <c r="C3301">
        <v>0.96761700152523</v>
      </c>
      <c r="D3301">
        <v>0.93210581187637698</v>
      </c>
      <c r="E3301">
        <v>0.95418452209013704</v>
      </c>
      <c r="F3301">
        <v>0.92869340778499099</v>
      </c>
      <c r="G3301">
        <v>0.71618936692393198</v>
      </c>
      <c r="H3301">
        <v>0.69389451292959903</v>
      </c>
      <c r="I3301">
        <v>0.85370653307611499</v>
      </c>
      <c r="J3301">
        <v>0.92986349267175905</v>
      </c>
      <c r="K3301">
        <v>0.87527456594707798</v>
      </c>
      <c r="L3301">
        <v>9748.8054955565294</v>
      </c>
      <c r="M3301">
        <v>183.462670382857</v>
      </c>
      <c r="O3301">
        <v>53.1315016907974</v>
      </c>
      <c r="P3301">
        <v>-0.16074904184910899</v>
      </c>
      <c r="Q3301">
        <v>0.81378581436439801</v>
      </c>
      <c r="R3301">
        <v>0.47114494940725898</v>
      </c>
      <c r="S3301" t="s">
        <v>9162</v>
      </c>
      <c r="T3301" t="s">
        <v>11720</v>
      </c>
      <c r="U3301" t="s">
        <v>11720</v>
      </c>
      <c r="V3301" t="s">
        <v>11720</v>
      </c>
      <c r="W3301" t="s">
        <v>14972</v>
      </c>
      <c r="X3301">
        <v>17</v>
      </c>
      <c r="Y3301" t="s">
        <v>20698</v>
      </c>
      <c r="Z3301" t="s">
        <v>26508</v>
      </c>
      <c r="AA3301">
        <v>0.89536631901578978</v>
      </c>
      <c r="AB3301" t="str">
        <f>HYPERLINK("Melting_Curves/meltCurve_Q15714_TSC22D1.pdf", "Melting_Curves/meltCurve_Q15714_TSC22D1.pdf")</f>
        <v>Melting_Curves/meltCurve_Q15714_TSC22D1.pdf</v>
      </c>
    </row>
    <row r="3302" spans="1:28" x14ac:dyDescent="0.25">
      <c r="A3302" t="s">
        <v>3306</v>
      </c>
      <c r="B3302">
        <v>0.99334974765950101</v>
      </c>
      <c r="C3302">
        <v>1.04187771686974</v>
      </c>
      <c r="D3302">
        <v>1.07788797606084</v>
      </c>
      <c r="E3302">
        <v>0.755593546578752</v>
      </c>
      <c r="F3302">
        <v>0.470148107071162</v>
      </c>
      <c r="G3302">
        <v>0.34261673002120202</v>
      </c>
      <c r="H3302">
        <v>0.28345026867390499</v>
      </c>
      <c r="I3302">
        <v>0.22639619253521101</v>
      </c>
      <c r="J3302">
        <v>0.184105349762889</v>
      </c>
      <c r="K3302">
        <v>0.14258514852208601</v>
      </c>
      <c r="L3302">
        <v>1293.19457091396</v>
      </c>
      <c r="M3302">
        <v>24.947588578303801</v>
      </c>
      <c r="N3302">
        <v>52.993028032472402</v>
      </c>
      <c r="O3302">
        <v>51.506836146159003</v>
      </c>
      <c r="P3302">
        <v>-9.5669690274326799E-2</v>
      </c>
      <c r="Q3302">
        <v>0.20993151804213001</v>
      </c>
      <c r="R3302">
        <v>0.9785946700018</v>
      </c>
      <c r="S3302" t="s">
        <v>9163</v>
      </c>
      <c r="T3302" t="s">
        <v>11720</v>
      </c>
      <c r="U3302" t="s">
        <v>11720</v>
      </c>
      <c r="V3302" t="s">
        <v>11720</v>
      </c>
      <c r="W3302" t="s">
        <v>14973</v>
      </c>
      <c r="X3302">
        <v>3</v>
      </c>
      <c r="Y3302" t="s">
        <v>20699</v>
      </c>
      <c r="Z3302" t="s">
        <v>26509</v>
      </c>
      <c r="AA3302">
        <v>0.52888198951627263</v>
      </c>
      <c r="AB3302" t="str">
        <f>HYPERLINK("Melting_Curves/meltCurve_Q15717_ELAVL1.pdf", "Melting_Curves/meltCurve_Q15717_ELAVL1.pdf")</f>
        <v>Melting_Curves/meltCurve_Q15717_ELAVL1.pdf</v>
      </c>
    </row>
    <row r="3303" spans="1:28" x14ac:dyDescent="0.25">
      <c r="A3303" t="s">
        <v>3307</v>
      </c>
      <c r="B3303">
        <v>0.99334974765950101</v>
      </c>
      <c r="C3303">
        <v>0.99560836498558103</v>
      </c>
      <c r="D3303">
        <v>0.91789855087593997</v>
      </c>
      <c r="E3303">
        <v>0.72118207959484304</v>
      </c>
      <c r="F3303">
        <v>0.38553822969456603</v>
      </c>
      <c r="G3303">
        <v>0.10822001596578899</v>
      </c>
      <c r="H3303">
        <v>6.9877566824595394E-2</v>
      </c>
      <c r="I3303">
        <v>5.5157756132548898E-2</v>
      </c>
      <c r="J3303">
        <v>6.1310617897164903E-2</v>
      </c>
      <c r="K3303">
        <v>4.6975200567698799E-2</v>
      </c>
      <c r="L3303">
        <v>1278.0624303116899</v>
      </c>
      <c r="M3303">
        <v>24.730697587953699</v>
      </c>
      <c r="N3303">
        <v>51.879836627936598</v>
      </c>
      <c r="O3303">
        <v>51.344839947770403</v>
      </c>
      <c r="P3303">
        <v>-0.11492458106326001</v>
      </c>
      <c r="Q3303">
        <v>4.5606969192041498E-2</v>
      </c>
      <c r="R3303">
        <v>0.99849438284822201</v>
      </c>
      <c r="S3303" t="s">
        <v>9164</v>
      </c>
      <c r="T3303" t="s">
        <v>11720</v>
      </c>
      <c r="U3303" t="s">
        <v>11720</v>
      </c>
      <c r="V3303" t="s">
        <v>11720</v>
      </c>
      <c r="W3303" t="s">
        <v>14974</v>
      </c>
      <c r="X3303">
        <v>17</v>
      </c>
      <c r="Y3303" t="s">
        <v>20700</v>
      </c>
      <c r="Z3303" t="s">
        <v>26510</v>
      </c>
      <c r="AA3303">
        <v>0.42602696195113149</v>
      </c>
      <c r="AB3303" t="str">
        <f>HYPERLINK("Melting_Curves/meltCurve_Q15738_NSDHL.pdf", "Melting_Curves/meltCurve_Q15738_NSDHL.pdf")</f>
        <v>Melting_Curves/meltCurve_Q15738_NSDHL.pdf</v>
      </c>
    </row>
    <row r="3304" spans="1:28" x14ac:dyDescent="0.25">
      <c r="A3304" t="s">
        <v>3308</v>
      </c>
      <c r="B3304">
        <v>0.99334974765950101</v>
      </c>
      <c r="C3304">
        <v>0.53345784706948995</v>
      </c>
      <c r="D3304">
        <v>0.32904347538136502</v>
      </c>
      <c r="E3304">
        <v>0.215939762864267</v>
      </c>
      <c r="F3304">
        <v>0.13148564349319</v>
      </c>
      <c r="G3304">
        <v>0.14974727482664801</v>
      </c>
      <c r="H3304">
        <v>0.120539510974289</v>
      </c>
      <c r="I3304">
        <v>0.104708497285046</v>
      </c>
      <c r="J3304">
        <v>7.7158778334789901E-2</v>
      </c>
      <c r="K3304">
        <v>4.9539218237462997E-2</v>
      </c>
      <c r="L3304">
        <v>1025.63451878417</v>
      </c>
      <c r="M3304">
        <v>23.6620149664395</v>
      </c>
      <c r="N3304">
        <v>43.825288734001099</v>
      </c>
      <c r="O3304">
        <v>43.039157949335397</v>
      </c>
      <c r="P3304">
        <v>-0.121754531446902</v>
      </c>
      <c r="Q3304">
        <v>0.114170983577653</v>
      </c>
      <c r="R3304">
        <v>0.962897803572907</v>
      </c>
      <c r="S3304" t="s">
        <v>9165</v>
      </c>
      <c r="T3304" t="s">
        <v>11720</v>
      </c>
      <c r="U3304" t="s">
        <v>11720</v>
      </c>
      <c r="V3304" t="s">
        <v>11720</v>
      </c>
      <c r="W3304" t="s">
        <v>14975</v>
      </c>
      <c r="X3304">
        <v>2</v>
      </c>
      <c r="Y3304" t="s">
        <v>20701</v>
      </c>
      <c r="Z3304" t="s">
        <v>26511</v>
      </c>
      <c r="AA3304">
        <v>0.22617700197014551</v>
      </c>
      <c r="AB3304" t="str">
        <f>HYPERLINK("Melting_Curves/meltCurve_Q15742_3_NAB2.pdf", "Melting_Curves/meltCurve_Q15742_3_NAB2.pdf")</f>
        <v>Melting_Curves/meltCurve_Q15742_3_NAB2.pdf</v>
      </c>
    </row>
    <row r="3305" spans="1:28" x14ac:dyDescent="0.25">
      <c r="A3305" t="s">
        <v>3309</v>
      </c>
      <c r="B3305">
        <v>0.99334974765950101</v>
      </c>
      <c r="C3305">
        <v>0.80906210613084595</v>
      </c>
      <c r="D3305">
        <v>0.77622229607735305</v>
      </c>
      <c r="E3305">
        <v>0.80080683485626303</v>
      </c>
      <c r="F3305">
        <v>1.3584469176413201</v>
      </c>
      <c r="G3305">
        <v>1.3580142627449201</v>
      </c>
      <c r="H3305">
        <v>1.1334801070232401</v>
      </c>
      <c r="I3305">
        <v>1.2915590044202301</v>
      </c>
      <c r="J3305">
        <v>1.26456067444023</v>
      </c>
      <c r="K3305">
        <v>0.97159783289333002</v>
      </c>
      <c r="L3305">
        <v>4706.7506330532397</v>
      </c>
      <c r="M3305">
        <v>91.2596863388532</v>
      </c>
      <c r="O3305">
        <v>51.550603158858301</v>
      </c>
      <c r="P3305">
        <v>0.101270613069685</v>
      </c>
      <c r="Q3305">
        <v>1.22882220878332</v>
      </c>
      <c r="R3305">
        <v>0.498671003644856</v>
      </c>
      <c r="S3305" t="s">
        <v>9166</v>
      </c>
      <c r="T3305" t="s">
        <v>11720</v>
      </c>
      <c r="U3305" t="s">
        <v>11720</v>
      </c>
      <c r="V3305" t="s">
        <v>11720</v>
      </c>
      <c r="W3305" t="s">
        <v>14976</v>
      </c>
      <c r="X3305">
        <v>1</v>
      </c>
      <c r="Y3305" t="s">
        <v>20702</v>
      </c>
      <c r="Z3305" t="s">
        <v>26512</v>
      </c>
      <c r="AA3305">
        <v>1.1403766180405239</v>
      </c>
      <c r="AB3305" t="str">
        <f>HYPERLINK("Melting_Curves/meltCurve_Q15743_GPR68.pdf", "Melting_Curves/meltCurve_Q15743_GPR68.pdf")</f>
        <v>Melting_Curves/meltCurve_Q15743_GPR68.pdf</v>
      </c>
    </row>
    <row r="3306" spans="1:28" x14ac:dyDescent="0.25">
      <c r="A3306" t="s">
        <v>3310</v>
      </c>
      <c r="B3306">
        <v>0.99334974765950101</v>
      </c>
      <c r="C3306">
        <v>0.92026724177161401</v>
      </c>
      <c r="D3306">
        <v>0.69027613798309795</v>
      </c>
      <c r="E3306">
        <v>0.27706708362869498</v>
      </c>
      <c r="F3306">
        <v>0.11930897750945001</v>
      </c>
      <c r="G3306">
        <v>7.7499520761872498E-2</v>
      </c>
      <c r="H3306">
        <v>3.8013178294198598E-2</v>
      </c>
      <c r="I3306">
        <v>2.36842137848026E-2</v>
      </c>
      <c r="J3306">
        <v>1.37195152903426E-2</v>
      </c>
      <c r="K3306">
        <v>3.40919425448496E-3</v>
      </c>
      <c r="L3306">
        <v>1023.13532357212</v>
      </c>
      <c r="M3306">
        <v>21.472895426708099</v>
      </c>
      <c r="N3306">
        <v>47.744102012710101</v>
      </c>
      <c r="O3306">
        <v>47.240283450454598</v>
      </c>
      <c r="P3306">
        <v>-0.111229894013883</v>
      </c>
      <c r="Q3306">
        <v>2.1202776324641601E-2</v>
      </c>
      <c r="R3306">
        <v>0.99898111321857297</v>
      </c>
      <c r="S3306" t="s">
        <v>9167</v>
      </c>
      <c r="T3306" t="s">
        <v>11720</v>
      </c>
      <c r="U3306" t="s">
        <v>11720</v>
      </c>
      <c r="V3306" t="s">
        <v>11720</v>
      </c>
      <c r="W3306" t="s">
        <v>14977</v>
      </c>
      <c r="X3306">
        <v>89</v>
      </c>
      <c r="Y3306" t="s">
        <v>20703</v>
      </c>
      <c r="Z3306" t="s">
        <v>26513</v>
      </c>
      <c r="AA3306">
        <v>0.28275516729849193</v>
      </c>
      <c r="AB3306" t="str">
        <f>HYPERLINK("Melting_Curves/meltCurve_Q15746_6_MYLK.pdf", "Melting_Curves/meltCurve_Q15746_6_MYLK.pdf")</f>
        <v>Melting_Curves/meltCurve_Q15746_6_MYLK.pdf</v>
      </c>
    </row>
    <row r="3307" spans="1:28" x14ac:dyDescent="0.25">
      <c r="A3307" t="s">
        <v>3311</v>
      </c>
      <c r="B3307">
        <v>0.99334974765950101</v>
      </c>
      <c r="C3307">
        <v>0.91447679183044495</v>
      </c>
      <c r="D3307">
        <v>0.79613895641239996</v>
      </c>
      <c r="E3307">
        <v>0.31583642454282701</v>
      </c>
      <c r="F3307">
        <v>0.21042424519411801</v>
      </c>
      <c r="G3307">
        <v>0.14798961122085599</v>
      </c>
      <c r="H3307">
        <v>0.106378939795211</v>
      </c>
      <c r="I3307">
        <v>9.4345318344923504E-2</v>
      </c>
      <c r="J3307">
        <v>9.3365221578049107E-2</v>
      </c>
      <c r="K3307">
        <v>7.8631354355212402E-2</v>
      </c>
      <c r="L3307">
        <v>1150.9554229319499</v>
      </c>
      <c r="M3307">
        <v>23.973948448153902</v>
      </c>
      <c r="N3307">
        <v>48.455478346338097</v>
      </c>
      <c r="O3307">
        <v>47.678293717697301</v>
      </c>
      <c r="P3307">
        <v>-0.113240981867712</v>
      </c>
      <c r="Q3307">
        <v>9.9180311452765901E-2</v>
      </c>
      <c r="R3307">
        <v>0.99566597217000496</v>
      </c>
      <c r="S3307" t="s">
        <v>9168</v>
      </c>
      <c r="T3307" t="s">
        <v>11720</v>
      </c>
      <c r="U3307" t="s">
        <v>11720</v>
      </c>
      <c r="V3307" t="s">
        <v>11720</v>
      </c>
      <c r="W3307" t="s">
        <v>14978</v>
      </c>
      <c r="X3307">
        <v>12</v>
      </c>
      <c r="Y3307" t="s">
        <v>20704</v>
      </c>
      <c r="Z3307" t="s">
        <v>26514</v>
      </c>
      <c r="AA3307">
        <v>0.34836037241118328</v>
      </c>
      <c r="AB3307" t="str">
        <f>HYPERLINK("Melting_Curves/meltCurve_Q15750_2_TAB1.pdf", "Melting_Curves/meltCurve_Q15750_2_TAB1.pdf")</f>
        <v>Melting_Curves/meltCurve_Q15750_2_TAB1.pdf</v>
      </c>
    </row>
    <row r="3308" spans="1:28" x14ac:dyDescent="0.25">
      <c r="A3308" t="s">
        <v>3312</v>
      </c>
      <c r="B3308">
        <v>0.99334974765950101</v>
      </c>
      <c r="C3308">
        <v>0.96339477396675899</v>
      </c>
      <c r="D3308">
        <v>0.99482152587768002</v>
      </c>
      <c r="E3308">
        <v>1.0715919057002801</v>
      </c>
      <c r="F3308">
        <v>1.1611885447683801</v>
      </c>
      <c r="G3308">
        <v>1.0736568338657799</v>
      </c>
      <c r="H3308">
        <v>1.1101121814088699</v>
      </c>
      <c r="I3308">
        <v>1.6358840123329199</v>
      </c>
      <c r="J3308">
        <v>1.815342444876</v>
      </c>
      <c r="K3308">
        <v>1.5137738226832</v>
      </c>
      <c r="L3308">
        <v>15000</v>
      </c>
      <c r="M3308">
        <v>244.63760172860501</v>
      </c>
      <c r="O3308">
        <v>61.3110869403693</v>
      </c>
      <c r="P3308">
        <v>0.49876296741722298</v>
      </c>
      <c r="Q3308">
        <v>1.5</v>
      </c>
      <c r="R3308">
        <v>0.81397302610515299</v>
      </c>
      <c r="S3308" t="s">
        <v>9169</v>
      </c>
      <c r="T3308" t="s">
        <v>11720</v>
      </c>
      <c r="U3308" t="s">
        <v>11720</v>
      </c>
      <c r="V3308" t="s">
        <v>11720</v>
      </c>
      <c r="W3308" t="s">
        <v>14979</v>
      </c>
      <c r="X3308">
        <v>11</v>
      </c>
      <c r="Y3308" t="s">
        <v>20705</v>
      </c>
      <c r="Z3308" t="s">
        <v>26515</v>
      </c>
      <c r="AA3308">
        <v>1.144690714857425</v>
      </c>
      <c r="AB3308" t="str">
        <f>HYPERLINK("Melting_Curves/meltCurve_Q15758_SLC1A5.pdf", "Melting_Curves/meltCurve_Q15758_SLC1A5.pdf")</f>
        <v>Melting_Curves/meltCurve_Q15758_SLC1A5.pdf</v>
      </c>
    </row>
    <row r="3309" spans="1:28" x14ac:dyDescent="0.25">
      <c r="A3309" t="s">
        <v>3313</v>
      </c>
      <c r="B3309">
        <v>0.99334974765950101</v>
      </c>
      <c r="C3309">
        <v>1.0005119587106499</v>
      </c>
      <c r="D3309">
        <v>0.93246173688968803</v>
      </c>
      <c r="E3309">
        <v>0.50774013225259196</v>
      </c>
      <c r="F3309">
        <v>0.162168855049107</v>
      </c>
      <c r="G3309">
        <v>0.102612094700451</v>
      </c>
      <c r="H3309">
        <v>7.3885578578079994E-2</v>
      </c>
      <c r="I3309">
        <v>6.07084008250292E-2</v>
      </c>
      <c r="J3309">
        <v>4.4796561032949697E-2</v>
      </c>
      <c r="K3309">
        <v>4.0264036416284101E-2</v>
      </c>
      <c r="L3309">
        <v>1605.1319776416799</v>
      </c>
      <c r="M3309">
        <v>32.220137769511403</v>
      </c>
      <c r="N3309">
        <v>50.010343392301401</v>
      </c>
      <c r="O3309">
        <v>49.626936908392601</v>
      </c>
      <c r="P3309">
        <v>-0.15283829624599099</v>
      </c>
      <c r="Q3309">
        <v>5.8370348158390498E-2</v>
      </c>
      <c r="R3309">
        <v>0.99884886820888297</v>
      </c>
      <c r="S3309" t="s">
        <v>9170</v>
      </c>
      <c r="T3309" t="s">
        <v>11720</v>
      </c>
      <c r="U3309" t="s">
        <v>11720</v>
      </c>
      <c r="V3309" t="s">
        <v>11720</v>
      </c>
      <c r="W3309" t="s">
        <v>14980</v>
      </c>
      <c r="X3309">
        <v>6</v>
      </c>
      <c r="Y3309" t="s">
        <v>20706</v>
      </c>
      <c r="Z3309" t="s">
        <v>26516</v>
      </c>
      <c r="AA3309">
        <v>0.37154831270749811</v>
      </c>
      <c r="AB3309" t="str">
        <f>HYPERLINK("Melting_Curves/meltCurve_Q15759_MAPK11.pdf", "Melting_Curves/meltCurve_Q15759_MAPK11.pdf")</f>
        <v>Melting_Curves/meltCurve_Q15759_MAPK11.pdf</v>
      </c>
    </row>
    <row r="3310" spans="1:28" x14ac:dyDescent="0.25">
      <c r="A3310" t="s">
        <v>3314</v>
      </c>
      <c r="B3310">
        <v>0.99334974765950101</v>
      </c>
      <c r="C3310">
        <v>0.88042927129978998</v>
      </c>
      <c r="D3310">
        <v>0.70852569852631497</v>
      </c>
      <c r="E3310">
        <v>0.461287569524647</v>
      </c>
      <c r="F3310">
        <v>0.25655415613175803</v>
      </c>
      <c r="G3310">
        <v>0.15179031483879199</v>
      </c>
      <c r="H3310">
        <v>8.6888942541645794E-2</v>
      </c>
      <c r="I3310">
        <v>6.9057651961843505E-2</v>
      </c>
      <c r="J3310">
        <v>5.28865511278621E-2</v>
      </c>
      <c r="K3310">
        <v>4.9190885142712103E-2</v>
      </c>
      <c r="L3310">
        <v>708.68560823253995</v>
      </c>
      <c r="M3310">
        <v>14.498271227294801</v>
      </c>
      <c r="N3310">
        <v>49.140334545081501</v>
      </c>
      <c r="O3310">
        <v>47.978969546662903</v>
      </c>
      <c r="P3310">
        <v>-7.2767871143250298E-2</v>
      </c>
      <c r="Q3310">
        <v>3.6871179753476799E-2</v>
      </c>
      <c r="R3310">
        <v>0.998416454805371</v>
      </c>
      <c r="S3310" t="s">
        <v>9171</v>
      </c>
      <c r="T3310" t="s">
        <v>11720</v>
      </c>
      <c r="U3310" t="s">
        <v>11720</v>
      </c>
      <c r="V3310" t="s">
        <v>11720</v>
      </c>
      <c r="W3310" t="s">
        <v>14981</v>
      </c>
      <c r="X3310">
        <v>7</v>
      </c>
      <c r="Y3310" t="s">
        <v>20707</v>
      </c>
      <c r="Z3310" t="s">
        <v>26517</v>
      </c>
      <c r="AA3310">
        <v>0.34743441270148068</v>
      </c>
      <c r="AB3310" t="str">
        <f>HYPERLINK("Melting_Curves/meltCurve_Q15771_RAB30.pdf", "Melting_Curves/meltCurve_Q15771_RAB30.pdf")</f>
        <v>Melting_Curves/meltCurve_Q15771_RAB30.pdf</v>
      </c>
    </row>
    <row r="3311" spans="1:28" x14ac:dyDescent="0.25">
      <c r="A3311" t="s">
        <v>3315</v>
      </c>
      <c r="B3311">
        <v>0.99334974765950101</v>
      </c>
      <c r="C3311">
        <v>0.97419620399636297</v>
      </c>
      <c r="D3311">
        <v>0.61972479648241297</v>
      </c>
      <c r="E3311">
        <v>0.33119631902345298</v>
      </c>
      <c r="F3311">
        <v>0.277840395098436</v>
      </c>
      <c r="G3311">
        <v>0.17374954049076899</v>
      </c>
      <c r="H3311">
        <v>0.157955337218118</v>
      </c>
      <c r="I3311">
        <v>0.15778535068743599</v>
      </c>
      <c r="J3311">
        <v>0.132902487118988</v>
      </c>
      <c r="K3311">
        <v>0.10842393899123701</v>
      </c>
      <c r="L3311">
        <v>1002.74865951076</v>
      </c>
      <c r="M3311">
        <v>21.339429313437702</v>
      </c>
      <c r="N3311">
        <v>47.779130561085303</v>
      </c>
      <c r="O3311">
        <v>46.583592843946903</v>
      </c>
      <c r="P3311">
        <v>-9.7523732571951405E-2</v>
      </c>
      <c r="Q3311">
        <v>0.14845118483205799</v>
      </c>
      <c r="R3311">
        <v>0.98730189280837599</v>
      </c>
      <c r="S3311" t="s">
        <v>9172</v>
      </c>
      <c r="T3311" t="s">
        <v>11720</v>
      </c>
      <c r="U3311" t="s">
        <v>11720</v>
      </c>
      <c r="V3311" t="s">
        <v>11720</v>
      </c>
      <c r="W3311" t="s">
        <v>14982</v>
      </c>
      <c r="X3311">
        <v>10</v>
      </c>
      <c r="Y3311" t="s">
        <v>20708</v>
      </c>
      <c r="Z3311" t="s">
        <v>26518</v>
      </c>
      <c r="AA3311">
        <v>0.35767580836031598</v>
      </c>
      <c r="AB3311" t="str">
        <f>HYPERLINK("Melting_Curves/meltCurve_Q15785_TOMM34.pdf", "Melting_Curves/meltCurve_Q15785_TOMM34.pdf")</f>
        <v>Melting_Curves/meltCurve_Q15785_TOMM34.pdf</v>
      </c>
    </row>
    <row r="3312" spans="1:28" x14ac:dyDescent="0.25">
      <c r="A3312" t="s">
        <v>3316</v>
      </c>
      <c r="B3312">
        <v>0.99334974765950101</v>
      </c>
      <c r="C3312">
        <v>0.97463917920030896</v>
      </c>
      <c r="D3312">
        <v>0.89876642646727301</v>
      </c>
      <c r="E3312">
        <v>0.88960736352310998</v>
      </c>
      <c r="F3312">
        <v>0.72127116739470698</v>
      </c>
      <c r="G3312">
        <v>0.62513858794795596</v>
      </c>
      <c r="H3312">
        <v>0.483571808284742</v>
      </c>
      <c r="I3312">
        <v>0.51144953206058097</v>
      </c>
      <c r="J3312">
        <v>0.24892517241689999</v>
      </c>
      <c r="K3312">
        <v>0.14866633574174001</v>
      </c>
      <c r="L3312">
        <v>528.56684782784998</v>
      </c>
      <c r="M3312">
        <v>8.7533462162453795</v>
      </c>
      <c r="N3312">
        <v>60.384544526127598</v>
      </c>
      <c r="O3312">
        <v>57.481591667786098</v>
      </c>
      <c r="P3312">
        <v>-3.8100908495905299E-2</v>
      </c>
      <c r="Q3312">
        <v>0</v>
      </c>
      <c r="R3312">
        <v>0.96066403282213797</v>
      </c>
      <c r="S3312" t="s">
        <v>9173</v>
      </c>
      <c r="T3312" t="s">
        <v>11720</v>
      </c>
      <c r="U3312" t="s">
        <v>11720</v>
      </c>
      <c r="V3312" t="s">
        <v>11720</v>
      </c>
      <c r="W3312" t="s">
        <v>14983</v>
      </c>
      <c r="X3312">
        <v>3</v>
      </c>
      <c r="Y3312" t="s">
        <v>20709</v>
      </c>
      <c r="Z3312" t="s">
        <v>26519</v>
      </c>
      <c r="AA3312">
        <v>0.66571724059359105</v>
      </c>
      <c r="AB3312" t="str">
        <f>HYPERLINK("Melting_Curves/meltCurve_Q15800_MSMO1.pdf", "Melting_Curves/meltCurve_Q15800_MSMO1.pdf")</f>
        <v>Melting_Curves/meltCurve_Q15800_MSMO1.pdf</v>
      </c>
    </row>
    <row r="3313" spans="1:28" x14ac:dyDescent="0.25">
      <c r="A3313" t="s">
        <v>3317</v>
      </c>
      <c r="B3313">
        <v>0.99334974765950101</v>
      </c>
      <c r="C3313">
        <v>1.13586743162855</v>
      </c>
      <c r="D3313">
        <v>1.0800762378198701</v>
      </c>
      <c r="E3313">
        <v>0.36210334205747502</v>
      </c>
      <c r="F3313">
        <v>0.214528605515141</v>
      </c>
      <c r="G3313">
        <v>0.115029994090354</v>
      </c>
      <c r="H3313">
        <v>6.1589534282623502E-2</v>
      </c>
      <c r="I3313">
        <v>4.9361840220327302E-2</v>
      </c>
      <c r="J3313">
        <v>6.1378335372740699E-2</v>
      </c>
      <c r="K3313">
        <v>4.6243008301459797E-2</v>
      </c>
      <c r="L3313">
        <v>2949.2697924737599</v>
      </c>
      <c r="M3313">
        <v>59.7568370324719</v>
      </c>
      <c r="N3313">
        <v>49.513270048409801</v>
      </c>
      <c r="O3313">
        <v>49.299354898479699</v>
      </c>
      <c r="P3313">
        <v>-0.27661253962357402</v>
      </c>
      <c r="Q3313">
        <v>8.7180050251873198E-2</v>
      </c>
      <c r="R3313">
        <v>0.97691847402915299</v>
      </c>
      <c r="S3313" t="s">
        <v>9174</v>
      </c>
      <c r="T3313" t="s">
        <v>11720</v>
      </c>
      <c r="U3313" t="s">
        <v>11720</v>
      </c>
      <c r="V3313" t="s">
        <v>11720</v>
      </c>
      <c r="W3313" t="s">
        <v>14984</v>
      </c>
      <c r="X3313">
        <v>15</v>
      </c>
      <c r="Y3313" t="s">
        <v>20710</v>
      </c>
      <c r="Z3313" t="s">
        <v>26520</v>
      </c>
      <c r="AA3313">
        <v>0.37320198396948001</v>
      </c>
      <c r="AB3313" t="str">
        <f>HYPERLINK("Melting_Curves/meltCurve_Q15813_TBCE.pdf", "Melting_Curves/meltCurve_Q15813_TBCE.pdf")</f>
        <v>Melting_Curves/meltCurve_Q15813_TBCE.pdf</v>
      </c>
    </row>
    <row r="3314" spans="1:28" x14ac:dyDescent="0.25">
      <c r="A3314" t="s">
        <v>3318</v>
      </c>
      <c r="B3314">
        <v>0.99334974765950101</v>
      </c>
      <c r="C3314">
        <v>0.95108725861311705</v>
      </c>
      <c r="D3314">
        <v>0.89097205457207296</v>
      </c>
      <c r="E3314">
        <v>0.68960618278409103</v>
      </c>
      <c r="F3314">
        <v>0.481729039148872</v>
      </c>
      <c r="G3314">
        <v>0.18679250121823099</v>
      </c>
      <c r="H3314">
        <v>0.13170550784689999</v>
      </c>
      <c r="I3314">
        <v>0.110522791405889</v>
      </c>
      <c r="J3314">
        <v>0.105672770056249</v>
      </c>
      <c r="K3314">
        <v>9.4189912614665194E-2</v>
      </c>
      <c r="L3314">
        <v>924.32052006552703</v>
      </c>
      <c r="M3314">
        <v>17.8269242345369</v>
      </c>
      <c r="N3314">
        <v>52.340603319510599</v>
      </c>
      <c r="O3314">
        <v>51.210449647127597</v>
      </c>
      <c r="P3314">
        <v>-8.0332027862038496E-2</v>
      </c>
      <c r="Q3314">
        <v>7.6985268921791403E-2</v>
      </c>
      <c r="R3314">
        <v>0.99666922177360795</v>
      </c>
      <c r="S3314" t="s">
        <v>9175</v>
      </c>
      <c r="T3314" t="s">
        <v>11720</v>
      </c>
      <c r="U3314" t="s">
        <v>11720</v>
      </c>
      <c r="V3314" t="s">
        <v>11720</v>
      </c>
      <c r="W3314" t="s">
        <v>14985</v>
      </c>
      <c r="X3314">
        <v>18</v>
      </c>
      <c r="Y3314" t="s">
        <v>20711</v>
      </c>
      <c r="Z3314" t="s">
        <v>26521</v>
      </c>
      <c r="AA3314">
        <v>0.45721499802168181</v>
      </c>
      <c r="AB3314" t="str">
        <f>HYPERLINK("Melting_Curves/meltCurve_Q15814_TBCC.pdf", "Melting_Curves/meltCurve_Q15814_TBCC.pdf")</f>
        <v>Melting_Curves/meltCurve_Q15814_TBCC.pdf</v>
      </c>
    </row>
    <row r="3315" spans="1:28" x14ac:dyDescent="0.25">
      <c r="A3315" t="s">
        <v>3319</v>
      </c>
      <c r="B3315">
        <v>0.99334974765950101</v>
      </c>
      <c r="C3315">
        <v>0.94169530074035701</v>
      </c>
      <c r="D3315">
        <v>0.81430587066037496</v>
      </c>
      <c r="E3315">
        <v>0.73815910219782999</v>
      </c>
      <c r="F3315">
        <v>0.374559601505843</v>
      </c>
      <c r="G3315">
        <v>0.147927278641444</v>
      </c>
      <c r="H3315">
        <v>8.9732902644395998E-2</v>
      </c>
      <c r="I3315">
        <v>7.8775407116847898E-2</v>
      </c>
      <c r="J3315">
        <v>7.2500711841507304E-2</v>
      </c>
      <c r="K3315">
        <v>5.8666077577142497E-2</v>
      </c>
      <c r="L3315">
        <v>946.50623574020301</v>
      </c>
      <c r="M3315">
        <v>18.367566650780901</v>
      </c>
      <c r="N3315">
        <v>51.787172974851998</v>
      </c>
      <c r="O3315">
        <v>50.932212403051302</v>
      </c>
      <c r="P3315">
        <v>-8.62513769874029E-2</v>
      </c>
      <c r="Q3315">
        <v>4.3363026838173599E-2</v>
      </c>
      <c r="R3315">
        <v>0.98631586300566099</v>
      </c>
      <c r="S3315" t="s">
        <v>9176</v>
      </c>
      <c r="T3315" t="s">
        <v>11720</v>
      </c>
      <c r="U3315" t="s">
        <v>11720</v>
      </c>
      <c r="V3315" t="s">
        <v>11720</v>
      </c>
      <c r="W3315" t="s">
        <v>14986</v>
      </c>
      <c r="X3315">
        <v>14</v>
      </c>
      <c r="Y3315" t="s">
        <v>20712</v>
      </c>
      <c r="Z3315" t="s">
        <v>26522</v>
      </c>
      <c r="AA3315">
        <v>0.42653167125611352</v>
      </c>
      <c r="AB3315" t="str">
        <f>HYPERLINK("Melting_Curves/meltCurve_Q15819_UBE2V2.pdf", "Melting_Curves/meltCurve_Q15819_UBE2V2.pdf")</f>
        <v>Melting_Curves/meltCurve_Q15819_UBE2V2.pdf</v>
      </c>
    </row>
    <row r="3316" spans="1:28" x14ac:dyDescent="0.25">
      <c r="A3316" t="s">
        <v>3320</v>
      </c>
      <c r="B3316">
        <v>0.99334974765950101</v>
      </c>
      <c r="C3316">
        <v>0.85228576085225805</v>
      </c>
      <c r="D3316">
        <v>0.86777616996843898</v>
      </c>
      <c r="E3316">
        <v>0.66585043931909704</v>
      </c>
      <c r="F3316">
        <v>0.483719110083148</v>
      </c>
      <c r="G3316">
        <v>0.418933936168918</v>
      </c>
      <c r="H3316">
        <v>0.24060777272541001</v>
      </c>
      <c r="I3316">
        <v>0.11999536549222101</v>
      </c>
      <c r="J3316">
        <v>8.7765434859046795E-2</v>
      </c>
      <c r="K3316">
        <v>6.9944905645036401E-2</v>
      </c>
      <c r="L3316">
        <v>538.19772792442996</v>
      </c>
      <c r="M3316">
        <v>10.0683351107134</v>
      </c>
      <c r="N3316">
        <v>53.454490201377403</v>
      </c>
      <c r="O3316">
        <v>51.474227582134098</v>
      </c>
      <c r="P3316">
        <v>-4.8923056913706499E-2</v>
      </c>
      <c r="Q3316">
        <v>0</v>
      </c>
      <c r="R3316">
        <v>0.98555324453106996</v>
      </c>
      <c r="S3316" t="s">
        <v>9177</v>
      </c>
      <c r="T3316" t="s">
        <v>11720</v>
      </c>
      <c r="U3316" t="s">
        <v>11720</v>
      </c>
      <c r="V3316" t="s">
        <v>11720</v>
      </c>
      <c r="W3316" t="s">
        <v>14987</v>
      </c>
      <c r="X3316">
        <v>4</v>
      </c>
      <c r="Y3316" t="s">
        <v>20713</v>
      </c>
      <c r="Z3316" t="s">
        <v>26523</v>
      </c>
      <c r="AA3316">
        <v>0.48073312194785262</v>
      </c>
      <c r="AB3316" t="str">
        <f>HYPERLINK("Melting_Curves/meltCurve_Q15831_2_STK11.pdf", "Melting_Curves/meltCurve_Q15831_2_STK11.pdf")</f>
        <v>Melting_Curves/meltCurve_Q15831_2_STK11.pdf</v>
      </c>
    </row>
    <row r="3317" spans="1:28" x14ac:dyDescent="0.25">
      <c r="A3317" t="s">
        <v>3321</v>
      </c>
      <c r="B3317">
        <v>0.99334974765950101</v>
      </c>
      <c r="C3317">
        <v>0.93744987895076004</v>
      </c>
      <c r="D3317">
        <v>0.71511302140849697</v>
      </c>
      <c r="E3317">
        <v>0.28713076264050302</v>
      </c>
      <c r="F3317">
        <v>0.14009093621261101</v>
      </c>
      <c r="G3317">
        <v>8.2706079238780095E-2</v>
      </c>
      <c r="H3317">
        <v>0.100648387779571</v>
      </c>
      <c r="I3317">
        <v>0.113582238192987</v>
      </c>
      <c r="J3317">
        <v>0.14810052393251799</v>
      </c>
      <c r="K3317">
        <v>9.2155110408207494E-2</v>
      </c>
      <c r="L3317">
        <v>1256.7780269995601</v>
      </c>
      <c r="M3317">
        <v>26.557812977071102</v>
      </c>
      <c r="N3317">
        <v>47.740432098544403</v>
      </c>
      <c r="O3317">
        <v>47.056497475592302</v>
      </c>
      <c r="P3317">
        <v>-0.12645717673592999</v>
      </c>
      <c r="Q3317">
        <v>0.103756500773934</v>
      </c>
      <c r="R3317">
        <v>0.99721013411539094</v>
      </c>
      <c r="S3317" t="s">
        <v>9178</v>
      </c>
      <c r="T3317" t="s">
        <v>11720</v>
      </c>
      <c r="U3317" t="s">
        <v>11720</v>
      </c>
      <c r="V3317" t="s">
        <v>11720</v>
      </c>
      <c r="W3317" t="s">
        <v>14988</v>
      </c>
      <c r="X3317">
        <v>5</v>
      </c>
      <c r="Y3317" t="s">
        <v>20714</v>
      </c>
      <c r="Z3317" t="s">
        <v>26524</v>
      </c>
      <c r="AA3317">
        <v>0.32949148275214668</v>
      </c>
      <c r="AB3317" t="str">
        <f>HYPERLINK("Melting_Curves/meltCurve_Q15833_2_STXBP2.pdf", "Melting_Curves/meltCurve_Q15833_2_STXBP2.pdf")</f>
        <v>Melting_Curves/meltCurve_Q15833_2_STXBP2.pdf</v>
      </c>
    </row>
    <row r="3318" spans="1:28" x14ac:dyDescent="0.25">
      <c r="A3318" t="s">
        <v>3322</v>
      </c>
      <c r="B3318">
        <v>0.99334974765950101</v>
      </c>
      <c r="C3318">
        <v>1.0045608415891301</v>
      </c>
      <c r="D3318">
        <v>0.88473079770229301</v>
      </c>
      <c r="E3318">
        <v>0.79965962681745695</v>
      </c>
      <c r="F3318">
        <v>0.74277595144629405</v>
      </c>
      <c r="G3318">
        <v>0.65677629331894005</v>
      </c>
      <c r="H3318">
        <v>0.56257129651729099</v>
      </c>
      <c r="I3318">
        <v>0.52092630887835301</v>
      </c>
      <c r="J3318">
        <v>0.76760490097870704</v>
      </c>
      <c r="K3318">
        <v>1.02272937566197</v>
      </c>
      <c r="L3318">
        <v>1174.99734962357</v>
      </c>
      <c r="M3318">
        <v>24.7738810477139</v>
      </c>
      <c r="O3318">
        <v>47.123057308843002</v>
      </c>
      <c r="P3318">
        <v>-3.80656542210841E-2</v>
      </c>
      <c r="Q3318">
        <v>0.71038111878211996</v>
      </c>
      <c r="R3318">
        <v>0.44262063937163498</v>
      </c>
      <c r="S3318" t="s">
        <v>9179</v>
      </c>
      <c r="T3318" t="s">
        <v>11720</v>
      </c>
      <c r="U3318" t="s">
        <v>11720</v>
      </c>
      <c r="V3318" t="s">
        <v>11720</v>
      </c>
      <c r="W3318" t="s">
        <v>14989</v>
      </c>
      <c r="X3318">
        <v>1</v>
      </c>
      <c r="Y3318" t="s">
        <v>20715</v>
      </c>
      <c r="Z3318" t="s">
        <v>26525</v>
      </c>
      <c r="AA3318">
        <v>0.78471945799724085</v>
      </c>
      <c r="AB3318" t="str">
        <f>HYPERLINK("Melting_Curves/meltCurve_Q15834_CCDC85B.pdf", "Melting_Curves/meltCurve_Q15834_CCDC85B.pdf")</f>
        <v>Melting_Curves/meltCurve_Q15834_CCDC85B.pdf</v>
      </c>
    </row>
    <row r="3319" spans="1:28" x14ac:dyDescent="0.25">
      <c r="A3319" t="s">
        <v>3323</v>
      </c>
      <c r="B3319">
        <v>0.99334974765950101</v>
      </c>
      <c r="C3319">
        <v>0.935487181614304</v>
      </c>
      <c r="D3319">
        <v>0.87321022841671403</v>
      </c>
      <c r="E3319">
        <v>0.76466357937436602</v>
      </c>
      <c r="F3319">
        <v>0.90033418802663501</v>
      </c>
      <c r="G3319">
        <v>0.77166376386346502</v>
      </c>
      <c r="H3319">
        <v>0.76453251517913901</v>
      </c>
      <c r="I3319">
        <v>0.74627505978456299</v>
      </c>
      <c r="J3319">
        <v>0.83591987259002598</v>
      </c>
      <c r="K3319">
        <v>0.63378839432370704</v>
      </c>
      <c r="L3319">
        <v>325.77201451280001</v>
      </c>
      <c r="M3319">
        <v>6.36625332282608</v>
      </c>
      <c r="O3319">
        <v>46.821041157327699</v>
      </c>
      <c r="P3319">
        <v>-1.10172768734046E-2</v>
      </c>
      <c r="Q3319">
        <v>0.67673723748172998</v>
      </c>
      <c r="R3319">
        <v>0.65829631822621004</v>
      </c>
      <c r="S3319" t="s">
        <v>9180</v>
      </c>
      <c r="T3319" t="s">
        <v>11720</v>
      </c>
      <c r="U3319" t="s">
        <v>11720</v>
      </c>
      <c r="V3319" t="s">
        <v>11720</v>
      </c>
      <c r="W3319" t="s">
        <v>14990</v>
      </c>
      <c r="X3319">
        <v>9</v>
      </c>
      <c r="Y3319" t="s">
        <v>20716</v>
      </c>
      <c r="Z3319" t="s">
        <v>26526</v>
      </c>
      <c r="AA3319">
        <v>0.81776333569450899</v>
      </c>
      <c r="AB3319" t="str">
        <f>HYPERLINK("Melting_Curves/meltCurve_Q15836_VAMP3.pdf", "Melting_Curves/meltCurve_Q15836_VAMP3.pdf")</f>
        <v>Melting_Curves/meltCurve_Q15836_VAMP3.pdf</v>
      </c>
    </row>
    <row r="3320" spans="1:28" x14ac:dyDescent="0.25">
      <c r="A3320" t="s">
        <v>3324</v>
      </c>
      <c r="B3320">
        <v>0.99334974765950101</v>
      </c>
      <c r="C3320">
        <v>0.99640739062767103</v>
      </c>
      <c r="D3320">
        <v>0.84329482347655904</v>
      </c>
      <c r="E3320">
        <v>0.86202849553233796</v>
      </c>
      <c r="F3320">
        <v>0.91835468461735004</v>
      </c>
      <c r="G3320">
        <v>0.81794153203217201</v>
      </c>
      <c r="H3320">
        <v>0.87164807888653595</v>
      </c>
      <c r="I3320">
        <v>1.37235655068443</v>
      </c>
      <c r="J3320">
        <v>1.2244487559773101</v>
      </c>
      <c r="K3320">
        <v>1.06172388016359</v>
      </c>
      <c r="L3320">
        <v>4772.0169018162296</v>
      </c>
      <c r="M3320">
        <v>76.455070866316206</v>
      </c>
      <c r="O3320">
        <v>62.373312487849503</v>
      </c>
      <c r="P3320">
        <v>6.4631215849400597E-2</v>
      </c>
      <c r="Q3320">
        <v>1.2109087905232401</v>
      </c>
      <c r="R3320">
        <v>0.42938484075604</v>
      </c>
      <c r="S3320" t="s">
        <v>9181</v>
      </c>
      <c r="T3320" t="s">
        <v>11720</v>
      </c>
      <c r="U3320" t="s">
        <v>11720</v>
      </c>
      <c r="V3320" t="s">
        <v>11720</v>
      </c>
      <c r="W3320" t="s">
        <v>14991</v>
      </c>
      <c r="X3320">
        <v>7</v>
      </c>
      <c r="Y3320" t="s">
        <v>20717</v>
      </c>
      <c r="Z3320" t="s">
        <v>26527</v>
      </c>
      <c r="AA3320">
        <v>1.0530723279543319</v>
      </c>
      <c r="AB3320" t="str">
        <f>HYPERLINK("Melting_Curves/meltCurve_Q15847_ADIRF.pdf", "Melting_Curves/meltCurve_Q15847_ADIRF.pdf")</f>
        <v>Melting_Curves/meltCurve_Q15847_ADIRF.pdf</v>
      </c>
    </row>
    <row r="3321" spans="1:28" x14ac:dyDescent="0.25">
      <c r="A3321" t="s">
        <v>3325</v>
      </c>
      <c r="B3321">
        <v>0.99334974765950101</v>
      </c>
      <c r="C3321">
        <v>1.1038717384350101</v>
      </c>
      <c r="D3321">
        <v>0.90904079773172097</v>
      </c>
      <c r="E3321">
        <v>0.67865816017130998</v>
      </c>
      <c r="F3321">
        <v>0.59131100370146095</v>
      </c>
      <c r="G3321">
        <v>0.40023245417647302</v>
      </c>
      <c r="H3321">
        <v>0.55985641631989602</v>
      </c>
      <c r="I3321">
        <v>0.93342638418313795</v>
      </c>
      <c r="J3321">
        <v>3.2482825773199502</v>
      </c>
      <c r="K3321">
        <v>1.8238335275978601</v>
      </c>
      <c r="L3321">
        <v>15000</v>
      </c>
      <c r="M3321">
        <v>230.700725218944</v>
      </c>
      <c r="O3321">
        <v>65.014415506773105</v>
      </c>
      <c r="P3321">
        <v>0.44355687096956697</v>
      </c>
      <c r="Q3321">
        <v>1.5</v>
      </c>
      <c r="R3321">
        <v>0.37565961472975301</v>
      </c>
      <c r="S3321" t="s">
        <v>9182</v>
      </c>
      <c r="T3321" t="s">
        <v>11720</v>
      </c>
      <c r="U3321" t="s">
        <v>11720</v>
      </c>
      <c r="V3321" t="s">
        <v>11720</v>
      </c>
      <c r="W3321" t="s">
        <v>14992</v>
      </c>
      <c r="X3321">
        <v>3</v>
      </c>
      <c r="Y3321" t="s">
        <v>20718</v>
      </c>
      <c r="Z3321" t="s">
        <v>26528</v>
      </c>
      <c r="AA3321">
        <v>1.0829446412615711</v>
      </c>
      <c r="AB3321" t="str">
        <f>HYPERLINK("Melting_Curves/meltCurve_Q15904_ATP6AP1.pdf", "Melting_Curves/meltCurve_Q15904_ATP6AP1.pdf")</f>
        <v>Melting_Curves/meltCurve_Q15904_ATP6AP1.pdf</v>
      </c>
    </row>
    <row r="3322" spans="1:28" x14ac:dyDescent="0.25">
      <c r="A3322" t="s">
        <v>3326</v>
      </c>
      <c r="B3322">
        <v>0.99334974765950101</v>
      </c>
      <c r="C3322">
        <v>0.95533424002252498</v>
      </c>
      <c r="D3322">
        <v>1.06008773690606</v>
      </c>
      <c r="E3322">
        <v>0.82590417438239005</v>
      </c>
      <c r="F3322">
        <v>0.52691276622318906</v>
      </c>
      <c r="G3322">
        <v>0.43084273683503699</v>
      </c>
      <c r="H3322">
        <v>0.229952350090906</v>
      </c>
      <c r="I3322">
        <v>0.21641536671019501</v>
      </c>
      <c r="J3322">
        <v>5.1646747695481998E-2</v>
      </c>
      <c r="K3322">
        <v>3.6309913304486102E-2</v>
      </c>
      <c r="L3322">
        <v>750.15984001275001</v>
      </c>
      <c r="M3322">
        <v>13.631898680355199</v>
      </c>
      <c r="N3322">
        <v>55.155634557808</v>
      </c>
      <c r="O3322">
        <v>53.886026783645796</v>
      </c>
      <c r="P3322">
        <v>-6.2284523590682997E-2</v>
      </c>
      <c r="Q3322">
        <v>1.5317576709103499E-2</v>
      </c>
      <c r="R3322">
        <v>0.97387273002694297</v>
      </c>
      <c r="S3322" t="s">
        <v>9183</v>
      </c>
      <c r="T3322" t="s">
        <v>11720</v>
      </c>
      <c r="U3322" t="s">
        <v>11720</v>
      </c>
      <c r="V3322" t="s">
        <v>11720</v>
      </c>
      <c r="W3322" t="s">
        <v>14993</v>
      </c>
      <c r="X3322">
        <v>21</v>
      </c>
      <c r="Y3322" t="s">
        <v>20719</v>
      </c>
      <c r="Z3322" t="s">
        <v>26529</v>
      </c>
      <c r="AA3322">
        <v>0.52943888360714797</v>
      </c>
      <c r="AB3322" t="str">
        <f>HYPERLINK("Melting_Curves/meltCurve_Q15907_RAB11B.pdf", "Melting_Curves/meltCurve_Q15907_RAB11B.pdf")</f>
        <v>Melting_Curves/meltCurve_Q15907_RAB11B.pdf</v>
      </c>
    </row>
    <row r="3323" spans="1:28" x14ac:dyDescent="0.25">
      <c r="A3323" t="s">
        <v>3327</v>
      </c>
      <c r="B3323">
        <v>0.99334974765950101</v>
      </c>
      <c r="C3323">
        <v>0.99722828313273404</v>
      </c>
      <c r="D3323">
        <v>0.84794997489509005</v>
      </c>
      <c r="E3323">
        <v>0.86309479326910798</v>
      </c>
      <c r="F3323">
        <v>0.84750676630757404</v>
      </c>
      <c r="G3323">
        <v>0.73386282356385402</v>
      </c>
      <c r="H3323">
        <v>0.69631259821882296</v>
      </c>
      <c r="I3323">
        <v>0.72850608952950902</v>
      </c>
      <c r="J3323">
        <v>0.75965534526298595</v>
      </c>
      <c r="K3323">
        <v>0.61392534910631602</v>
      </c>
      <c r="L3323">
        <v>437.191406686427</v>
      </c>
      <c r="M3323">
        <v>8.3146115652256292</v>
      </c>
      <c r="O3323">
        <v>49.803007059252103</v>
      </c>
      <c r="P3323">
        <v>-1.5209624479223799E-2</v>
      </c>
      <c r="Q3323">
        <v>0.63594486256890903</v>
      </c>
      <c r="R3323">
        <v>0.861874284086249</v>
      </c>
      <c r="S3323" t="s">
        <v>9184</v>
      </c>
      <c r="T3323" t="s">
        <v>11720</v>
      </c>
      <c r="U3323" t="s">
        <v>11720</v>
      </c>
      <c r="V3323" t="s">
        <v>11720</v>
      </c>
      <c r="W3323" t="s">
        <v>14994</v>
      </c>
      <c r="X3323">
        <v>32</v>
      </c>
      <c r="Y3323" t="s">
        <v>20720</v>
      </c>
      <c r="Z3323" t="s">
        <v>26530</v>
      </c>
      <c r="AA3323">
        <v>0.80396252603484197</v>
      </c>
      <c r="AB3323" t="str">
        <f>HYPERLINK("Melting_Curves/meltCurve_Q15942_ZYX.pdf", "Melting_Curves/meltCurve_Q15942_ZYX.pdf")</f>
        <v>Melting_Curves/meltCurve_Q15942_ZYX.pdf</v>
      </c>
    </row>
    <row r="3324" spans="1:28" x14ac:dyDescent="0.25">
      <c r="A3324" t="s">
        <v>3328</v>
      </c>
      <c r="B3324">
        <v>0.99334974765950101</v>
      </c>
      <c r="C3324">
        <v>0.83202743056283301</v>
      </c>
      <c r="D3324">
        <v>0.74667672347624403</v>
      </c>
      <c r="E3324">
        <v>0.63842260527322603</v>
      </c>
      <c r="F3324">
        <v>0.31846058580965297</v>
      </c>
      <c r="G3324">
        <v>0.31865062473544198</v>
      </c>
      <c r="H3324">
        <v>0.28532975882635703</v>
      </c>
      <c r="I3324">
        <v>0.26373788911299501</v>
      </c>
      <c r="J3324">
        <v>0.20861976281323599</v>
      </c>
      <c r="K3324">
        <v>0.15762137132114001</v>
      </c>
      <c r="L3324">
        <v>588.71919415545005</v>
      </c>
      <c r="M3324">
        <v>11.958362484813501</v>
      </c>
      <c r="N3324">
        <v>51.091638721450003</v>
      </c>
      <c r="O3324">
        <v>47.914630885833098</v>
      </c>
      <c r="P3324">
        <v>-5.1391194843116099E-2</v>
      </c>
      <c r="Q3324">
        <v>0.17654660382728901</v>
      </c>
      <c r="R3324">
        <v>0.96591914376753496</v>
      </c>
      <c r="S3324" t="s">
        <v>9185</v>
      </c>
      <c r="T3324" t="s">
        <v>11720</v>
      </c>
      <c r="U3324" t="s">
        <v>11720</v>
      </c>
      <c r="V3324" t="s">
        <v>11720</v>
      </c>
      <c r="W3324" t="s">
        <v>14995</v>
      </c>
      <c r="X3324">
        <v>3</v>
      </c>
      <c r="Y3324" t="s">
        <v>20721</v>
      </c>
      <c r="Z3324" t="s">
        <v>26531</v>
      </c>
      <c r="AA3324">
        <v>0.45992165757221981</v>
      </c>
      <c r="AB3324" t="str">
        <f>HYPERLINK("Melting_Curves/meltCurve_Q16082_HSPB2.pdf", "Melting_Curves/meltCurve_Q16082_HSPB2.pdf")</f>
        <v>Melting_Curves/meltCurve_Q16082_HSPB2.pdf</v>
      </c>
    </row>
    <row r="3325" spans="1:28" x14ac:dyDescent="0.25">
      <c r="A3325" t="s">
        <v>3329</v>
      </c>
      <c r="B3325">
        <v>0.99334974765950101</v>
      </c>
      <c r="C3325">
        <v>0.89618325381552799</v>
      </c>
      <c r="D3325">
        <v>0.92908428237066099</v>
      </c>
      <c r="E3325">
        <v>0.82048375223993197</v>
      </c>
      <c r="F3325">
        <v>0.60980253982517596</v>
      </c>
      <c r="G3325">
        <v>0.182648005232876</v>
      </c>
      <c r="H3325">
        <v>0.124834797939119</v>
      </c>
      <c r="I3325">
        <v>9.9747075417968206E-2</v>
      </c>
      <c r="J3325">
        <v>0.106653080427664</v>
      </c>
      <c r="K3325">
        <v>8.8251533389277603E-2</v>
      </c>
      <c r="L3325">
        <v>1314.5108386652701</v>
      </c>
      <c r="M3325">
        <v>24.7006642521619</v>
      </c>
      <c r="N3325">
        <v>53.613681214928</v>
      </c>
      <c r="O3325">
        <v>52.872498251772903</v>
      </c>
      <c r="P3325">
        <v>-0.10705519925165299</v>
      </c>
      <c r="Q3325">
        <v>8.3393719091227697E-2</v>
      </c>
      <c r="R3325">
        <v>0.98701771321856802</v>
      </c>
      <c r="S3325" t="s">
        <v>9186</v>
      </c>
      <c r="T3325" t="s">
        <v>11720</v>
      </c>
      <c r="U3325" t="s">
        <v>11720</v>
      </c>
      <c r="V3325" t="s">
        <v>11720</v>
      </c>
      <c r="W3325" t="s">
        <v>14996</v>
      </c>
      <c r="X3325">
        <v>25</v>
      </c>
      <c r="Y3325" t="s">
        <v>20722</v>
      </c>
      <c r="Z3325" t="s">
        <v>26532</v>
      </c>
      <c r="AA3325">
        <v>0.49588252642851971</v>
      </c>
      <c r="AB3325" t="str">
        <f>HYPERLINK("Melting_Curves/meltCurve_Q16134_ETFDH.pdf", "Melting_Curves/meltCurve_Q16134_ETFDH.pdf")</f>
        <v>Melting_Curves/meltCurve_Q16134_ETFDH.pdf</v>
      </c>
    </row>
    <row r="3326" spans="1:28" x14ac:dyDescent="0.25">
      <c r="A3326" t="s">
        <v>3330</v>
      </c>
      <c r="B3326">
        <v>0.99334974765950101</v>
      </c>
      <c r="C3326">
        <v>0.88540153532967003</v>
      </c>
      <c r="D3326">
        <v>0.85578561849425705</v>
      </c>
      <c r="E3326">
        <v>0.80743832856904696</v>
      </c>
      <c r="F3326">
        <v>0.77999188107872997</v>
      </c>
      <c r="G3326">
        <v>0.67765437200370204</v>
      </c>
      <c r="H3326">
        <v>0.64533222114511701</v>
      </c>
      <c r="I3326">
        <v>0.65645108189042201</v>
      </c>
      <c r="J3326">
        <v>0.722497131895529</v>
      </c>
      <c r="K3326">
        <v>0.67518808017269205</v>
      </c>
      <c r="L3326">
        <v>509.54391961968798</v>
      </c>
      <c r="M3326">
        <v>10.668873339093</v>
      </c>
      <c r="O3326">
        <v>46.173614407231703</v>
      </c>
      <c r="P3326">
        <v>-1.98327876986421E-2</v>
      </c>
      <c r="Q3326">
        <v>0.65679447456145801</v>
      </c>
      <c r="R3326">
        <v>0.91928012193616104</v>
      </c>
      <c r="S3326" t="s">
        <v>9187</v>
      </c>
      <c r="T3326" t="s">
        <v>11720</v>
      </c>
      <c r="U3326" t="s">
        <v>11720</v>
      </c>
      <c r="V3326" t="s">
        <v>11720</v>
      </c>
      <c r="W3326" t="s">
        <v>14997</v>
      </c>
      <c r="X3326">
        <v>7</v>
      </c>
      <c r="Y3326" t="s">
        <v>20723</v>
      </c>
      <c r="Z3326" t="s">
        <v>26533</v>
      </c>
      <c r="AA3326">
        <v>0.76226872549826286</v>
      </c>
      <c r="AB3326" t="str">
        <f>HYPERLINK("Melting_Curves/meltCurve_Q16143_SNCB.pdf", "Melting_Curves/meltCurve_Q16143_SNCB.pdf")</f>
        <v>Melting_Curves/meltCurve_Q16143_SNCB.pdf</v>
      </c>
    </row>
    <row r="3327" spans="1:28" x14ac:dyDescent="0.25">
      <c r="A3327" t="s">
        <v>3331</v>
      </c>
      <c r="B3327">
        <v>0.99334974765950101</v>
      </c>
      <c r="C3327">
        <v>0.99706410748533003</v>
      </c>
      <c r="D3327">
        <v>1.2498955927722999</v>
      </c>
      <c r="E3327">
        <v>1.6633828653667899</v>
      </c>
      <c r="F3327">
        <v>1.5238729949078</v>
      </c>
      <c r="G3327">
        <v>0.99812287376101205</v>
      </c>
      <c r="H3327">
        <v>0.26879588839152002</v>
      </c>
      <c r="I3327">
        <v>0.28162942702682298</v>
      </c>
      <c r="J3327">
        <v>0.32946851459008503</v>
      </c>
      <c r="K3327">
        <v>0.256779775034363</v>
      </c>
      <c r="L3327">
        <v>14585.7405737687</v>
      </c>
      <c r="M3327">
        <v>250</v>
      </c>
      <c r="N3327">
        <v>58.539683504614302</v>
      </c>
      <c r="O3327">
        <v>58.339228823515398</v>
      </c>
      <c r="P3327">
        <v>-0.76688835070425898</v>
      </c>
      <c r="Q3327">
        <v>0.28416520237501702</v>
      </c>
      <c r="R3327">
        <v>0.70261093479042602</v>
      </c>
      <c r="S3327" t="s">
        <v>9188</v>
      </c>
      <c r="T3327" t="s">
        <v>11720</v>
      </c>
      <c r="U3327" t="s">
        <v>11720</v>
      </c>
      <c r="V3327" t="s">
        <v>11720</v>
      </c>
      <c r="W3327" t="s">
        <v>14998</v>
      </c>
      <c r="X3327">
        <v>31</v>
      </c>
      <c r="Y3327" t="s">
        <v>20724</v>
      </c>
      <c r="Z3327" t="s">
        <v>26534</v>
      </c>
      <c r="AA3327">
        <v>0.72192285415378943</v>
      </c>
      <c r="AB3327" t="str">
        <f>HYPERLINK("Melting_Curves/meltCurve_Q16181_SEPT7.pdf", "Melting_Curves/meltCurve_Q16181_SEPT7.pdf")</f>
        <v>Melting_Curves/meltCurve_Q16181_SEPT7.pdf</v>
      </c>
    </row>
    <row r="3328" spans="1:28" x14ac:dyDescent="0.25">
      <c r="A3328" t="s">
        <v>3332</v>
      </c>
      <c r="B3328">
        <v>0.99334974765950101</v>
      </c>
      <c r="C3328">
        <v>1.0575380139838899</v>
      </c>
      <c r="D3328">
        <v>1.0885061795477999</v>
      </c>
      <c r="E3328">
        <v>0.87009442902414902</v>
      </c>
      <c r="F3328">
        <v>0.61390799302410604</v>
      </c>
      <c r="G3328">
        <v>0.47089809693783802</v>
      </c>
      <c r="H3328">
        <v>0.34188135203438003</v>
      </c>
      <c r="I3328">
        <v>0.32682410556236702</v>
      </c>
      <c r="J3328">
        <v>0.29282015437820402</v>
      </c>
      <c r="K3328">
        <v>0.327439420155832</v>
      </c>
      <c r="L3328">
        <v>1318.9390188626401</v>
      </c>
      <c r="M3328">
        <v>24.9457204520197</v>
      </c>
      <c r="N3328">
        <v>55.138880719281502</v>
      </c>
      <c r="O3328">
        <v>52.536095541222899</v>
      </c>
      <c r="P3328">
        <v>-8.0642055374111302E-2</v>
      </c>
      <c r="Q3328">
        <v>0.32067525949757902</v>
      </c>
      <c r="R3328">
        <v>0.97995118659092395</v>
      </c>
      <c r="S3328" t="s">
        <v>9189</v>
      </c>
      <c r="T3328" t="s">
        <v>11720</v>
      </c>
      <c r="U3328" t="s">
        <v>11720</v>
      </c>
      <c r="V3328" t="s">
        <v>11720</v>
      </c>
      <c r="W3328" t="s">
        <v>14999</v>
      </c>
      <c r="X3328">
        <v>3</v>
      </c>
      <c r="Y3328" t="s">
        <v>20725</v>
      </c>
      <c r="Z3328" t="s">
        <v>26535</v>
      </c>
      <c r="AA3328">
        <v>0.61843343647920923</v>
      </c>
      <c r="AB3328" t="str">
        <f>HYPERLINK("Melting_Curves/meltCurve_Q16186_ADRM1.pdf", "Melting_Curves/meltCurve_Q16186_ADRM1.pdf")</f>
        <v>Melting_Curves/meltCurve_Q16186_ADRM1.pdf</v>
      </c>
    </row>
    <row r="3329" spans="1:28" x14ac:dyDescent="0.25">
      <c r="A3329" t="s">
        <v>3333</v>
      </c>
      <c r="B3329">
        <v>0.99334974765950101</v>
      </c>
      <c r="C3329">
        <v>1.03531615775041</v>
      </c>
      <c r="D3329">
        <v>1.0333063315988</v>
      </c>
      <c r="E3329">
        <v>0.94418839413581401</v>
      </c>
      <c r="F3329">
        <v>0.76880769084627298</v>
      </c>
      <c r="G3329">
        <v>0.38490462650678098</v>
      </c>
      <c r="H3329">
        <v>0.27245401370080802</v>
      </c>
      <c r="I3329">
        <v>0.209374403325468</v>
      </c>
      <c r="J3329">
        <v>0.21531908919455001</v>
      </c>
      <c r="K3329">
        <v>0.18279390040110799</v>
      </c>
      <c r="L3329">
        <v>1528.0296248229899</v>
      </c>
      <c r="M3329">
        <v>27.9498418607158</v>
      </c>
      <c r="N3329">
        <v>55.705452545553499</v>
      </c>
      <c r="O3329">
        <v>54.392854511702801</v>
      </c>
      <c r="P3329">
        <v>-0.102445578780202</v>
      </c>
      <c r="Q3329">
        <v>0.202534406060325</v>
      </c>
      <c r="R3329">
        <v>0.99678051210353302</v>
      </c>
      <c r="S3329" t="s">
        <v>9190</v>
      </c>
      <c r="T3329" t="s">
        <v>11720</v>
      </c>
      <c r="U3329" t="s">
        <v>11720</v>
      </c>
      <c r="V3329" t="s">
        <v>11720</v>
      </c>
      <c r="W3329" t="s">
        <v>15000</v>
      </c>
      <c r="X3329">
        <v>30</v>
      </c>
      <c r="Y3329" t="s">
        <v>20726</v>
      </c>
      <c r="Z3329" t="s">
        <v>26536</v>
      </c>
      <c r="AA3329">
        <v>0.59853319518605574</v>
      </c>
      <c r="AB3329" t="str">
        <f>HYPERLINK("Melting_Curves/meltCurve_Q16204_CCDC6.pdf", "Melting_Curves/meltCurve_Q16204_CCDC6.pdf")</f>
        <v>Melting_Curves/meltCurve_Q16204_CCDC6.pdf</v>
      </c>
    </row>
    <row r="3330" spans="1:28" x14ac:dyDescent="0.25">
      <c r="A3330" t="s">
        <v>3334</v>
      </c>
      <c r="B3330">
        <v>0.99334974765950101</v>
      </c>
      <c r="C3330">
        <v>0.94323887154915498</v>
      </c>
      <c r="D3330">
        <v>0.90382969893162501</v>
      </c>
      <c r="E3330">
        <v>0.63722879677011601</v>
      </c>
      <c r="F3330">
        <v>0.29277695939807602</v>
      </c>
      <c r="G3330">
        <v>0.148159985401006</v>
      </c>
      <c r="H3330">
        <v>9.7539413998587204E-2</v>
      </c>
      <c r="I3330">
        <v>7.9796253957482202E-2</v>
      </c>
      <c r="J3330">
        <v>8.8178025831005105E-2</v>
      </c>
      <c r="K3330">
        <v>7.2377452219887797E-2</v>
      </c>
      <c r="L3330">
        <v>1185.37701362296</v>
      </c>
      <c r="M3330">
        <v>23.394205680814299</v>
      </c>
      <c r="N3330">
        <v>51.031680600821502</v>
      </c>
      <c r="O3330">
        <v>50.303809562874797</v>
      </c>
      <c r="P3330">
        <v>-0.10737747596589201</v>
      </c>
      <c r="Q3330">
        <v>7.6454964891839394E-2</v>
      </c>
      <c r="R3330">
        <v>0.997266810588741</v>
      </c>
      <c r="S3330" t="s">
        <v>9191</v>
      </c>
      <c r="T3330" t="s">
        <v>11720</v>
      </c>
      <c r="U3330" t="s">
        <v>11720</v>
      </c>
      <c r="V3330" t="s">
        <v>11720</v>
      </c>
      <c r="W3330" t="s">
        <v>15001</v>
      </c>
      <c r="X3330">
        <v>31</v>
      </c>
      <c r="Y3330" t="s">
        <v>20727</v>
      </c>
      <c r="Z3330" t="s">
        <v>26537</v>
      </c>
      <c r="AA3330">
        <v>0.41439590359438122</v>
      </c>
      <c r="AB3330" t="str">
        <f>HYPERLINK("Melting_Curves/meltCurve_Q16222_3_UAP1.pdf", "Melting_Curves/meltCurve_Q16222_3_UAP1.pdf")</f>
        <v>Melting_Curves/meltCurve_Q16222_3_UAP1.pdf</v>
      </c>
    </row>
    <row r="3331" spans="1:28" x14ac:dyDescent="0.25">
      <c r="A3331" t="s">
        <v>3335</v>
      </c>
      <c r="B3331">
        <v>0.99334974765950101</v>
      </c>
      <c r="C3331">
        <v>0.89568310635721204</v>
      </c>
      <c r="D3331">
        <v>0.853312056920845</v>
      </c>
      <c r="E3331">
        <v>0.79751647777574197</v>
      </c>
      <c r="F3331">
        <v>0.28518937714373899</v>
      </c>
      <c r="G3331">
        <v>0.27686734659352902</v>
      </c>
      <c r="H3331">
        <v>0.226989537633183</v>
      </c>
      <c r="I3331">
        <v>0.69789017524444497</v>
      </c>
      <c r="J3331">
        <v>0.300650966639533</v>
      </c>
      <c r="K3331">
        <v>0.33530531232469502</v>
      </c>
      <c r="L3331">
        <v>12539.2244742398</v>
      </c>
      <c r="M3331">
        <v>250</v>
      </c>
      <c r="N3331">
        <v>50.404838375436697</v>
      </c>
      <c r="O3331">
        <v>50.153688008638198</v>
      </c>
      <c r="P3331">
        <v>-0.80525567044340096</v>
      </c>
      <c r="Q3331">
        <v>0.353815331842393</v>
      </c>
      <c r="R3331">
        <v>0.786355779357514</v>
      </c>
      <c r="S3331" t="s">
        <v>9192</v>
      </c>
      <c r="T3331" t="s">
        <v>11720</v>
      </c>
      <c r="U3331" t="s">
        <v>11720</v>
      </c>
      <c r="V3331" t="s">
        <v>11720</v>
      </c>
      <c r="W3331" t="s">
        <v>15002</v>
      </c>
      <c r="X3331">
        <v>2</v>
      </c>
      <c r="Y3331" t="s">
        <v>20728</v>
      </c>
      <c r="Z3331" t="s">
        <v>26538</v>
      </c>
      <c r="AA3331">
        <v>0.57264660187521454</v>
      </c>
      <c r="AB3331" t="str">
        <f>HYPERLINK("Melting_Curves/meltCurve_Q16254_E2F4.pdf", "Melting_Curves/meltCurve_Q16254_E2F4.pdf")</f>
        <v>Melting_Curves/meltCurve_Q16254_E2F4.pdf</v>
      </c>
    </row>
    <row r="3332" spans="1:28" x14ac:dyDescent="0.25">
      <c r="A3332" t="s">
        <v>3336</v>
      </c>
      <c r="B3332">
        <v>0.99334974765950101</v>
      </c>
      <c r="C3332">
        <v>1.0407652947286901</v>
      </c>
      <c r="D3332">
        <v>0.94387424454620505</v>
      </c>
      <c r="E3332">
        <v>0.866465899004775</v>
      </c>
      <c r="F3332">
        <v>0.73753898307924104</v>
      </c>
      <c r="G3332">
        <v>0.60396262913814203</v>
      </c>
      <c r="H3332">
        <v>0.54752622670209405</v>
      </c>
      <c r="I3332">
        <v>0.52436076613864802</v>
      </c>
      <c r="J3332">
        <v>0.51472344279141202</v>
      </c>
      <c r="K3332">
        <v>0.46520814922078801</v>
      </c>
      <c r="L3332">
        <v>868.09703244317097</v>
      </c>
      <c r="M3332">
        <v>16.3672369239038</v>
      </c>
      <c r="N3332">
        <v>67.056951353690707</v>
      </c>
      <c r="O3332">
        <v>52.265925475837797</v>
      </c>
      <c r="P3332">
        <v>-4.0425545779668198E-2</v>
      </c>
      <c r="Q3332">
        <v>0.48366942309945399</v>
      </c>
      <c r="R3332">
        <v>0.99029221863115902</v>
      </c>
      <c r="S3332" t="s">
        <v>9193</v>
      </c>
      <c r="T3332" t="s">
        <v>11720</v>
      </c>
      <c r="U3332" t="s">
        <v>11720</v>
      </c>
      <c r="V3332" t="s">
        <v>11720</v>
      </c>
      <c r="W3332" t="s">
        <v>15003</v>
      </c>
      <c r="X3332">
        <v>7</v>
      </c>
      <c r="Y3332" t="s">
        <v>20729</v>
      </c>
      <c r="Z3332" t="s">
        <v>26539</v>
      </c>
      <c r="AA3332">
        <v>0.71786310492534156</v>
      </c>
      <c r="AB3332" t="str">
        <f>HYPERLINK("Melting_Curves/meltCurve_Q16270_2_IGFBP7.pdf", "Melting_Curves/meltCurve_Q16270_2_IGFBP7.pdf")</f>
        <v>Melting_Curves/meltCurve_Q16270_2_IGFBP7.pdf</v>
      </c>
    </row>
    <row r="3333" spans="1:28" x14ac:dyDescent="0.25">
      <c r="A3333" t="s">
        <v>3337</v>
      </c>
      <c r="B3333">
        <v>0.99334974765950101</v>
      </c>
      <c r="C3333">
        <v>0.93163376212995497</v>
      </c>
      <c r="D3333">
        <v>0.93566063908433905</v>
      </c>
      <c r="E3333">
        <v>0.88953652303431496</v>
      </c>
      <c r="F3333">
        <v>1.64898734835137</v>
      </c>
      <c r="G3333">
        <v>0.85586767579754397</v>
      </c>
      <c r="H3333">
        <v>0.78912462538955397</v>
      </c>
      <c r="I3333">
        <v>0.66039801636260598</v>
      </c>
      <c r="J3333">
        <v>0.76779009175684598</v>
      </c>
      <c r="K3333">
        <v>0.75445916744841202</v>
      </c>
      <c r="L3333">
        <v>14236.091433208199</v>
      </c>
      <c r="M3333">
        <v>250</v>
      </c>
      <c r="O3333">
        <v>56.940721991914401</v>
      </c>
      <c r="P3333">
        <v>-0.28215421547472502</v>
      </c>
      <c r="Q3333">
        <v>0.742942965874272</v>
      </c>
      <c r="R3333">
        <v>0.332678015447674</v>
      </c>
      <c r="S3333" t="s">
        <v>9194</v>
      </c>
      <c r="T3333" t="s">
        <v>11720</v>
      </c>
      <c r="U3333" t="s">
        <v>11720</v>
      </c>
      <c r="V3333" t="s">
        <v>11720</v>
      </c>
      <c r="W3333" t="s">
        <v>15004</v>
      </c>
      <c r="X3333">
        <v>3</v>
      </c>
      <c r="Y3333" t="s">
        <v>20730</v>
      </c>
      <c r="Z3333" t="s">
        <v>26540</v>
      </c>
      <c r="AA3333">
        <v>0.88815760192908089</v>
      </c>
      <c r="AB3333" t="str">
        <f>HYPERLINK("Melting_Curves/meltCurve_Q16352_INA.pdf", "Melting_Curves/meltCurve_Q16352_INA.pdf")</f>
        <v>Melting_Curves/meltCurve_Q16352_INA.pdf</v>
      </c>
    </row>
    <row r="3334" spans="1:28" x14ac:dyDescent="0.25">
      <c r="A3334" t="s">
        <v>3338</v>
      </c>
      <c r="B3334">
        <v>0.99334974765950101</v>
      </c>
      <c r="C3334">
        <v>0.96770686475281198</v>
      </c>
      <c r="D3334">
        <v>0.86200299267501501</v>
      </c>
      <c r="E3334">
        <v>0.93386499582299898</v>
      </c>
      <c r="F3334">
        <v>1.0795241895393699</v>
      </c>
      <c r="G3334">
        <v>0.62579670486141303</v>
      </c>
      <c r="H3334">
        <v>0.47294531051847299</v>
      </c>
      <c r="I3334">
        <v>0.61047599250394902</v>
      </c>
      <c r="J3334">
        <v>0.57772158580550304</v>
      </c>
      <c r="K3334">
        <v>0.55085344059625996</v>
      </c>
      <c r="L3334">
        <v>14156.684408932</v>
      </c>
      <c r="M3334">
        <v>250</v>
      </c>
      <c r="O3334">
        <v>56.6231270009093</v>
      </c>
      <c r="P3334">
        <v>-0.49339493520459499</v>
      </c>
      <c r="Q3334">
        <v>0.55299907832935502</v>
      </c>
      <c r="R3334">
        <v>0.90635858847467599</v>
      </c>
      <c r="S3334" t="s">
        <v>9195</v>
      </c>
      <c r="T3334" t="s">
        <v>11720</v>
      </c>
      <c r="U3334" t="s">
        <v>11720</v>
      </c>
      <c r="V3334" t="s">
        <v>11720</v>
      </c>
      <c r="W3334" t="s">
        <v>15005</v>
      </c>
      <c r="X3334">
        <v>4</v>
      </c>
      <c r="Y3334" t="s">
        <v>20731</v>
      </c>
      <c r="Z3334" t="s">
        <v>26541</v>
      </c>
      <c r="AA3334">
        <v>0.80078240243816012</v>
      </c>
      <c r="AB3334" t="str">
        <f>HYPERLINK("Melting_Curves/meltCurve_Q16363_2_LAMA4.pdf", "Melting_Curves/meltCurve_Q16363_2_LAMA4.pdf")</f>
        <v>Melting_Curves/meltCurve_Q16363_2_LAMA4.pdf</v>
      </c>
    </row>
    <row r="3335" spans="1:28" x14ac:dyDescent="0.25">
      <c r="A3335" t="s">
        <v>3339</v>
      </c>
      <c r="B3335">
        <v>0.99334974765950101</v>
      </c>
      <c r="C3335">
        <v>0.86974777288997596</v>
      </c>
      <c r="D3335">
        <v>0.87100139406519905</v>
      </c>
      <c r="E3335">
        <v>0.81802733277322703</v>
      </c>
      <c r="F3335">
        <v>0.396681671210807</v>
      </c>
      <c r="G3335">
        <v>0.21041287596239</v>
      </c>
      <c r="H3335">
        <v>0.124470803031106</v>
      </c>
      <c r="I3335">
        <v>9.9355582361724301E-2</v>
      </c>
      <c r="J3335">
        <v>8.3940040977583494E-2</v>
      </c>
      <c r="K3335">
        <v>7.2887792466882595E-2</v>
      </c>
      <c r="L3335">
        <v>1136.73182575439</v>
      </c>
      <c r="M3335">
        <v>21.826722225363</v>
      </c>
      <c r="N3335">
        <v>52.488044883778301</v>
      </c>
      <c r="O3335">
        <v>51.648572110501</v>
      </c>
      <c r="P3335">
        <v>-9.7404945145525695E-2</v>
      </c>
      <c r="Q3335">
        <v>7.8063961767052395E-2</v>
      </c>
      <c r="R3335">
        <v>0.97655842522849301</v>
      </c>
      <c r="S3335" t="s">
        <v>9196</v>
      </c>
      <c r="T3335" t="s">
        <v>11720</v>
      </c>
      <c r="U3335" t="s">
        <v>11720</v>
      </c>
      <c r="V3335" t="s">
        <v>11720</v>
      </c>
      <c r="W3335" t="s">
        <v>15006</v>
      </c>
      <c r="X3335">
        <v>21</v>
      </c>
      <c r="Y3335" t="s">
        <v>20732</v>
      </c>
      <c r="Z3335" t="s">
        <v>26542</v>
      </c>
      <c r="AA3335">
        <v>0.46017239286835637</v>
      </c>
      <c r="AB3335" t="str">
        <f>HYPERLINK("Melting_Curves/meltCurve_Q16401_2_PSMD5.pdf", "Melting_Curves/meltCurve_Q16401_2_PSMD5.pdf")</f>
        <v>Melting_Curves/meltCurve_Q16401_2_PSMD5.pdf</v>
      </c>
    </row>
    <row r="3336" spans="1:28" x14ac:dyDescent="0.25">
      <c r="A3336" t="s">
        <v>3340</v>
      </c>
      <c r="B3336">
        <v>0.99334974765950101</v>
      </c>
      <c r="C3336">
        <v>0.95020737065929595</v>
      </c>
      <c r="D3336">
        <v>0.98719018043816797</v>
      </c>
      <c r="E3336">
        <v>0.539110280304825</v>
      </c>
      <c r="F3336">
        <v>0.15243380781965099</v>
      </c>
      <c r="G3336">
        <v>0.10562077513837501</v>
      </c>
      <c r="H3336">
        <v>7.8829731922984897E-2</v>
      </c>
      <c r="I3336">
        <v>6.1167623121089899E-2</v>
      </c>
      <c r="J3336">
        <v>4.1666628140214601E-2</v>
      </c>
      <c r="K3336">
        <v>2.3371385154726001E-2</v>
      </c>
      <c r="L3336">
        <v>1970.76149097231</v>
      </c>
      <c r="M3336">
        <v>39.367780647650399</v>
      </c>
      <c r="N3336">
        <v>50.222630294202403</v>
      </c>
      <c r="O3336">
        <v>49.931616230518102</v>
      </c>
      <c r="P3336">
        <v>-0.18533097456574399</v>
      </c>
      <c r="Q3336">
        <v>5.9753515712480901E-2</v>
      </c>
      <c r="R3336">
        <v>0.99632249057306399</v>
      </c>
      <c r="S3336" t="s">
        <v>9197</v>
      </c>
      <c r="T3336" t="s">
        <v>11720</v>
      </c>
      <c r="U3336" t="s">
        <v>11720</v>
      </c>
      <c r="V3336" t="s">
        <v>11720</v>
      </c>
      <c r="W3336" t="s">
        <v>15007</v>
      </c>
      <c r="X3336">
        <v>19</v>
      </c>
      <c r="Y3336" t="s">
        <v>20733</v>
      </c>
      <c r="Z3336" t="s">
        <v>26543</v>
      </c>
      <c r="AA3336">
        <v>0.37841868865239381</v>
      </c>
      <c r="AB3336" t="str">
        <f>HYPERLINK("Melting_Curves/meltCurve_Q16512_PKN1.pdf", "Melting_Curves/meltCurve_Q16512_PKN1.pdf")</f>
        <v>Melting_Curves/meltCurve_Q16512_PKN1.pdf</v>
      </c>
    </row>
    <row r="3337" spans="1:28" x14ac:dyDescent="0.25">
      <c r="A3337" t="s">
        <v>3341</v>
      </c>
      <c r="B3337">
        <v>0.99334974765950101</v>
      </c>
      <c r="C3337">
        <v>0.91737658611528095</v>
      </c>
      <c r="D3337">
        <v>0.80161698748728305</v>
      </c>
      <c r="E3337">
        <v>0.22954950410008701</v>
      </c>
      <c r="F3337">
        <v>0.15702337588548601</v>
      </c>
      <c r="G3337">
        <v>9.8291773084114603E-2</v>
      </c>
      <c r="H3337">
        <v>7.4046426338586505E-2</v>
      </c>
      <c r="I3337">
        <v>6.5984908855277205E-2</v>
      </c>
      <c r="J3337">
        <v>5.2603840840666001E-2</v>
      </c>
      <c r="K3337">
        <v>4.5517039199423202E-2</v>
      </c>
      <c r="L3337">
        <v>1438.03698683574</v>
      </c>
      <c r="M3337">
        <v>30.111833556064902</v>
      </c>
      <c r="N3337">
        <v>47.9949300348013</v>
      </c>
      <c r="O3337">
        <v>47.547389446260901</v>
      </c>
      <c r="P3337">
        <v>-0.14732921460072601</v>
      </c>
      <c r="Q3337">
        <v>6.9458737106223106E-2</v>
      </c>
      <c r="R3337">
        <v>0.99453311138685696</v>
      </c>
      <c r="S3337" t="s">
        <v>9198</v>
      </c>
      <c r="T3337" t="s">
        <v>11720</v>
      </c>
      <c r="U3337" t="s">
        <v>11720</v>
      </c>
      <c r="V3337" t="s">
        <v>11720</v>
      </c>
      <c r="W3337" t="s">
        <v>15008</v>
      </c>
      <c r="X3337">
        <v>15</v>
      </c>
      <c r="Y3337" t="s">
        <v>20734</v>
      </c>
      <c r="Z3337" t="s">
        <v>26544</v>
      </c>
      <c r="AA3337">
        <v>0.31559793873023578</v>
      </c>
      <c r="AB3337" t="str">
        <f>HYPERLINK("Melting_Curves/meltCurve_Q16513_PKN2.pdf", "Melting_Curves/meltCurve_Q16513_PKN2.pdf")</f>
        <v>Melting_Curves/meltCurve_Q16513_PKN2.pdf</v>
      </c>
    </row>
    <row r="3338" spans="1:28" x14ac:dyDescent="0.25">
      <c r="A3338" t="s">
        <v>3342</v>
      </c>
      <c r="B3338">
        <v>0.99334974765950101</v>
      </c>
      <c r="C3338">
        <v>1.05246233189208</v>
      </c>
      <c r="D3338">
        <v>1.25560251511017</v>
      </c>
      <c r="E3338">
        <v>1.4085533347000001</v>
      </c>
      <c r="F3338">
        <v>2.06645582294369</v>
      </c>
      <c r="G3338">
        <v>1.9921001599280399</v>
      </c>
      <c r="H3338">
        <v>1.96926529147742</v>
      </c>
      <c r="I3338">
        <v>0.51159725583792304</v>
      </c>
      <c r="J3338">
        <v>0.21423413342894801</v>
      </c>
      <c r="K3338">
        <v>0.14719769601391899</v>
      </c>
      <c r="L3338">
        <v>15000</v>
      </c>
      <c r="M3338">
        <v>234.764012298648</v>
      </c>
      <c r="N3338">
        <v>64.016230717975205</v>
      </c>
      <c r="O3338">
        <v>63.889332254102897</v>
      </c>
      <c r="P3338">
        <v>-0.75264122635284203</v>
      </c>
      <c r="Q3338">
        <v>0.18069672685511001</v>
      </c>
      <c r="R3338">
        <v>0.28604552970179398</v>
      </c>
      <c r="S3338" t="s">
        <v>9199</v>
      </c>
      <c r="T3338" t="s">
        <v>11720</v>
      </c>
      <c r="U3338" t="s">
        <v>11720</v>
      </c>
      <c r="V3338" t="s">
        <v>11720</v>
      </c>
      <c r="W3338" t="s">
        <v>15009</v>
      </c>
      <c r="X3338">
        <v>51</v>
      </c>
      <c r="Y3338" t="s">
        <v>20735</v>
      </c>
      <c r="Z3338" t="s">
        <v>26545</v>
      </c>
      <c r="AA3338">
        <v>0.83334728645235523</v>
      </c>
      <c r="AB3338" t="str">
        <f>HYPERLINK("Melting_Curves/meltCurve_Q16531_DDB1.pdf", "Melting_Curves/meltCurve_Q16531_DDB1.pdf")</f>
        <v>Melting_Curves/meltCurve_Q16531_DDB1.pdf</v>
      </c>
    </row>
    <row r="3339" spans="1:28" x14ac:dyDescent="0.25">
      <c r="A3339" t="s">
        <v>3343</v>
      </c>
      <c r="B3339">
        <v>0.99334974765950101</v>
      </c>
      <c r="C3339">
        <v>0.98301046996234498</v>
      </c>
      <c r="D3339">
        <v>0.75216980717030202</v>
      </c>
      <c r="E3339">
        <v>0.197802619396236</v>
      </c>
      <c r="F3339">
        <v>8.3456793113480907E-2</v>
      </c>
      <c r="G3339">
        <v>4.6165518285470199E-2</v>
      </c>
      <c r="H3339">
        <v>3.1743089723739702E-2</v>
      </c>
      <c r="I3339">
        <v>2.6660346908416E-2</v>
      </c>
      <c r="J3339">
        <v>1.2430500666641401E-2</v>
      </c>
      <c r="K3339">
        <v>9.3335662661118094E-3</v>
      </c>
      <c r="L3339">
        <v>1482.29736607359</v>
      </c>
      <c r="M3339">
        <v>31.142567028742199</v>
      </c>
      <c r="N3339">
        <v>47.679685157919003</v>
      </c>
      <c r="O3339">
        <v>47.402195007985299</v>
      </c>
      <c r="P3339">
        <v>-0.15993734315254299</v>
      </c>
      <c r="Q3339">
        <v>2.6241304018089998E-2</v>
      </c>
      <c r="R3339">
        <v>0.99918351294599606</v>
      </c>
      <c r="S3339" t="s">
        <v>9200</v>
      </c>
      <c r="T3339" t="s">
        <v>11720</v>
      </c>
      <c r="U3339" t="s">
        <v>11720</v>
      </c>
      <c r="V3339" t="s">
        <v>11720</v>
      </c>
      <c r="W3339" t="s">
        <v>15010</v>
      </c>
      <c r="X3339">
        <v>12</v>
      </c>
      <c r="Y3339" t="s">
        <v>20736</v>
      </c>
      <c r="Z3339" t="s">
        <v>26546</v>
      </c>
      <c r="AA3339">
        <v>0.27823619315276482</v>
      </c>
      <c r="AB3339" t="str">
        <f>HYPERLINK("Melting_Curves/meltCurve_Q16539_MAPK14.pdf", "Melting_Curves/meltCurve_Q16539_MAPK14.pdf")</f>
        <v>Melting_Curves/meltCurve_Q16539_MAPK14.pdf</v>
      </c>
    </row>
    <row r="3340" spans="1:28" x14ac:dyDescent="0.25">
      <c r="A3340" t="s">
        <v>3344</v>
      </c>
      <c r="B3340">
        <v>0.99334974765950101</v>
      </c>
      <c r="C3340">
        <v>0.92735578065468705</v>
      </c>
      <c r="D3340">
        <v>0.58753873011660496</v>
      </c>
      <c r="E3340">
        <v>0.50526756793518901</v>
      </c>
      <c r="F3340">
        <v>0.36024250799138002</v>
      </c>
      <c r="G3340">
        <v>0.14167426134163</v>
      </c>
      <c r="H3340">
        <v>0.12817701497921499</v>
      </c>
      <c r="I3340">
        <v>0.143166687514279</v>
      </c>
      <c r="J3340">
        <v>0</v>
      </c>
      <c r="K3340">
        <v>0.16553032174593199</v>
      </c>
      <c r="L3340">
        <v>631.06177406222605</v>
      </c>
      <c r="M3340">
        <v>12.958656624128301</v>
      </c>
      <c r="N3340">
        <v>49.280295760217498</v>
      </c>
      <c r="O3340">
        <v>47.582145134749197</v>
      </c>
      <c r="P3340">
        <v>-6.32645268293658E-2</v>
      </c>
      <c r="Q3340">
        <v>7.0976678868238996E-2</v>
      </c>
      <c r="R3340">
        <v>0.96039241222865501</v>
      </c>
      <c r="S3340" t="s">
        <v>9201</v>
      </c>
      <c r="T3340" t="s">
        <v>11720</v>
      </c>
      <c r="U3340" t="s">
        <v>11720</v>
      </c>
      <c r="V3340" t="s">
        <v>11720</v>
      </c>
      <c r="W3340" t="s">
        <v>15011</v>
      </c>
      <c r="X3340">
        <v>11</v>
      </c>
      <c r="Y3340" t="s">
        <v>20736</v>
      </c>
      <c r="Z3340" t="s">
        <v>26547</v>
      </c>
      <c r="AA3340">
        <v>0.37074062566028232</v>
      </c>
      <c r="AB3340" t="str">
        <f>HYPERLINK("Melting_Curves/meltCurve_Q16539_2_MAPK14.pdf", "Melting_Curves/meltCurve_Q16539_2_MAPK14.pdf")</f>
        <v>Melting_Curves/meltCurve_Q16539_2_MAPK14.pdf</v>
      </c>
    </row>
    <row r="3341" spans="1:28" x14ac:dyDescent="0.25">
      <c r="A3341" t="s">
        <v>3345</v>
      </c>
      <c r="B3341">
        <v>0.99334974765950101</v>
      </c>
      <c r="C3341">
        <v>0.99823034083794904</v>
      </c>
      <c r="D3341">
        <v>1.01520628500955</v>
      </c>
      <c r="E3341">
        <v>1.0323264128998799</v>
      </c>
      <c r="F3341">
        <v>0.98084524247292604</v>
      </c>
      <c r="G3341">
        <v>0.42095577455357402</v>
      </c>
      <c r="H3341">
        <v>0.22320357314271799</v>
      </c>
      <c r="I3341">
        <v>0.156666970123543</v>
      </c>
      <c r="J3341">
        <v>0.14970971293716701</v>
      </c>
      <c r="K3341">
        <v>0.12072117092185999</v>
      </c>
      <c r="L3341">
        <v>2955.6449260510499</v>
      </c>
      <c r="M3341">
        <v>52.605884308107001</v>
      </c>
      <c r="N3341">
        <v>56.592552186880397</v>
      </c>
      <c r="O3341">
        <v>56.103647792809198</v>
      </c>
      <c r="P3341">
        <v>-0.19742950712381599</v>
      </c>
      <c r="Q3341">
        <v>0.15777392744977201</v>
      </c>
      <c r="R3341">
        <v>0.996375474540938</v>
      </c>
      <c r="S3341" t="s">
        <v>9202</v>
      </c>
      <c r="T3341" t="s">
        <v>11720</v>
      </c>
      <c r="U3341" t="s">
        <v>11720</v>
      </c>
      <c r="V3341" t="s">
        <v>11720</v>
      </c>
      <c r="W3341" t="s">
        <v>15012</v>
      </c>
      <c r="X3341">
        <v>41</v>
      </c>
      <c r="Y3341" t="s">
        <v>18608</v>
      </c>
      <c r="Z3341" t="s">
        <v>26548</v>
      </c>
      <c r="AA3341">
        <v>0.61402909163210551</v>
      </c>
      <c r="AB3341" t="str">
        <f>HYPERLINK("Melting_Curves/meltCurve_Q16543_CDC37.pdf", "Melting_Curves/meltCurve_Q16543_CDC37.pdf")</f>
        <v>Melting_Curves/meltCurve_Q16543_CDC37.pdf</v>
      </c>
    </row>
    <row r="3342" spans="1:28" x14ac:dyDescent="0.25">
      <c r="A3342" t="s">
        <v>3346</v>
      </c>
      <c r="B3342">
        <v>0.99334974765950101</v>
      </c>
      <c r="C3342">
        <v>1.03911779365748</v>
      </c>
      <c r="D3342">
        <v>1.38152101939648</v>
      </c>
      <c r="E3342">
        <v>1.65522870919192</v>
      </c>
      <c r="F3342">
        <v>1.58196302540763</v>
      </c>
      <c r="G3342">
        <v>1.78946877450247</v>
      </c>
      <c r="H3342">
        <v>1.00103425760798</v>
      </c>
      <c r="I3342">
        <v>0.36244929238491902</v>
      </c>
      <c r="J3342">
        <v>0.112740495641011</v>
      </c>
      <c r="K3342">
        <v>6.8216057400986796E-2</v>
      </c>
      <c r="L3342">
        <v>7886.5361623640301</v>
      </c>
      <c r="M3342">
        <v>124.074014216626</v>
      </c>
      <c r="N3342">
        <v>63.664468920082399</v>
      </c>
      <c r="O3342">
        <v>63.546649366630902</v>
      </c>
      <c r="P3342">
        <v>-0.44439918839138498</v>
      </c>
      <c r="Q3342">
        <v>8.9573144120455694E-2</v>
      </c>
      <c r="R3342">
        <v>0.57243585888590098</v>
      </c>
      <c r="S3342" t="s">
        <v>9203</v>
      </c>
      <c r="T3342" t="s">
        <v>11720</v>
      </c>
      <c r="U3342" t="s">
        <v>11720</v>
      </c>
      <c r="V3342" t="s">
        <v>11720</v>
      </c>
      <c r="W3342" t="s">
        <v>15013</v>
      </c>
      <c r="X3342">
        <v>25</v>
      </c>
      <c r="Y3342" t="s">
        <v>20737</v>
      </c>
      <c r="Z3342" t="s">
        <v>26549</v>
      </c>
      <c r="AA3342">
        <v>0.80506993145684747</v>
      </c>
      <c r="AB3342" t="str">
        <f>HYPERLINK("Melting_Curves/meltCurve_Q16555_DPYSL2.pdf", "Melting_Curves/meltCurve_Q16555_DPYSL2.pdf")</f>
        <v>Melting_Curves/meltCurve_Q16555_DPYSL2.pdf</v>
      </c>
    </row>
    <row r="3343" spans="1:28" x14ac:dyDescent="0.25">
      <c r="A3343" t="s">
        <v>3347</v>
      </c>
      <c r="B3343">
        <v>0.99334974765950101</v>
      </c>
      <c r="C3343">
        <v>0.99690754736692</v>
      </c>
      <c r="D3343">
        <v>0.82967309732196903</v>
      </c>
      <c r="E3343">
        <v>0.71272613498366499</v>
      </c>
      <c r="F3343">
        <v>0.45783055054281802</v>
      </c>
      <c r="G3343">
        <v>0.29286438627105799</v>
      </c>
      <c r="H3343">
        <v>0.20502989898919</v>
      </c>
      <c r="I3343">
        <v>0.187140413093944</v>
      </c>
      <c r="J3343">
        <v>0.18809762715961301</v>
      </c>
      <c r="K3343">
        <v>0.124818437989445</v>
      </c>
      <c r="L3343">
        <v>789.69974880572795</v>
      </c>
      <c r="M3343">
        <v>15.3163651016181</v>
      </c>
      <c r="N3343">
        <v>52.648072612980002</v>
      </c>
      <c r="O3343">
        <v>50.704296007203297</v>
      </c>
      <c r="P3343">
        <v>-6.5272707592832005E-2</v>
      </c>
      <c r="Q3343">
        <v>0.13574868674110999</v>
      </c>
      <c r="R3343">
        <v>0.99285067807657601</v>
      </c>
      <c r="S3343" t="s">
        <v>9204</v>
      </c>
      <c r="T3343" t="s">
        <v>11720</v>
      </c>
      <c r="U3343" t="s">
        <v>11720</v>
      </c>
      <c r="V3343" t="s">
        <v>11720</v>
      </c>
      <c r="W3343" t="s">
        <v>15014</v>
      </c>
      <c r="X3343">
        <v>8</v>
      </c>
      <c r="Y3343" t="s">
        <v>20738</v>
      </c>
      <c r="Z3343" t="s">
        <v>26550</v>
      </c>
      <c r="AA3343">
        <v>0.48772112481933061</v>
      </c>
      <c r="AB3343" t="str">
        <f>HYPERLINK("Melting_Curves/meltCurve_Q16566_CAMK4.pdf", "Melting_Curves/meltCurve_Q16566_CAMK4.pdf")</f>
        <v>Melting_Curves/meltCurve_Q16566_CAMK4.pdf</v>
      </c>
    </row>
    <row r="3344" spans="1:28" x14ac:dyDescent="0.25">
      <c r="A3344" t="s">
        <v>3348</v>
      </c>
      <c r="B3344">
        <v>0.99334974765950101</v>
      </c>
      <c r="C3344">
        <v>0.91811907818530802</v>
      </c>
      <c r="D3344">
        <v>0.981722511924362</v>
      </c>
      <c r="E3344">
        <v>0.78181665140614698</v>
      </c>
      <c r="F3344">
        <v>0.65554450649584695</v>
      </c>
      <c r="G3344">
        <v>0.252779047140749</v>
      </c>
      <c r="H3344">
        <v>0.11977970501335</v>
      </c>
      <c r="I3344">
        <v>0.10799131699021899</v>
      </c>
      <c r="J3344">
        <v>0.133415107912109</v>
      </c>
      <c r="K3344">
        <v>0.104668473157666</v>
      </c>
      <c r="L3344">
        <v>1151.21336685801</v>
      </c>
      <c r="M3344">
        <v>21.499629140780701</v>
      </c>
      <c r="N3344">
        <v>54.036798701475</v>
      </c>
      <c r="O3344">
        <v>53.088940774519102</v>
      </c>
      <c r="P3344">
        <v>-9.22610815365974E-2</v>
      </c>
      <c r="Q3344">
        <v>8.8742736028526406E-2</v>
      </c>
      <c r="R3344">
        <v>0.98863006955858601</v>
      </c>
      <c r="S3344" t="s">
        <v>9205</v>
      </c>
      <c r="T3344" t="s">
        <v>11720</v>
      </c>
      <c r="U3344" t="s">
        <v>11720</v>
      </c>
      <c r="V3344" t="s">
        <v>11720</v>
      </c>
      <c r="W3344" t="s">
        <v>15015</v>
      </c>
      <c r="X3344">
        <v>14</v>
      </c>
      <c r="Y3344" t="s">
        <v>20739</v>
      </c>
      <c r="Z3344" t="s">
        <v>26551</v>
      </c>
      <c r="AA3344">
        <v>0.51122576737316439</v>
      </c>
      <c r="AB3344" t="str">
        <f>HYPERLINK("Melting_Curves/meltCurve_Q16576_RBBP7.pdf", "Melting_Curves/meltCurve_Q16576_RBBP7.pdf")</f>
        <v>Melting_Curves/meltCurve_Q16576_RBBP7.pdf</v>
      </c>
    </row>
    <row r="3345" spans="1:28" x14ac:dyDescent="0.25">
      <c r="A3345" t="s">
        <v>3349</v>
      </c>
      <c r="B3345">
        <v>0.99334974765950101</v>
      </c>
      <c r="C3345">
        <v>0.97569694278271601</v>
      </c>
      <c r="D3345">
        <v>1.0150536906024199</v>
      </c>
      <c r="E3345">
        <v>1.0013709012344401</v>
      </c>
      <c r="F3345">
        <v>1.15672956073147</v>
      </c>
      <c r="G3345">
        <v>0.69888623307980002</v>
      </c>
      <c r="H3345">
        <v>0.428673026124478</v>
      </c>
      <c r="I3345">
        <v>0.39459273374419801</v>
      </c>
      <c r="J3345">
        <v>0.35190557519235999</v>
      </c>
      <c r="K3345">
        <v>0.296825631115468</v>
      </c>
      <c r="L3345">
        <v>5151.3215320662403</v>
      </c>
      <c r="M3345">
        <v>90.269429568474294</v>
      </c>
      <c r="N3345">
        <v>57.917482036380797</v>
      </c>
      <c r="O3345">
        <v>57.038080715150201</v>
      </c>
      <c r="P3345">
        <v>-0.250306755911682</v>
      </c>
      <c r="Q3345">
        <v>0.36735988856941698</v>
      </c>
      <c r="R3345">
        <v>0.96494306444893796</v>
      </c>
      <c r="S3345" t="s">
        <v>9206</v>
      </c>
      <c r="T3345" t="s">
        <v>11720</v>
      </c>
      <c r="U3345" t="s">
        <v>11720</v>
      </c>
      <c r="V3345" t="s">
        <v>11720</v>
      </c>
      <c r="W3345" t="s">
        <v>15016</v>
      </c>
      <c r="X3345">
        <v>11</v>
      </c>
      <c r="Y3345" t="s">
        <v>20740</v>
      </c>
      <c r="Z3345" t="s">
        <v>26552</v>
      </c>
      <c r="AA3345">
        <v>0.72773590854841053</v>
      </c>
      <c r="AB3345" t="str">
        <f>HYPERLINK("Melting_Curves/meltCurve_Q16585_SGCB.pdf", "Melting_Curves/meltCurve_Q16585_SGCB.pdf")</f>
        <v>Melting_Curves/meltCurve_Q16585_SGCB.pdf</v>
      </c>
    </row>
    <row r="3346" spans="1:28" x14ac:dyDescent="0.25">
      <c r="A3346" t="s">
        <v>3350</v>
      </c>
      <c r="B3346">
        <v>0.99334974765950101</v>
      </c>
      <c r="C3346">
        <v>1.00829798941522</v>
      </c>
      <c r="D3346">
        <v>1.0166847170908</v>
      </c>
      <c r="E3346">
        <v>0.92137972687087399</v>
      </c>
      <c r="F3346">
        <v>0.940027004797512</v>
      </c>
      <c r="G3346">
        <v>0.81703486627570499</v>
      </c>
      <c r="H3346">
        <v>0.66597167800693202</v>
      </c>
      <c r="I3346">
        <v>0.699829411313028</v>
      </c>
      <c r="J3346">
        <v>0.53941084432933195</v>
      </c>
      <c r="K3346">
        <v>0.424090520586</v>
      </c>
      <c r="L3346">
        <v>557.52035868974997</v>
      </c>
      <c r="M3346">
        <v>8.1801204496565791</v>
      </c>
      <c r="N3346">
        <v>68.155519463321497</v>
      </c>
      <c r="O3346">
        <v>64.445708657258805</v>
      </c>
      <c r="P3346">
        <v>-3.17656184116216E-2</v>
      </c>
      <c r="Q3346">
        <v>0</v>
      </c>
      <c r="R3346">
        <v>0.96961759631456201</v>
      </c>
      <c r="S3346" t="s">
        <v>9207</v>
      </c>
      <c r="T3346" t="s">
        <v>11720</v>
      </c>
      <c r="U3346" t="s">
        <v>11720</v>
      </c>
      <c r="V3346" t="s">
        <v>11720</v>
      </c>
      <c r="W3346" t="s">
        <v>15017</v>
      </c>
      <c r="X3346">
        <v>27</v>
      </c>
      <c r="Y3346" t="s">
        <v>20741</v>
      </c>
      <c r="Z3346" t="s">
        <v>26553</v>
      </c>
      <c r="AA3346">
        <v>0.81601557365851085</v>
      </c>
      <c r="AB3346" t="str">
        <f>HYPERLINK("Melting_Curves/meltCurve_Q16610_ECM1.pdf", "Melting_Curves/meltCurve_Q16610_ECM1.pdf")</f>
        <v>Melting_Curves/meltCurve_Q16610_ECM1.pdf</v>
      </c>
    </row>
    <row r="3347" spans="1:28" x14ac:dyDescent="0.25">
      <c r="A3347" t="s">
        <v>3351</v>
      </c>
      <c r="B3347">
        <v>0.99334974765950101</v>
      </c>
      <c r="C3347">
        <v>0.79411079997582501</v>
      </c>
      <c r="D3347">
        <v>0.68137814211385594</v>
      </c>
      <c r="E3347">
        <v>0.56552982957405695</v>
      </c>
      <c r="F3347">
        <v>0.18342435620623601</v>
      </c>
      <c r="G3347">
        <v>5.1634956530172603E-2</v>
      </c>
      <c r="H3347">
        <v>4.9310737493804498E-2</v>
      </c>
      <c r="I3347">
        <v>0</v>
      </c>
      <c r="J3347">
        <v>0</v>
      </c>
      <c r="K3347">
        <v>0</v>
      </c>
      <c r="L3347">
        <v>708.63815714397003</v>
      </c>
      <c r="M3347">
        <v>14.4844280748099</v>
      </c>
      <c r="N3347">
        <v>48.924137856320797</v>
      </c>
      <c r="O3347">
        <v>48.019949320323498</v>
      </c>
      <c r="P3347">
        <v>-7.5417121811340498E-2</v>
      </c>
      <c r="Q3347">
        <v>0</v>
      </c>
      <c r="R3347">
        <v>0.96999127679223596</v>
      </c>
      <c r="S3347" t="s">
        <v>9208</v>
      </c>
      <c r="T3347" t="s">
        <v>11720</v>
      </c>
      <c r="U3347" t="s">
        <v>11720</v>
      </c>
      <c r="V3347" t="s">
        <v>11720</v>
      </c>
      <c r="W3347" t="s">
        <v>15018</v>
      </c>
      <c r="X3347">
        <v>3</v>
      </c>
      <c r="Y3347" t="s">
        <v>20742</v>
      </c>
      <c r="Z3347" t="s">
        <v>26554</v>
      </c>
      <c r="AA3347">
        <v>0.32389974395493881</v>
      </c>
      <c r="AB3347" t="str">
        <f>HYPERLINK("Melting_Curves/meltCurve_Q16619_2_CTF1.pdf", "Melting_Curves/meltCurve_Q16619_2_CTF1.pdf")</f>
        <v>Melting_Curves/meltCurve_Q16619_2_CTF1.pdf</v>
      </c>
    </row>
    <row r="3348" spans="1:28" x14ac:dyDescent="0.25">
      <c r="A3348" t="s">
        <v>3352</v>
      </c>
      <c r="B3348">
        <v>0.99334974765950101</v>
      </c>
      <c r="C3348">
        <v>0.84038057197454297</v>
      </c>
      <c r="D3348">
        <v>0.85396570658399396</v>
      </c>
      <c r="E3348">
        <v>0.72022248369670305</v>
      </c>
      <c r="F3348">
        <v>0.78824539555478701</v>
      </c>
      <c r="G3348">
        <v>0.57499142924284397</v>
      </c>
      <c r="H3348">
        <v>0.51395546758421695</v>
      </c>
      <c r="I3348">
        <v>0.57490034750836405</v>
      </c>
      <c r="J3348">
        <v>0.64759662096367498</v>
      </c>
      <c r="K3348">
        <v>0.52742586532967095</v>
      </c>
      <c r="L3348">
        <v>453.54706759661099</v>
      </c>
      <c r="M3348">
        <v>9.1938023547032692</v>
      </c>
      <c r="O3348">
        <v>47.166201508831797</v>
      </c>
      <c r="P3348">
        <v>-2.3327890044228399E-2</v>
      </c>
      <c r="Q3348">
        <v>0.521612095307456</v>
      </c>
      <c r="R3348">
        <v>0.85491424737641697</v>
      </c>
      <c r="S3348" t="s">
        <v>9209</v>
      </c>
      <c r="T3348" t="s">
        <v>11720</v>
      </c>
      <c r="U3348" t="s">
        <v>11720</v>
      </c>
      <c r="V3348" t="s">
        <v>11720</v>
      </c>
      <c r="W3348" t="s">
        <v>15019</v>
      </c>
      <c r="X3348">
        <v>2</v>
      </c>
      <c r="Y3348" t="s">
        <v>20743</v>
      </c>
      <c r="Z3348" t="s">
        <v>26555</v>
      </c>
      <c r="AA3348">
        <v>0.69605707762508218</v>
      </c>
      <c r="AB3348" t="str">
        <f>HYPERLINK("Melting_Curves/meltCurve_Q16625_5_OCLN.pdf", "Melting_Curves/meltCurve_Q16625_5_OCLN.pdf")</f>
        <v>Melting_Curves/meltCurve_Q16625_5_OCLN.pdf</v>
      </c>
    </row>
    <row r="3349" spans="1:28" x14ac:dyDescent="0.25">
      <c r="A3349" t="s">
        <v>3353</v>
      </c>
      <c r="B3349">
        <v>0.99334974765950101</v>
      </c>
      <c r="C3349">
        <v>0.98541891225768197</v>
      </c>
      <c r="D3349">
        <v>0.99647224994763695</v>
      </c>
      <c r="E3349">
        <v>0.88396033038426902</v>
      </c>
      <c r="F3349">
        <v>0.96120699840477097</v>
      </c>
      <c r="G3349">
        <v>0.78167723458912397</v>
      </c>
      <c r="H3349">
        <v>0.57545322004534805</v>
      </c>
      <c r="I3349">
        <v>1.04172895724078</v>
      </c>
      <c r="J3349">
        <v>1.44447796380539</v>
      </c>
      <c r="K3349">
        <v>1.41761765251218</v>
      </c>
      <c r="L3349">
        <v>15000</v>
      </c>
      <c r="M3349">
        <v>232.142581931834</v>
      </c>
      <c r="O3349">
        <v>64.610665806385896</v>
      </c>
      <c r="P3349">
        <v>0.38722949024455</v>
      </c>
      <c r="Q3349">
        <v>1.43109979909487</v>
      </c>
      <c r="R3349">
        <v>0.60481534364510203</v>
      </c>
      <c r="S3349" t="s">
        <v>9210</v>
      </c>
      <c r="T3349" t="s">
        <v>11720</v>
      </c>
      <c r="U3349" t="s">
        <v>11720</v>
      </c>
      <c r="V3349" t="s">
        <v>11720</v>
      </c>
      <c r="W3349" t="s">
        <v>15020</v>
      </c>
      <c r="X3349">
        <v>2</v>
      </c>
      <c r="Y3349" t="s">
        <v>20744</v>
      </c>
      <c r="Z3349" t="s">
        <v>26556</v>
      </c>
      <c r="AA3349">
        <v>1.0773190875884331</v>
      </c>
      <c r="AB3349" t="str">
        <f>HYPERLINK("Melting_Curves/meltCurve_Q16626_MEA1.pdf", "Melting_Curves/meltCurve_Q16626_MEA1.pdf")</f>
        <v>Melting_Curves/meltCurve_Q16626_MEA1.pdf</v>
      </c>
    </row>
    <row r="3350" spans="1:28" x14ac:dyDescent="0.25">
      <c r="A3350" t="s">
        <v>3354</v>
      </c>
      <c r="B3350">
        <v>0.99334974765950101</v>
      </c>
      <c r="C3350">
        <v>0.98193416372178299</v>
      </c>
      <c r="D3350">
        <v>0.87935704457502994</v>
      </c>
      <c r="E3350">
        <v>0.90267280749279</v>
      </c>
      <c r="F3350">
        <v>0.66853735357928901</v>
      </c>
      <c r="G3350">
        <v>0.422224343124182</v>
      </c>
      <c r="H3350">
        <v>0.35892052691937798</v>
      </c>
      <c r="I3350">
        <v>0.47605792083648002</v>
      </c>
      <c r="J3350">
        <v>0.89383345389248003</v>
      </c>
      <c r="K3350">
        <v>1.6563758684271399</v>
      </c>
      <c r="L3350">
        <v>1298.45695211884</v>
      </c>
      <c r="M3350">
        <v>27.736788825990299</v>
      </c>
      <c r="O3350">
        <v>46.5722176052275</v>
      </c>
      <c r="P3350">
        <v>-3.5906397133504298E-2</v>
      </c>
      <c r="Q3350">
        <v>0.75884365410927901</v>
      </c>
      <c r="R3350">
        <v>6.4298878519579106E-2</v>
      </c>
      <c r="S3350" t="s">
        <v>9211</v>
      </c>
      <c r="T3350" t="s">
        <v>11720</v>
      </c>
      <c r="U3350" t="s">
        <v>11720</v>
      </c>
      <c r="V3350" t="s">
        <v>11720</v>
      </c>
      <c r="W3350" t="s">
        <v>15021</v>
      </c>
      <c r="X3350">
        <v>32</v>
      </c>
      <c r="Y3350" t="s">
        <v>20745</v>
      </c>
      <c r="Z3350" t="s">
        <v>26557</v>
      </c>
      <c r="AA3350">
        <v>0.81533294559912584</v>
      </c>
      <c r="AB3350" t="str">
        <f>HYPERLINK("Melting_Curves/meltCurve_Q16643_DBN1.pdf", "Melting_Curves/meltCurve_Q16643_DBN1.pdf")</f>
        <v>Melting_Curves/meltCurve_Q16643_DBN1.pdf</v>
      </c>
    </row>
    <row r="3351" spans="1:28" x14ac:dyDescent="0.25">
      <c r="A3351" t="s">
        <v>3355</v>
      </c>
      <c r="B3351">
        <v>0.99334974765950101</v>
      </c>
      <c r="C3351">
        <v>0.961413090600447</v>
      </c>
      <c r="D3351">
        <v>0.76164138938996095</v>
      </c>
      <c r="E3351">
        <v>0.42988592652468399</v>
      </c>
      <c r="F3351">
        <v>0.28228618474845302</v>
      </c>
      <c r="G3351">
        <v>0.14789632515557999</v>
      </c>
      <c r="H3351">
        <v>0.117346665575722</v>
      </c>
      <c r="I3351">
        <v>0.107721219362083</v>
      </c>
      <c r="J3351">
        <v>0.125693020705889</v>
      </c>
      <c r="K3351">
        <v>8.3898086788324597E-2</v>
      </c>
      <c r="L3351">
        <v>916.24660689191796</v>
      </c>
      <c r="M3351">
        <v>18.823520455448399</v>
      </c>
      <c r="N3351">
        <v>49.262591260685198</v>
      </c>
      <c r="O3351">
        <v>48.136237977294797</v>
      </c>
      <c r="P3351">
        <v>-8.7944605461345499E-2</v>
      </c>
      <c r="Q3351">
        <v>0.10045568988246301</v>
      </c>
      <c r="R3351">
        <v>0.99799071874651102</v>
      </c>
      <c r="S3351" t="s">
        <v>9212</v>
      </c>
      <c r="T3351" t="s">
        <v>11720</v>
      </c>
      <c r="U3351" t="s">
        <v>11720</v>
      </c>
      <c r="V3351" t="s">
        <v>11720</v>
      </c>
      <c r="W3351" t="s">
        <v>15022</v>
      </c>
      <c r="X3351">
        <v>8</v>
      </c>
      <c r="Y3351" t="s">
        <v>20746</v>
      </c>
      <c r="Z3351" t="s">
        <v>26558</v>
      </c>
      <c r="AA3351">
        <v>0.3749124024278801</v>
      </c>
      <c r="AB3351" t="str">
        <f>HYPERLINK("Melting_Curves/meltCurve_Q16644_MAPKAPK3.pdf", "Melting_Curves/meltCurve_Q16644_MAPKAPK3.pdf")</f>
        <v>Melting_Curves/meltCurve_Q16644_MAPKAPK3.pdf</v>
      </c>
    </row>
    <row r="3352" spans="1:28" x14ac:dyDescent="0.25">
      <c r="A3352" t="s">
        <v>3356</v>
      </c>
      <c r="B3352">
        <v>0.99334974765950101</v>
      </c>
      <c r="C3352">
        <v>0.92550208430677405</v>
      </c>
      <c r="D3352">
        <v>0.936949579504745</v>
      </c>
      <c r="E3352">
        <v>0.82000570210801604</v>
      </c>
      <c r="F3352">
        <v>0.64142116319715103</v>
      </c>
      <c r="G3352">
        <v>0.326877451779509</v>
      </c>
      <c r="H3352">
        <v>0.10847412348047</v>
      </c>
      <c r="I3352">
        <v>7.0978709314088395E-2</v>
      </c>
      <c r="J3352">
        <v>6.1114881747465197E-2</v>
      </c>
      <c r="K3352">
        <v>6.2059184887760903E-2</v>
      </c>
      <c r="L3352">
        <v>967.24711665718496</v>
      </c>
      <c r="M3352">
        <v>17.792031114280601</v>
      </c>
      <c r="N3352">
        <v>54.489008559036698</v>
      </c>
      <c r="O3352">
        <v>53.691247381714199</v>
      </c>
      <c r="P3352">
        <v>-8.1192475535270897E-2</v>
      </c>
      <c r="Q3352">
        <v>1.9988229229745701E-2</v>
      </c>
      <c r="R3352">
        <v>0.99484562895741702</v>
      </c>
      <c r="S3352" t="s">
        <v>9213</v>
      </c>
      <c r="T3352" t="s">
        <v>11720</v>
      </c>
      <c r="U3352" t="s">
        <v>11720</v>
      </c>
      <c r="V3352" t="s">
        <v>11720</v>
      </c>
      <c r="W3352" t="s">
        <v>15023</v>
      </c>
      <c r="X3352">
        <v>13</v>
      </c>
      <c r="Y3352" t="s">
        <v>20747</v>
      </c>
      <c r="Z3352" t="s">
        <v>26559</v>
      </c>
      <c r="AA3352">
        <v>0.50499116289652968</v>
      </c>
      <c r="AB3352" t="str">
        <f>HYPERLINK("Melting_Curves/meltCurve_Q16647_PTGIS.pdf", "Melting_Curves/meltCurve_Q16647_PTGIS.pdf")</f>
        <v>Melting_Curves/meltCurve_Q16647_PTGIS.pdf</v>
      </c>
    </row>
    <row r="3353" spans="1:28" x14ac:dyDescent="0.25">
      <c r="A3353" t="s">
        <v>3357</v>
      </c>
      <c r="B3353">
        <v>0.99334974765950101</v>
      </c>
      <c r="C3353">
        <v>0.97990486448279401</v>
      </c>
      <c r="D3353">
        <v>0.93788643519521198</v>
      </c>
      <c r="E3353">
        <v>0.81202759211522901</v>
      </c>
      <c r="F3353">
        <v>0.579624997542178</v>
      </c>
      <c r="G3353">
        <v>0.19179255503880799</v>
      </c>
      <c r="H3353">
        <v>0.106830058832992</v>
      </c>
      <c r="I3353">
        <v>7.9081722009671798E-2</v>
      </c>
      <c r="J3353">
        <v>7.2427426135867501E-2</v>
      </c>
      <c r="K3353">
        <v>5.7172076982785203E-2</v>
      </c>
      <c r="L3353">
        <v>1222.6246976324101</v>
      </c>
      <c r="M3353">
        <v>22.972277370417501</v>
      </c>
      <c r="N3353">
        <v>53.4927906162876</v>
      </c>
      <c r="O3353">
        <v>52.823363973952802</v>
      </c>
      <c r="P3353">
        <v>-0.10275086434045801</v>
      </c>
      <c r="Q3353">
        <v>5.4940158321203199E-2</v>
      </c>
      <c r="R3353">
        <v>0.99752487927121702</v>
      </c>
      <c r="S3353" t="s">
        <v>9214</v>
      </c>
      <c r="T3353" t="s">
        <v>11720</v>
      </c>
      <c r="U3353" t="s">
        <v>11720</v>
      </c>
      <c r="V3353" t="s">
        <v>11720</v>
      </c>
      <c r="W3353" t="s">
        <v>15024</v>
      </c>
      <c r="X3353">
        <v>42</v>
      </c>
      <c r="Y3353" t="s">
        <v>20748</v>
      </c>
      <c r="Z3353" t="s">
        <v>26560</v>
      </c>
      <c r="AA3353">
        <v>0.48163114443279692</v>
      </c>
      <c r="AB3353" t="str">
        <f>HYPERLINK("Melting_Curves/meltCurve_Q16658_FSCN1.pdf", "Melting_Curves/meltCurve_Q16658_FSCN1.pdf")</f>
        <v>Melting_Curves/meltCurve_Q16658_FSCN1.pdf</v>
      </c>
    </row>
    <row r="3354" spans="1:28" x14ac:dyDescent="0.25">
      <c r="A3354" t="s">
        <v>3358</v>
      </c>
      <c r="B3354">
        <v>0.99334974765950101</v>
      </c>
      <c r="C3354">
        <v>0.98169392287965096</v>
      </c>
      <c r="D3354">
        <v>1.1044231592282201</v>
      </c>
      <c r="E3354">
        <v>1.0948547705331499</v>
      </c>
      <c r="F3354">
        <v>0.96610177756876703</v>
      </c>
      <c r="G3354">
        <v>0.34475105689612501</v>
      </c>
      <c r="H3354">
        <v>0.17764770836607399</v>
      </c>
      <c r="I3354">
        <v>0.148948205907172</v>
      </c>
      <c r="J3354">
        <v>0.144238774118467</v>
      </c>
      <c r="K3354">
        <v>0.12491793711273599</v>
      </c>
      <c r="L3354">
        <v>3320.23284883626</v>
      </c>
      <c r="M3354">
        <v>59.43995539945</v>
      </c>
      <c r="N3354">
        <v>56.188050666314702</v>
      </c>
      <c r="O3354">
        <v>55.7954816105348</v>
      </c>
      <c r="P3354">
        <v>-0.22714428476625401</v>
      </c>
      <c r="Q3354">
        <v>0.14713130205514099</v>
      </c>
      <c r="R3354">
        <v>0.98811185925465805</v>
      </c>
      <c r="S3354" t="s">
        <v>9215</v>
      </c>
      <c r="T3354" t="s">
        <v>11720</v>
      </c>
      <c r="U3354" t="s">
        <v>11720</v>
      </c>
      <c r="V3354" t="s">
        <v>11720</v>
      </c>
      <c r="W3354" t="s">
        <v>15025</v>
      </c>
      <c r="X3354">
        <v>26</v>
      </c>
      <c r="Y3354" t="s">
        <v>20749</v>
      </c>
      <c r="Z3354" t="s">
        <v>26561</v>
      </c>
      <c r="AA3354">
        <v>0.59945906973202767</v>
      </c>
      <c r="AB3354" t="str">
        <f>HYPERLINK("Melting_Curves/meltCurve_Q16706_MAN2A1.pdf", "Melting_Curves/meltCurve_Q16706_MAN2A1.pdf")</f>
        <v>Melting_Curves/meltCurve_Q16706_MAN2A1.pdf</v>
      </c>
    </row>
    <row r="3355" spans="1:28" x14ac:dyDescent="0.25">
      <c r="A3355" t="s">
        <v>3359</v>
      </c>
      <c r="B3355">
        <v>0.99334974765950101</v>
      </c>
      <c r="C3355">
        <v>0.87880620763155604</v>
      </c>
      <c r="D3355">
        <v>0.79901597328225005</v>
      </c>
      <c r="E3355">
        <v>1.0488926745556699</v>
      </c>
      <c r="F3355">
        <v>1.0785603586438699</v>
      </c>
      <c r="G3355">
        <v>1.0193194817850899</v>
      </c>
      <c r="H3355">
        <v>1.0271988778191401</v>
      </c>
      <c r="I3355">
        <v>0.64537169717438703</v>
      </c>
      <c r="J3355">
        <v>0.62540114523011903</v>
      </c>
      <c r="K3355">
        <v>0.47916078356519198</v>
      </c>
      <c r="L3355">
        <v>15000</v>
      </c>
      <c r="M3355">
        <v>235.712312641262</v>
      </c>
      <c r="O3355">
        <v>63.632315474773499</v>
      </c>
      <c r="P3355">
        <v>-0.41462461064719702</v>
      </c>
      <c r="Q3355">
        <v>0.55227584582020195</v>
      </c>
      <c r="R3355">
        <v>0.81348999044605896</v>
      </c>
      <c r="S3355" t="s">
        <v>9216</v>
      </c>
      <c r="T3355" t="s">
        <v>11720</v>
      </c>
      <c r="U3355" t="s">
        <v>11720</v>
      </c>
      <c r="V3355" t="s">
        <v>11720</v>
      </c>
      <c r="W3355" t="s">
        <v>15026</v>
      </c>
      <c r="X3355">
        <v>4</v>
      </c>
      <c r="Y3355" t="s">
        <v>20750</v>
      </c>
      <c r="Z3355" t="s">
        <v>26562</v>
      </c>
      <c r="AA3355">
        <v>0.90509240921162493</v>
      </c>
      <c r="AB3355" t="str">
        <f>HYPERLINK("Melting_Curves/meltCurve_Q16718_NDUFA5.pdf", "Melting_Curves/meltCurve_Q16718_NDUFA5.pdf")</f>
        <v>Melting_Curves/meltCurve_Q16718_NDUFA5.pdf</v>
      </c>
    </row>
    <row r="3356" spans="1:28" x14ac:dyDescent="0.25">
      <c r="A3356" t="s">
        <v>3360</v>
      </c>
      <c r="B3356">
        <v>0.99334974765950101</v>
      </c>
      <c r="C3356">
        <v>1.0597320121929901</v>
      </c>
      <c r="D3356">
        <v>1.0333954415144999</v>
      </c>
      <c r="E3356">
        <v>1.2121484429282301</v>
      </c>
      <c r="F3356">
        <v>0.89918253719305097</v>
      </c>
      <c r="G3356">
        <v>0.55550806382615103</v>
      </c>
      <c r="H3356">
        <v>0.29563596075267201</v>
      </c>
      <c r="I3356">
        <v>0.23642511346718201</v>
      </c>
      <c r="J3356">
        <v>0.13547913724124999</v>
      </c>
      <c r="K3356">
        <v>0.12928782582426199</v>
      </c>
      <c r="L3356">
        <v>1695.0444246248401</v>
      </c>
      <c r="M3356">
        <v>29.726498616913499</v>
      </c>
      <c r="N3356">
        <v>57.755289814639703</v>
      </c>
      <c r="O3356">
        <v>56.765146179584498</v>
      </c>
      <c r="P3356">
        <v>-0.110325268259856</v>
      </c>
      <c r="Q3356">
        <v>0.15730572007420601</v>
      </c>
      <c r="R3356">
        <v>0.96262746661833398</v>
      </c>
      <c r="S3356" t="s">
        <v>9217</v>
      </c>
      <c r="T3356" t="s">
        <v>11720</v>
      </c>
      <c r="U3356" t="s">
        <v>11720</v>
      </c>
      <c r="V3356" t="s">
        <v>11720</v>
      </c>
      <c r="W3356" t="s">
        <v>15027</v>
      </c>
      <c r="X3356">
        <v>14</v>
      </c>
      <c r="Y3356" t="s">
        <v>20751</v>
      </c>
      <c r="Z3356" t="s">
        <v>26563</v>
      </c>
      <c r="AA3356">
        <v>0.64113309760117099</v>
      </c>
      <c r="AB3356" t="str">
        <f>HYPERLINK("Melting_Curves/meltCurve_Q16720_8_ATP2B3.pdf", "Melting_Curves/meltCurve_Q16720_8_ATP2B3.pdf")</f>
        <v>Melting_Curves/meltCurve_Q16720_8_ATP2B3.pdf</v>
      </c>
    </row>
    <row r="3357" spans="1:28" x14ac:dyDescent="0.25">
      <c r="A3357" t="s">
        <v>3361</v>
      </c>
      <c r="B3357">
        <v>0.99334974765950101</v>
      </c>
      <c r="C3357">
        <v>0.96529766635463399</v>
      </c>
      <c r="D3357">
        <v>1.0362859708420999</v>
      </c>
      <c r="E3357">
        <v>0.98719404349355</v>
      </c>
      <c r="F3357">
        <v>1.03623943586697</v>
      </c>
      <c r="G3357">
        <v>0.67766167735566096</v>
      </c>
      <c r="H3357">
        <v>0.29521556018450601</v>
      </c>
      <c r="I3357">
        <v>0.15005650029054901</v>
      </c>
      <c r="J3357">
        <v>0.12707409265303199</v>
      </c>
      <c r="K3357">
        <v>9.9817084958805397E-2</v>
      </c>
      <c r="L3357">
        <v>1899.0466160870201</v>
      </c>
      <c r="M3357">
        <v>32.622451924039098</v>
      </c>
      <c r="N3357">
        <v>58.658089650256699</v>
      </c>
      <c r="O3357">
        <v>57.995433894995003</v>
      </c>
      <c r="P3357">
        <v>-0.125203847745396</v>
      </c>
      <c r="Q3357">
        <v>0.109666243792477</v>
      </c>
      <c r="R3357">
        <v>0.99428446753348398</v>
      </c>
      <c r="S3357" t="s">
        <v>9218</v>
      </c>
      <c r="T3357" t="s">
        <v>11720</v>
      </c>
      <c r="U3357" t="s">
        <v>11720</v>
      </c>
      <c r="V3357" t="s">
        <v>11720</v>
      </c>
      <c r="W3357" t="s">
        <v>15028</v>
      </c>
      <c r="X3357">
        <v>10</v>
      </c>
      <c r="Y3357" t="s">
        <v>20752</v>
      </c>
      <c r="Z3357" t="s">
        <v>26564</v>
      </c>
      <c r="AA3357">
        <v>0.65525556750724623</v>
      </c>
      <c r="AB3357" t="str">
        <f>HYPERLINK("Melting_Curves/meltCurve_Q16740_CLPP.pdf", "Melting_Curves/meltCurve_Q16740_CLPP.pdf")</f>
        <v>Melting_Curves/meltCurve_Q16740_CLPP.pdf</v>
      </c>
    </row>
    <row r="3358" spans="1:28" x14ac:dyDescent="0.25">
      <c r="A3358" t="s">
        <v>3362</v>
      </c>
      <c r="B3358">
        <v>0.99334974765950101</v>
      </c>
      <c r="C3358">
        <v>0.80232291726014704</v>
      </c>
      <c r="D3358">
        <v>0.28439037665456501</v>
      </c>
      <c r="E3358">
        <v>0.14972873154552899</v>
      </c>
      <c r="F3358">
        <v>0.11860188045789501</v>
      </c>
      <c r="G3358">
        <v>7.9488061807566401E-2</v>
      </c>
      <c r="H3358">
        <v>4.6540997841554098E-2</v>
      </c>
      <c r="I3358">
        <v>3.7052338627787999E-2</v>
      </c>
      <c r="J3358">
        <v>3.5582732883853899E-2</v>
      </c>
      <c r="K3358">
        <v>2.9843531676013599E-2</v>
      </c>
      <c r="L3358">
        <v>1489.1311199425199</v>
      </c>
      <c r="M3358">
        <v>33.448329386540202</v>
      </c>
      <c r="N3358">
        <v>44.706489290577601</v>
      </c>
      <c r="O3358">
        <v>44.362113099780302</v>
      </c>
      <c r="P3358">
        <v>-0.17624391280259399</v>
      </c>
      <c r="Q3358">
        <v>6.50033145582887E-2</v>
      </c>
      <c r="R3358">
        <v>0.99067136217307294</v>
      </c>
      <c r="S3358" t="s">
        <v>9219</v>
      </c>
      <c r="T3358" t="s">
        <v>11720</v>
      </c>
      <c r="U3358" t="s">
        <v>11720</v>
      </c>
      <c r="V3358" t="s">
        <v>11720</v>
      </c>
      <c r="W3358" t="s">
        <v>15029</v>
      </c>
      <c r="X3358">
        <v>12</v>
      </c>
      <c r="Y3358" t="s">
        <v>20753</v>
      </c>
      <c r="Z3358" t="s">
        <v>26565</v>
      </c>
      <c r="AA3358">
        <v>0.2107361731323168</v>
      </c>
      <c r="AB3358" t="str">
        <f>HYPERLINK("Melting_Curves/meltCurve_Q16762_TST.pdf", "Melting_Curves/meltCurve_Q16762_TST.pdf")</f>
        <v>Melting_Curves/meltCurve_Q16762_TST.pdf</v>
      </c>
    </row>
    <row r="3359" spans="1:28" x14ac:dyDescent="0.25">
      <c r="A3359" t="s">
        <v>3363</v>
      </c>
      <c r="B3359">
        <v>0.99334974765950101</v>
      </c>
      <c r="C3359">
        <v>0.97649690611528095</v>
      </c>
      <c r="D3359">
        <v>0.84147891613668702</v>
      </c>
      <c r="E3359">
        <v>0.673072267066541</v>
      </c>
      <c r="F3359">
        <v>0.760344546237122</v>
      </c>
      <c r="G3359">
        <v>0.51071029772089704</v>
      </c>
      <c r="H3359">
        <v>0.37375230487718503</v>
      </c>
      <c r="I3359">
        <v>0.28181065471793998</v>
      </c>
      <c r="J3359">
        <v>0.20577445170001701</v>
      </c>
      <c r="K3359">
        <v>0.18784390390353001</v>
      </c>
      <c r="L3359">
        <v>472.79844239690902</v>
      </c>
      <c r="M3359">
        <v>8.2664324509784706</v>
      </c>
      <c r="N3359">
        <v>57.194996860101199</v>
      </c>
      <c r="O3359">
        <v>54.140852456319799</v>
      </c>
      <c r="P3359">
        <v>-3.8209146172172297E-2</v>
      </c>
      <c r="Q3359">
        <v>0</v>
      </c>
      <c r="R3359">
        <v>0.97300436213277297</v>
      </c>
      <c r="S3359" t="s">
        <v>9220</v>
      </c>
      <c r="T3359" t="s">
        <v>11720</v>
      </c>
      <c r="U3359" t="s">
        <v>11720</v>
      </c>
      <c r="V3359" t="s">
        <v>11720</v>
      </c>
      <c r="W3359" t="s">
        <v>15030</v>
      </c>
      <c r="X3359">
        <v>19</v>
      </c>
      <c r="Y3359" t="s">
        <v>20754</v>
      </c>
      <c r="Z3359" t="s">
        <v>26566</v>
      </c>
      <c r="AA3359">
        <v>0.58436803269124771</v>
      </c>
      <c r="AB3359" t="str">
        <f>HYPERLINK("Melting_Curves/meltCurve_Q16775_2_HAGH.pdf", "Melting_Curves/meltCurve_Q16775_2_HAGH.pdf")</f>
        <v>Melting_Curves/meltCurve_Q16775_2_HAGH.pdf</v>
      </c>
    </row>
    <row r="3360" spans="1:28" x14ac:dyDescent="0.25">
      <c r="A3360" t="s">
        <v>3364</v>
      </c>
      <c r="B3360">
        <v>0.99334974765950101</v>
      </c>
      <c r="C3360">
        <v>1.0735515362950301</v>
      </c>
      <c r="D3360">
        <v>0.99024208446440698</v>
      </c>
      <c r="E3360">
        <v>0.90981642755424996</v>
      </c>
      <c r="F3360">
        <v>0.82145810719939905</v>
      </c>
      <c r="G3360">
        <v>0.695590628838195</v>
      </c>
      <c r="H3360">
        <v>0.62125200762169497</v>
      </c>
      <c r="I3360">
        <v>1.0851166345107199</v>
      </c>
      <c r="J3360">
        <v>0.59680769476344497</v>
      </c>
      <c r="K3360">
        <v>0.60189536843441604</v>
      </c>
      <c r="L3360">
        <v>1582.50213419704</v>
      </c>
      <c r="M3360">
        <v>30.718077508077101</v>
      </c>
      <c r="O3360">
        <v>51.300096997722299</v>
      </c>
      <c r="P3360">
        <v>-4.2049132361054897E-2</v>
      </c>
      <c r="Q3360">
        <v>0.71910841479140697</v>
      </c>
      <c r="R3360">
        <v>0.48729923039131201</v>
      </c>
      <c r="S3360" t="s">
        <v>9221</v>
      </c>
      <c r="T3360" t="s">
        <v>11720</v>
      </c>
      <c r="U3360" t="s">
        <v>11720</v>
      </c>
      <c r="V3360" t="s">
        <v>11720</v>
      </c>
      <c r="W3360" t="s">
        <v>15031</v>
      </c>
      <c r="X3360">
        <v>6</v>
      </c>
      <c r="Y3360" t="s">
        <v>20755</v>
      </c>
      <c r="Z3360" t="s">
        <v>26567</v>
      </c>
      <c r="AA3360">
        <v>0.82864130392914925</v>
      </c>
      <c r="AB3360" t="str">
        <f>HYPERLINK("Melting_Curves/meltCurve_Q16799_RTN1.pdf", "Melting_Curves/meltCurve_Q16799_RTN1.pdf")</f>
        <v>Melting_Curves/meltCurve_Q16799_RTN1.pdf</v>
      </c>
    </row>
    <row r="3361" spans="1:28" x14ac:dyDescent="0.25">
      <c r="A3361" t="s">
        <v>3365</v>
      </c>
      <c r="B3361">
        <v>0.99334974765950101</v>
      </c>
      <c r="C3361">
        <v>0.93088920556383903</v>
      </c>
      <c r="D3361">
        <v>0.942551123491709</v>
      </c>
      <c r="E3361">
        <v>0.70718378000725501</v>
      </c>
      <c r="F3361">
        <v>0.32270362304674899</v>
      </c>
      <c r="G3361">
        <v>0.111949897748545</v>
      </c>
      <c r="H3361">
        <v>8.0393989153530299E-2</v>
      </c>
      <c r="I3361">
        <v>6.4781209316627703E-2</v>
      </c>
      <c r="J3361">
        <v>5.3191811591804701E-2</v>
      </c>
      <c r="K3361">
        <v>4.4374843909864903E-2</v>
      </c>
      <c r="L3361">
        <v>1405.02522338425</v>
      </c>
      <c r="M3361">
        <v>27.375156636648502</v>
      </c>
      <c r="N3361">
        <v>51.542971307434797</v>
      </c>
      <c r="O3361">
        <v>51.053283210607901</v>
      </c>
      <c r="P3361">
        <v>-0.12672124577827201</v>
      </c>
      <c r="Q3361">
        <v>5.4693885238565498E-2</v>
      </c>
      <c r="R3361">
        <v>0.99659051812339305</v>
      </c>
      <c r="S3361" t="s">
        <v>9222</v>
      </c>
      <c r="T3361" t="s">
        <v>11720</v>
      </c>
      <c r="U3361" t="s">
        <v>11720</v>
      </c>
      <c r="V3361" t="s">
        <v>11720</v>
      </c>
      <c r="W3361" t="s">
        <v>15032</v>
      </c>
      <c r="X3361">
        <v>39</v>
      </c>
      <c r="Y3361" t="s">
        <v>20756</v>
      </c>
      <c r="Z3361" t="s">
        <v>26568</v>
      </c>
      <c r="AA3361">
        <v>0.41871004087416153</v>
      </c>
      <c r="AB3361" t="str">
        <f>HYPERLINK("Melting_Curves/meltCurve_Q16822_PCK2.pdf", "Melting_Curves/meltCurve_Q16822_PCK2.pdf")</f>
        <v>Melting_Curves/meltCurve_Q16822_PCK2.pdf</v>
      </c>
    </row>
    <row r="3362" spans="1:28" x14ac:dyDescent="0.25">
      <c r="A3362" t="s">
        <v>3366</v>
      </c>
      <c r="B3362">
        <v>0.99334974765950101</v>
      </c>
      <c r="C3362">
        <v>0.94178590626481296</v>
      </c>
      <c r="D3362">
        <v>0.90669876501114399</v>
      </c>
      <c r="E3362">
        <v>0.83941727588312698</v>
      </c>
      <c r="F3362">
        <v>0.65657728548768002</v>
      </c>
      <c r="G3362">
        <v>0.567672459144138</v>
      </c>
      <c r="H3362">
        <v>0.35745125847822301</v>
      </c>
      <c r="I3362">
        <v>0.18936401670828501</v>
      </c>
      <c r="J3362">
        <v>0.119547728203047</v>
      </c>
      <c r="K3362">
        <v>8.9397442117110607E-2</v>
      </c>
      <c r="L3362">
        <v>646.71838814105604</v>
      </c>
      <c r="M3362">
        <v>11.3407519134603</v>
      </c>
      <c r="N3362">
        <v>57.0260588054674</v>
      </c>
      <c r="O3362">
        <v>55.339255995710502</v>
      </c>
      <c r="P3362">
        <v>-5.1248219818967003E-2</v>
      </c>
      <c r="Q3362">
        <v>0</v>
      </c>
      <c r="R3362">
        <v>0.98854996317753896</v>
      </c>
      <c r="S3362" t="s">
        <v>9223</v>
      </c>
      <c r="T3362" t="s">
        <v>11720</v>
      </c>
      <c r="U3362" t="s">
        <v>11720</v>
      </c>
      <c r="V3362" t="s">
        <v>11720</v>
      </c>
      <c r="W3362" t="s">
        <v>15033</v>
      </c>
      <c r="X3362">
        <v>5</v>
      </c>
      <c r="Y3362" t="s">
        <v>20757</v>
      </c>
      <c r="Z3362" t="s">
        <v>26569</v>
      </c>
      <c r="AA3362">
        <v>0.58413243038439855</v>
      </c>
      <c r="AB3362" t="str">
        <f>HYPERLINK("Melting_Curves/meltCurve_Q16831_UPP1.pdf", "Melting_Curves/meltCurve_Q16831_UPP1.pdf")</f>
        <v>Melting_Curves/meltCurve_Q16831_UPP1.pdf</v>
      </c>
    </row>
    <row r="3363" spans="1:28" x14ac:dyDescent="0.25">
      <c r="A3363" t="s">
        <v>3367</v>
      </c>
      <c r="B3363">
        <v>0.99334974765950101</v>
      </c>
      <c r="C3363">
        <v>0.87005732419038795</v>
      </c>
      <c r="D3363">
        <v>0.83223787356591095</v>
      </c>
      <c r="E3363">
        <v>0.36129060288366299</v>
      </c>
      <c r="F3363">
        <v>0.16566198990773701</v>
      </c>
      <c r="G3363">
        <v>0.101130576219654</v>
      </c>
      <c r="H3363">
        <v>7.4126683743660104E-2</v>
      </c>
      <c r="I3363">
        <v>6.7321866532364799E-2</v>
      </c>
      <c r="J3363">
        <v>5.8191555034179498E-2</v>
      </c>
      <c r="K3363">
        <v>4.91518729342117E-2</v>
      </c>
      <c r="L3363">
        <v>1113.48721068706</v>
      </c>
      <c r="M3363">
        <v>22.9571222085718</v>
      </c>
      <c r="N3363">
        <v>48.7678451915246</v>
      </c>
      <c r="O3363">
        <v>48.139362618518597</v>
      </c>
      <c r="P3363">
        <v>-0.11223469502311199</v>
      </c>
      <c r="Q3363">
        <v>5.8626558162582901E-2</v>
      </c>
      <c r="R3363">
        <v>0.99282890936353896</v>
      </c>
      <c r="S3363" t="s">
        <v>9224</v>
      </c>
      <c r="T3363" t="s">
        <v>11720</v>
      </c>
      <c r="U3363" t="s">
        <v>11720</v>
      </c>
      <c r="V3363" t="s">
        <v>11720</v>
      </c>
      <c r="W3363" t="s">
        <v>15034</v>
      </c>
      <c r="X3363">
        <v>15</v>
      </c>
      <c r="Y3363" t="s">
        <v>20758</v>
      </c>
      <c r="Z3363" t="s">
        <v>26570</v>
      </c>
      <c r="AA3363">
        <v>0.33538703265967118</v>
      </c>
      <c r="AB3363" t="str">
        <f>HYPERLINK("Melting_Curves/meltCurve_Q16832_DDR2.pdf", "Melting_Curves/meltCurve_Q16832_DDR2.pdf")</f>
        <v>Melting_Curves/meltCurve_Q16832_DDR2.pdf</v>
      </c>
    </row>
    <row r="3364" spans="1:28" x14ac:dyDescent="0.25">
      <c r="A3364" t="s">
        <v>3368</v>
      </c>
      <c r="B3364">
        <v>0.99334974765950101</v>
      </c>
      <c r="C3364">
        <v>0.87471964638477395</v>
      </c>
      <c r="D3364">
        <v>0.66863077066819099</v>
      </c>
      <c r="E3364">
        <v>0.251193558834301</v>
      </c>
      <c r="F3364">
        <v>0.134209325842886</v>
      </c>
      <c r="G3364">
        <v>7.2447123007856898E-2</v>
      </c>
      <c r="H3364">
        <v>5.5337836331436303E-2</v>
      </c>
      <c r="I3364">
        <v>5.1018352517674101E-2</v>
      </c>
      <c r="J3364">
        <v>4.2877716306506899E-2</v>
      </c>
      <c r="K3364">
        <v>3.3865204656478499E-2</v>
      </c>
      <c r="L3364">
        <v>1003.22947945439</v>
      </c>
      <c r="M3364">
        <v>21.2534310808743</v>
      </c>
      <c r="N3364">
        <v>47.403731609282602</v>
      </c>
      <c r="O3364">
        <v>46.791246607529096</v>
      </c>
      <c r="P3364">
        <v>-0.108675135331497</v>
      </c>
      <c r="Q3364">
        <v>4.2994065732087902E-2</v>
      </c>
      <c r="R3364">
        <v>0.998831467120459</v>
      </c>
      <c r="S3364" t="s">
        <v>9225</v>
      </c>
      <c r="T3364" t="s">
        <v>11720</v>
      </c>
      <c r="U3364" t="s">
        <v>11720</v>
      </c>
      <c r="V3364" t="s">
        <v>11720</v>
      </c>
      <c r="W3364" t="s">
        <v>15035</v>
      </c>
      <c r="X3364">
        <v>19</v>
      </c>
      <c r="Y3364" t="s">
        <v>20759</v>
      </c>
      <c r="Z3364" t="s">
        <v>26571</v>
      </c>
      <c r="AA3364">
        <v>0.28494149344574932</v>
      </c>
      <c r="AB3364" t="str">
        <f>HYPERLINK("Melting_Curves/meltCurve_Q16850_CYP51A1.pdf", "Melting_Curves/meltCurve_Q16850_CYP51A1.pdf")</f>
        <v>Melting_Curves/meltCurve_Q16850_CYP51A1.pdf</v>
      </c>
    </row>
    <row r="3365" spans="1:28" x14ac:dyDescent="0.25">
      <c r="A3365" t="s">
        <v>3369</v>
      </c>
      <c r="B3365">
        <v>0.99334974765950101</v>
      </c>
      <c r="C3365">
        <v>1.1524294289171799</v>
      </c>
      <c r="D3365">
        <v>1.4023360762706401</v>
      </c>
      <c r="E3365">
        <v>2.0042431326077002</v>
      </c>
      <c r="F3365">
        <v>3.5309315402288601</v>
      </c>
      <c r="G3365">
        <v>1.53742359769904</v>
      </c>
      <c r="H3365">
        <v>0.25624972018300801</v>
      </c>
      <c r="I3365">
        <v>0.20015287945907001</v>
      </c>
      <c r="J3365">
        <v>0.16945750875284399</v>
      </c>
      <c r="K3365">
        <v>0.136601523741848</v>
      </c>
      <c r="S3365" t="s">
        <v>9226</v>
      </c>
      <c r="T3365" t="s">
        <v>11720</v>
      </c>
      <c r="U3365" t="s">
        <v>11721</v>
      </c>
      <c r="V3365" t="s">
        <v>11720</v>
      </c>
      <c r="W3365" t="s">
        <v>15036</v>
      </c>
      <c r="X3365">
        <v>20</v>
      </c>
      <c r="Y3365" t="s">
        <v>20760</v>
      </c>
      <c r="Z3365" t="s">
        <v>26572</v>
      </c>
      <c r="AB3365" t="str">
        <f>HYPERLINK("Melting_Curves/meltCurve_Q16851_UGP2.pdf", "Melting_Curves/meltCurve_Q16851_UGP2.pdf")</f>
        <v>Melting_Curves/meltCurve_Q16851_UGP2.pdf</v>
      </c>
    </row>
    <row r="3366" spans="1:28" x14ac:dyDescent="0.25">
      <c r="A3366" t="s">
        <v>3370</v>
      </c>
      <c r="B3366">
        <v>0.99334974765950101</v>
      </c>
      <c r="C3366">
        <v>0.88757122378045505</v>
      </c>
      <c r="D3366">
        <v>0.79192610252345697</v>
      </c>
      <c r="E3366">
        <v>0.81936994114918404</v>
      </c>
      <c r="F3366">
        <v>0.67305868429603799</v>
      </c>
      <c r="G3366">
        <v>0.51315839676726505</v>
      </c>
      <c r="H3366">
        <v>0.334902967474353</v>
      </c>
      <c r="I3366">
        <v>0.38949931094971102</v>
      </c>
      <c r="J3366">
        <v>0.27289262515985802</v>
      </c>
      <c r="K3366">
        <v>0.19994343868707101</v>
      </c>
      <c r="L3366">
        <v>414.87342035323502</v>
      </c>
      <c r="M3366">
        <v>7.19354032217257</v>
      </c>
      <c r="N3366">
        <v>57.673027529405097</v>
      </c>
      <c r="O3366">
        <v>53.715691997143203</v>
      </c>
      <c r="P3366">
        <v>-3.3535849783432298E-2</v>
      </c>
      <c r="Q3366">
        <v>0</v>
      </c>
      <c r="R3366">
        <v>0.97071554122743198</v>
      </c>
      <c r="S3366" t="s">
        <v>9227</v>
      </c>
      <c r="T3366" t="s">
        <v>11720</v>
      </c>
      <c r="U3366" t="s">
        <v>11720</v>
      </c>
      <c r="V3366" t="s">
        <v>11720</v>
      </c>
      <c r="W3366" t="s">
        <v>15037</v>
      </c>
      <c r="X3366">
        <v>1</v>
      </c>
      <c r="Y3366" t="s">
        <v>20761</v>
      </c>
      <c r="Z3366" t="s">
        <v>26573</v>
      </c>
      <c r="AA3366">
        <v>0.59187452910348393</v>
      </c>
      <c r="AB3366" t="str">
        <f>HYPERLINK("Melting_Curves/meltCurve_Q16854_DGUOK.pdf", "Melting_Curves/meltCurve_Q16854_DGUOK.pdf")</f>
        <v>Melting_Curves/meltCurve_Q16854_DGUOK.pdf</v>
      </c>
    </row>
    <row r="3367" spans="1:28" x14ac:dyDescent="0.25">
      <c r="A3367" t="s">
        <v>3371</v>
      </c>
      <c r="B3367">
        <v>0.99334974765950101</v>
      </c>
      <c r="C3367">
        <v>0.87337091875970396</v>
      </c>
      <c r="D3367">
        <v>0.92766781842538104</v>
      </c>
      <c r="E3367">
        <v>0.74716582464474102</v>
      </c>
      <c r="F3367">
        <v>0.74544709909240703</v>
      </c>
      <c r="G3367">
        <v>0.88863623636870703</v>
      </c>
      <c r="H3367">
        <v>0.75060455873391096</v>
      </c>
      <c r="I3367">
        <v>0.542314834328259</v>
      </c>
      <c r="J3367">
        <v>0.50783417608904502</v>
      </c>
      <c r="K3367">
        <v>0.52742798049795403</v>
      </c>
      <c r="L3367">
        <v>281.68759937077198</v>
      </c>
      <c r="M3367">
        <v>3.9398491930180102</v>
      </c>
      <c r="O3367">
        <v>58.411591923618303</v>
      </c>
      <c r="P3367">
        <v>-1.7089964340390802E-2</v>
      </c>
      <c r="Q3367">
        <v>0</v>
      </c>
      <c r="R3367">
        <v>0.78765082220608496</v>
      </c>
      <c r="S3367" t="s">
        <v>9228</v>
      </c>
      <c r="T3367" t="s">
        <v>11720</v>
      </c>
      <c r="U3367" t="s">
        <v>11720</v>
      </c>
      <c r="V3367" t="s">
        <v>11720</v>
      </c>
      <c r="W3367" t="s">
        <v>15038</v>
      </c>
      <c r="X3367">
        <v>3</v>
      </c>
      <c r="Y3367" t="s">
        <v>20762</v>
      </c>
      <c r="Z3367" t="s">
        <v>26574</v>
      </c>
      <c r="AA3367">
        <v>0.75665761148299637</v>
      </c>
      <c r="AB3367" t="str">
        <f>HYPERLINK("Melting_Curves/meltCurve_Q16864_ATP6V1F.pdf", "Melting_Curves/meltCurve_Q16864_ATP6V1F.pdf")</f>
        <v>Melting_Curves/meltCurve_Q16864_ATP6V1F.pdf</v>
      </c>
    </row>
    <row r="3368" spans="1:28" x14ac:dyDescent="0.25">
      <c r="A3368" t="s">
        <v>3372</v>
      </c>
      <c r="B3368">
        <v>0.99334974765950101</v>
      </c>
      <c r="C3368">
        <v>0.96859231807765001</v>
      </c>
      <c r="D3368">
        <v>0.85593953745711804</v>
      </c>
      <c r="E3368">
        <v>0.79034123069858198</v>
      </c>
      <c r="F3368">
        <v>0.83640123296948199</v>
      </c>
      <c r="G3368">
        <v>0.46857697345811</v>
      </c>
      <c r="H3368">
        <v>0.32308573770426102</v>
      </c>
      <c r="I3368">
        <v>0.32796232967560202</v>
      </c>
      <c r="J3368">
        <v>0.30212675661479299</v>
      </c>
      <c r="K3368">
        <v>0.230097114877372</v>
      </c>
      <c r="L3368">
        <v>676.01937242898202</v>
      </c>
      <c r="M3368">
        <v>12.1790911034935</v>
      </c>
      <c r="N3368">
        <v>57.536138558250798</v>
      </c>
      <c r="O3368">
        <v>54.073690627510899</v>
      </c>
      <c r="P3368">
        <v>-4.6485876193051501E-2</v>
      </c>
      <c r="Q3368">
        <v>0.174621211425489</v>
      </c>
      <c r="R3368">
        <v>0.95950328256506301</v>
      </c>
      <c r="S3368" t="s">
        <v>9229</v>
      </c>
      <c r="T3368" t="s">
        <v>11720</v>
      </c>
      <c r="U3368" t="s">
        <v>11720</v>
      </c>
      <c r="V3368" t="s">
        <v>11720</v>
      </c>
      <c r="W3368" t="s">
        <v>15039</v>
      </c>
      <c r="X3368">
        <v>8</v>
      </c>
      <c r="Y3368" t="s">
        <v>20763</v>
      </c>
      <c r="Z3368" t="s">
        <v>26575</v>
      </c>
      <c r="AA3368">
        <v>0.61921666165143274</v>
      </c>
      <c r="AB3368" t="str">
        <f>HYPERLINK("Melting_Curves/meltCurve_Q17R31_2_TATDN3.pdf", "Melting_Curves/meltCurve_Q17R31_2_TATDN3.pdf")</f>
        <v>Melting_Curves/meltCurve_Q17R31_2_TATDN3.pdf</v>
      </c>
    </row>
    <row r="3369" spans="1:28" x14ac:dyDescent="0.25">
      <c r="A3369" t="s">
        <v>3373</v>
      </c>
      <c r="B3369">
        <v>0.99334974765950101</v>
      </c>
      <c r="C3369">
        <v>0.94856045793084398</v>
      </c>
      <c r="D3369">
        <v>0.86311517975937602</v>
      </c>
      <c r="E3369">
        <v>0.69343562555035898</v>
      </c>
      <c r="F3369">
        <v>0.30263724998720098</v>
      </c>
      <c r="G3369">
        <v>0.18520146181541799</v>
      </c>
      <c r="H3369">
        <v>0.114168159383177</v>
      </c>
      <c r="I3369">
        <v>8.4859409024756499E-2</v>
      </c>
      <c r="J3369">
        <v>9.3745946802261906E-2</v>
      </c>
      <c r="K3369">
        <v>5.9358495182257297E-2</v>
      </c>
      <c r="L3369">
        <v>1052.2388412262601</v>
      </c>
      <c r="M3369">
        <v>20.644521300568002</v>
      </c>
      <c r="N3369">
        <v>51.364937800109502</v>
      </c>
      <c r="O3369">
        <v>50.4983680428303</v>
      </c>
      <c r="P3369">
        <v>-9.4695118746548596E-2</v>
      </c>
      <c r="Q3369">
        <v>7.3494981871047693E-2</v>
      </c>
      <c r="R3369">
        <v>0.99131469342959</v>
      </c>
      <c r="S3369" t="s">
        <v>9230</v>
      </c>
      <c r="T3369" t="s">
        <v>11720</v>
      </c>
      <c r="U3369" t="s">
        <v>11720</v>
      </c>
      <c r="V3369" t="s">
        <v>11720</v>
      </c>
      <c r="W3369" t="s">
        <v>15040</v>
      </c>
      <c r="X3369">
        <v>2</v>
      </c>
      <c r="Y3369" t="s">
        <v>20764</v>
      </c>
      <c r="Z3369" t="s">
        <v>26576</v>
      </c>
      <c r="AA3369">
        <v>0.42438498573431932</v>
      </c>
      <c r="AB3369" t="str">
        <f>HYPERLINK("Melting_Curves/meltCurve_Q17RU2_REL.pdf", "Melting_Curves/meltCurve_Q17RU2_REL.pdf")</f>
        <v>Melting_Curves/meltCurve_Q17RU2_REL.pdf</v>
      </c>
    </row>
    <row r="3370" spans="1:28" x14ac:dyDescent="0.25">
      <c r="A3370" t="s">
        <v>3374</v>
      </c>
      <c r="B3370">
        <v>0.99334974765950101</v>
      </c>
      <c r="C3370">
        <v>0.99777844918325098</v>
      </c>
      <c r="D3370">
        <v>0.84780727633562103</v>
      </c>
      <c r="E3370">
        <v>0.65102227788825995</v>
      </c>
      <c r="F3370">
        <v>0.29297876540913398</v>
      </c>
      <c r="G3370">
        <v>0.189509987043019</v>
      </c>
      <c r="H3370">
        <v>0.16141365476498601</v>
      </c>
      <c r="I3370">
        <v>0.14512762936815801</v>
      </c>
      <c r="J3370">
        <v>0.18801240147687201</v>
      </c>
      <c r="K3370">
        <v>0.15599989526514199</v>
      </c>
      <c r="L3370">
        <v>1198.23134814642</v>
      </c>
      <c r="M3370">
        <v>23.875519705534799</v>
      </c>
      <c r="N3370">
        <v>50.959255081743898</v>
      </c>
      <c r="O3370">
        <v>49.838508997692998</v>
      </c>
      <c r="P3370">
        <v>-0.10157868949991999</v>
      </c>
      <c r="Q3370">
        <v>0.15185949554547101</v>
      </c>
      <c r="R3370">
        <v>0.99091369759376802</v>
      </c>
      <c r="S3370" t="s">
        <v>9231</v>
      </c>
      <c r="T3370" t="s">
        <v>11720</v>
      </c>
      <c r="U3370" t="s">
        <v>11720</v>
      </c>
      <c r="V3370" t="s">
        <v>11720</v>
      </c>
      <c r="W3370" t="s">
        <v>15041</v>
      </c>
      <c r="X3370">
        <v>1</v>
      </c>
      <c r="Y3370" t="s">
        <v>20765</v>
      </c>
      <c r="Z3370" t="s">
        <v>26577</v>
      </c>
      <c r="AA3370">
        <v>0.44817527833793558</v>
      </c>
      <c r="AB3370" t="str">
        <f>HYPERLINK("Melting_Curves/meltCurve_Q1RMZ1_C7orf60.pdf", "Melting_Curves/meltCurve_Q1RMZ1_C7orf60.pdf")</f>
        <v>Melting_Curves/meltCurve_Q1RMZ1_C7orf60.pdf</v>
      </c>
    </row>
    <row r="3371" spans="1:28" x14ac:dyDescent="0.25">
      <c r="A3371" t="s">
        <v>3375</v>
      </c>
      <c r="B3371">
        <v>0.99334974765950101</v>
      </c>
      <c r="C3371">
        <v>0.95718031605689502</v>
      </c>
      <c r="D3371">
        <v>0.87000812791585602</v>
      </c>
      <c r="E3371">
        <v>0.28831150121449101</v>
      </c>
      <c r="F3371">
        <v>0.14791188181662299</v>
      </c>
      <c r="G3371">
        <v>8.5492151912047801E-2</v>
      </c>
      <c r="H3371">
        <v>6.8058437114992307E-2</v>
      </c>
      <c r="I3371">
        <v>6.15605711105962E-2</v>
      </c>
      <c r="J3371">
        <v>6.0347201264452602E-2</v>
      </c>
      <c r="K3371">
        <v>5.1337102377473201E-2</v>
      </c>
      <c r="L3371">
        <v>1592.3679475460301</v>
      </c>
      <c r="M3371">
        <v>32.922354085974803</v>
      </c>
      <c r="N3371">
        <v>48.581444344905798</v>
      </c>
      <c r="O3371">
        <v>48.189984998359797</v>
      </c>
      <c r="P3371">
        <v>-0.15926365801345799</v>
      </c>
      <c r="Q3371">
        <v>6.7517887120969206E-2</v>
      </c>
      <c r="R3371">
        <v>0.99813927069706199</v>
      </c>
      <c r="S3371" t="s">
        <v>9232</v>
      </c>
      <c r="T3371" t="s">
        <v>11720</v>
      </c>
      <c r="U3371" t="s">
        <v>11720</v>
      </c>
      <c r="V3371" t="s">
        <v>11720</v>
      </c>
      <c r="W3371" t="s">
        <v>15042</v>
      </c>
      <c r="X3371">
        <v>37</v>
      </c>
      <c r="Y3371" t="s">
        <v>20766</v>
      </c>
      <c r="Z3371" t="s">
        <v>26578</v>
      </c>
      <c r="AA3371">
        <v>0.33224839646017379</v>
      </c>
      <c r="AB3371" t="str">
        <f>HYPERLINK("Melting_Curves/meltCurve_Q27J81_INF2.pdf", "Melting_Curves/meltCurve_Q27J81_INF2.pdf")</f>
        <v>Melting_Curves/meltCurve_Q27J81_INF2.pdf</v>
      </c>
    </row>
    <row r="3372" spans="1:28" x14ac:dyDescent="0.25">
      <c r="A3372" t="s">
        <v>3376</v>
      </c>
      <c r="B3372">
        <v>0.99334974765950101</v>
      </c>
      <c r="C3372">
        <v>0.96095261991074898</v>
      </c>
      <c r="D3372">
        <v>0.65913114383553595</v>
      </c>
      <c r="E3372">
        <v>0.24363791807839</v>
      </c>
      <c r="F3372">
        <v>0.26456902419922701</v>
      </c>
      <c r="G3372">
        <v>0.16523039800765699</v>
      </c>
      <c r="H3372">
        <v>0.134231985786089</v>
      </c>
      <c r="I3372">
        <v>0.11782676156614701</v>
      </c>
      <c r="J3372">
        <v>0.13943037094847099</v>
      </c>
      <c r="K3372">
        <v>0.138640065566009</v>
      </c>
      <c r="L3372">
        <v>1290.5897972247601</v>
      </c>
      <c r="M3372">
        <v>27.614954480143901</v>
      </c>
      <c r="N3372">
        <v>47.342121052268098</v>
      </c>
      <c r="O3372">
        <v>46.492158507200401</v>
      </c>
      <c r="P3372">
        <v>-0.12635724158783601</v>
      </c>
      <c r="Q3372">
        <v>0.14907443240799301</v>
      </c>
      <c r="R3372">
        <v>0.99089948698057095</v>
      </c>
      <c r="S3372" t="s">
        <v>9233</v>
      </c>
      <c r="T3372" t="s">
        <v>11720</v>
      </c>
      <c r="U3372" t="s">
        <v>11720</v>
      </c>
      <c r="V3372" t="s">
        <v>11720</v>
      </c>
      <c r="W3372" t="s">
        <v>15043</v>
      </c>
      <c r="X3372">
        <v>3</v>
      </c>
      <c r="Y3372" t="s">
        <v>20767</v>
      </c>
      <c r="Z3372" t="s">
        <v>26579</v>
      </c>
      <c r="AA3372">
        <v>0.34624231044964188</v>
      </c>
      <c r="AB3372" t="str">
        <f>HYPERLINK("Melting_Curves/meltCurve_Q29RF7_PDS5A.pdf", "Melting_Curves/meltCurve_Q29RF7_PDS5A.pdf")</f>
        <v>Melting_Curves/meltCurve_Q29RF7_PDS5A.pdf</v>
      </c>
    </row>
    <row r="3373" spans="1:28" x14ac:dyDescent="0.25">
      <c r="A3373" t="s">
        <v>3377</v>
      </c>
      <c r="B3373">
        <v>0.99334974765950101</v>
      </c>
      <c r="C3373">
        <v>0.90541938591529703</v>
      </c>
      <c r="D3373">
        <v>0.77937920339327904</v>
      </c>
      <c r="E3373">
        <v>0.49208109393541</v>
      </c>
      <c r="F3373">
        <v>0.31332848620372999</v>
      </c>
      <c r="G3373">
        <v>0.237163664000101</v>
      </c>
      <c r="H3373">
        <v>0.21378456072802099</v>
      </c>
      <c r="I3373">
        <v>0.17761229582244001</v>
      </c>
      <c r="J3373">
        <v>0.20634867984125599</v>
      </c>
      <c r="K3373">
        <v>0.16292763980538999</v>
      </c>
      <c r="L3373">
        <v>850.89035318546803</v>
      </c>
      <c r="M3373">
        <v>17.539192760479899</v>
      </c>
      <c r="N3373">
        <v>49.760961516909902</v>
      </c>
      <c r="O3373">
        <v>47.8961748844998</v>
      </c>
      <c r="P3373">
        <v>-7.5268938645662406E-2</v>
      </c>
      <c r="Q3373">
        <v>0.177864733516056</v>
      </c>
      <c r="R3373">
        <v>0.99779321388395803</v>
      </c>
      <c r="S3373" t="s">
        <v>9234</v>
      </c>
      <c r="T3373" t="s">
        <v>11720</v>
      </c>
      <c r="U3373" t="s">
        <v>11720</v>
      </c>
      <c r="V3373" t="s">
        <v>11720</v>
      </c>
      <c r="W3373" t="s">
        <v>15044</v>
      </c>
      <c r="X3373">
        <v>4</v>
      </c>
      <c r="Y3373" t="s">
        <v>20768</v>
      </c>
      <c r="Z3373" t="s">
        <v>26580</v>
      </c>
      <c r="AA3373">
        <v>0.42634381206388999</v>
      </c>
      <c r="AB3373" t="str">
        <f>HYPERLINK("Melting_Curves/meltCurve_Q2M1Z3_ARHGAP31.pdf", "Melting_Curves/meltCurve_Q2M1Z3_ARHGAP31.pdf")</f>
        <v>Melting_Curves/meltCurve_Q2M1Z3_ARHGAP31.pdf</v>
      </c>
    </row>
    <row r="3374" spans="1:28" x14ac:dyDescent="0.25">
      <c r="A3374" t="s">
        <v>3378</v>
      </c>
      <c r="B3374">
        <v>0.99334974765950101</v>
      </c>
      <c r="C3374">
        <v>0.98992957823509198</v>
      </c>
      <c r="D3374">
        <v>0.83822013373163595</v>
      </c>
      <c r="E3374">
        <v>0.54325760655953803</v>
      </c>
      <c r="F3374">
        <v>0.26331815703499101</v>
      </c>
      <c r="G3374">
        <v>0.18376621258403</v>
      </c>
      <c r="H3374">
        <v>0.15494191560532</v>
      </c>
      <c r="I3374">
        <v>0.17578174639592101</v>
      </c>
      <c r="J3374">
        <v>0.17474190214902599</v>
      </c>
      <c r="K3374">
        <v>0.15951790761743301</v>
      </c>
      <c r="L3374">
        <v>1158.00764704167</v>
      </c>
      <c r="M3374">
        <v>23.490641559279101</v>
      </c>
      <c r="N3374">
        <v>50.105261212903798</v>
      </c>
      <c r="O3374">
        <v>48.943474515947798</v>
      </c>
      <c r="P3374">
        <v>-0.10105935605003299</v>
      </c>
      <c r="Q3374">
        <v>0.15777352730341901</v>
      </c>
      <c r="R3374">
        <v>0.99673520442873498</v>
      </c>
      <c r="S3374" t="s">
        <v>9235</v>
      </c>
      <c r="T3374" t="s">
        <v>11720</v>
      </c>
      <c r="U3374" t="s">
        <v>11720</v>
      </c>
      <c r="V3374" t="s">
        <v>11720</v>
      </c>
      <c r="W3374" t="s">
        <v>15045</v>
      </c>
      <c r="X3374">
        <v>16</v>
      </c>
      <c r="Y3374" t="s">
        <v>20769</v>
      </c>
      <c r="Z3374" t="s">
        <v>26581</v>
      </c>
      <c r="AA3374">
        <v>0.42726090465437411</v>
      </c>
      <c r="AB3374" t="str">
        <f>HYPERLINK("Melting_Curves/meltCurve_Q2M2I8_2_AAK1.pdf", "Melting_Curves/meltCurve_Q2M2I8_2_AAK1.pdf")</f>
        <v>Melting_Curves/meltCurve_Q2M2I8_2_AAK1.pdf</v>
      </c>
    </row>
    <row r="3375" spans="1:28" x14ac:dyDescent="0.25">
      <c r="A3375" t="s">
        <v>3379</v>
      </c>
      <c r="B3375">
        <v>0.99334974765950101</v>
      </c>
      <c r="C3375">
        <v>1.10543150067437</v>
      </c>
      <c r="D3375">
        <v>0.782395768487123</v>
      </c>
      <c r="E3375">
        <v>0.79405134703887403</v>
      </c>
      <c r="F3375">
        <v>0.64342114837078901</v>
      </c>
      <c r="G3375">
        <v>0.46402899310835899</v>
      </c>
      <c r="H3375">
        <v>0.39102705909296798</v>
      </c>
      <c r="I3375">
        <v>0.300292716818164</v>
      </c>
      <c r="J3375">
        <v>0.38354244330001203</v>
      </c>
      <c r="K3375">
        <v>0.51991329565481403</v>
      </c>
      <c r="L3375">
        <v>849.08617068560704</v>
      </c>
      <c r="M3375">
        <v>16.559712424000299</v>
      </c>
      <c r="N3375">
        <v>56.161146559882603</v>
      </c>
      <c r="O3375">
        <v>50.543981250405203</v>
      </c>
      <c r="P3375">
        <v>-5.0650897307076899E-2</v>
      </c>
      <c r="Q3375">
        <v>0.38165047156894599</v>
      </c>
      <c r="R3375">
        <v>0.90010897333204998</v>
      </c>
      <c r="S3375" t="s">
        <v>9236</v>
      </c>
      <c r="T3375" t="s">
        <v>11720</v>
      </c>
      <c r="U3375" t="s">
        <v>11720</v>
      </c>
      <c r="V3375" t="s">
        <v>11720</v>
      </c>
      <c r="W3375" t="s">
        <v>15046</v>
      </c>
      <c r="X3375">
        <v>2</v>
      </c>
      <c r="Y3375" t="s">
        <v>20770</v>
      </c>
      <c r="Z3375" t="s">
        <v>26582</v>
      </c>
      <c r="AA3375">
        <v>0.62604177431639318</v>
      </c>
      <c r="AB3375" t="str">
        <f>HYPERLINK("Melting_Curves/meltCurve_Q2NL98_VMAC.pdf", "Melting_Curves/meltCurve_Q2NL98_VMAC.pdf")</f>
        <v>Melting_Curves/meltCurve_Q2NL98_VMAC.pdf</v>
      </c>
    </row>
    <row r="3376" spans="1:28" x14ac:dyDescent="0.25">
      <c r="A3376" t="s">
        <v>3380</v>
      </c>
      <c r="B3376">
        <v>0.99334974765950101</v>
      </c>
      <c r="C3376">
        <v>0.90359873481873898</v>
      </c>
      <c r="D3376">
        <v>0.84900377800905702</v>
      </c>
      <c r="E3376">
        <v>0.97240438014000097</v>
      </c>
      <c r="F3376">
        <v>0.45894599062629898</v>
      </c>
      <c r="G3376">
        <v>0.52784100901658604</v>
      </c>
      <c r="H3376">
        <v>0.15832045108863901</v>
      </c>
      <c r="I3376">
        <v>0</v>
      </c>
      <c r="J3376">
        <v>0.169564786677843</v>
      </c>
      <c r="K3376">
        <v>0</v>
      </c>
      <c r="L3376">
        <v>787.66430767964403</v>
      </c>
      <c r="M3376">
        <v>14.316306020601701</v>
      </c>
      <c r="N3376">
        <v>55.018666632605402</v>
      </c>
      <c r="O3376">
        <v>53.978588865705802</v>
      </c>
      <c r="P3376">
        <v>-6.6313525422176001E-2</v>
      </c>
      <c r="Q3376">
        <v>0</v>
      </c>
      <c r="R3376">
        <v>0.91758335410712899</v>
      </c>
      <c r="S3376" t="s">
        <v>9237</v>
      </c>
      <c r="T3376" t="s">
        <v>11720</v>
      </c>
      <c r="U3376" t="s">
        <v>11720</v>
      </c>
      <c r="V3376" t="s">
        <v>11720</v>
      </c>
      <c r="W3376" t="s">
        <v>15047</v>
      </c>
      <c r="X3376">
        <v>2</v>
      </c>
      <c r="Y3376" t="s">
        <v>20771</v>
      </c>
      <c r="Z3376" t="s">
        <v>26583</v>
      </c>
      <c r="AA3376">
        <v>0.52081884728447336</v>
      </c>
      <c r="AB3376" t="str">
        <f>HYPERLINK("Melting_Curves/meltCurve_Q2T9J0_2_TYSND1.pdf", "Melting_Curves/meltCurve_Q2T9J0_2_TYSND1.pdf")</f>
        <v>Melting_Curves/meltCurve_Q2T9J0_2_TYSND1.pdf</v>
      </c>
    </row>
    <row r="3377" spans="1:28" x14ac:dyDescent="0.25">
      <c r="A3377" t="s">
        <v>3381</v>
      </c>
      <c r="B3377">
        <v>0.99334974765950101</v>
      </c>
      <c r="C3377">
        <v>0.98226451319709795</v>
      </c>
      <c r="D3377">
        <v>0.90115498057018695</v>
      </c>
      <c r="E3377">
        <v>0.542118915922989</v>
      </c>
      <c r="F3377">
        <v>0.28840742052031998</v>
      </c>
      <c r="G3377">
        <v>0.20768750674837699</v>
      </c>
      <c r="H3377">
        <v>0.172144206181436</v>
      </c>
      <c r="I3377">
        <v>0.12532172475303099</v>
      </c>
      <c r="J3377">
        <v>0.109570309378712</v>
      </c>
      <c r="K3377">
        <v>8.7587514937633906E-2</v>
      </c>
      <c r="L3377">
        <v>1133.31660291711</v>
      </c>
      <c r="M3377">
        <v>22.7287467846234</v>
      </c>
      <c r="N3377">
        <v>50.4899165869111</v>
      </c>
      <c r="O3377">
        <v>49.481519852626903</v>
      </c>
      <c r="P3377">
        <v>-0.10071263917047001</v>
      </c>
      <c r="Q3377">
        <v>0.122993153084043</v>
      </c>
      <c r="R3377">
        <v>0.99637560366411304</v>
      </c>
      <c r="S3377" t="s">
        <v>9238</v>
      </c>
      <c r="T3377" t="s">
        <v>11720</v>
      </c>
      <c r="U3377" t="s">
        <v>11720</v>
      </c>
      <c r="V3377" t="s">
        <v>11720</v>
      </c>
      <c r="W3377" t="s">
        <v>15048</v>
      </c>
      <c r="X3377">
        <v>11</v>
      </c>
      <c r="Y3377" t="s">
        <v>20772</v>
      </c>
      <c r="Z3377" t="s">
        <v>26584</v>
      </c>
      <c r="AA3377">
        <v>0.42079409509079319</v>
      </c>
      <c r="AB3377" t="str">
        <f>HYPERLINK("Melting_Curves/meltCurve_Q2TAA5_ALG11.pdf", "Melting_Curves/meltCurve_Q2TAA5_ALG11.pdf")</f>
        <v>Melting_Curves/meltCurve_Q2TAA5_ALG11.pdf</v>
      </c>
    </row>
    <row r="3378" spans="1:28" x14ac:dyDescent="0.25">
      <c r="A3378" t="s">
        <v>3382</v>
      </c>
      <c r="B3378">
        <v>0.99334974765950101</v>
      </c>
      <c r="C3378">
        <v>0.88411233388315602</v>
      </c>
      <c r="D3378">
        <v>0.48239551083784399</v>
      </c>
      <c r="E3378">
        <v>0.22500633703665501</v>
      </c>
      <c r="F3378">
        <v>0.154246767822247</v>
      </c>
      <c r="G3378">
        <v>0.118402062369885</v>
      </c>
      <c r="H3378">
        <v>0.103860824452255</v>
      </c>
      <c r="I3378">
        <v>9.3829557297855498E-2</v>
      </c>
      <c r="J3378">
        <v>7.4401106977025497E-2</v>
      </c>
      <c r="K3378">
        <v>6.3827060102526298E-2</v>
      </c>
      <c r="L3378">
        <v>1137.39411129983</v>
      </c>
      <c r="M3378">
        <v>24.868104047234599</v>
      </c>
      <c r="N3378">
        <v>46.138554386848803</v>
      </c>
      <c r="O3378">
        <v>45.4443678345717</v>
      </c>
      <c r="P3378">
        <v>-0.12349675215202501</v>
      </c>
      <c r="Q3378">
        <v>9.7292352746345595E-2</v>
      </c>
      <c r="R3378">
        <v>0.99446640217738502</v>
      </c>
      <c r="S3378" t="s">
        <v>9239</v>
      </c>
      <c r="T3378" t="s">
        <v>11720</v>
      </c>
      <c r="U3378" t="s">
        <v>11720</v>
      </c>
      <c r="V3378" t="s">
        <v>11720</v>
      </c>
      <c r="W3378" t="s">
        <v>15049</v>
      </c>
      <c r="X3378">
        <v>6</v>
      </c>
      <c r="Y3378" t="s">
        <v>20773</v>
      </c>
      <c r="Z3378" t="s">
        <v>26585</v>
      </c>
      <c r="AA3378">
        <v>0.27849250741538278</v>
      </c>
      <c r="AB3378" t="str">
        <f>HYPERLINK("Melting_Curves/meltCurve_Q2TAL8_QRICH1.pdf", "Melting_Curves/meltCurve_Q2TAL8_QRICH1.pdf")</f>
        <v>Melting_Curves/meltCurve_Q2TAL8_QRICH1.pdf</v>
      </c>
    </row>
    <row r="3379" spans="1:28" x14ac:dyDescent="0.25">
      <c r="A3379" t="s">
        <v>3383</v>
      </c>
      <c r="B3379">
        <v>0.99334974765950101</v>
      </c>
      <c r="C3379">
        <v>0.96185735313828302</v>
      </c>
      <c r="D3379">
        <v>0.93914585876827295</v>
      </c>
      <c r="E3379">
        <v>0.74730826178541399</v>
      </c>
      <c r="F3379">
        <v>0.274343430414908</v>
      </c>
      <c r="G3379">
        <v>0.12615153382886199</v>
      </c>
      <c r="H3379">
        <v>8.0310715327168103E-2</v>
      </c>
      <c r="I3379">
        <v>6.5000106859731899E-2</v>
      </c>
      <c r="J3379">
        <v>6.4600754890489095E-2</v>
      </c>
      <c r="K3379">
        <v>5.49508889031734E-2</v>
      </c>
      <c r="L3379">
        <v>1833.11123733517</v>
      </c>
      <c r="M3379">
        <v>35.754243679214902</v>
      </c>
      <c r="N3379">
        <v>51.488187978479601</v>
      </c>
      <c r="O3379">
        <v>51.110138829312604</v>
      </c>
      <c r="P3379">
        <v>-0.162581686939793</v>
      </c>
      <c r="Q3379">
        <v>7.0370558773969805E-2</v>
      </c>
      <c r="R3379">
        <v>0.99668793523417798</v>
      </c>
      <c r="S3379" t="s">
        <v>9240</v>
      </c>
      <c r="T3379" t="s">
        <v>11720</v>
      </c>
      <c r="U3379" t="s">
        <v>11720</v>
      </c>
      <c r="V3379" t="s">
        <v>11720</v>
      </c>
      <c r="W3379" t="s">
        <v>15050</v>
      </c>
      <c r="X3379">
        <v>18</v>
      </c>
      <c r="Y3379" t="s">
        <v>20774</v>
      </c>
      <c r="Z3379" t="s">
        <v>26586</v>
      </c>
      <c r="AA3379">
        <v>0.42372239547272361</v>
      </c>
      <c r="AB3379" t="str">
        <f>HYPERLINK("Melting_Curves/meltCurve_Q2TAM5_RELA.pdf", "Melting_Curves/meltCurve_Q2TAM5_RELA.pdf")</f>
        <v>Melting_Curves/meltCurve_Q2TAM5_RELA.pdf</v>
      </c>
    </row>
    <row r="3380" spans="1:28" x14ac:dyDescent="0.25">
      <c r="A3380" t="s">
        <v>3384</v>
      </c>
      <c r="B3380">
        <v>0.99334974765950101</v>
      </c>
      <c r="C3380">
        <v>1.10979424717468</v>
      </c>
      <c r="D3380">
        <v>1.1272460648085501</v>
      </c>
      <c r="E3380">
        <v>1.3875296754176401</v>
      </c>
      <c r="F3380">
        <v>0.80023133707521299</v>
      </c>
      <c r="G3380">
        <v>0.18568906776140401</v>
      </c>
      <c r="H3380">
        <v>0.100700983392588</v>
      </c>
      <c r="I3380">
        <v>9.6190482372716102E-2</v>
      </c>
      <c r="J3380">
        <v>0.100952461141273</v>
      </c>
      <c r="K3380">
        <v>4.7846270131649403E-2</v>
      </c>
      <c r="L3380">
        <v>3173.0424794987098</v>
      </c>
      <c r="M3380">
        <v>58.4010253381675</v>
      </c>
      <c r="N3380">
        <v>54.525951700063999</v>
      </c>
      <c r="O3380">
        <v>54.268390498897098</v>
      </c>
      <c r="P3380">
        <v>-0.24380127165592499</v>
      </c>
      <c r="Q3380">
        <v>9.3804163640741497E-2</v>
      </c>
      <c r="R3380">
        <v>0.92741121931381298</v>
      </c>
      <c r="S3380" t="s">
        <v>9241</v>
      </c>
      <c r="T3380" t="s">
        <v>11720</v>
      </c>
      <c r="U3380" t="s">
        <v>11720</v>
      </c>
      <c r="V3380" t="s">
        <v>11720</v>
      </c>
      <c r="W3380" t="s">
        <v>15051</v>
      </c>
      <c r="X3380">
        <v>8</v>
      </c>
      <c r="Y3380" t="s">
        <v>20775</v>
      </c>
      <c r="Z3380" t="s">
        <v>26587</v>
      </c>
      <c r="AA3380">
        <v>0.5283124887405678</v>
      </c>
      <c r="AB3380" t="str">
        <f>HYPERLINK("Melting_Curves/meltCurve_Q2TAY7_SMU1.pdf", "Melting_Curves/meltCurve_Q2TAY7_SMU1.pdf")</f>
        <v>Melting_Curves/meltCurve_Q2TAY7_SMU1.pdf</v>
      </c>
    </row>
    <row r="3381" spans="1:28" x14ac:dyDescent="0.25">
      <c r="A3381" t="s">
        <v>3385</v>
      </c>
      <c r="B3381">
        <v>0.99334974765950101</v>
      </c>
      <c r="C3381">
        <v>0.91067498646848399</v>
      </c>
      <c r="D3381">
        <v>0.93626677460517205</v>
      </c>
      <c r="E3381">
        <v>0.89863427592354606</v>
      </c>
      <c r="F3381">
        <v>0.760428582417355</v>
      </c>
      <c r="G3381">
        <v>0.65790042487914402</v>
      </c>
      <c r="H3381">
        <v>0.56747279572482201</v>
      </c>
      <c r="I3381">
        <v>0.624577321387211</v>
      </c>
      <c r="J3381">
        <v>0.48271253738558201</v>
      </c>
      <c r="K3381">
        <v>0.29799377628666401</v>
      </c>
      <c r="L3381">
        <v>396.13710479252001</v>
      </c>
      <c r="M3381">
        <v>6.1240327158422998</v>
      </c>
      <c r="N3381">
        <v>64.685661087731603</v>
      </c>
      <c r="O3381">
        <v>58.806626244185097</v>
      </c>
      <c r="P3381">
        <v>-2.61129830615624E-2</v>
      </c>
      <c r="Q3381">
        <v>0</v>
      </c>
      <c r="R3381">
        <v>0.93925799734334903</v>
      </c>
      <c r="S3381" t="s">
        <v>9242</v>
      </c>
      <c r="T3381" t="s">
        <v>11720</v>
      </c>
      <c r="U3381" t="s">
        <v>11720</v>
      </c>
      <c r="V3381" t="s">
        <v>11720</v>
      </c>
      <c r="W3381" t="s">
        <v>15052</v>
      </c>
      <c r="X3381">
        <v>5</v>
      </c>
      <c r="Y3381" t="s">
        <v>20776</v>
      </c>
      <c r="Z3381" t="s">
        <v>26588</v>
      </c>
      <c r="AA3381">
        <v>0.72289973188447654</v>
      </c>
      <c r="AB3381" t="str">
        <f>HYPERLINK("Melting_Curves/meltCurve_Q30201_5_HFE.pdf", "Melting_Curves/meltCurve_Q30201_5_HFE.pdf")</f>
        <v>Melting_Curves/meltCurve_Q30201_5_HFE.pdf</v>
      </c>
    </row>
    <row r="3382" spans="1:28" x14ac:dyDescent="0.25">
      <c r="A3382" t="s">
        <v>3386</v>
      </c>
      <c r="B3382">
        <v>0.99334974765950101</v>
      </c>
      <c r="C3382">
        <v>0.87876987764335401</v>
      </c>
      <c r="D3382">
        <v>0.89878974440071202</v>
      </c>
      <c r="E3382">
        <v>1.16706246235036</v>
      </c>
      <c r="F3382">
        <v>1.8770542777085699</v>
      </c>
      <c r="G3382">
        <v>1.6233630487008599</v>
      </c>
      <c r="H3382">
        <v>1.6173686717273901</v>
      </c>
      <c r="I3382">
        <v>1.72201116088194</v>
      </c>
      <c r="J3382">
        <v>1.95790360490787</v>
      </c>
      <c r="K3382">
        <v>1.8308024600150501</v>
      </c>
      <c r="L3382">
        <v>12534.4783717026</v>
      </c>
      <c r="M3382">
        <v>250</v>
      </c>
      <c r="O3382">
        <v>50.134727922082902</v>
      </c>
      <c r="P3382">
        <v>0.623320710453792</v>
      </c>
      <c r="Q3382">
        <v>1.5</v>
      </c>
      <c r="R3382">
        <v>0.65485831595313704</v>
      </c>
      <c r="S3382" t="s">
        <v>9243</v>
      </c>
      <c r="T3382" t="s">
        <v>11720</v>
      </c>
      <c r="U3382" t="s">
        <v>11720</v>
      </c>
      <c r="V3382" t="s">
        <v>11720</v>
      </c>
      <c r="W3382" t="s">
        <v>15053</v>
      </c>
      <c r="X3382">
        <v>35</v>
      </c>
      <c r="Y3382" t="s">
        <v>20777</v>
      </c>
      <c r="Z3382" t="s">
        <v>26589</v>
      </c>
      <c r="AA3382">
        <v>1.3309907795909011</v>
      </c>
      <c r="AB3382" t="str">
        <f>HYPERLINK("Melting_Curves/meltCurve_Q32MZ4_4_LRRFIP1.pdf", "Melting_Curves/meltCurve_Q32MZ4_4_LRRFIP1.pdf")</f>
        <v>Melting_Curves/meltCurve_Q32MZ4_4_LRRFIP1.pdf</v>
      </c>
    </row>
    <row r="3383" spans="1:28" x14ac:dyDescent="0.25">
      <c r="A3383" t="s">
        <v>3387</v>
      </c>
      <c r="B3383">
        <v>0.99334974765950101</v>
      </c>
      <c r="C3383">
        <v>1.00375901238825</v>
      </c>
      <c r="D3383">
        <v>1.19618204359466</v>
      </c>
      <c r="E3383">
        <v>0.89823785374090404</v>
      </c>
      <c r="F3383">
        <v>0.40276009335553498</v>
      </c>
      <c r="G3383">
        <v>0.321226491678819</v>
      </c>
      <c r="H3383">
        <v>0.25274545893285999</v>
      </c>
      <c r="I3383">
        <v>0.24989358639326001</v>
      </c>
      <c r="J3383">
        <v>0.17599289224275999</v>
      </c>
      <c r="K3383">
        <v>0.129170977323846</v>
      </c>
      <c r="L3383">
        <v>2662.4913453956701</v>
      </c>
      <c r="M3383">
        <v>51.382173021757303</v>
      </c>
      <c r="N3383">
        <v>52.420203450415599</v>
      </c>
      <c r="O3383">
        <v>51.739115381446197</v>
      </c>
      <c r="P3383">
        <v>-0.19289205590734301</v>
      </c>
      <c r="Q3383">
        <v>0.22307259175292801</v>
      </c>
      <c r="R3383">
        <v>0.96027373186322296</v>
      </c>
      <c r="S3383" t="s">
        <v>9244</v>
      </c>
      <c r="T3383" t="s">
        <v>11720</v>
      </c>
      <c r="U3383" t="s">
        <v>11720</v>
      </c>
      <c r="V3383" t="s">
        <v>11720</v>
      </c>
      <c r="W3383" t="s">
        <v>15054</v>
      </c>
      <c r="X3383">
        <v>20</v>
      </c>
      <c r="Y3383" t="s">
        <v>20778</v>
      </c>
      <c r="Z3383" t="s">
        <v>26590</v>
      </c>
      <c r="AA3383">
        <v>0.53079600817279815</v>
      </c>
      <c r="AB3383" t="str">
        <f>HYPERLINK("Melting_Curves/meltCurve_Q32P28_LEPRE1.pdf", "Melting_Curves/meltCurve_Q32P28_LEPRE1.pdf")</f>
        <v>Melting_Curves/meltCurve_Q32P28_LEPRE1.pdf</v>
      </c>
    </row>
    <row r="3384" spans="1:28" x14ac:dyDescent="0.25">
      <c r="A3384" t="s">
        <v>3388</v>
      </c>
      <c r="B3384">
        <v>0.99334974765950101</v>
      </c>
      <c r="C3384">
        <v>0.75721825495990502</v>
      </c>
      <c r="D3384">
        <v>0.38920828989185302</v>
      </c>
      <c r="E3384">
        <v>0.257728618036904</v>
      </c>
      <c r="F3384">
        <v>0.27471411930613299</v>
      </c>
      <c r="G3384">
        <v>0.157187526284398</v>
      </c>
      <c r="H3384">
        <v>0.111044310547952</v>
      </c>
      <c r="I3384">
        <v>8.3352918488323005E-2</v>
      </c>
      <c r="J3384">
        <v>9.5431275402153404E-2</v>
      </c>
      <c r="K3384">
        <v>8.5205391044963497E-2</v>
      </c>
      <c r="L3384">
        <v>891.80031422910702</v>
      </c>
      <c r="M3384">
        <v>19.885368546578601</v>
      </c>
      <c r="N3384">
        <v>45.4946559343635</v>
      </c>
      <c r="O3384">
        <v>44.400906384243697</v>
      </c>
      <c r="P3384">
        <v>-9.8167082843832895E-2</v>
      </c>
      <c r="Q3384">
        <v>0.123262444875851</v>
      </c>
      <c r="R3384">
        <v>0.96920770474517604</v>
      </c>
      <c r="S3384" t="s">
        <v>9245</v>
      </c>
      <c r="T3384" t="s">
        <v>11720</v>
      </c>
      <c r="U3384" t="s">
        <v>11720</v>
      </c>
      <c r="V3384" t="s">
        <v>11720</v>
      </c>
      <c r="W3384" t="s">
        <v>15055</v>
      </c>
      <c r="X3384">
        <v>4</v>
      </c>
      <c r="Y3384" t="s">
        <v>20779</v>
      </c>
      <c r="Z3384" t="s">
        <v>26591</v>
      </c>
      <c r="AA3384">
        <v>0.28022876014108827</v>
      </c>
      <c r="AB3384" t="str">
        <f>HYPERLINK("Melting_Curves/meltCurve_Q32P41_TRMT5.pdf", "Melting_Curves/meltCurve_Q32P41_TRMT5.pdf")</f>
        <v>Melting_Curves/meltCurve_Q32P41_TRMT5.pdf</v>
      </c>
    </row>
    <row r="3385" spans="1:28" x14ac:dyDescent="0.25">
      <c r="A3385" t="s">
        <v>3389</v>
      </c>
      <c r="B3385">
        <v>0.99334974765950101</v>
      </c>
      <c r="C3385">
        <v>1.0399036883556501</v>
      </c>
      <c r="D3385">
        <v>0.901820133724338</v>
      </c>
      <c r="E3385">
        <v>0.95985310143889202</v>
      </c>
      <c r="F3385">
        <v>0.98257002534750304</v>
      </c>
      <c r="G3385">
        <v>0.86725671467200904</v>
      </c>
      <c r="H3385">
        <v>0.81704727440434399</v>
      </c>
      <c r="I3385">
        <v>0.86728478094422501</v>
      </c>
      <c r="J3385">
        <v>0.62580968668034298</v>
      </c>
      <c r="K3385">
        <v>0.24844746957261499</v>
      </c>
      <c r="L3385">
        <v>1769.2586472701601</v>
      </c>
      <c r="M3385">
        <v>26.106743760548401</v>
      </c>
      <c r="N3385">
        <v>67.770177042839194</v>
      </c>
      <c r="O3385">
        <v>67.376280471171199</v>
      </c>
      <c r="P3385">
        <v>-9.6870276754021906E-2</v>
      </c>
      <c r="Q3385">
        <v>0</v>
      </c>
      <c r="R3385">
        <v>0.89255983798070504</v>
      </c>
      <c r="S3385" t="s">
        <v>9246</v>
      </c>
      <c r="T3385" t="s">
        <v>11720</v>
      </c>
      <c r="U3385" t="s">
        <v>11720</v>
      </c>
      <c r="V3385" t="s">
        <v>11720</v>
      </c>
      <c r="W3385" t="s">
        <v>12032</v>
      </c>
      <c r="X3385">
        <v>22</v>
      </c>
      <c r="Y3385" t="s">
        <v>20780</v>
      </c>
      <c r="Z3385" t="s">
        <v>26592</v>
      </c>
      <c r="AA3385">
        <v>0.90012378188581743</v>
      </c>
      <c r="AB3385" t="str">
        <f>HYPERLINK("Melting_Curves/meltCurve_Q32Q12_NME1_NME2.pdf", "Melting_Curves/meltCurve_Q32Q12_NME1_NME2.pdf")</f>
        <v>Melting_Curves/meltCurve_Q32Q12_NME1_NME2.pdf</v>
      </c>
    </row>
    <row r="3386" spans="1:28" x14ac:dyDescent="0.25">
      <c r="A3386" t="s">
        <v>3390</v>
      </c>
      <c r="B3386">
        <v>0.99334974765950101</v>
      </c>
      <c r="C3386">
        <v>1.1031651940552101</v>
      </c>
      <c r="D3386">
        <v>0.73176012988684602</v>
      </c>
      <c r="E3386">
        <v>0.55461384804551594</v>
      </c>
      <c r="F3386">
        <v>0.44805849218608501</v>
      </c>
      <c r="G3386">
        <v>0.24244901613098299</v>
      </c>
      <c r="H3386">
        <v>0.26747623069384102</v>
      </c>
      <c r="I3386">
        <v>0.143617823208192</v>
      </c>
      <c r="J3386">
        <v>0.166195703711153</v>
      </c>
      <c r="K3386">
        <v>8.9451492267723004E-2</v>
      </c>
      <c r="L3386">
        <v>735.22318546364704</v>
      </c>
      <c r="M3386">
        <v>14.624699883729001</v>
      </c>
      <c r="N3386">
        <v>51.330969553448</v>
      </c>
      <c r="O3386">
        <v>49.360796639503</v>
      </c>
      <c r="P3386">
        <v>-6.4437356088987804E-2</v>
      </c>
      <c r="Q3386">
        <v>0.13014979120662901</v>
      </c>
      <c r="R3386">
        <v>0.95892123767635795</v>
      </c>
      <c r="S3386" t="s">
        <v>9247</v>
      </c>
      <c r="T3386" t="s">
        <v>11720</v>
      </c>
      <c r="U3386" t="s">
        <v>11720</v>
      </c>
      <c r="V3386" t="s">
        <v>11720</v>
      </c>
      <c r="W3386" t="s">
        <v>15056</v>
      </c>
      <c r="X3386">
        <v>1</v>
      </c>
      <c r="Y3386" t="s">
        <v>20781</v>
      </c>
      <c r="Z3386" t="s">
        <v>26593</v>
      </c>
      <c r="AA3386">
        <v>0.44949058326602648</v>
      </c>
      <c r="AB3386" t="str">
        <f>HYPERLINK("Melting_Curves/meltCurve_Q3B726_TWISTNB.pdf", "Melting_Curves/meltCurve_Q3B726_TWISTNB.pdf")</f>
        <v>Melting_Curves/meltCurve_Q3B726_TWISTNB.pdf</v>
      </c>
    </row>
    <row r="3387" spans="1:28" x14ac:dyDescent="0.25">
      <c r="A3387" t="s">
        <v>3391</v>
      </c>
      <c r="B3387">
        <v>0.99334974765950101</v>
      </c>
      <c r="C3387">
        <v>1.0282181495189</v>
      </c>
      <c r="D3387">
        <v>0.80307981048710697</v>
      </c>
      <c r="E3387">
        <v>0.77146586900341796</v>
      </c>
      <c r="F3387">
        <v>0.65540415836630495</v>
      </c>
      <c r="G3387">
        <v>0.44991503308294301</v>
      </c>
      <c r="H3387">
        <v>0.38886770666330001</v>
      </c>
      <c r="I3387">
        <v>0.39623460310682901</v>
      </c>
      <c r="J3387">
        <v>0.43947328790257001</v>
      </c>
      <c r="K3387">
        <v>0.38370672348774798</v>
      </c>
      <c r="L3387">
        <v>727.07499096584104</v>
      </c>
      <c r="M3387">
        <v>14.180382868310399</v>
      </c>
      <c r="N3387">
        <v>56.606712375239802</v>
      </c>
      <c r="O3387">
        <v>50.285923757451201</v>
      </c>
      <c r="P3387">
        <v>-4.4521376363615701E-2</v>
      </c>
      <c r="Q3387">
        <v>0.36855949201601501</v>
      </c>
      <c r="R3387">
        <v>0.96320684623192698</v>
      </c>
      <c r="S3387" t="s">
        <v>9248</v>
      </c>
      <c r="T3387" t="s">
        <v>11720</v>
      </c>
      <c r="U3387" t="s">
        <v>11720</v>
      </c>
      <c r="V3387" t="s">
        <v>11720</v>
      </c>
      <c r="W3387" t="s">
        <v>15057</v>
      </c>
      <c r="X3387">
        <v>12</v>
      </c>
      <c r="Y3387" t="s">
        <v>20782</v>
      </c>
      <c r="Z3387" t="s">
        <v>26594</v>
      </c>
      <c r="AA3387">
        <v>0.62165740026063432</v>
      </c>
      <c r="AB3387" t="str">
        <f>HYPERLINK("Melting_Curves/meltCurve_Q3KQU3_2_MAP7D1.pdf", "Melting_Curves/meltCurve_Q3KQU3_2_MAP7D1.pdf")</f>
        <v>Melting_Curves/meltCurve_Q3KQU3_2_MAP7D1.pdf</v>
      </c>
    </row>
    <row r="3388" spans="1:28" x14ac:dyDescent="0.25">
      <c r="A3388" t="s">
        <v>3392</v>
      </c>
      <c r="B3388">
        <v>0.99334974765950101</v>
      </c>
      <c r="C3388">
        <v>0.90658009122167904</v>
      </c>
      <c r="D3388">
        <v>0.85989873665948002</v>
      </c>
      <c r="E3388">
        <v>0.64976520480180799</v>
      </c>
      <c r="F3388">
        <v>0.26314708920916502</v>
      </c>
      <c r="G3388">
        <v>0.13102844371453801</v>
      </c>
      <c r="H3388">
        <v>8.8779928922617005E-2</v>
      </c>
      <c r="I3388">
        <v>6.2994849944107603E-2</v>
      </c>
      <c r="J3388">
        <v>5.5492892652122101E-2</v>
      </c>
      <c r="K3388">
        <v>4.45736922639983E-2</v>
      </c>
      <c r="L3388">
        <v>1041.0959403402301</v>
      </c>
      <c r="M3388">
        <v>20.559417830159099</v>
      </c>
      <c r="N3388">
        <v>50.874907542194897</v>
      </c>
      <c r="O3388">
        <v>50.166617525706499</v>
      </c>
      <c r="P3388">
        <v>-9.7788961533728805E-2</v>
      </c>
      <c r="Q3388">
        <v>4.5576427333017998E-2</v>
      </c>
      <c r="R3388">
        <v>0.99046873171359695</v>
      </c>
      <c r="S3388" t="s">
        <v>9249</v>
      </c>
      <c r="T3388" t="s">
        <v>11720</v>
      </c>
      <c r="U3388" t="s">
        <v>11720</v>
      </c>
      <c r="V3388" t="s">
        <v>11720</v>
      </c>
      <c r="W3388" t="s">
        <v>15058</v>
      </c>
      <c r="X3388">
        <v>22</v>
      </c>
      <c r="Y3388" t="s">
        <v>20783</v>
      </c>
      <c r="Z3388" t="s">
        <v>26595</v>
      </c>
      <c r="AA3388">
        <v>0.39660873325348428</v>
      </c>
      <c r="AB3388" t="str">
        <f>HYPERLINK("Melting_Curves/meltCurve_Q3KQV9_UAP1L1.pdf", "Melting_Curves/meltCurve_Q3KQV9_UAP1L1.pdf")</f>
        <v>Melting_Curves/meltCurve_Q3KQV9_UAP1L1.pdf</v>
      </c>
    </row>
    <row r="3389" spans="1:28" x14ac:dyDescent="0.25">
      <c r="A3389" t="s">
        <v>3393</v>
      </c>
      <c r="B3389">
        <v>0.99334974765950101</v>
      </c>
      <c r="C3389">
        <v>1.04184562471127</v>
      </c>
      <c r="D3389">
        <v>0.90687670625301497</v>
      </c>
      <c r="E3389">
        <v>0.64244854699642695</v>
      </c>
      <c r="F3389">
        <v>0.18259320543629001</v>
      </c>
      <c r="G3389">
        <v>0.101343362364038</v>
      </c>
      <c r="H3389">
        <v>6.3652115783376803E-2</v>
      </c>
      <c r="I3389">
        <v>4.1958074432916E-2</v>
      </c>
      <c r="J3389">
        <v>4.5496297779814399E-2</v>
      </c>
      <c r="K3389">
        <v>3.5800426128819299E-2</v>
      </c>
      <c r="L3389">
        <v>1759.3830399245801</v>
      </c>
      <c r="M3389">
        <v>34.779001133573303</v>
      </c>
      <c r="N3389">
        <v>50.7401874052089</v>
      </c>
      <c r="O3389">
        <v>50.4211311543542</v>
      </c>
      <c r="P3389">
        <v>-0.16387705752647899</v>
      </c>
      <c r="Q3389">
        <v>4.9675124220210802E-2</v>
      </c>
      <c r="R3389">
        <v>0.99479748355179798</v>
      </c>
      <c r="S3389" t="s">
        <v>9250</v>
      </c>
      <c r="T3389" t="s">
        <v>11720</v>
      </c>
      <c r="U3389" t="s">
        <v>11720</v>
      </c>
      <c r="V3389" t="s">
        <v>11720</v>
      </c>
      <c r="W3389" t="s">
        <v>15059</v>
      </c>
      <c r="X3389">
        <v>6</v>
      </c>
      <c r="Y3389" t="s">
        <v>20784</v>
      </c>
      <c r="Z3389" t="s">
        <v>26596</v>
      </c>
      <c r="AA3389">
        <v>0.38946709490035519</v>
      </c>
      <c r="AB3389" t="str">
        <f>HYPERLINK("Melting_Curves/meltCurve_Q3KRA6_C2orf76.pdf", "Melting_Curves/meltCurve_Q3KRA6_C2orf76.pdf")</f>
        <v>Melting_Curves/meltCurve_Q3KRA6_C2orf76.pdf</v>
      </c>
    </row>
    <row r="3390" spans="1:28" x14ac:dyDescent="0.25">
      <c r="A3390" t="s">
        <v>3394</v>
      </c>
      <c r="B3390">
        <v>0.99334974765950101</v>
      </c>
      <c r="C3390">
        <v>0.85046288718053797</v>
      </c>
      <c r="D3390">
        <v>0.67056167663978805</v>
      </c>
      <c r="E3390">
        <v>0.47754822213023301</v>
      </c>
      <c r="F3390">
        <v>0.36298148105481498</v>
      </c>
      <c r="G3390">
        <v>0.30113460217624399</v>
      </c>
      <c r="H3390">
        <v>0.23478863890462601</v>
      </c>
      <c r="I3390">
        <v>0.21105294515315001</v>
      </c>
      <c r="J3390">
        <v>0.17798090024327701</v>
      </c>
      <c r="K3390">
        <v>0.115948605758043</v>
      </c>
      <c r="L3390">
        <v>580.83688115901998</v>
      </c>
      <c r="M3390">
        <v>12.0271025081954</v>
      </c>
      <c r="N3390">
        <v>49.7660717299335</v>
      </c>
      <c r="O3390">
        <v>47.016994423748102</v>
      </c>
      <c r="P3390">
        <v>-5.43916915684328E-2</v>
      </c>
      <c r="Q3390">
        <v>0.14967952423227401</v>
      </c>
      <c r="R3390">
        <v>0.988790051763759</v>
      </c>
      <c r="S3390" t="s">
        <v>9251</v>
      </c>
      <c r="T3390" t="s">
        <v>11720</v>
      </c>
      <c r="U3390" t="s">
        <v>11720</v>
      </c>
      <c r="V3390" t="s">
        <v>11720</v>
      </c>
      <c r="W3390" t="s">
        <v>15060</v>
      </c>
      <c r="X3390">
        <v>3</v>
      </c>
      <c r="Y3390" t="s">
        <v>20785</v>
      </c>
      <c r="Z3390" t="s">
        <v>26597</v>
      </c>
      <c r="AA3390">
        <v>0.41728051550084011</v>
      </c>
      <c r="AB3390" t="str">
        <f>HYPERLINK("Melting_Curves/meltCurve_Q3KRA9_ALKBH6.pdf", "Melting_Curves/meltCurve_Q3KRA9_ALKBH6.pdf")</f>
        <v>Melting_Curves/meltCurve_Q3KRA9_ALKBH6.pdf</v>
      </c>
    </row>
    <row r="3391" spans="1:28" x14ac:dyDescent="0.25">
      <c r="A3391" t="s">
        <v>3395</v>
      </c>
      <c r="B3391">
        <v>0.99334974765950101</v>
      </c>
      <c r="C3391">
        <v>0.99685104177233197</v>
      </c>
      <c r="D3391">
        <v>1.0086577176913001</v>
      </c>
      <c r="E3391">
        <v>0.94134809954815202</v>
      </c>
      <c r="F3391">
        <v>0.77660834624669906</v>
      </c>
      <c r="G3391">
        <v>0.43982200040950797</v>
      </c>
      <c r="H3391">
        <v>0.15656241782844199</v>
      </c>
      <c r="I3391">
        <v>0.118209503999107</v>
      </c>
      <c r="J3391">
        <v>0.10160411950930701</v>
      </c>
      <c r="K3391">
        <v>8.3672081099761E-2</v>
      </c>
      <c r="L3391">
        <v>1306.69954338261</v>
      </c>
      <c r="M3391">
        <v>23.436050685375299</v>
      </c>
      <c r="N3391">
        <v>56.137212580781501</v>
      </c>
      <c r="O3391">
        <v>55.354771729752002</v>
      </c>
      <c r="P3391">
        <v>-9.8059237825352003E-2</v>
      </c>
      <c r="Q3391">
        <v>7.3572202316809901E-2</v>
      </c>
      <c r="R3391">
        <v>0.99900831138011703</v>
      </c>
      <c r="S3391" t="s">
        <v>9252</v>
      </c>
      <c r="T3391" t="s">
        <v>11720</v>
      </c>
      <c r="U3391" t="s">
        <v>11720</v>
      </c>
      <c r="V3391" t="s">
        <v>11720</v>
      </c>
      <c r="W3391" t="s">
        <v>15061</v>
      </c>
      <c r="X3391">
        <v>23</v>
      </c>
      <c r="Y3391" t="s">
        <v>20786</v>
      </c>
      <c r="Z3391" t="s">
        <v>26598</v>
      </c>
      <c r="AA3391">
        <v>0.56961750018249713</v>
      </c>
      <c r="AB3391" t="str">
        <f>HYPERLINK("Melting_Curves/meltCurve_Q3LXA3_DAK.pdf", "Melting_Curves/meltCurve_Q3LXA3_DAK.pdf")</f>
        <v>Melting_Curves/meltCurve_Q3LXA3_DAK.pdf</v>
      </c>
    </row>
    <row r="3392" spans="1:28" x14ac:dyDescent="0.25">
      <c r="A3392" t="s">
        <v>3396</v>
      </c>
      <c r="B3392">
        <v>0.99334974765950101</v>
      </c>
      <c r="C3392">
        <v>1.0270214338758601</v>
      </c>
      <c r="D3392">
        <v>0.88002814357449999</v>
      </c>
      <c r="E3392">
        <v>0.80285494328533102</v>
      </c>
      <c r="F3392">
        <v>0.54674007461831198</v>
      </c>
      <c r="G3392">
        <v>0.20590122917673101</v>
      </c>
      <c r="H3392">
        <v>0.16864919308433601</v>
      </c>
      <c r="I3392">
        <v>0.12615802256386699</v>
      </c>
      <c r="J3392">
        <v>0.16053143247948801</v>
      </c>
      <c r="K3392">
        <v>0.134803735237817</v>
      </c>
      <c r="L3392">
        <v>1215.6079802193899</v>
      </c>
      <c r="M3392">
        <v>23.134434407005301</v>
      </c>
      <c r="N3392">
        <v>53.220992010349804</v>
      </c>
      <c r="O3392">
        <v>52.157502260518001</v>
      </c>
      <c r="P3392">
        <v>-9.6779634703252904E-2</v>
      </c>
      <c r="Q3392">
        <v>0.12724181891700201</v>
      </c>
      <c r="R3392">
        <v>0.99056369364621499</v>
      </c>
      <c r="S3392" t="s">
        <v>9253</v>
      </c>
      <c r="T3392" t="s">
        <v>11720</v>
      </c>
      <c r="U3392" t="s">
        <v>11720</v>
      </c>
      <c r="V3392" t="s">
        <v>11720</v>
      </c>
      <c r="W3392" t="s">
        <v>15062</v>
      </c>
      <c r="X3392">
        <v>6</v>
      </c>
      <c r="Y3392" t="s">
        <v>20787</v>
      </c>
      <c r="Z3392" t="s">
        <v>26599</v>
      </c>
      <c r="AA3392">
        <v>0.50147451492976036</v>
      </c>
      <c r="AB3392" t="str">
        <f>HYPERLINK("Melting_Curves/meltCurve_Q3MHD2_LSM12.pdf", "Melting_Curves/meltCurve_Q3MHD2_LSM12.pdf")</f>
        <v>Melting_Curves/meltCurve_Q3MHD2_LSM12.pdf</v>
      </c>
    </row>
    <row r="3393" spans="1:28" x14ac:dyDescent="0.25">
      <c r="A3393" t="s">
        <v>3397</v>
      </c>
      <c r="B3393">
        <v>0.99334974765950101</v>
      </c>
      <c r="C3393">
        <v>0.89974945658867</v>
      </c>
      <c r="D3393">
        <v>0.75763230059276199</v>
      </c>
      <c r="E3393">
        <v>0.57450717504240101</v>
      </c>
      <c r="F3393">
        <v>0.42962579021897201</v>
      </c>
      <c r="G3393">
        <v>0.42048017534558702</v>
      </c>
      <c r="H3393">
        <v>0.44601279500567598</v>
      </c>
      <c r="I3393">
        <v>0.55018044642717301</v>
      </c>
      <c r="J3393">
        <v>0.592128447817721</v>
      </c>
      <c r="K3393">
        <v>0.49183150466592401</v>
      </c>
      <c r="L3393">
        <v>1157.2364694801499</v>
      </c>
      <c r="M3393">
        <v>25.173833452017998</v>
      </c>
      <c r="N3393">
        <v>54.296017646771901</v>
      </c>
      <c r="O3393">
        <v>45.682673366272802</v>
      </c>
      <c r="P3393">
        <v>-7.0333938608632296E-2</v>
      </c>
      <c r="Q3393">
        <v>0.48946983898156299</v>
      </c>
      <c r="R3393">
        <v>0.92067834149185601</v>
      </c>
      <c r="S3393" t="s">
        <v>9254</v>
      </c>
      <c r="T3393" t="s">
        <v>11720</v>
      </c>
      <c r="U3393" t="s">
        <v>11720</v>
      </c>
      <c r="V3393" t="s">
        <v>11720</v>
      </c>
      <c r="W3393" t="s">
        <v>15063</v>
      </c>
      <c r="X3393">
        <v>2</v>
      </c>
      <c r="Y3393" t="s">
        <v>20788</v>
      </c>
      <c r="Z3393" t="s">
        <v>26600</v>
      </c>
      <c r="AA3393">
        <v>0.59571093144593135</v>
      </c>
      <c r="AB3393" t="str">
        <f>HYPERLINK("Melting_Curves/meltCurve_Q3MIT2_PUS10.pdf", "Melting_Curves/meltCurve_Q3MIT2_PUS10.pdf")</f>
        <v>Melting_Curves/meltCurve_Q3MIT2_PUS10.pdf</v>
      </c>
    </row>
    <row r="3394" spans="1:28" x14ac:dyDescent="0.25">
      <c r="A3394" t="s">
        <v>3398</v>
      </c>
      <c r="B3394">
        <v>0.99334974765950101</v>
      </c>
      <c r="C3394">
        <v>0.92772103020841301</v>
      </c>
      <c r="D3394">
        <v>0.988889540875593</v>
      </c>
      <c r="E3394">
        <v>0.90632025757330203</v>
      </c>
      <c r="F3394">
        <v>0.66895830536665601</v>
      </c>
      <c r="G3394">
        <v>0.49506034241846297</v>
      </c>
      <c r="H3394">
        <v>0.35397732174788299</v>
      </c>
      <c r="I3394">
        <v>0.21309416862278899</v>
      </c>
      <c r="J3394">
        <v>0.10100644524397701</v>
      </c>
      <c r="K3394">
        <v>6.4938179925509404E-2</v>
      </c>
      <c r="L3394">
        <v>725.90411952543002</v>
      </c>
      <c r="M3394">
        <v>12.7212490313453</v>
      </c>
      <c r="N3394">
        <v>57.062322193578503</v>
      </c>
      <c r="O3394">
        <v>55.707384374987598</v>
      </c>
      <c r="P3394">
        <v>-5.7100572456998698E-2</v>
      </c>
      <c r="Q3394">
        <v>0</v>
      </c>
      <c r="R3394">
        <v>0.98884592918681902</v>
      </c>
      <c r="S3394" t="s">
        <v>9255</v>
      </c>
      <c r="T3394" t="s">
        <v>11720</v>
      </c>
      <c r="U3394" t="s">
        <v>11720</v>
      </c>
      <c r="V3394" t="s">
        <v>11720</v>
      </c>
      <c r="W3394" t="s">
        <v>15064</v>
      </c>
      <c r="X3394">
        <v>9</v>
      </c>
      <c r="Y3394" t="s">
        <v>20789</v>
      </c>
      <c r="Z3394" t="s">
        <v>26601</v>
      </c>
      <c r="AA3394">
        <v>0.58531774763914157</v>
      </c>
      <c r="AB3394" t="str">
        <f>HYPERLINK("Melting_Curves/meltCurve_Q3SXM5_HSDL1.pdf", "Melting_Curves/meltCurve_Q3SXM5_HSDL1.pdf")</f>
        <v>Melting_Curves/meltCurve_Q3SXM5_HSDL1.pdf</v>
      </c>
    </row>
    <row r="3395" spans="1:28" x14ac:dyDescent="0.25">
      <c r="A3395" t="s">
        <v>3399</v>
      </c>
      <c r="B3395">
        <v>0.99334974765950101</v>
      </c>
      <c r="C3395">
        <v>1.11626524032493</v>
      </c>
      <c r="D3395">
        <v>1.1523094007813099</v>
      </c>
      <c r="E3395">
        <v>0.91718298733395698</v>
      </c>
      <c r="F3395">
        <v>0.20997061856259699</v>
      </c>
      <c r="G3395">
        <v>0.17156896828464799</v>
      </c>
      <c r="H3395">
        <v>0.135223101095056</v>
      </c>
      <c r="I3395">
        <v>9.8728906450323006E-2</v>
      </c>
      <c r="J3395">
        <v>9.0855886372284894E-2</v>
      </c>
      <c r="K3395">
        <v>0.115953505283049</v>
      </c>
      <c r="L3395">
        <v>3935.8501782790099</v>
      </c>
      <c r="M3395">
        <v>76.454149372988596</v>
      </c>
      <c r="N3395">
        <v>51.6694091310559</v>
      </c>
      <c r="O3395">
        <v>51.444687815032999</v>
      </c>
      <c r="P3395">
        <v>-0.32610549013211398</v>
      </c>
      <c r="Q3395">
        <v>0.122276932117674</v>
      </c>
      <c r="R3395">
        <v>0.97978117776149098</v>
      </c>
      <c r="S3395" t="s">
        <v>9256</v>
      </c>
      <c r="T3395" t="s">
        <v>11720</v>
      </c>
      <c r="U3395" t="s">
        <v>11720</v>
      </c>
      <c r="V3395" t="s">
        <v>11720</v>
      </c>
      <c r="W3395" t="s">
        <v>15065</v>
      </c>
      <c r="X3395">
        <v>1</v>
      </c>
      <c r="Y3395" t="s">
        <v>20790</v>
      </c>
      <c r="Z3395" t="s">
        <v>26602</v>
      </c>
      <c r="AA3395">
        <v>0.45899841369034</v>
      </c>
      <c r="AB3395" t="str">
        <f>HYPERLINK("Melting_Curves/meltCurve_Q3SXZ0_C9orf126.pdf", "Melting_Curves/meltCurve_Q3SXZ0_C9orf126.pdf")</f>
        <v>Melting_Curves/meltCurve_Q3SXZ0_C9orf126.pdf</v>
      </c>
    </row>
    <row r="3396" spans="1:28" x14ac:dyDescent="0.25">
      <c r="A3396" t="s">
        <v>3400</v>
      </c>
      <c r="B3396">
        <v>0.99334974765950101</v>
      </c>
      <c r="C3396">
        <v>0.98201233318821302</v>
      </c>
      <c r="D3396">
        <v>1.00331534640325</v>
      </c>
      <c r="E3396">
        <v>0.70790697483507303</v>
      </c>
      <c r="F3396">
        <v>0.26571432778078202</v>
      </c>
      <c r="G3396">
        <v>0.145541020376004</v>
      </c>
      <c r="H3396">
        <v>0.101400832069115</v>
      </c>
      <c r="I3396">
        <v>7.8628448815002402E-2</v>
      </c>
      <c r="J3396">
        <v>6.9110077160155894E-2</v>
      </c>
      <c r="K3396">
        <v>5.2883258470795898E-2</v>
      </c>
      <c r="L3396">
        <v>1839.22805189369</v>
      </c>
      <c r="M3396">
        <v>36.030142962549697</v>
      </c>
      <c r="N3396">
        <v>51.305811266090203</v>
      </c>
      <c r="O3396">
        <v>50.890442565577303</v>
      </c>
      <c r="P3396">
        <v>-0.16228723013907201</v>
      </c>
      <c r="Q3396">
        <v>8.3118520974004406E-2</v>
      </c>
      <c r="R3396">
        <v>0.99757572818755003</v>
      </c>
      <c r="S3396" t="s">
        <v>9257</v>
      </c>
      <c r="T3396" t="s">
        <v>11720</v>
      </c>
      <c r="U3396" t="s">
        <v>11720</v>
      </c>
      <c r="V3396" t="s">
        <v>11720</v>
      </c>
      <c r="W3396" t="s">
        <v>15066</v>
      </c>
      <c r="X3396">
        <v>30</v>
      </c>
      <c r="Y3396" t="s">
        <v>20791</v>
      </c>
      <c r="Z3396" t="s">
        <v>26603</v>
      </c>
      <c r="AA3396">
        <v>0.42473556090319559</v>
      </c>
      <c r="AB3396" t="str">
        <f>HYPERLINK("Melting_Curves/meltCurve_Q3SY69_ALDH1L2.pdf", "Melting_Curves/meltCurve_Q3SY69_ALDH1L2.pdf")</f>
        <v>Melting_Curves/meltCurve_Q3SY69_ALDH1L2.pdf</v>
      </c>
    </row>
    <row r="3397" spans="1:28" x14ac:dyDescent="0.25">
      <c r="A3397" t="s">
        <v>3401</v>
      </c>
      <c r="B3397">
        <v>0.99334974765950101</v>
      </c>
      <c r="C3397">
        <v>1.0987376145343299</v>
      </c>
      <c r="D3397">
        <v>0.98953427026531904</v>
      </c>
      <c r="E3397">
        <v>0.89058716445055097</v>
      </c>
      <c r="F3397">
        <v>0.97512354793900702</v>
      </c>
      <c r="G3397">
        <v>0.67302137046213995</v>
      </c>
      <c r="H3397">
        <v>0.58492764417628695</v>
      </c>
      <c r="I3397">
        <v>0.64147867688318705</v>
      </c>
      <c r="J3397">
        <v>0.61231038749459499</v>
      </c>
      <c r="K3397">
        <v>0.54813916266488005</v>
      </c>
      <c r="L3397">
        <v>2895.06609638998</v>
      </c>
      <c r="M3397">
        <v>52.211577888756302</v>
      </c>
      <c r="O3397">
        <v>55.367583055215498</v>
      </c>
      <c r="P3397">
        <v>-9.5339265858563393E-2</v>
      </c>
      <c r="Q3397">
        <v>0.59559159959017904</v>
      </c>
      <c r="R3397">
        <v>0.93175681160245505</v>
      </c>
      <c r="S3397" t="s">
        <v>9258</v>
      </c>
      <c r="T3397" t="s">
        <v>11720</v>
      </c>
      <c r="U3397" t="s">
        <v>11720</v>
      </c>
      <c r="V3397" t="s">
        <v>11720</v>
      </c>
      <c r="W3397" t="s">
        <v>15067</v>
      </c>
      <c r="X3397">
        <v>4</v>
      </c>
      <c r="Y3397" t="s">
        <v>20792</v>
      </c>
      <c r="Z3397" t="s">
        <v>26604</v>
      </c>
      <c r="AA3397">
        <v>0.8047511335261992</v>
      </c>
      <c r="AB3397" t="str">
        <f>HYPERLINK("Melting_Curves/meltCurve_Q3T906_GNPTAB.pdf", "Melting_Curves/meltCurve_Q3T906_GNPTAB.pdf")</f>
        <v>Melting_Curves/meltCurve_Q3T906_GNPTAB.pdf</v>
      </c>
    </row>
    <row r="3398" spans="1:28" x14ac:dyDescent="0.25">
      <c r="A3398" t="s">
        <v>3402</v>
      </c>
      <c r="B3398">
        <v>0.99334974765950101</v>
      </c>
      <c r="C3398">
        <v>0.92399478370955301</v>
      </c>
      <c r="D3398">
        <v>0.72768112503198901</v>
      </c>
      <c r="E3398">
        <v>0.48874752139535799</v>
      </c>
      <c r="F3398">
        <v>0.42422644319790298</v>
      </c>
      <c r="G3398">
        <v>0.31441540142451102</v>
      </c>
      <c r="H3398">
        <v>0.29336969528964502</v>
      </c>
      <c r="I3398">
        <v>0.273423582653262</v>
      </c>
      <c r="J3398">
        <v>0.320015053774242</v>
      </c>
      <c r="K3398">
        <v>0.27540893158049001</v>
      </c>
      <c r="L3398">
        <v>827.114033726716</v>
      </c>
      <c r="M3398">
        <v>17.3902381015312</v>
      </c>
      <c r="N3398">
        <v>49.997685219839397</v>
      </c>
      <c r="O3398">
        <v>46.946432266813098</v>
      </c>
      <c r="P3398">
        <v>-6.6153646231840793E-2</v>
      </c>
      <c r="Q3398">
        <v>0.28569099418352401</v>
      </c>
      <c r="R3398">
        <v>0.99420602946343895</v>
      </c>
      <c r="S3398" t="s">
        <v>9259</v>
      </c>
      <c r="T3398" t="s">
        <v>11720</v>
      </c>
      <c r="U3398" t="s">
        <v>11720</v>
      </c>
      <c r="V3398" t="s">
        <v>11720</v>
      </c>
      <c r="W3398" t="s">
        <v>15068</v>
      </c>
      <c r="X3398">
        <v>9</v>
      </c>
      <c r="Y3398" t="s">
        <v>20793</v>
      </c>
      <c r="Z3398" t="s">
        <v>26605</v>
      </c>
      <c r="AA3398">
        <v>0.47958208468108032</v>
      </c>
      <c r="AB3398" t="str">
        <f>HYPERLINK("Melting_Curves/meltCurve_Q3V6T2_4_CCDC88A.pdf", "Melting_Curves/meltCurve_Q3V6T2_4_CCDC88A.pdf")</f>
        <v>Melting_Curves/meltCurve_Q3V6T2_4_CCDC88A.pdf</v>
      </c>
    </row>
    <row r="3399" spans="1:28" x14ac:dyDescent="0.25">
      <c r="A3399" t="s">
        <v>3403</v>
      </c>
      <c r="B3399">
        <v>0.99334974765950101</v>
      </c>
      <c r="C3399">
        <v>1.00382179500906</v>
      </c>
      <c r="D3399">
        <v>1.0219865611941401</v>
      </c>
      <c r="E3399">
        <v>1.2819193157781199</v>
      </c>
      <c r="F3399">
        <v>1.43983370744449</v>
      </c>
      <c r="G3399">
        <v>0.74514803830778098</v>
      </c>
      <c r="H3399">
        <v>0.34867402699213101</v>
      </c>
      <c r="I3399">
        <v>0.280859412741223</v>
      </c>
      <c r="J3399">
        <v>0.30365531315348199</v>
      </c>
      <c r="K3399">
        <v>0.25929294009855902</v>
      </c>
      <c r="L3399">
        <v>6839.1360598009496</v>
      </c>
      <c r="M3399">
        <v>119.42090486252999</v>
      </c>
      <c r="N3399">
        <v>57.707053733720699</v>
      </c>
      <c r="O3399">
        <v>57.253119269510499</v>
      </c>
      <c r="P3399">
        <v>-0.36607766150020099</v>
      </c>
      <c r="Q3399">
        <v>0.297975988202486</v>
      </c>
      <c r="R3399">
        <v>0.84340966695529396</v>
      </c>
      <c r="S3399" t="s">
        <v>9260</v>
      </c>
      <c r="T3399" t="s">
        <v>11720</v>
      </c>
      <c r="U3399" t="s">
        <v>11720</v>
      </c>
      <c r="V3399" t="s">
        <v>11720</v>
      </c>
      <c r="W3399" t="s">
        <v>15069</v>
      </c>
      <c r="X3399">
        <v>11</v>
      </c>
      <c r="Y3399" t="s">
        <v>20794</v>
      </c>
      <c r="Z3399" t="s">
        <v>26606</v>
      </c>
      <c r="AA3399">
        <v>0.70239783030285485</v>
      </c>
      <c r="AB3399" t="str">
        <f>HYPERLINK("Melting_Curves/meltCurve_Q3YEC7_RABL6.pdf", "Melting_Curves/meltCurve_Q3YEC7_RABL6.pdf")</f>
        <v>Melting_Curves/meltCurve_Q3YEC7_RABL6.pdf</v>
      </c>
    </row>
    <row r="3400" spans="1:28" x14ac:dyDescent="0.25">
      <c r="A3400" t="s">
        <v>3404</v>
      </c>
      <c r="B3400">
        <v>0.99334974765950101</v>
      </c>
      <c r="C3400">
        <v>1.00793118919254</v>
      </c>
      <c r="D3400">
        <v>0.980098806899946</v>
      </c>
      <c r="E3400">
        <v>1.01406751817206</v>
      </c>
      <c r="F3400">
        <v>1.1261936599432101</v>
      </c>
      <c r="G3400">
        <v>0.68782209592242904</v>
      </c>
      <c r="H3400">
        <v>0.34557594597250701</v>
      </c>
      <c r="I3400">
        <v>0.16206411268686099</v>
      </c>
      <c r="J3400">
        <v>0.13460813896189999</v>
      </c>
      <c r="K3400">
        <v>0.106026870553415</v>
      </c>
      <c r="L3400">
        <v>1895.9310684121599</v>
      </c>
      <c r="M3400">
        <v>32.381213137205698</v>
      </c>
      <c r="N3400">
        <v>59.037670776638898</v>
      </c>
      <c r="O3400">
        <v>58.328391928511202</v>
      </c>
      <c r="P3400">
        <v>-0.122512504188087</v>
      </c>
      <c r="Q3400">
        <v>0.11727544349275899</v>
      </c>
      <c r="R3400">
        <v>0.98162657059858904</v>
      </c>
      <c r="S3400" t="s">
        <v>9261</v>
      </c>
      <c r="T3400" t="s">
        <v>11720</v>
      </c>
      <c r="U3400" t="s">
        <v>11720</v>
      </c>
      <c r="V3400" t="s">
        <v>11720</v>
      </c>
      <c r="W3400" t="s">
        <v>15070</v>
      </c>
      <c r="X3400">
        <v>12</v>
      </c>
      <c r="Y3400" t="s">
        <v>20795</v>
      </c>
      <c r="Z3400" t="s">
        <v>26607</v>
      </c>
      <c r="AA3400">
        <v>0.66817059334439011</v>
      </c>
      <c r="AB3400" t="str">
        <f>HYPERLINK("Melting_Curves/meltCurve_Q3ZCM7_TUBB8.pdf", "Melting_Curves/meltCurve_Q3ZCM7_TUBB8.pdf")</f>
        <v>Melting_Curves/meltCurve_Q3ZCM7_TUBB8.pdf</v>
      </c>
    </row>
    <row r="3401" spans="1:28" x14ac:dyDescent="0.25">
      <c r="A3401" t="s">
        <v>3405</v>
      </c>
      <c r="B3401">
        <v>0.99334974765950101</v>
      </c>
      <c r="C3401">
        <v>0.94310707703020502</v>
      </c>
      <c r="D3401">
        <v>0.94227850957521397</v>
      </c>
      <c r="E3401">
        <v>0.72705665740130898</v>
      </c>
      <c r="F3401">
        <v>0.62832951625357603</v>
      </c>
      <c r="G3401">
        <v>0.39374545106888897</v>
      </c>
      <c r="H3401">
        <v>0.35143770860712298</v>
      </c>
      <c r="I3401">
        <v>0.28005638772385</v>
      </c>
      <c r="J3401">
        <v>0.25203282344723399</v>
      </c>
      <c r="K3401">
        <v>0.156437686832062</v>
      </c>
      <c r="L3401">
        <v>643.91841962391698</v>
      </c>
      <c r="M3401">
        <v>11.9891050200781</v>
      </c>
      <c r="N3401">
        <v>55.412580322358899</v>
      </c>
      <c r="O3401">
        <v>52.279842753731998</v>
      </c>
      <c r="P3401">
        <v>-4.85042249614768E-2</v>
      </c>
      <c r="Q3401">
        <v>0.154172299767496</v>
      </c>
      <c r="R3401">
        <v>0.98984201424759299</v>
      </c>
      <c r="S3401" t="s">
        <v>9262</v>
      </c>
      <c r="T3401" t="s">
        <v>11720</v>
      </c>
      <c r="U3401" t="s">
        <v>11720</v>
      </c>
      <c r="V3401" t="s">
        <v>11720</v>
      </c>
      <c r="W3401" t="s">
        <v>15071</v>
      </c>
      <c r="X3401">
        <v>10</v>
      </c>
      <c r="Y3401" t="s">
        <v>20796</v>
      </c>
      <c r="Z3401" t="s">
        <v>26608</v>
      </c>
      <c r="AA3401">
        <v>0.56339210498002146</v>
      </c>
      <c r="AB3401" t="str">
        <f>HYPERLINK("Melting_Curves/meltCurve_Q3ZCQ8_TIMM50.pdf", "Melting_Curves/meltCurve_Q3ZCQ8_TIMM50.pdf")</f>
        <v>Melting_Curves/meltCurve_Q3ZCQ8_TIMM50.pdf</v>
      </c>
    </row>
    <row r="3402" spans="1:28" x14ac:dyDescent="0.25">
      <c r="A3402" t="s">
        <v>3406</v>
      </c>
      <c r="B3402">
        <v>0.99334974765950101</v>
      </c>
      <c r="C3402">
        <v>0.85467045788913898</v>
      </c>
      <c r="D3402">
        <v>0.67306220882091705</v>
      </c>
      <c r="E3402">
        <v>0.61834539807112099</v>
      </c>
      <c r="F3402">
        <v>0.36545369848058501</v>
      </c>
      <c r="G3402">
        <v>0.20468295842235601</v>
      </c>
      <c r="H3402">
        <v>0.165382497622656</v>
      </c>
      <c r="I3402">
        <v>0.111741183029651</v>
      </c>
      <c r="J3402">
        <v>0.126834785979895</v>
      </c>
      <c r="K3402">
        <v>0.39051906639116302</v>
      </c>
      <c r="L3402">
        <v>670.582019775768</v>
      </c>
      <c r="M3402">
        <v>13.8006877113957</v>
      </c>
      <c r="N3402">
        <v>50.097043385044202</v>
      </c>
      <c r="O3402">
        <v>47.604325683381703</v>
      </c>
      <c r="P3402">
        <v>-6.0175200019081401E-2</v>
      </c>
      <c r="Q3402">
        <v>0.16983876879027501</v>
      </c>
      <c r="R3402">
        <v>0.91134888436997097</v>
      </c>
      <c r="S3402" t="s">
        <v>9263</v>
      </c>
      <c r="T3402" t="s">
        <v>11720</v>
      </c>
      <c r="U3402" t="s">
        <v>11720</v>
      </c>
      <c r="V3402" t="s">
        <v>11720</v>
      </c>
      <c r="W3402" t="s">
        <v>15072</v>
      </c>
      <c r="X3402">
        <v>3</v>
      </c>
      <c r="Y3402" t="s">
        <v>20797</v>
      </c>
      <c r="Z3402" t="s">
        <v>26609</v>
      </c>
      <c r="AA3402">
        <v>0.43192160617825048</v>
      </c>
      <c r="AB3402" t="str">
        <f>HYPERLINK("Melting_Curves/meltCurve_Q3ZCW2_LGALSL.pdf", "Melting_Curves/meltCurve_Q3ZCW2_LGALSL.pdf")</f>
        <v>Melting_Curves/meltCurve_Q3ZCW2_LGALSL.pdf</v>
      </c>
    </row>
    <row r="3403" spans="1:28" x14ac:dyDescent="0.25">
      <c r="A3403" t="s">
        <v>3407</v>
      </c>
      <c r="B3403">
        <v>0.99334974765950101</v>
      </c>
      <c r="C3403">
        <v>0.98506094500108798</v>
      </c>
      <c r="D3403">
        <v>0.90656010154240996</v>
      </c>
      <c r="E3403">
        <v>0.87230257706838199</v>
      </c>
      <c r="F3403">
        <v>0.47957893524801798</v>
      </c>
      <c r="G3403">
        <v>0.27527301351993999</v>
      </c>
      <c r="H3403">
        <v>0.20717963497059999</v>
      </c>
      <c r="I3403">
        <v>0.15475177608319901</v>
      </c>
      <c r="J3403">
        <v>0.15535953324406801</v>
      </c>
      <c r="K3403">
        <v>0.11259100456858601</v>
      </c>
      <c r="L3403">
        <v>1349.7116121036199</v>
      </c>
      <c r="M3403">
        <v>25.705059177094299</v>
      </c>
      <c r="N3403">
        <v>53.247940079457102</v>
      </c>
      <c r="O3403">
        <v>52.192928692011201</v>
      </c>
      <c r="P3403">
        <v>-0.10462723342602499</v>
      </c>
      <c r="Q3403">
        <v>0.15024728105202101</v>
      </c>
      <c r="R3403">
        <v>0.98940084844241505</v>
      </c>
      <c r="S3403" t="s">
        <v>9264</v>
      </c>
      <c r="T3403" t="s">
        <v>11720</v>
      </c>
      <c r="U3403" t="s">
        <v>11720</v>
      </c>
      <c r="V3403" t="s">
        <v>11720</v>
      </c>
      <c r="W3403" t="s">
        <v>15073</v>
      </c>
      <c r="X3403">
        <v>3</v>
      </c>
      <c r="Y3403" t="s">
        <v>20798</v>
      </c>
      <c r="Z3403" t="s">
        <v>26610</v>
      </c>
      <c r="AA3403">
        <v>0.51191768965842921</v>
      </c>
      <c r="AB3403" t="str">
        <f>HYPERLINK("Melting_Curves/meltCurve_Q495W5_2_FUT11.pdf", "Melting_Curves/meltCurve_Q495W5_2_FUT11.pdf")</f>
        <v>Melting_Curves/meltCurve_Q495W5_2_FUT11.pdf</v>
      </c>
    </row>
    <row r="3404" spans="1:28" x14ac:dyDescent="0.25">
      <c r="A3404" t="s">
        <v>3408</v>
      </c>
      <c r="B3404">
        <v>0.99334974765950101</v>
      </c>
      <c r="C3404">
        <v>0.99003835042162402</v>
      </c>
      <c r="D3404">
        <v>0.93931760185077695</v>
      </c>
      <c r="E3404">
        <v>0.91016175583506498</v>
      </c>
      <c r="F3404">
        <v>0.89685367036128105</v>
      </c>
      <c r="G3404">
        <v>0.85536063228334602</v>
      </c>
      <c r="H3404">
        <v>0.79854526420190897</v>
      </c>
      <c r="I3404">
        <v>0.73734470844447897</v>
      </c>
      <c r="J3404">
        <v>0.92485973595875504</v>
      </c>
      <c r="K3404">
        <v>0.78502408511399302</v>
      </c>
      <c r="L3404">
        <v>623.17337350663297</v>
      </c>
      <c r="M3404">
        <v>12.2739248198436</v>
      </c>
      <c r="O3404">
        <v>49.480819146157799</v>
      </c>
      <c r="P3404">
        <v>-1.2172046492067601E-2</v>
      </c>
      <c r="Q3404">
        <v>0.803762906656731</v>
      </c>
      <c r="R3404">
        <v>0.68820554321945904</v>
      </c>
      <c r="S3404" t="s">
        <v>9265</v>
      </c>
      <c r="T3404" t="s">
        <v>11720</v>
      </c>
      <c r="U3404" t="s">
        <v>11720</v>
      </c>
      <c r="V3404" t="s">
        <v>11720</v>
      </c>
      <c r="W3404" t="s">
        <v>15074</v>
      </c>
      <c r="X3404">
        <v>6</v>
      </c>
      <c r="Y3404" t="s">
        <v>20799</v>
      </c>
      <c r="Z3404" t="s">
        <v>26611</v>
      </c>
      <c r="AA3404">
        <v>0.88050269554237814</v>
      </c>
      <c r="AB3404" t="str">
        <f>HYPERLINK("Melting_Curves/meltCurve_Q49AH0_2_CDNF.pdf", "Melting_Curves/meltCurve_Q49AH0_2_CDNF.pdf")</f>
        <v>Melting_Curves/meltCurve_Q49AH0_2_CDNF.pdf</v>
      </c>
    </row>
    <row r="3405" spans="1:28" x14ac:dyDescent="0.25">
      <c r="A3405" t="s">
        <v>3409</v>
      </c>
      <c r="B3405">
        <v>0.99334974765950101</v>
      </c>
      <c r="C3405">
        <v>1.0462556866952799</v>
      </c>
      <c r="D3405">
        <v>0.81562203605761996</v>
      </c>
      <c r="E3405">
        <v>0.51285173924162697</v>
      </c>
      <c r="F3405">
        <v>0.27928260241807801</v>
      </c>
      <c r="G3405">
        <v>0.10672184130588901</v>
      </c>
      <c r="H3405">
        <v>7.1833486900925503E-2</v>
      </c>
      <c r="I3405">
        <v>4.3654192543421101E-2</v>
      </c>
      <c r="J3405">
        <v>4.8665923835685097E-2</v>
      </c>
      <c r="K3405">
        <v>4.0476437134657699E-2</v>
      </c>
      <c r="L3405">
        <v>997.44586594775399</v>
      </c>
      <c r="M3405">
        <v>19.982539853865699</v>
      </c>
      <c r="N3405">
        <v>50.123533248588103</v>
      </c>
      <c r="O3405">
        <v>49.424053229949699</v>
      </c>
      <c r="P3405">
        <v>-9.7064736811562399E-2</v>
      </c>
      <c r="Q3405">
        <v>3.9726921840313303E-2</v>
      </c>
      <c r="R3405">
        <v>0.99465609949267297</v>
      </c>
      <c r="S3405" t="s">
        <v>9266</v>
      </c>
      <c r="T3405" t="s">
        <v>11720</v>
      </c>
      <c r="U3405" t="s">
        <v>11720</v>
      </c>
      <c r="V3405" t="s">
        <v>11720</v>
      </c>
      <c r="W3405" t="s">
        <v>15075</v>
      </c>
      <c r="X3405">
        <v>5</v>
      </c>
      <c r="Y3405" t="s">
        <v>20800</v>
      </c>
      <c r="Z3405" t="s">
        <v>26612</v>
      </c>
      <c r="AA3405">
        <v>0.37052065208953872</v>
      </c>
      <c r="AB3405" t="str">
        <f>HYPERLINK("Melting_Curves/meltCurve_Q49AR2_C5orf22.pdf", "Melting_Curves/meltCurve_Q49AR2_C5orf22.pdf")</f>
        <v>Melting_Curves/meltCurve_Q49AR2_C5orf22.pdf</v>
      </c>
    </row>
    <row r="3406" spans="1:28" x14ac:dyDescent="0.25">
      <c r="A3406" t="s">
        <v>3410</v>
      </c>
      <c r="B3406">
        <v>0.99334974765950101</v>
      </c>
      <c r="C3406">
        <v>0.96486910190727404</v>
      </c>
      <c r="D3406">
        <v>0.89862862732302895</v>
      </c>
      <c r="E3406">
        <v>0.85658870413066102</v>
      </c>
      <c r="F3406">
        <v>0.80658215514754505</v>
      </c>
      <c r="G3406">
        <v>0.77639803068056001</v>
      </c>
      <c r="H3406">
        <v>0.78294090877720302</v>
      </c>
      <c r="I3406">
        <v>0.84698232411267105</v>
      </c>
      <c r="J3406">
        <v>0.86215504610057003</v>
      </c>
      <c r="K3406">
        <v>0.71150535881148103</v>
      </c>
      <c r="L3406">
        <v>835.96944536483898</v>
      </c>
      <c r="M3406">
        <v>17.976221344888</v>
      </c>
      <c r="O3406">
        <v>45.9401366176821</v>
      </c>
      <c r="P3406">
        <v>-2.0145161657122199E-2</v>
      </c>
      <c r="Q3406">
        <v>0.79407784456475305</v>
      </c>
      <c r="R3406">
        <v>0.77231036332280201</v>
      </c>
      <c r="S3406" t="s">
        <v>9267</v>
      </c>
      <c r="T3406" t="s">
        <v>11720</v>
      </c>
      <c r="U3406" t="s">
        <v>11720</v>
      </c>
      <c r="V3406" t="s">
        <v>11720</v>
      </c>
      <c r="W3406" t="s">
        <v>15076</v>
      </c>
      <c r="X3406">
        <v>5</v>
      </c>
      <c r="Y3406" t="s">
        <v>20801</v>
      </c>
      <c r="Z3406" t="s">
        <v>26613</v>
      </c>
      <c r="AA3406">
        <v>0.84263905550095475</v>
      </c>
      <c r="AB3406" t="str">
        <f>HYPERLINK("Melting_Curves/meltCurve_Q49B96_COX19.pdf", "Melting_Curves/meltCurve_Q49B96_COX19.pdf")</f>
        <v>Melting_Curves/meltCurve_Q49B96_COX19.pdf</v>
      </c>
    </row>
    <row r="3407" spans="1:28" x14ac:dyDescent="0.25">
      <c r="A3407" t="s">
        <v>3411</v>
      </c>
      <c r="B3407">
        <v>0.99334974765950101</v>
      </c>
      <c r="C3407">
        <v>1.0075873900755099</v>
      </c>
      <c r="D3407">
        <v>1.0833914038229699</v>
      </c>
      <c r="E3407">
        <v>0.93303676376216804</v>
      </c>
      <c r="F3407">
        <v>0.744562770511769</v>
      </c>
      <c r="G3407">
        <v>0.39065137468883898</v>
      </c>
      <c r="H3407">
        <v>0.33868668426377002</v>
      </c>
      <c r="I3407">
        <v>0.13848844673867999</v>
      </c>
      <c r="J3407">
        <v>0.14301556540008001</v>
      </c>
      <c r="K3407">
        <v>0.131236242328785</v>
      </c>
      <c r="L3407">
        <v>1170.2967824684999</v>
      </c>
      <c r="M3407">
        <v>21.169570693992299</v>
      </c>
      <c r="N3407">
        <v>56.104492224982799</v>
      </c>
      <c r="O3407">
        <v>54.795833058930597</v>
      </c>
      <c r="P3407">
        <v>-8.3701512195939201E-2</v>
      </c>
      <c r="Q3407">
        <v>0.13340258996808799</v>
      </c>
      <c r="R3407">
        <v>0.98374865260806899</v>
      </c>
      <c r="S3407" t="s">
        <v>9268</v>
      </c>
      <c r="T3407" t="s">
        <v>11720</v>
      </c>
      <c r="U3407" t="s">
        <v>11720</v>
      </c>
      <c r="V3407" t="s">
        <v>11720</v>
      </c>
      <c r="W3407" t="s">
        <v>15077</v>
      </c>
      <c r="X3407">
        <v>9</v>
      </c>
      <c r="Y3407" t="s">
        <v>20802</v>
      </c>
      <c r="Z3407" t="s">
        <v>26614</v>
      </c>
      <c r="AA3407">
        <v>0.58536083979335463</v>
      </c>
      <c r="AB3407" t="str">
        <f>HYPERLINK("Melting_Curves/meltCurve_Q4G0F5_VPS26B.pdf", "Melting_Curves/meltCurve_Q4G0F5_VPS26B.pdf")</f>
        <v>Melting_Curves/meltCurve_Q4G0F5_VPS26B.pdf</v>
      </c>
    </row>
    <row r="3408" spans="1:28" x14ac:dyDescent="0.25">
      <c r="A3408" t="s">
        <v>3412</v>
      </c>
      <c r="B3408">
        <v>0.99334974765950101</v>
      </c>
      <c r="C3408">
        <v>0.91514817470354104</v>
      </c>
      <c r="D3408">
        <v>0.82501792402531304</v>
      </c>
      <c r="E3408">
        <v>0.74966134475727997</v>
      </c>
      <c r="F3408">
        <v>1.1604689637207599</v>
      </c>
      <c r="G3408">
        <v>0.70949277440007097</v>
      </c>
      <c r="H3408">
        <v>0.84029896438681095</v>
      </c>
      <c r="I3408">
        <v>0.94298397265898803</v>
      </c>
      <c r="J3408">
        <v>1.1709376505776199</v>
      </c>
      <c r="K3408">
        <v>0.85691020115761796</v>
      </c>
      <c r="L3408">
        <v>3111.5263588431699</v>
      </c>
      <c r="M3408">
        <v>75.096787620134904</v>
      </c>
      <c r="O3408">
        <v>41.404214375115799</v>
      </c>
      <c r="P3408">
        <v>-4.2111952551118201E-2</v>
      </c>
      <c r="Q3408">
        <v>0.907127255346446</v>
      </c>
      <c r="R3408">
        <v>3.02002935596247E-2</v>
      </c>
      <c r="S3408" t="s">
        <v>9269</v>
      </c>
      <c r="T3408" t="s">
        <v>11720</v>
      </c>
      <c r="U3408" t="s">
        <v>11720</v>
      </c>
      <c r="V3408" t="s">
        <v>11720</v>
      </c>
      <c r="W3408" t="s">
        <v>15078</v>
      </c>
      <c r="X3408">
        <v>3</v>
      </c>
      <c r="Y3408" t="s">
        <v>20803</v>
      </c>
      <c r="Z3408" t="s">
        <v>26615</v>
      </c>
      <c r="AA3408">
        <v>0.91174196714550393</v>
      </c>
      <c r="AB3408" t="str">
        <f>HYPERLINK("Melting_Curves/meltCurve_Q4G0I0_CCSMST1.pdf", "Melting_Curves/meltCurve_Q4G0I0_CCSMST1.pdf")</f>
        <v>Melting_Curves/meltCurve_Q4G0I0_CCSMST1.pdf</v>
      </c>
    </row>
    <row r="3409" spans="1:28" x14ac:dyDescent="0.25">
      <c r="A3409" t="s">
        <v>3413</v>
      </c>
      <c r="B3409">
        <v>0.99334974765950101</v>
      </c>
      <c r="C3409">
        <v>1.0009580230078701</v>
      </c>
      <c r="D3409">
        <v>1.0178133418558499</v>
      </c>
      <c r="E3409">
        <v>0.94494830651139305</v>
      </c>
      <c r="F3409">
        <v>0.90013677472454801</v>
      </c>
      <c r="G3409">
        <v>0.356974422587787</v>
      </c>
      <c r="H3409">
        <v>0.13695223291313999</v>
      </c>
      <c r="I3409">
        <v>0.109948978989146</v>
      </c>
      <c r="J3409">
        <v>0.11165304665780899</v>
      </c>
      <c r="K3409">
        <v>9.65762368260034E-2</v>
      </c>
      <c r="L3409">
        <v>2179.0968730299601</v>
      </c>
      <c r="M3409">
        <v>39.146394250749303</v>
      </c>
      <c r="N3409">
        <v>56.000813123664599</v>
      </c>
      <c r="O3409">
        <v>55.520659592562701</v>
      </c>
      <c r="P3409">
        <v>-0.15784493947563</v>
      </c>
      <c r="Q3409">
        <v>0.10452695894608199</v>
      </c>
      <c r="R3409">
        <v>0.99847311326424204</v>
      </c>
      <c r="S3409" t="s">
        <v>9270</v>
      </c>
      <c r="T3409" t="s">
        <v>11720</v>
      </c>
      <c r="U3409" t="s">
        <v>11720</v>
      </c>
      <c r="V3409" t="s">
        <v>11720</v>
      </c>
      <c r="W3409" t="s">
        <v>15079</v>
      </c>
      <c r="X3409">
        <v>20</v>
      </c>
      <c r="Y3409" t="s">
        <v>20804</v>
      </c>
      <c r="Z3409" t="s">
        <v>26616</v>
      </c>
      <c r="AA3409">
        <v>0.5756991068432139</v>
      </c>
      <c r="AB3409" t="str">
        <f>HYPERLINK("Melting_Curves/meltCurve_Q4G0N4_NADKD1.pdf", "Melting_Curves/meltCurve_Q4G0N4_NADKD1.pdf")</f>
        <v>Melting_Curves/meltCurve_Q4G0N4_NADKD1.pdf</v>
      </c>
    </row>
    <row r="3410" spans="1:28" x14ac:dyDescent="0.25">
      <c r="A3410" t="s">
        <v>3414</v>
      </c>
      <c r="B3410">
        <v>0.99334974765950101</v>
      </c>
      <c r="C3410">
        <v>0.915514782706774</v>
      </c>
      <c r="D3410">
        <v>0.94030217112833303</v>
      </c>
      <c r="E3410">
        <v>0.63996833402394504</v>
      </c>
      <c r="F3410">
        <v>0.45020794126702202</v>
      </c>
      <c r="G3410">
        <v>0.274471801192682</v>
      </c>
      <c r="H3410">
        <v>0.262750008525239</v>
      </c>
      <c r="I3410">
        <v>0.15586733562282601</v>
      </c>
      <c r="J3410">
        <v>0.161905472271901</v>
      </c>
      <c r="K3410">
        <v>0.132253311894902</v>
      </c>
      <c r="L3410">
        <v>844.52017056346801</v>
      </c>
      <c r="M3410">
        <v>16.484920772269</v>
      </c>
      <c r="N3410">
        <v>52.321692144941601</v>
      </c>
      <c r="O3410">
        <v>50.493784860119597</v>
      </c>
      <c r="P3410">
        <v>-6.9744962426858098E-2</v>
      </c>
      <c r="Q3410">
        <v>0.14553632887218801</v>
      </c>
      <c r="R3410">
        <v>0.99045249993120599</v>
      </c>
      <c r="S3410" t="s">
        <v>9271</v>
      </c>
      <c r="T3410" t="s">
        <v>11720</v>
      </c>
      <c r="U3410" t="s">
        <v>11720</v>
      </c>
      <c r="V3410" t="s">
        <v>11720</v>
      </c>
      <c r="W3410" t="s">
        <v>15080</v>
      </c>
      <c r="X3410">
        <v>1</v>
      </c>
      <c r="Y3410" t="s">
        <v>20805</v>
      </c>
      <c r="Z3410" t="s">
        <v>26617</v>
      </c>
      <c r="AA3410">
        <v>0.48212860650111128</v>
      </c>
      <c r="AB3410" t="str">
        <f>HYPERLINK("Melting_Curves/meltCurve_Q4G0X4_KCTD21.pdf", "Melting_Curves/meltCurve_Q4G0X4_KCTD21.pdf")</f>
        <v>Melting_Curves/meltCurve_Q4G0X4_KCTD21.pdf</v>
      </c>
    </row>
    <row r="3411" spans="1:28" x14ac:dyDescent="0.25">
      <c r="A3411" t="s">
        <v>3415</v>
      </c>
      <c r="B3411">
        <v>0.99334974765950101</v>
      </c>
      <c r="C3411">
        <v>0.89258332340806601</v>
      </c>
      <c r="D3411">
        <v>0.85459044639484205</v>
      </c>
      <c r="E3411">
        <v>1.00621469377419</v>
      </c>
      <c r="F3411">
        <v>0.58261338780368899</v>
      </c>
      <c r="G3411">
        <v>0.27332899361713697</v>
      </c>
      <c r="H3411">
        <v>0.20152768805867</v>
      </c>
      <c r="I3411">
        <v>0.111063989193768</v>
      </c>
      <c r="J3411">
        <v>0.16740290438489</v>
      </c>
      <c r="K3411">
        <v>0.117319614018548</v>
      </c>
      <c r="L3411">
        <v>1917.3485619451901</v>
      </c>
      <c r="M3411">
        <v>35.967557080356599</v>
      </c>
      <c r="N3411">
        <v>53.857775694963799</v>
      </c>
      <c r="O3411">
        <v>53.143760881226399</v>
      </c>
      <c r="P3411">
        <v>-0.14319178103765001</v>
      </c>
      <c r="Q3411">
        <v>0.15371258332354301</v>
      </c>
      <c r="R3411">
        <v>0.96511359101063598</v>
      </c>
      <c r="S3411" t="s">
        <v>9272</v>
      </c>
      <c r="T3411" t="s">
        <v>11720</v>
      </c>
      <c r="U3411" t="s">
        <v>11720</v>
      </c>
      <c r="V3411" t="s">
        <v>11720</v>
      </c>
      <c r="W3411" t="s">
        <v>15081</v>
      </c>
      <c r="X3411">
        <v>1</v>
      </c>
      <c r="Y3411" t="s">
        <v>20806</v>
      </c>
      <c r="Z3411" t="s">
        <v>26618</v>
      </c>
      <c r="AA3411">
        <v>0.53296940535587711</v>
      </c>
      <c r="AB3411" t="str">
        <f>HYPERLINK("Melting_Curves/meltCurve_Q4G148_2_GXYLT1.pdf", "Melting_Curves/meltCurve_Q4G148_2_GXYLT1.pdf")</f>
        <v>Melting_Curves/meltCurve_Q4G148_2_GXYLT1.pdf</v>
      </c>
    </row>
    <row r="3412" spans="1:28" x14ac:dyDescent="0.25">
      <c r="A3412" t="s">
        <v>3416</v>
      </c>
      <c r="B3412">
        <v>0.99334974765950101</v>
      </c>
      <c r="C3412">
        <v>0.910783425172079</v>
      </c>
      <c r="D3412">
        <v>0.59160451035725303</v>
      </c>
      <c r="E3412">
        <v>0.290358137171979</v>
      </c>
      <c r="F3412">
        <v>0.20339265450167701</v>
      </c>
      <c r="G3412">
        <v>0.14861426163420899</v>
      </c>
      <c r="H3412">
        <v>0.117450664984196</v>
      </c>
      <c r="I3412">
        <v>9.5587522771279604E-2</v>
      </c>
      <c r="J3412">
        <v>7.5184833321220099E-2</v>
      </c>
      <c r="K3412">
        <v>8.4495087204999902E-2</v>
      </c>
      <c r="L3412">
        <v>952.58406000127695</v>
      </c>
      <c r="M3412">
        <v>20.378745634858401</v>
      </c>
      <c r="N3412">
        <v>47.265208321523097</v>
      </c>
      <c r="O3412">
        <v>46.300868579892899</v>
      </c>
      <c r="P3412">
        <v>-9.8964446378298196E-2</v>
      </c>
      <c r="Q3412">
        <v>0.10063132750576</v>
      </c>
      <c r="R3412">
        <v>0.99515207148533102</v>
      </c>
      <c r="S3412" t="s">
        <v>9273</v>
      </c>
      <c r="T3412" t="s">
        <v>11720</v>
      </c>
      <c r="U3412" t="s">
        <v>11720</v>
      </c>
      <c r="V3412" t="s">
        <v>11720</v>
      </c>
      <c r="W3412" t="s">
        <v>15082</v>
      </c>
      <c r="X3412">
        <v>10</v>
      </c>
      <c r="Y3412" t="s">
        <v>20807</v>
      </c>
      <c r="Z3412" t="s">
        <v>26619</v>
      </c>
      <c r="AA3412">
        <v>0.31557654305354982</v>
      </c>
      <c r="AB3412" t="str">
        <f>HYPERLINK("Melting_Curves/meltCurve_Q4G176_ACSF3.pdf", "Melting_Curves/meltCurve_Q4G176_ACSF3.pdf")</f>
        <v>Melting_Curves/meltCurve_Q4G176_ACSF3.pdf</v>
      </c>
    </row>
    <row r="3413" spans="1:28" x14ac:dyDescent="0.25">
      <c r="A3413" t="s">
        <v>3417</v>
      </c>
      <c r="B3413">
        <v>0.99334974765950101</v>
      </c>
      <c r="C3413">
        <v>1.05175977669523</v>
      </c>
      <c r="D3413">
        <v>1.02540320842774</v>
      </c>
      <c r="E3413">
        <v>0.89668182626141801</v>
      </c>
      <c r="F3413">
        <v>0.55671062530752602</v>
      </c>
      <c r="G3413">
        <v>0.17130537510140301</v>
      </c>
      <c r="H3413">
        <v>0.119273438548709</v>
      </c>
      <c r="I3413">
        <v>8.4679992982684499E-2</v>
      </c>
      <c r="J3413">
        <v>8.7355942325519895E-2</v>
      </c>
      <c r="K3413">
        <v>6.4370447623194202E-2</v>
      </c>
      <c r="L3413">
        <v>1753.90238794527</v>
      </c>
      <c r="M3413">
        <v>33.019972519741899</v>
      </c>
      <c r="N3413">
        <v>53.415010830207699</v>
      </c>
      <c r="O3413">
        <v>52.922727251547599</v>
      </c>
      <c r="P3413">
        <v>-0.14283695186023701</v>
      </c>
      <c r="Q3413">
        <v>8.4276958238465302E-2</v>
      </c>
      <c r="R3413">
        <v>0.99737804755253301</v>
      </c>
      <c r="S3413" t="s">
        <v>9274</v>
      </c>
      <c r="T3413" t="s">
        <v>11720</v>
      </c>
      <c r="U3413" t="s">
        <v>11720</v>
      </c>
      <c r="V3413" t="s">
        <v>11720</v>
      </c>
      <c r="W3413" t="s">
        <v>15083</v>
      </c>
      <c r="X3413">
        <v>25</v>
      </c>
      <c r="Y3413" t="s">
        <v>20808</v>
      </c>
      <c r="Z3413" t="s">
        <v>26620</v>
      </c>
      <c r="AA3413">
        <v>0.48956774318036478</v>
      </c>
      <c r="AB3413" t="str">
        <f>HYPERLINK("Melting_Curves/meltCurve_Q4J6C6_4_PREPL.pdf", "Melting_Curves/meltCurve_Q4J6C6_4_PREPL.pdf")</f>
        <v>Melting_Curves/meltCurve_Q4J6C6_4_PREPL.pdf</v>
      </c>
    </row>
    <row r="3414" spans="1:28" x14ac:dyDescent="0.25">
      <c r="A3414" t="s">
        <v>3418</v>
      </c>
      <c r="B3414">
        <v>0.99334974765950101</v>
      </c>
      <c r="C3414">
        <v>1.07393981682708</v>
      </c>
      <c r="D3414">
        <v>0.88446822525300095</v>
      </c>
      <c r="E3414">
        <v>0.69831248627272002</v>
      </c>
      <c r="F3414">
        <v>0.50898642496959801</v>
      </c>
      <c r="G3414">
        <v>0.29026153445800701</v>
      </c>
      <c r="H3414">
        <v>0.29795474177180897</v>
      </c>
      <c r="I3414">
        <v>0.22602741001885601</v>
      </c>
      <c r="J3414">
        <v>0.33806056042462201</v>
      </c>
      <c r="K3414">
        <v>0.22893626859129901</v>
      </c>
      <c r="L3414">
        <v>1064.64437582303</v>
      </c>
      <c r="M3414">
        <v>20.910810024551399</v>
      </c>
      <c r="N3414">
        <v>52.737991770034</v>
      </c>
      <c r="O3414">
        <v>50.454793100377699</v>
      </c>
      <c r="P3414">
        <v>-7.6939359346836794E-2</v>
      </c>
      <c r="Q3414">
        <v>0.25744523276195702</v>
      </c>
      <c r="R3414">
        <v>0.97912852262880601</v>
      </c>
      <c r="S3414" t="s">
        <v>9275</v>
      </c>
      <c r="T3414" t="s">
        <v>11720</v>
      </c>
      <c r="U3414" t="s">
        <v>11720</v>
      </c>
      <c r="V3414" t="s">
        <v>11720</v>
      </c>
      <c r="W3414" t="s">
        <v>15084</v>
      </c>
      <c r="X3414">
        <v>5</v>
      </c>
      <c r="Y3414" t="s">
        <v>20809</v>
      </c>
      <c r="Z3414" t="s">
        <v>26621</v>
      </c>
      <c r="AA3414">
        <v>0.53705391315162343</v>
      </c>
      <c r="AB3414" t="str">
        <f>HYPERLINK("Melting_Curves/meltCurve_Q4KMP7_TBC1D10B.pdf", "Melting_Curves/meltCurve_Q4KMP7_TBC1D10B.pdf")</f>
        <v>Melting_Curves/meltCurve_Q4KMP7_TBC1D10B.pdf</v>
      </c>
    </row>
    <row r="3415" spans="1:28" x14ac:dyDescent="0.25">
      <c r="A3415" t="s">
        <v>3419</v>
      </c>
      <c r="B3415">
        <v>0.99334974765950101</v>
      </c>
      <c r="C3415">
        <v>0.96206153173987496</v>
      </c>
      <c r="D3415">
        <v>0.92689498435574702</v>
      </c>
      <c r="E3415">
        <v>1.14292447494199</v>
      </c>
      <c r="F3415">
        <v>1.11032573934352</v>
      </c>
      <c r="G3415">
        <v>0.70414466089807204</v>
      </c>
      <c r="H3415">
        <v>0.24090253450506599</v>
      </c>
      <c r="I3415">
        <v>0.16897880023078199</v>
      </c>
      <c r="J3415">
        <v>0.14876315443426399</v>
      </c>
      <c r="K3415">
        <v>9.1474569282953E-2</v>
      </c>
      <c r="L3415">
        <v>2598.72071589911</v>
      </c>
      <c r="M3415">
        <v>44.842440187993503</v>
      </c>
      <c r="N3415">
        <v>58.367238127977501</v>
      </c>
      <c r="O3415">
        <v>57.837362260971503</v>
      </c>
      <c r="P3415">
        <v>-0.16737296374339</v>
      </c>
      <c r="Q3415">
        <v>0.13649679291679201</v>
      </c>
      <c r="R3415">
        <v>0.97311920877184099</v>
      </c>
      <c r="S3415" t="s">
        <v>9276</v>
      </c>
      <c r="T3415" t="s">
        <v>11720</v>
      </c>
      <c r="U3415" t="s">
        <v>11720</v>
      </c>
      <c r="V3415" t="s">
        <v>11720</v>
      </c>
      <c r="W3415" t="s">
        <v>15085</v>
      </c>
      <c r="X3415">
        <v>6</v>
      </c>
      <c r="Y3415" t="s">
        <v>20810</v>
      </c>
      <c r="Z3415" t="s">
        <v>26622</v>
      </c>
      <c r="AA3415">
        <v>0.65594713016372053</v>
      </c>
      <c r="AB3415" t="str">
        <f>HYPERLINK("Melting_Curves/meltCurve_Q4KMQ2_3_ANO6.pdf", "Melting_Curves/meltCurve_Q4KMQ2_3_ANO6.pdf")</f>
        <v>Melting_Curves/meltCurve_Q4KMQ2_3_ANO6.pdf</v>
      </c>
    </row>
    <row r="3416" spans="1:28" x14ac:dyDescent="0.25">
      <c r="A3416" t="s">
        <v>3420</v>
      </c>
      <c r="B3416">
        <v>0.99334974765950101</v>
      </c>
      <c r="C3416">
        <v>0.92419345974341904</v>
      </c>
      <c r="D3416">
        <v>1.0794620368417001</v>
      </c>
      <c r="E3416">
        <v>0.82794731168723601</v>
      </c>
      <c r="F3416">
        <v>0.27844741415462598</v>
      </c>
      <c r="G3416">
        <v>0.18151927072927199</v>
      </c>
      <c r="H3416">
        <v>0.15082540726498</v>
      </c>
      <c r="I3416">
        <v>0.13229889045107299</v>
      </c>
      <c r="J3416">
        <v>0.116877434779177</v>
      </c>
      <c r="K3416">
        <v>9.5478655845461793E-2</v>
      </c>
      <c r="L3416">
        <v>2645.7597206987898</v>
      </c>
      <c r="M3416">
        <v>51.511881141964103</v>
      </c>
      <c r="N3416">
        <v>51.674830485607998</v>
      </c>
      <c r="O3416">
        <v>51.284905509091899</v>
      </c>
      <c r="P3416">
        <v>-0.217481946676157</v>
      </c>
      <c r="Q3416">
        <v>0.13390621192018901</v>
      </c>
      <c r="R3416">
        <v>0.98969025482011497</v>
      </c>
      <c r="S3416" t="s">
        <v>9277</v>
      </c>
      <c r="T3416" t="s">
        <v>11720</v>
      </c>
      <c r="U3416" t="s">
        <v>11720</v>
      </c>
      <c r="V3416" t="s">
        <v>11720</v>
      </c>
      <c r="W3416" t="s">
        <v>15086</v>
      </c>
      <c r="X3416">
        <v>2</v>
      </c>
      <c r="Y3416" t="s">
        <v>20811</v>
      </c>
      <c r="Z3416" t="s">
        <v>26623</v>
      </c>
      <c r="AA3416">
        <v>0.46377650892916961</v>
      </c>
      <c r="AB3416" t="str">
        <f>HYPERLINK("Melting_Curves/meltCurve_Q4KWH8_3_PLCH1.pdf", "Melting_Curves/meltCurve_Q4KWH8_3_PLCH1.pdf")</f>
        <v>Melting_Curves/meltCurve_Q4KWH8_3_PLCH1.pdf</v>
      </c>
    </row>
    <row r="3417" spans="1:28" x14ac:dyDescent="0.25">
      <c r="A3417" t="s">
        <v>3421</v>
      </c>
      <c r="B3417">
        <v>0.99334974765950101</v>
      </c>
      <c r="C3417">
        <v>0.98112334132690404</v>
      </c>
      <c r="D3417">
        <v>0.94608418471356603</v>
      </c>
      <c r="E3417">
        <v>0.84264539074816303</v>
      </c>
      <c r="F3417">
        <v>0.59510737982435702</v>
      </c>
      <c r="G3417">
        <v>0.35581872585701002</v>
      </c>
      <c r="H3417">
        <v>0.26999208911216199</v>
      </c>
      <c r="I3417">
        <v>0.245954187057532</v>
      </c>
      <c r="J3417">
        <v>0.27075743133376101</v>
      </c>
      <c r="K3417">
        <v>0.23693971143866299</v>
      </c>
      <c r="L3417">
        <v>1208.28282724987</v>
      </c>
      <c r="M3417">
        <v>22.920490794617901</v>
      </c>
      <c r="N3417">
        <v>54.286165412042301</v>
      </c>
      <c r="O3417">
        <v>52.319911238604803</v>
      </c>
      <c r="P3417">
        <v>-8.2984919541796001E-2</v>
      </c>
      <c r="Q3417">
        <v>0.24230571416803801</v>
      </c>
      <c r="R3417">
        <v>0.99811218710175398</v>
      </c>
      <c r="S3417" t="s">
        <v>9278</v>
      </c>
      <c r="T3417" t="s">
        <v>11720</v>
      </c>
      <c r="U3417" t="s">
        <v>11720</v>
      </c>
      <c r="V3417" t="s">
        <v>11720</v>
      </c>
      <c r="W3417" t="s">
        <v>15087</v>
      </c>
      <c r="X3417">
        <v>29</v>
      </c>
      <c r="Y3417" t="s">
        <v>20812</v>
      </c>
      <c r="Z3417" t="s">
        <v>26624</v>
      </c>
      <c r="AA3417">
        <v>0.57165996788979923</v>
      </c>
      <c r="AB3417" t="str">
        <f>HYPERLINK("Melting_Curves/meltCurve_Q4L180_3_FILIP1L.pdf", "Melting_Curves/meltCurve_Q4L180_3_FILIP1L.pdf")</f>
        <v>Melting_Curves/meltCurve_Q4L180_3_FILIP1L.pdf</v>
      </c>
    </row>
    <row r="3418" spans="1:28" x14ac:dyDescent="0.25">
      <c r="A3418" t="s">
        <v>3422</v>
      </c>
      <c r="B3418">
        <v>0.99334974765950101</v>
      </c>
      <c r="C3418">
        <v>1.0164050214213201</v>
      </c>
      <c r="D3418">
        <v>0.85093890625477397</v>
      </c>
      <c r="E3418">
        <v>0.80695744167913697</v>
      </c>
      <c r="F3418">
        <v>0.53632401603755997</v>
      </c>
      <c r="G3418">
        <v>0.52690532766824405</v>
      </c>
      <c r="H3418">
        <v>0.45027653017031699</v>
      </c>
      <c r="I3418">
        <v>0.64589632477383596</v>
      </c>
      <c r="J3418">
        <v>0.44168657225619801</v>
      </c>
      <c r="K3418">
        <v>0.27549385332471799</v>
      </c>
      <c r="L3418">
        <v>748.66400364378705</v>
      </c>
      <c r="M3418">
        <v>14.7713563437157</v>
      </c>
      <c r="N3418">
        <v>58.031667099506201</v>
      </c>
      <c r="O3418">
        <v>49.781773844001897</v>
      </c>
      <c r="P3418">
        <v>-4.2809046305824099E-2</v>
      </c>
      <c r="Q3418">
        <v>0.42296927067784301</v>
      </c>
      <c r="R3418">
        <v>0.85838458222196101</v>
      </c>
      <c r="S3418" t="s">
        <v>9279</v>
      </c>
      <c r="T3418" t="s">
        <v>11720</v>
      </c>
      <c r="U3418" t="s">
        <v>11720</v>
      </c>
      <c r="V3418" t="s">
        <v>11720</v>
      </c>
      <c r="W3418" t="s">
        <v>15088</v>
      </c>
      <c r="X3418">
        <v>3</v>
      </c>
      <c r="Y3418" t="s">
        <v>20813</v>
      </c>
      <c r="Z3418" t="s">
        <v>26625</v>
      </c>
      <c r="AA3418">
        <v>0.64227805936939075</v>
      </c>
      <c r="AB3418" t="str">
        <f>HYPERLINK("Melting_Curves/meltCurve_Q4LDE5_SVEP1.pdf", "Melting_Curves/meltCurve_Q4LDE5_SVEP1.pdf")</f>
        <v>Melting_Curves/meltCurve_Q4LDE5_SVEP1.pdf</v>
      </c>
    </row>
    <row r="3419" spans="1:28" x14ac:dyDescent="0.25">
      <c r="A3419" t="s">
        <v>3423</v>
      </c>
      <c r="B3419">
        <v>0.99334974765950101</v>
      </c>
      <c r="C3419">
        <v>0.99315175828230995</v>
      </c>
      <c r="D3419">
        <v>0.83601732890692604</v>
      </c>
      <c r="E3419">
        <v>0.65319085006623201</v>
      </c>
      <c r="F3419">
        <v>0.42560476055254898</v>
      </c>
      <c r="G3419">
        <v>0.19194946201552801</v>
      </c>
      <c r="H3419">
        <v>0.17543069454618401</v>
      </c>
      <c r="I3419">
        <v>0.14716525938333799</v>
      </c>
      <c r="J3419">
        <v>0.173894756318098</v>
      </c>
      <c r="K3419">
        <v>0.134931414090602</v>
      </c>
      <c r="L3419">
        <v>913.28262781599597</v>
      </c>
      <c r="M3419">
        <v>17.978888668677801</v>
      </c>
      <c r="N3419">
        <v>51.674970972389303</v>
      </c>
      <c r="O3419">
        <v>50.181548310991502</v>
      </c>
      <c r="P3419">
        <v>-7.7790684423012499E-2</v>
      </c>
      <c r="Q3419">
        <v>0.13154485135983399</v>
      </c>
      <c r="R3419">
        <v>0.99406098185327996</v>
      </c>
      <c r="S3419" t="s">
        <v>9280</v>
      </c>
      <c r="T3419" t="s">
        <v>11720</v>
      </c>
      <c r="U3419" t="s">
        <v>11720</v>
      </c>
      <c r="V3419" t="s">
        <v>11720</v>
      </c>
      <c r="W3419" t="s">
        <v>15089</v>
      </c>
      <c r="X3419">
        <v>6</v>
      </c>
      <c r="Y3419" t="s">
        <v>20814</v>
      </c>
      <c r="Z3419" t="s">
        <v>26626</v>
      </c>
      <c r="AA3419">
        <v>0.45881524001682622</v>
      </c>
      <c r="AB3419" t="str">
        <f>HYPERLINK("Melting_Curves/meltCurve_Q4LDG9_DNAL1.pdf", "Melting_Curves/meltCurve_Q4LDG9_DNAL1.pdf")</f>
        <v>Melting_Curves/meltCurve_Q4LDG9_DNAL1.pdf</v>
      </c>
    </row>
    <row r="3420" spans="1:28" x14ac:dyDescent="0.25">
      <c r="A3420" t="s">
        <v>3424</v>
      </c>
      <c r="B3420">
        <v>0.99334974765950101</v>
      </c>
      <c r="C3420">
        <v>0.91597302051742702</v>
      </c>
      <c r="D3420">
        <v>0.83550648114187898</v>
      </c>
      <c r="E3420">
        <v>0.64907243157692696</v>
      </c>
      <c r="F3420">
        <v>0.46475400653653798</v>
      </c>
      <c r="G3420">
        <v>0.32240238927473602</v>
      </c>
      <c r="H3420">
        <v>0.28955900374858101</v>
      </c>
      <c r="I3420">
        <v>0.35009388819944398</v>
      </c>
      <c r="J3420">
        <v>0.43806836764863</v>
      </c>
      <c r="K3420">
        <v>0.46667966479039102</v>
      </c>
      <c r="L3420">
        <v>981.36323772656999</v>
      </c>
      <c r="M3420">
        <v>20.157875309456902</v>
      </c>
      <c r="N3420">
        <v>52.124187351168402</v>
      </c>
      <c r="O3420">
        <v>48.212344390717497</v>
      </c>
      <c r="P3420">
        <v>-6.6081315912263294E-2</v>
      </c>
      <c r="Q3420">
        <v>0.36782342130419898</v>
      </c>
      <c r="R3420">
        <v>0.94534522075160399</v>
      </c>
      <c r="S3420" t="s">
        <v>9281</v>
      </c>
      <c r="T3420" t="s">
        <v>11720</v>
      </c>
      <c r="U3420" t="s">
        <v>11720</v>
      </c>
      <c r="V3420" t="s">
        <v>11720</v>
      </c>
      <c r="W3420" t="s">
        <v>15090</v>
      </c>
      <c r="X3420">
        <v>39</v>
      </c>
      <c r="Y3420" t="s">
        <v>20815</v>
      </c>
      <c r="Z3420" t="s">
        <v>26627</v>
      </c>
      <c r="AA3420">
        <v>0.55955715190147759</v>
      </c>
      <c r="AB3420" t="str">
        <f>HYPERLINK("Melting_Curves/meltCurve_Q4V328_GRIPAP1.pdf", "Melting_Curves/meltCurve_Q4V328_GRIPAP1.pdf")</f>
        <v>Melting_Curves/meltCurve_Q4V328_GRIPAP1.pdf</v>
      </c>
    </row>
    <row r="3421" spans="1:28" x14ac:dyDescent="0.25">
      <c r="A3421" t="s">
        <v>3425</v>
      </c>
      <c r="B3421">
        <v>0.99334974765950101</v>
      </c>
      <c r="C3421">
        <v>0.897744361610465</v>
      </c>
      <c r="D3421">
        <v>0.95710670695397404</v>
      </c>
      <c r="E3421">
        <v>0.78210621690209703</v>
      </c>
      <c r="F3421">
        <v>0.69859882049965505</v>
      </c>
      <c r="G3421">
        <v>0.66722998047418403</v>
      </c>
      <c r="H3421">
        <v>0.58268176357623402</v>
      </c>
      <c r="I3421">
        <v>0.74666988318412097</v>
      </c>
      <c r="J3421">
        <v>0.73225331623358403</v>
      </c>
      <c r="K3421">
        <v>0.68296112415788202</v>
      </c>
      <c r="L3421">
        <v>1195.5946621256501</v>
      </c>
      <c r="M3421">
        <v>24.720808763707101</v>
      </c>
      <c r="O3421">
        <v>48.050748174527101</v>
      </c>
      <c r="P3421">
        <v>-4.1283889811609902E-2</v>
      </c>
      <c r="Q3421">
        <v>0.67902443318469796</v>
      </c>
      <c r="R3421">
        <v>0.83766392659472999</v>
      </c>
      <c r="S3421" t="s">
        <v>9282</v>
      </c>
      <c r="T3421" t="s">
        <v>11720</v>
      </c>
      <c r="U3421" t="s">
        <v>11720</v>
      </c>
      <c r="V3421" t="s">
        <v>11720</v>
      </c>
      <c r="W3421" t="s">
        <v>15091</v>
      </c>
      <c r="X3421">
        <v>7</v>
      </c>
      <c r="Y3421" t="s">
        <v>20816</v>
      </c>
      <c r="Z3421" t="s">
        <v>26628</v>
      </c>
      <c r="AA3421">
        <v>0.77141569181436542</v>
      </c>
      <c r="AB3421" t="str">
        <f>HYPERLINK("Melting_Curves/meltCurve_Q4V9L6_TMEM119.pdf", "Melting_Curves/meltCurve_Q4V9L6_TMEM119.pdf")</f>
        <v>Melting_Curves/meltCurve_Q4V9L6_TMEM119.pdf</v>
      </c>
    </row>
    <row r="3422" spans="1:28" x14ac:dyDescent="0.25">
      <c r="A3422" t="s">
        <v>3426</v>
      </c>
      <c r="B3422">
        <v>0.99334974765950101</v>
      </c>
      <c r="C3422">
        <v>1.0231158092661601</v>
      </c>
      <c r="D3422">
        <v>0.95537831718966504</v>
      </c>
      <c r="E3422">
        <v>0.925803424976261</v>
      </c>
      <c r="F3422">
        <v>0.92550712562380899</v>
      </c>
      <c r="G3422">
        <v>1.04928891711295</v>
      </c>
      <c r="H3422">
        <v>0.87387214125481105</v>
      </c>
      <c r="I3422">
        <v>1.2348312351128801</v>
      </c>
      <c r="J3422">
        <v>1.1354356665419201</v>
      </c>
      <c r="K3422">
        <v>1.3983536648886199</v>
      </c>
      <c r="L3422">
        <v>1839.48679239176</v>
      </c>
      <c r="M3422">
        <v>27.2382952514515</v>
      </c>
      <c r="O3422">
        <v>67.172252564958399</v>
      </c>
      <c r="P3422">
        <v>5.0687886759563303E-2</v>
      </c>
      <c r="Q3422">
        <v>1.5</v>
      </c>
      <c r="R3422">
        <v>0.71147171717499103</v>
      </c>
      <c r="S3422" t="s">
        <v>9283</v>
      </c>
      <c r="T3422" t="s">
        <v>11720</v>
      </c>
      <c r="U3422" t="s">
        <v>11720</v>
      </c>
      <c r="V3422" t="s">
        <v>11720</v>
      </c>
      <c r="W3422" t="s">
        <v>15092</v>
      </c>
      <c r="X3422">
        <v>2</v>
      </c>
      <c r="Y3422" t="s">
        <v>20817</v>
      </c>
      <c r="Z3422" t="s">
        <v>26629</v>
      </c>
      <c r="AA3422">
        <v>1.0517764138784731</v>
      </c>
      <c r="AB3422" t="str">
        <f>HYPERLINK("Melting_Curves/meltCurve_Q4VC05_BCL7A.pdf", "Melting_Curves/meltCurve_Q4VC05_BCL7A.pdf")</f>
        <v>Melting_Curves/meltCurve_Q4VC05_BCL7A.pdf</v>
      </c>
    </row>
    <row r="3423" spans="1:28" x14ac:dyDescent="0.25">
      <c r="A3423" t="s">
        <v>3427</v>
      </c>
      <c r="B3423">
        <v>0.99334974765950101</v>
      </c>
      <c r="C3423">
        <v>1.08868312888956</v>
      </c>
      <c r="D3423">
        <v>0.97286506798154604</v>
      </c>
      <c r="E3423">
        <v>0.70257100431574404</v>
      </c>
      <c r="F3423">
        <v>0.54962748055104405</v>
      </c>
      <c r="G3423">
        <v>0.53077752573584203</v>
      </c>
      <c r="H3423">
        <v>0.46404238535608999</v>
      </c>
      <c r="I3423">
        <v>0.65561933491189095</v>
      </c>
      <c r="J3423">
        <v>0.46872211890808202</v>
      </c>
      <c r="K3423">
        <v>0.383158400269762</v>
      </c>
      <c r="L3423">
        <v>1808.8842693506001</v>
      </c>
      <c r="M3423">
        <v>36.5230656671582</v>
      </c>
      <c r="O3423">
        <v>49.379399408731501</v>
      </c>
      <c r="P3423">
        <v>-9.2393412123503799E-2</v>
      </c>
      <c r="Q3423">
        <v>0.50033575126039898</v>
      </c>
      <c r="R3423">
        <v>0.91386239123324098</v>
      </c>
      <c r="S3423" t="s">
        <v>9284</v>
      </c>
      <c r="T3423" t="s">
        <v>11720</v>
      </c>
      <c r="U3423" t="s">
        <v>11720</v>
      </c>
      <c r="V3423" t="s">
        <v>11720</v>
      </c>
      <c r="W3423" t="s">
        <v>15093</v>
      </c>
      <c r="X3423">
        <v>7</v>
      </c>
      <c r="Y3423" t="s">
        <v>20818</v>
      </c>
      <c r="Z3423" t="s">
        <v>26630</v>
      </c>
      <c r="AA3423">
        <v>0.66107263326573251</v>
      </c>
      <c r="AB3423" t="str">
        <f>HYPERLINK("Melting_Curves/meltCurve_Q4VXZ8_DECR2.pdf", "Melting_Curves/meltCurve_Q4VXZ8_DECR2.pdf")</f>
        <v>Melting_Curves/meltCurve_Q4VXZ8_DECR2.pdf</v>
      </c>
    </row>
    <row r="3424" spans="1:28" x14ac:dyDescent="0.25">
      <c r="A3424" t="s">
        <v>3428</v>
      </c>
      <c r="B3424">
        <v>0.99334974765950101</v>
      </c>
      <c r="C3424">
        <v>0.94699919239434605</v>
      </c>
      <c r="D3424">
        <v>1.14179790190886</v>
      </c>
      <c r="E3424">
        <v>1.2303158178014</v>
      </c>
      <c r="F3424">
        <v>1.1207002326710001</v>
      </c>
      <c r="G3424">
        <v>1.0885776471106301</v>
      </c>
      <c r="H3424">
        <v>0.82711441601606805</v>
      </c>
      <c r="I3424">
        <v>0.66452899747081395</v>
      </c>
      <c r="J3424">
        <v>0.26288609253461398</v>
      </c>
      <c r="K3424">
        <v>0.207212577159235</v>
      </c>
      <c r="L3424">
        <v>2296.8676081362501</v>
      </c>
      <c r="M3424">
        <v>35.677119200856197</v>
      </c>
      <c r="N3424">
        <v>64.966256382492205</v>
      </c>
      <c r="O3424">
        <v>64.178005986305394</v>
      </c>
      <c r="P3424">
        <v>-0.11983006257058899</v>
      </c>
      <c r="Q3424">
        <v>0.13777431711291599</v>
      </c>
      <c r="R3424">
        <v>0.90709116099496001</v>
      </c>
      <c r="S3424" t="s">
        <v>9285</v>
      </c>
      <c r="T3424" t="s">
        <v>11720</v>
      </c>
      <c r="U3424" t="s">
        <v>11720</v>
      </c>
      <c r="V3424" t="s">
        <v>11720</v>
      </c>
      <c r="W3424" t="s">
        <v>15094</v>
      </c>
      <c r="X3424">
        <v>3</v>
      </c>
      <c r="Y3424" t="s">
        <v>20819</v>
      </c>
      <c r="Z3424" t="s">
        <v>26631</v>
      </c>
      <c r="AA3424">
        <v>0.83966055856581179</v>
      </c>
      <c r="AB3424" t="str">
        <f>HYPERLINK("Melting_Curves/meltCurve_Q4ZIN3_2_TMEM259.pdf", "Melting_Curves/meltCurve_Q4ZIN3_2_TMEM259.pdf")</f>
        <v>Melting_Curves/meltCurve_Q4ZIN3_2_TMEM259.pdf</v>
      </c>
    </row>
    <row r="3425" spans="1:28" x14ac:dyDescent="0.25">
      <c r="A3425" t="s">
        <v>3429</v>
      </c>
      <c r="B3425">
        <v>0.99334974765950101</v>
      </c>
      <c r="C3425">
        <v>0.98672407119710503</v>
      </c>
      <c r="D3425">
        <v>0.85070918044536004</v>
      </c>
      <c r="E3425">
        <v>0.735099205411747</v>
      </c>
      <c r="F3425">
        <v>0.65843851513118901</v>
      </c>
      <c r="G3425">
        <v>0.47895780833916601</v>
      </c>
      <c r="H3425">
        <v>0.56390512163954198</v>
      </c>
      <c r="I3425">
        <v>0.55615388354789796</v>
      </c>
      <c r="J3425">
        <v>0.69505980871208695</v>
      </c>
      <c r="K3425">
        <v>0.58625373916623202</v>
      </c>
      <c r="L3425">
        <v>1005.62575949311</v>
      </c>
      <c r="M3425">
        <v>20.937719131968901</v>
      </c>
      <c r="O3425">
        <v>47.597697903969397</v>
      </c>
      <c r="P3425">
        <v>-4.62609084101425E-2</v>
      </c>
      <c r="Q3425">
        <v>0.57935189883946903</v>
      </c>
      <c r="R3425">
        <v>0.896931578772585</v>
      </c>
      <c r="S3425" t="s">
        <v>9286</v>
      </c>
      <c r="T3425" t="s">
        <v>11720</v>
      </c>
      <c r="U3425" t="s">
        <v>11720</v>
      </c>
      <c r="V3425" t="s">
        <v>11720</v>
      </c>
      <c r="W3425" t="s">
        <v>15095</v>
      </c>
      <c r="X3425">
        <v>1</v>
      </c>
      <c r="Y3425" t="s">
        <v>20820</v>
      </c>
      <c r="Z3425" t="s">
        <v>26632</v>
      </c>
      <c r="AA3425">
        <v>0.69735764586334947</v>
      </c>
      <c r="AB3425" t="str">
        <f>HYPERLINK("Melting_Curves/meltCurve_Q504U0_C4orf46.pdf", "Melting_Curves/meltCurve_Q504U0_C4orf46.pdf")</f>
        <v>Melting_Curves/meltCurve_Q504U0_C4orf46.pdf</v>
      </c>
    </row>
    <row r="3426" spans="1:28" x14ac:dyDescent="0.25">
      <c r="A3426" t="s">
        <v>3430</v>
      </c>
      <c r="B3426">
        <v>0.99334974765950101</v>
      </c>
      <c r="C3426">
        <v>0.95816898581068299</v>
      </c>
      <c r="D3426">
        <v>0.84975195870550702</v>
      </c>
      <c r="E3426">
        <v>0.62045870152782301</v>
      </c>
      <c r="F3426">
        <v>0.41537289613830802</v>
      </c>
      <c r="G3426">
        <v>0.28908918346006401</v>
      </c>
      <c r="H3426">
        <v>0.24666246447267001</v>
      </c>
      <c r="I3426">
        <v>0.294890848202502</v>
      </c>
      <c r="J3426">
        <v>0.30446221610885799</v>
      </c>
      <c r="K3426">
        <v>0.268364700336643</v>
      </c>
      <c r="L3426">
        <v>989.540020341738</v>
      </c>
      <c r="M3426">
        <v>19.993634532162101</v>
      </c>
      <c r="N3426">
        <v>51.450358149194699</v>
      </c>
      <c r="O3426">
        <v>49.005613887538097</v>
      </c>
      <c r="P3426">
        <v>-7.4833656482322194E-2</v>
      </c>
      <c r="Q3426">
        <v>0.26633653671205598</v>
      </c>
      <c r="R3426">
        <v>0.99442089149397295</v>
      </c>
      <c r="S3426" t="s">
        <v>9287</v>
      </c>
      <c r="T3426" t="s">
        <v>11720</v>
      </c>
      <c r="U3426" t="s">
        <v>11720</v>
      </c>
      <c r="V3426" t="s">
        <v>11720</v>
      </c>
      <c r="W3426" t="s">
        <v>15096</v>
      </c>
      <c r="X3426">
        <v>13</v>
      </c>
      <c r="Y3426" t="s">
        <v>20821</v>
      </c>
      <c r="Z3426" t="s">
        <v>26633</v>
      </c>
      <c r="AA3426">
        <v>0.50873122807919124</v>
      </c>
      <c r="AB3426" t="str">
        <f>HYPERLINK("Melting_Curves/meltCurve_Q52LW3_ARHGAP29.pdf", "Melting_Curves/meltCurve_Q52LW3_ARHGAP29.pdf")</f>
        <v>Melting_Curves/meltCurve_Q52LW3_ARHGAP29.pdf</v>
      </c>
    </row>
    <row r="3427" spans="1:28" x14ac:dyDescent="0.25">
      <c r="A3427" t="s">
        <v>3431</v>
      </c>
      <c r="B3427">
        <v>0.99334974765950101</v>
      </c>
      <c r="C3427">
        <v>1.09961683231195</v>
      </c>
      <c r="D3427">
        <v>1.12466880795811</v>
      </c>
      <c r="E3427">
        <v>1.06053724932029</v>
      </c>
      <c r="F3427">
        <v>0.52753439623940201</v>
      </c>
      <c r="G3427">
        <v>0.26059305228669799</v>
      </c>
      <c r="H3427">
        <v>0.20637956304460101</v>
      </c>
      <c r="I3427">
        <v>0.18293043398001699</v>
      </c>
      <c r="J3427">
        <v>0.18754011030901699</v>
      </c>
      <c r="K3427">
        <v>0.17308207401752099</v>
      </c>
      <c r="L3427">
        <v>13230.2405993845</v>
      </c>
      <c r="M3427">
        <v>250</v>
      </c>
      <c r="N3427">
        <v>53.030804266147697</v>
      </c>
      <c r="O3427">
        <v>52.917597468931</v>
      </c>
      <c r="P3427">
        <v>-0.94237943611158104</v>
      </c>
      <c r="Q3427">
        <v>0.202105034858135</v>
      </c>
      <c r="R3427">
        <v>0.97986089227264095</v>
      </c>
      <c r="S3427" t="s">
        <v>9288</v>
      </c>
      <c r="T3427" t="s">
        <v>11720</v>
      </c>
      <c r="U3427" t="s">
        <v>11720</v>
      </c>
      <c r="V3427" t="s">
        <v>11720</v>
      </c>
      <c r="W3427" t="s">
        <v>15097</v>
      </c>
      <c r="X3427">
        <v>7</v>
      </c>
      <c r="Y3427" t="s">
        <v>20822</v>
      </c>
      <c r="Z3427" t="s">
        <v>26634</v>
      </c>
      <c r="AA3427">
        <v>0.54583150111710921</v>
      </c>
      <c r="AB3427" t="str">
        <f>HYPERLINK("Melting_Curves/meltCurve_Q53EL6_2_PDCD4.pdf", "Melting_Curves/meltCurve_Q53EL6_2_PDCD4.pdf")</f>
        <v>Melting_Curves/meltCurve_Q53EL6_2_PDCD4.pdf</v>
      </c>
    </row>
    <row r="3428" spans="1:28" x14ac:dyDescent="0.25">
      <c r="A3428" t="s">
        <v>3432</v>
      </c>
      <c r="B3428">
        <v>0.99334974765950101</v>
      </c>
      <c r="C3428">
        <v>0.70520426414331505</v>
      </c>
      <c r="D3428">
        <v>0.28456909566441402</v>
      </c>
      <c r="E3428">
        <v>0.17760093427790899</v>
      </c>
      <c r="F3428">
        <v>0.170324942053492</v>
      </c>
      <c r="G3428">
        <v>0.10775659786734799</v>
      </c>
      <c r="H3428">
        <v>9.3635187871408898E-2</v>
      </c>
      <c r="I3428">
        <v>8.7290637072952496E-2</v>
      </c>
      <c r="J3428">
        <v>8.9560845792584207E-2</v>
      </c>
      <c r="K3428">
        <v>6.7953302609159202E-2</v>
      </c>
      <c r="L3428">
        <v>1321.60438476019</v>
      </c>
      <c r="M3428">
        <v>30.062731330477099</v>
      </c>
      <c r="N3428">
        <v>44.319703620222697</v>
      </c>
      <c r="O3428">
        <v>43.768407046471403</v>
      </c>
      <c r="P3428">
        <v>-0.153197754804755</v>
      </c>
      <c r="Q3428">
        <v>0.10784176133828199</v>
      </c>
      <c r="R3428">
        <v>0.98938134002728995</v>
      </c>
      <c r="S3428" t="s">
        <v>9289</v>
      </c>
      <c r="T3428" t="s">
        <v>11720</v>
      </c>
      <c r="U3428" t="s">
        <v>11720</v>
      </c>
      <c r="V3428" t="s">
        <v>11720</v>
      </c>
      <c r="W3428" t="s">
        <v>15098</v>
      </c>
      <c r="X3428">
        <v>8</v>
      </c>
      <c r="Y3428" t="s">
        <v>20823</v>
      </c>
      <c r="Z3428" t="s">
        <v>26635</v>
      </c>
      <c r="AA3428">
        <v>0.23217326216077391</v>
      </c>
      <c r="AB3428" t="str">
        <f>HYPERLINK("Melting_Curves/meltCurve_Q53EP0_FNDC3B.pdf", "Melting_Curves/meltCurve_Q53EP0_FNDC3B.pdf")</f>
        <v>Melting_Curves/meltCurve_Q53EP0_FNDC3B.pdf</v>
      </c>
    </row>
    <row r="3429" spans="1:28" x14ac:dyDescent="0.25">
      <c r="A3429" t="s">
        <v>3433</v>
      </c>
      <c r="B3429">
        <v>0.99334974765950101</v>
      </c>
      <c r="C3429">
        <v>1.0473609026314801</v>
      </c>
      <c r="D3429">
        <v>0.94404074648404401</v>
      </c>
      <c r="E3429">
        <v>0.96817243946322595</v>
      </c>
      <c r="F3429">
        <v>1.0790911720624501</v>
      </c>
      <c r="G3429">
        <v>0.70794065550357299</v>
      </c>
      <c r="H3429">
        <v>0.67575354606423699</v>
      </c>
      <c r="I3429">
        <v>0.94400089785099806</v>
      </c>
      <c r="J3429">
        <v>0.85464901575748897</v>
      </c>
      <c r="K3429">
        <v>0.59770473245410605</v>
      </c>
      <c r="L3429">
        <v>3969.1370350001998</v>
      </c>
      <c r="M3429">
        <v>72.048430595623302</v>
      </c>
      <c r="O3429">
        <v>55.047451440322902</v>
      </c>
      <c r="P3429">
        <v>-8.0471664725770498E-2</v>
      </c>
      <c r="Q3429">
        <v>0.75406769444671995</v>
      </c>
      <c r="R3429">
        <v>0.61222697730515896</v>
      </c>
      <c r="S3429" t="s">
        <v>9290</v>
      </c>
      <c r="T3429" t="s">
        <v>11720</v>
      </c>
      <c r="U3429" t="s">
        <v>11720</v>
      </c>
      <c r="V3429" t="s">
        <v>11720</v>
      </c>
      <c r="W3429" t="s">
        <v>15099</v>
      </c>
      <c r="X3429">
        <v>3</v>
      </c>
      <c r="Y3429" t="s">
        <v>20824</v>
      </c>
      <c r="Z3429" t="s">
        <v>26636</v>
      </c>
      <c r="AA3429">
        <v>0.87805737296827879</v>
      </c>
      <c r="AB3429" t="str">
        <f>HYPERLINK("Melting_Curves/meltCurve_Q53F39_MPPE1.pdf", "Melting_Curves/meltCurve_Q53F39_MPPE1.pdf")</f>
        <v>Melting_Curves/meltCurve_Q53F39_MPPE1.pdf</v>
      </c>
    </row>
    <row r="3430" spans="1:28" x14ac:dyDescent="0.25">
      <c r="A3430" t="s">
        <v>3434</v>
      </c>
      <c r="B3430">
        <v>0.99334974765950101</v>
      </c>
      <c r="C3430">
        <v>0.96023853459775299</v>
      </c>
      <c r="D3430">
        <v>0.92865120781070698</v>
      </c>
      <c r="E3430">
        <v>0.84219690919809098</v>
      </c>
      <c r="F3430">
        <v>0.67203976589955905</v>
      </c>
      <c r="G3430">
        <v>0.66143621442579004</v>
      </c>
      <c r="H3430">
        <v>0.623572374484618</v>
      </c>
      <c r="I3430">
        <v>0.78746174517729695</v>
      </c>
      <c r="J3430">
        <v>0.43557890699164098</v>
      </c>
      <c r="K3430">
        <v>0.30040255144712202</v>
      </c>
      <c r="L3430">
        <v>346.824314458088</v>
      </c>
      <c r="M3430">
        <v>5.2532738446712699</v>
      </c>
      <c r="N3430">
        <v>66.0206191749228</v>
      </c>
      <c r="O3430">
        <v>58.266098079061599</v>
      </c>
      <c r="P3430">
        <v>-2.26565183816177E-2</v>
      </c>
      <c r="Q3430">
        <v>0</v>
      </c>
      <c r="R3430">
        <v>0.79933226232591104</v>
      </c>
      <c r="S3430" t="s">
        <v>9291</v>
      </c>
      <c r="T3430" t="s">
        <v>11720</v>
      </c>
      <c r="U3430" t="s">
        <v>11720</v>
      </c>
      <c r="V3430" t="s">
        <v>11720</v>
      </c>
      <c r="W3430" t="s">
        <v>15100</v>
      </c>
      <c r="X3430">
        <v>15</v>
      </c>
      <c r="Y3430" t="s">
        <v>20825</v>
      </c>
      <c r="Z3430" t="s">
        <v>26637</v>
      </c>
      <c r="AA3430">
        <v>0.72606557881634715</v>
      </c>
      <c r="AB3430" t="str">
        <f>HYPERLINK("Melting_Curves/meltCurve_Q53FA7_TP53I3.pdf", "Melting_Curves/meltCurve_Q53FA7_TP53I3.pdf")</f>
        <v>Melting_Curves/meltCurve_Q53FA7_TP53I3.pdf</v>
      </c>
    </row>
    <row r="3431" spans="1:28" x14ac:dyDescent="0.25">
      <c r="A3431" t="s">
        <v>3435</v>
      </c>
      <c r="B3431">
        <v>0.99334974765950101</v>
      </c>
      <c r="C3431">
        <v>0.98859337884785503</v>
      </c>
      <c r="D3431">
        <v>0.755640939731544</v>
      </c>
      <c r="E3431">
        <v>0.82200505669812196</v>
      </c>
      <c r="F3431">
        <v>0.87429165124758101</v>
      </c>
      <c r="G3431">
        <v>0.57771472070412599</v>
      </c>
      <c r="H3431">
        <v>0.53770885185628603</v>
      </c>
      <c r="I3431">
        <v>0.92278651898334596</v>
      </c>
      <c r="J3431">
        <v>0.65449870355154804</v>
      </c>
      <c r="K3431">
        <v>0.49135023642930697</v>
      </c>
      <c r="L3431">
        <v>409.89343489973902</v>
      </c>
      <c r="M3431">
        <v>8.0106984371086405</v>
      </c>
      <c r="O3431">
        <v>48.274947161289397</v>
      </c>
      <c r="P3431">
        <v>-1.7658890921706E-2</v>
      </c>
      <c r="Q3431">
        <v>0.57480672826566404</v>
      </c>
      <c r="R3431">
        <v>0.49387200053213498</v>
      </c>
      <c r="S3431" t="s">
        <v>9292</v>
      </c>
      <c r="T3431" t="s">
        <v>11720</v>
      </c>
      <c r="U3431" t="s">
        <v>11720</v>
      </c>
      <c r="V3431" t="s">
        <v>11720</v>
      </c>
      <c r="W3431" t="s">
        <v>15101</v>
      </c>
      <c r="X3431">
        <v>6</v>
      </c>
      <c r="Y3431" t="s">
        <v>20826</v>
      </c>
      <c r="Z3431" t="s">
        <v>26638</v>
      </c>
      <c r="AA3431">
        <v>0.75531699310813649</v>
      </c>
      <c r="AB3431" t="str">
        <f>HYPERLINK("Melting_Curves/meltCurve_Q53FP2_TMEM35.pdf", "Melting_Curves/meltCurve_Q53FP2_TMEM35.pdf")</f>
        <v>Melting_Curves/meltCurve_Q53FP2_TMEM35.pdf</v>
      </c>
    </row>
    <row r="3432" spans="1:28" x14ac:dyDescent="0.25">
      <c r="A3432" t="s">
        <v>3436</v>
      </c>
      <c r="B3432">
        <v>0.99334974765950101</v>
      </c>
      <c r="C3432">
        <v>0.972378651791726</v>
      </c>
      <c r="D3432">
        <v>0.94638890727666802</v>
      </c>
      <c r="E3432">
        <v>0.76543409937891205</v>
      </c>
      <c r="F3432">
        <v>0.55568248493738504</v>
      </c>
      <c r="G3432">
        <v>0.25615879961933602</v>
      </c>
      <c r="H3432">
        <v>0.16799669007610499</v>
      </c>
      <c r="I3432">
        <v>0.132079448354532</v>
      </c>
      <c r="J3432">
        <v>0.142011201049281</v>
      </c>
      <c r="K3432">
        <v>0.102452814101312</v>
      </c>
      <c r="L3432">
        <v>1026.28902812561</v>
      </c>
      <c r="M3432">
        <v>19.443609409822201</v>
      </c>
      <c r="N3432">
        <v>53.437833758540698</v>
      </c>
      <c r="O3432">
        <v>52.234030115952898</v>
      </c>
      <c r="P3432">
        <v>-8.3196426556697803E-2</v>
      </c>
      <c r="Q3432">
        <v>0.10602474912756001</v>
      </c>
      <c r="R3432">
        <v>0.99856525907371296</v>
      </c>
      <c r="S3432" t="s">
        <v>9293</v>
      </c>
      <c r="T3432" t="s">
        <v>11720</v>
      </c>
      <c r="U3432" t="s">
        <v>11720</v>
      </c>
      <c r="V3432" t="s">
        <v>11720</v>
      </c>
      <c r="W3432" t="s">
        <v>15102</v>
      </c>
      <c r="X3432">
        <v>2</v>
      </c>
      <c r="Y3432" t="s">
        <v>20827</v>
      </c>
      <c r="Z3432" t="s">
        <v>26639</v>
      </c>
      <c r="AA3432">
        <v>0.4998698313669262</v>
      </c>
      <c r="AB3432" t="str">
        <f>HYPERLINK("Melting_Curves/meltCurve_Q53FT3_C11orf73.pdf", "Melting_Curves/meltCurve_Q53FT3_C11orf73.pdf")</f>
        <v>Melting_Curves/meltCurve_Q53FT3_C11orf73.pdf</v>
      </c>
    </row>
    <row r="3433" spans="1:28" x14ac:dyDescent="0.25">
      <c r="A3433" t="s">
        <v>3437</v>
      </c>
      <c r="B3433">
        <v>0.99334974765950101</v>
      </c>
      <c r="C3433">
        <v>0.81904914448731403</v>
      </c>
      <c r="D3433">
        <v>0.46277903450285002</v>
      </c>
      <c r="E3433">
        <v>0.272260275573739</v>
      </c>
      <c r="F3433">
        <v>0.140920831240678</v>
      </c>
      <c r="G3433">
        <v>8.36178489519709E-2</v>
      </c>
      <c r="H3433">
        <v>6.4287801714394494E-2</v>
      </c>
      <c r="I3433">
        <v>7.1616785439516703E-2</v>
      </c>
      <c r="J3433">
        <v>3.3365440205105602E-2</v>
      </c>
      <c r="K3433">
        <v>0</v>
      </c>
      <c r="L3433">
        <v>828.26543513476895</v>
      </c>
      <c r="M3433">
        <v>18.002757274587001</v>
      </c>
      <c r="N3433">
        <v>46.2525778737729</v>
      </c>
      <c r="O3433">
        <v>45.4512872653427</v>
      </c>
      <c r="P3433">
        <v>-9.45257491949415E-2</v>
      </c>
      <c r="Q3433">
        <v>4.5456202665461402E-2</v>
      </c>
      <c r="R3433">
        <v>0.98910525388968595</v>
      </c>
      <c r="S3433" t="s">
        <v>9294</v>
      </c>
      <c r="T3433" t="s">
        <v>11720</v>
      </c>
      <c r="U3433" t="s">
        <v>11720</v>
      </c>
      <c r="V3433" t="s">
        <v>11720</v>
      </c>
      <c r="W3433" t="s">
        <v>15103</v>
      </c>
      <c r="X3433">
        <v>1</v>
      </c>
      <c r="Y3433" t="s">
        <v>20828</v>
      </c>
      <c r="Z3433" t="s">
        <v>26640</v>
      </c>
      <c r="AA3433">
        <v>0.25533232343240048</v>
      </c>
      <c r="AB3433" t="str">
        <f>HYPERLINK("Melting_Curves/meltCurve_Q53GA4_PHLDA2.pdf", "Melting_Curves/meltCurve_Q53GA4_PHLDA2.pdf")</f>
        <v>Melting_Curves/meltCurve_Q53GA4_PHLDA2.pdf</v>
      </c>
    </row>
    <row r="3434" spans="1:28" x14ac:dyDescent="0.25">
      <c r="A3434" t="s">
        <v>3438</v>
      </c>
      <c r="B3434">
        <v>0.99334974765950101</v>
      </c>
      <c r="C3434">
        <v>0.93652122119056702</v>
      </c>
      <c r="D3434">
        <v>0.95374637909954296</v>
      </c>
      <c r="E3434">
        <v>0.80839761039234304</v>
      </c>
      <c r="F3434">
        <v>0.77361119478978202</v>
      </c>
      <c r="G3434">
        <v>0.405648081677072</v>
      </c>
      <c r="H3434">
        <v>0.26350546101919597</v>
      </c>
      <c r="I3434">
        <v>0.20627773651133699</v>
      </c>
      <c r="J3434">
        <v>0.16961659734329099</v>
      </c>
      <c r="K3434">
        <v>9.9591520830523195E-2</v>
      </c>
      <c r="L3434">
        <v>827.654480952158</v>
      </c>
      <c r="M3434">
        <v>14.902322086376801</v>
      </c>
      <c r="N3434">
        <v>56.185249419489303</v>
      </c>
      <c r="O3434">
        <v>54.567334606678003</v>
      </c>
      <c r="P3434">
        <v>-6.2901189131075799E-2</v>
      </c>
      <c r="Q3434">
        <v>7.8803099595730397E-2</v>
      </c>
      <c r="R3434">
        <v>0.98832568869522996</v>
      </c>
      <c r="S3434" t="s">
        <v>9295</v>
      </c>
      <c r="T3434" t="s">
        <v>11720</v>
      </c>
      <c r="U3434" t="s">
        <v>11720</v>
      </c>
      <c r="V3434" t="s">
        <v>11720</v>
      </c>
      <c r="W3434" t="s">
        <v>15104</v>
      </c>
      <c r="X3434">
        <v>4</v>
      </c>
      <c r="Y3434" t="s">
        <v>20829</v>
      </c>
      <c r="Z3434" t="s">
        <v>26641</v>
      </c>
      <c r="AA3434">
        <v>0.57308470917573373</v>
      </c>
      <c r="AB3434" t="str">
        <f>HYPERLINK("Melting_Curves/meltCurve_Q53GG5_2_PDLIM3.pdf", "Melting_Curves/meltCurve_Q53GG5_2_PDLIM3.pdf")</f>
        <v>Melting_Curves/meltCurve_Q53GG5_2_PDLIM3.pdf</v>
      </c>
    </row>
    <row r="3435" spans="1:28" x14ac:dyDescent="0.25">
      <c r="A3435" t="s">
        <v>3439</v>
      </c>
      <c r="B3435">
        <v>0.99334974765950101</v>
      </c>
      <c r="C3435">
        <v>1.0982157626561799</v>
      </c>
      <c r="D3435">
        <v>1.0287803304321399</v>
      </c>
      <c r="E3435">
        <v>0.81832225484993204</v>
      </c>
      <c r="F3435">
        <v>0.42103335814140302</v>
      </c>
      <c r="G3435">
        <v>0.19945987061683501</v>
      </c>
      <c r="H3435">
        <v>0.12950213529572399</v>
      </c>
      <c r="I3435">
        <v>0.11582912414103901</v>
      </c>
      <c r="J3435">
        <v>0.124070357893714</v>
      </c>
      <c r="K3435">
        <v>0.110473361692843</v>
      </c>
      <c r="L3435">
        <v>1729.1883409401</v>
      </c>
      <c r="M3435">
        <v>33.245208862230299</v>
      </c>
      <c r="N3435">
        <v>52.461371144192803</v>
      </c>
      <c r="O3435">
        <v>51.826045594607997</v>
      </c>
      <c r="P3435">
        <v>-0.140543330409584</v>
      </c>
      <c r="Q3435">
        <v>0.12363029156156601</v>
      </c>
      <c r="R3435">
        <v>0.99231918778129102</v>
      </c>
      <c r="S3435" t="s">
        <v>9296</v>
      </c>
      <c r="T3435" t="s">
        <v>11720</v>
      </c>
      <c r="U3435" t="s">
        <v>11720</v>
      </c>
      <c r="V3435" t="s">
        <v>11720</v>
      </c>
      <c r="W3435" t="s">
        <v>15105</v>
      </c>
      <c r="X3435">
        <v>15</v>
      </c>
      <c r="Y3435" t="s">
        <v>20830</v>
      </c>
      <c r="Z3435" t="s">
        <v>26642</v>
      </c>
      <c r="AA3435">
        <v>0.47912708768545043</v>
      </c>
      <c r="AB3435" t="str">
        <f>HYPERLINK("Melting_Curves/meltCurve_Q53GQ0_HSD17B12.pdf", "Melting_Curves/meltCurve_Q53GQ0_HSD17B12.pdf")</f>
        <v>Melting_Curves/meltCurve_Q53GQ0_HSD17B12.pdf</v>
      </c>
    </row>
    <row r="3436" spans="1:28" x14ac:dyDescent="0.25">
      <c r="A3436" t="s">
        <v>3440</v>
      </c>
      <c r="B3436">
        <v>0.99334974765950101</v>
      </c>
      <c r="C3436">
        <v>1.0073009823088399</v>
      </c>
      <c r="D3436">
        <v>0.81478341920103603</v>
      </c>
      <c r="E3436">
        <v>0.70222254353246105</v>
      </c>
      <c r="F3436">
        <v>0.50329884146936799</v>
      </c>
      <c r="G3436">
        <v>0.39597939080776001</v>
      </c>
      <c r="H3436">
        <v>0.32346393881040603</v>
      </c>
      <c r="I3436">
        <v>0.37952338049823903</v>
      </c>
      <c r="J3436">
        <v>0.19103890156745201</v>
      </c>
      <c r="K3436">
        <v>0.126480253520972</v>
      </c>
      <c r="L3436">
        <v>564.02182270741196</v>
      </c>
      <c r="M3436">
        <v>10.725628171970101</v>
      </c>
      <c r="N3436">
        <v>54.322468505657099</v>
      </c>
      <c r="O3436">
        <v>50.85723254018</v>
      </c>
      <c r="P3436">
        <v>-4.5090475422675802E-2</v>
      </c>
      <c r="Q3436">
        <v>0.14510349214179299</v>
      </c>
      <c r="R3436">
        <v>0.96408109198520398</v>
      </c>
      <c r="S3436" t="s">
        <v>9297</v>
      </c>
      <c r="T3436" t="s">
        <v>11720</v>
      </c>
      <c r="U3436" t="s">
        <v>11720</v>
      </c>
      <c r="V3436" t="s">
        <v>11720</v>
      </c>
      <c r="W3436" t="s">
        <v>15106</v>
      </c>
      <c r="X3436">
        <v>16</v>
      </c>
      <c r="Y3436" t="s">
        <v>20831</v>
      </c>
      <c r="Z3436" t="s">
        <v>26643</v>
      </c>
      <c r="AA3436">
        <v>0.53225806698193523</v>
      </c>
      <c r="AB3436" t="str">
        <f>HYPERLINK("Melting_Curves/meltCurve_Q53H82_LACTB2.pdf", "Melting_Curves/meltCurve_Q53H82_LACTB2.pdf")</f>
        <v>Melting_Curves/meltCurve_Q53H82_LACTB2.pdf</v>
      </c>
    </row>
    <row r="3437" spans="1:28" x14ac:dyDescent="0.25">
      <c r="A3437" t="s">
        <v>3441</v>
      </c>
      <c r="B3437">
        <v>0.99334974765950101</v>
      </c>
      <c r="C3437">
        <v>0.987747280937189</v>
      </c>
      <c r="D3437">
        <v>0.94857136746984605</v>
      </c>
      <c r="E3437">
        <v>0.70466303367785998</v>
      </c>
      <c r="F3437">
        <v>0.59763031329735505</v>
      </c>
      <c r="G3437">
        <v>0.26939848783939702</v>
      </c>
      <c r="H3437">
        <v>0.21276427623896901</v>
      </c>
      <c r="I3437">
        <v>0.20214713971890599</v>
      </c>
      <c r="J3437">
        <v>0.101198634433149</v>
      </c>
      <c r="K3437">
        <v>2.1121357036436299E-2</v>
      </c>
      <c r="L3437">
        <v>759.280760188165</v>
      </c>
      <c r="M3437">
        <v>14.184104417814799</v>
      </c>
      <c r="N3437">
        <v>53.901525270823598</v>
      </c>
      <c r="O3437">
        <v>52.5000859775622</v>
      </c>
      <c r="P3437">
        <v>-6.4409212446160394E-2</v>
      </c>
      <c r="Q3437">
        <v>4.6520198930238003E-2</v>
      </c>
      <c r="R3437">
        <v>0.987348929722489</v>
      </c>
      <c r="S3437" t="s">
        <v>9298</v>
      </c>
      <c r="T3437" t="s">
        <v>11720</v>
      </c>
      <c r="U3437" t="s">
        <v>11720</v>
      </c>
      <c r="V3437" t="s">
        <v>11720</v>
      </c>
      <c r="W3437" t="s">
        <v>15107</v>
      </c>
      <c r="X3437">
        <v>10</v>
      </c>
      <c r="Y3437" t="s">
        <v>18318</v>
      </c>
      <c r="Z3437" t="s">
        <v>26644</v>
      </c>
      <c r="AA3437">
        <v>0.49807025384322218</v>
      </c>
      <c r="AB3437" t="str">
        <f>HYPERLINK("Melting_Curves/meltCurve_Q53H96_PYCRL.pdf", "Melting_Curves/meltCurve_Q53H96_PYCRL.pdf")</f>
        <v>Melting_Curves/meltCurve_Q53H96_PYCRL.pdf</v>
      </c>
    </row>
    <row r="3438" spans="1:28" x14ac:dyDescent="0.25">
      <c r="A3438" t="s">
        <v>3442</v>
      </c>
      <c r="B3438">
        <v>0.99334974765950101</v>
      </c>
      <c r="C3438">
        <v>0.99162572685357098</v>
      </c>
      <c r="D3438">
        <v>0.96189933495631796</v>
      </c>
      <c r="E3438">
        <v>0.88800814941113604</v>
      </c>
      <c r="F3438">
        <v>0.94835728878484404</v>
      </c>
      <c r="G3438">
        <v>0.868927624783283</v>
      </c>
      <c r="H3438">
        <v>0.90863599336860401</v>
      </c>
      <c r="I3438">
        <v>0.95570841686221997</v>
      </c>
      <c r="J3438">
        <v>1.07815104890876</v>
      </c>
      <c r="K3438">
        <v>0.95442240317261395</v>
      </c>
      <c r="L3438">
        <v>2902.23423616013</v>
      </c>
      <c r="M3438">
        <v>63.924288648708398</v>
      </c>
      <c r="O3438">
        <v>45.356749313534102</v>
      </c>
      <c r="P3438">
        <v>-1.9980185052824499E-2</v>
      </c>
      <c r="Q3438">
        <v>0.94329316922173601</v>
      </c>
      <c r="R3438">
        <v>0.116000705855512</v>
      </c>
      <c r="S3438" t="s">
        <v>9299</v>
      </c>
      <c r="T3438" t="s">
        <v>11720</v>
      </c>
      <c r="U3438" t="s">
        <v>11720</v>
      </c>
      <c r="V3438" t="s">
        <v>11720</v>
      </c>
      <c r="W3438" t="s">
        <v>15108</v>
      </c>
      <c r="X3438">
        <v>8</v>
      </c>
      <c r="Y3438" t="s">
        <v>20832</v>
      </c>
      <c r="Z3438" t="s">
        <v>26645</v>
      </c>
      <c r="AA3438">
        <v>0.95357202225814297</v>
      </c>
      <c r="AB3438" t="str">
        <f>HYPERLINK("Melting_Curves/meltCurve_Q53QV2_LBH.pdf", "Melting_Curves/meltCurve_Q53QV2_LBH.pdf")</f>
        <v>Melting_Curves/meltCurve_Q53QV2_LBH.pdf</v>
      </c>
    </row>
    <row r="3439" spans="1:28" x14ac:dyDescent="0.25">
      <c r="A3439" t="s">
        <v>3443</v>
      </c>
      <c r="B3439">
        <v>0.99334974765950101</v>
      </c>
      <c r="C3439">
        <v>0.97637205170479402</v>
      </c>
      <c r="D3439">
        <v>0.83450813756170905</v>
      </c>
      <c r="E3439">
        <v>0.79756159587401199</v>
      </c>
      <c r="F3439">
        <v>0.52923340379607198</v>
      </c>
      <c r="G3439">
        <v>0.38331484031395102</v>
      </c>
      <c r="H3439">
        <v>0.27697061153407698</v>
      </c>
      <c r="I3439">
        <v>0.24565904894441101</v>
      </c>
      <c r="J3439">
        <v>0.205551150205842</v>
      </c>
      <c r="K3439">
        <v>0.18047176332481199</v>
      </c>
      <c r="L3439">
        <v>698.94653771607295</v>
      </c>
      <c r="M3439">
        <v>13.2385673693143</v>
      </c>
      <c r="N3439">
        <v>54.3323138952384</v>
      </c>
      <c r="O3439">
        <v>51.635170922438299</v>
      </c>
      <c r="P3439">
        <v>-5.4099614113604998E-2</v>
      </c>
      <c r="Q3439">
        <v>0.156107138915797</v>
      </c>
      <c r="R3439">
        <v>0.98911244954242605</v>
      </c>
      <c r="S3439" t="s">
        <v>9300</v>
      </c>
      <c r="T3439" t="s">
        <v>11720</v>
      </c>
      <c r="U3439" t="s">
        <v>11720</v>
      </c>
      <c r="V3439" t="s">
        <v>11720</v>
      </c>
      <c r="W3439" t="s">
        <v>15109</v>
      </c>
      <c r="X3439">
        <v>8</v>
      </c>
      <c r="Y3439" t="s">
        <v>20833</v>
      </c>
      <c r="Z3439" t="s">
        <v>26646</v>
      </c>
      <c r="AA3439">
        <v>0.53772894224496071</v>
      </c>
      <c r="AB3439" t="str">
        <f>HYPERLINK("Melting_Curves/meltCurve_Q53S33_BOLA3.pdf", "Melting_Curves/meltCurve_Q53S33_BOLA3.pdf")</f>
        <v>Melting_Curves/meltCurve_Q53S33_BOLA3.pdf</v>
      </c>
    </row>
    <row r="3440" spans="1:28" x14ac:dyDescent="0.25">
      <c r="A3440" t="s">
        <v>3444</v>
      </c>
      <c r="B3440">
        <v>0.99334974765950101</v>
      </c>
      <c r="C3440">
        <v>0.92501209261941997</v>
      </c>
      <c r="D3440">
        <v>0.78692516740776097</v>
      </c>
      <c r="E3440">
        <v>0.492335232456519</v>
      </c>
      <c r="F3440">
        <v>0.17907186000667399</v>
      </c>
      <c r="G3440">
        <v>0.108673252568131</v>
      </c>
      <c r="H3440">
        <v>7.9469304268498103E-2</v>
      </c>
      <c r="I3440">
        <v>6.8395053107040304E-2</v>
      </c>
      <c r="J3440">
        <v>6.8388352667923397E-2</v>
      </c>
      <c r="K3440">
        <v>5.5182690529315202E-2</v>
      </c>
      <c r="L3440">
        <v>973.97942908894095</v>
      </c>
      <c r="M3440">
        <v>19.836223267570901</v>
      </c>
      <c r="N3440">
        <v>49.3837516847275</v>
      </c>
      <c r="O3440">
        <v>48.610200561326401</v>
      </c>
      <c r="P3440">
        <v>-9.6544615018132302E-2</v>
      </c>
      <c r="Q3440">
        <v>5.3671713193324401E-2</v>
      </c>
      <c r="R3440">
        <v>0.99538874044149495</v>
      </c>
      <c r="S3440" t="s">
        <v>9301</v>
      </c>
      <c r="T3440" t="s">
        <v>11720</v>
      </c>
      <c r="U3440" t="s">
        <v>11720</v>
      </c>
      <c r="V3440" t="s">
        <v>11720</v>
      </c>
      <c r="W3440" t="s">
        <v>15110</v>
      </c>
      <c r="X3440">
        <v>18</v>
      </c>
      <c r="Y3440" t="s">
        <v>20834</v>
      </c>
      <c r="Z3440" t="s">
        <v>26647</v>
      </c>
      <c r="AA3440">
        <v>0.3542238907132283</v>
      </c>
      <c r="AB3440" t="str">
        <f>HYPERLINK("Melting_Curves/meltCurve_Q53T59_HS1BP3.pdf", "Melting_Curves/meltCurve_Q53T59_HS1BP3.pdf")</f>
        <v>Melting_Curves/meltCurve_Q53T59_HS1BP3.pdf</v>
      </c>
    </row>
    <row r="3441" spans="1:28" x14ac:dyDescent="0.25">
      <c r="A3441" t="s">
        <v>3445</v>
      </c>
      <c r="B3441">
        <v>0.99334974765950101</v>
      </c>
      <c r="C3441">
        <v>1.0426792902273201</v>
      </c>
      <c r="D3441">
        <v>0.89734462749852695</v>
      </c>
      <c r="E3441">
        <v>0.93009628793917198</v>
      </c>
      <c r="F3441">
        <v>1.16669671162802</v>
      </c>
      <c r="G3441">
        <v>1.0840372522225901</v>
      </c>
      <c r="H3441">
        <v>1.06275176848702</v>
      </c>
      <c r="I3441">
        <v>1.15712833522217</v>
      </c>
      <c r="J3441">
        <v>0.97466887754547804</v>
      </c>
      <c r="K3441">
        <v>0.70399316114349997</v>
      </c>
      <c r="L3441">
        <v>15000</v>
      </c>
      <c r="M3441">
        <v>221.51068854423701</v>
      </c>
      <c r="O3441">
        <v>67.711304086256305</v>
      </c>
      <c r="P3441">
        <v>-0.24226543218771299</v>
      </c>
      <c r="Q3441">
        <v>0.70377758012748404</v>
      </c>
      <c r="R3441">
        <v>0.52212087667573304</v>
      </c>
      <c r="S3441" t="s">
        <v>9302</v>
      </c>
      <c r="T3441" t="s">
        <v>11720</v>
      </c>
      <c r="U3441" t="s">
        <v>11720</v>
      </c>
      <c r="V3441" t="s">
        <v>11720</v>
      </c>
      <c r="W3441" t="s">
        <v>15111</v>
      </c>
      <c r="X3441">
        <v>3</v>
      </c>
      <c r="Y3441" t="s">
        <v>20835</v>
      </c>
      <c r="Z3441" t="s">
        <v>26648</v>
      </c>
      <c r="AA3441">
        <v>0.97749819610153199</v>
      </c>
      <c r="AB3441" t="str">
        <f>HYPERLINK("Melting_Curves/meltCurve_Q53TN4_3_CYBRD1.pdf", "Melting_Curves/meltCurve_Q53TN4_3_CYBRD1.pdf")</f>
        <v>Melting_Curves/meltCurve_Q53TN4_3_CYBRD1.pdf</v>
      </c>
    </row>
    <row r="3442" spans="1:28" x14ac:dyDescent="0.25">
      <c r="A3442" t="s">
        <v>3446</v>
      </c>
      <c r="B3442">
        <v>0.99334974765950101</v>
      </c>
      <c r="C3442">
        <v>0.992189039633669</v>
      </c>
      <c r="D3442">
        <v>0.87731611904482398</v>
      </c>
      <c r="E3442">
        <v>0.88804598406639002</v>
      </c>
      <c r="F3442">
        <v>1.08465916229384</v>
      </c>
      <c r="G3442">
        <v>2.20761909609933</v>
      </c>
      <c r="H3442">
        <v>2.3715383413843498</v>
      </c>
      <c r="I3442">
        <v>2.10216377504638</v>
      </c>
      <c r="J3442">
        <v>1.55700112512949</v>
      </c>
      <c r="K3442">
        <v>0.621374632782703</v>
      </c>
      <c r="L3442">
        <v>13334.294369852299</v>
      </c>
      <c r="M3442">
        <v>250</v>
      </c>
      <c r="O3442">
        <v>53.333779189104703</v>
      </c>
      <c r="P3442">
        <v>0.58593276577404496</v>
      </c>
      <c r="Q3442">
        <v>1.5</v>
      </c>
      <c r="R3442">
        <v>0.34030568221351798</v>
      </c>
      <c r="S3442" t="s">
        <v>9303</v>
      </c>
      <c r="T3442" t="s">
        <v>11720</v>
      </c>
      <c r="U3442" t="s">
        <v>11720</v>
      </c>
      <c r="V3442" t="s">
        <v>11720</v>
      </c>
      <c r="W3442" t="s">
        <v>13692</v>
      </c>
      <c r="X3442">
        <v>20</v>
      </c>
      <c r="Y3442" t="s">
        <v>20836</v>
      </c>
      <c r="Z3442" t="s">
        <v>26649</v>
      </c>
      <c r="AA3442">
        <v>1.277666905718331</v>
      </c>
      <c r="AB3442" t="str">
        <f>HYPERLINK("Melting_Curves/meltCurve_Q53XA7_DKFZp686F13224.pdf", "Melting_Curves/meltCurve_Q53XA7_DKFZp686F13224.pdf")</f>
        <v>Melting_Curves/meltCurve_Q53XA7_DKFZp686F13224.pdf</v>
      </c>
    </row>
    <row r="3443" spans="1:28" x14ac:dyDescent="0.25">
      <c r="A3443" t="s">
        <v>3447</v>
      </c>
      <c r="B3443">
        <v>0.99334974765950101</v>
      </c>
      <c r="C3443">
        <v>0.89165497428872598</v>
      </c>
      <c r="D3443">
        <v>0.95197267958380805</v>
      </c>
      <c r="E3443">
        <v>0.83535356652499404</v>
      </c>
      <c r="F3443">
        <v>0.76863984478809999</v>
      </c>
      <c r="G3443">
        <v>0.43686271149226802</v>
      </c>
      <c r="H3443">
        <v>0.294315732559983</v>
      </c>
      <c r="I3443">
        <v>0.31235588330054898</v>
      </c>
      <c r="J3443">
        <v>0.30180732361463702</v>
      </c>
      <c r="K3443">
        <v>0.22002357090504701</v>
      </c>
      <c r="L3443">
        <v>967.97597309330104</v>
      </c>
      <c r="M3443">
        <v>17.791821881450499</v>
      </c>
      <c r="N3443">
        <v>56.409053726156799</v>
      </c>
      <c r="O3443">
        <v>53.732343825903598</v>
      </c>
      <c r="P3443">
        <v>-6.3395716862014506E-2</v>
      </c>
      <c r="Q3443">
        <v>0.234204785971629</v>
      </c>
      <c r="R3443">
        <v>0.97549992221537896</v>
      </c>
      <c r="S3443" t="s">
        <v>9304</v>
      </c>
      <c r="T3443" t="s">
        <v>11720</v>
      </c>
      <c r="U3443" t="s">
        <v>11720</v>
      </c>
      <c r="V3443" t="s">
        <v>11720</v>
      </c>
      <c r="W3443" t="s">
        <v>15112</v>
      </c>
      <c r="X3443">
        <v>12</v>
      </c>
      <c r="Y3443" t="s">
        <v>20837</v>
      </c>
      <c r="Z3443" t="s">
        <v>26650</v>
      </c>
      <c r="AA3443">
        <v>0.61423802903094515</v>
      </c>
      <c r="AB3443" t="str">
        <f>HYPERLINK("Melting_Curves/meltCurve_Q562R1_ACTBL2.pdf", "Melting_Curves/meltCurve_Q562R1_ACTBL2.pdf")</f>
        <v>Melting_Curves/meltCurve_Q562R1_ACTBL2.pdf</v>
      </c>
    </row>
    <row r="3444" spans="1:28" x14ac:dyDescent="0.25">
      <c r="A3444" t="s">
        <v>3448</v>
      </c>
      <c r="B3444">
        <v>0.99334974765950101</v>
      </c>
      <c r="C3444">
        <v>1.27955656204499</v>
      </c>
      <c r="D3444">
        <v>1.42928232237352</v>
      </c>
      <c r="E3444">
        <v>1.2416115837722299</v>
      </c>
      <c r="F3444">
        <v>0.64741588510940995</v>
      </c>
      <c r="G3444">
        <v>0.46807333635417903</v>
      </c>
      <c r="H3444">
        <v>0.467911084123313</v>
      </c>
      <c r="I3444">
        <v>0.56984198300261901</v>
      </c>
      <c r="J3444">
        <v>0.64441157269968496</v>
      </c>
      <c r="K3444">
        <v>0.76274842326542502</v>
      </c>
      <c r="L3444">
        <v>13160.237983372401</v>
      </c>
      <c r="M3444">
        <v>250</v>
      </c>
      <c r="O3444">
        <v>52.637583485189097</v>
      </c>
      <c r="P3444">
        <v>-0.495609805537852</v>
      </c>
      <c r="Q3444">
        <v>0.58259676201992705</v>
      </c>
      <c r="R3444">
        <v>0.66798638282788103</v>
      </c>
      <c r="S3444" t="s">
        <v>9305</v>
      </c>
      <c r="T3444" t="s">
        <v>11720</v>
      </c>
      <c r="U3444" t="s">
        <v>11720</v>
      </c>
      <c r="V3444" t="s">
        <v>11720</v>
      </c>
      <c r="W3444" t="s">
        <v>14487</v>
      </c>
      <c r="X3444">
        <v>12</v>
      </c>
      <c r="Y3444" t="s">
        <v>20229</v>
      </c>
      <c r="Z3444" t="s">
        <v>26651</v>
      </c>
      <c r="AA3444">
        <v>0.75851446569507364</v>
      </c>
      <c r="AB3444" t="str">
        <f>HYPERLINK("Melting_Curves/meltCurve_Q567Q0_PPIA.pdf", "Melting_Curves/meltCurve_Q567Q0_PPIA.pdf")</f>
        <v>Melting_Curves/meltCurve_Q567Q0_PPIA.pdf</v>
      </c>
    </row>
    <row r="3445" spans="1:28" x14ac:dyDescent="0.25">
      <c r="A3445" t="s">
        <v>3449</v>
      </c>
      <c r="B3445">
        <v>0.99334974765950101</v>
      </c>
      <c r="C3445">
        <v>1.0901681257850899</v>
      </c>
      <c r="D3445">
        <v>0.62043187167676495</v>
      </c>
      <c r="E3445">
        <v>0.66139138091269001</v>
      </c>
      <c r="F3445">
        <v>0.72047931125407805</v>
      </c>
      <c r="G3445">
        <v>0.348242589248836</v>
      </c>
      <c r="H3445">
        <v>0.50252627521582105</v>
      </c>
      <c r="I3445">
        <v>0.49934769270777402</v>
      </c>
      <c r="J3445">
        <v>0.65596790347066702</v>
      </c>
      <c r="K3445">
        <v>0.56395408787318402</v>
      </c>
      <c r="L3445">
        <v>11411.8666055998</v>
      </c>
      <c r="M3445">
        <v>250</v>
      </c>
      <c r="O3445">
        <v>45.6445435550594</v>
      </c>
      <c r="P3445">
        <v>-0.59623984843375299</v>
      </c>
      <c r="Q3445">
        <v>0.56455845227745904</v>
      </c>
      <c r="R3445">
        <v>0.77055946615378101</v>
      </c>
      <c r="S3445" t="s">
        <v>9306</v>
      </c>
      <c r="T3445" t="s">
        <v>11720</v>
      </c>
      <c r="U3445" t="s">
        <v>11720</v>
      </c>
      <c r="V3445" t="s">
        <v>11720</v>
      </c>
      <c r="W3445" t="s">
        <v>15113</v>
      </c>
      <c r="X3445">
        <v>1</v>
      </c>
      <c r="Y3445" t="s">
        <v>20838</v>
      </c>
      <c r="Z3445" t="s">
        <v>26652</v>
      </c>
      <c r="AA3445">
        <v>0.64656471974747753</v>
      </c>
      <c r="AB3445" t="str">
        <f>HYPERLINK("Melting_Curves/meltCurve_Q569H4_PRR16.pdf", "Melting_Curves/meltCurve_Q569H4_PRR16.pdf")</f>
        <v>Melting_Curves/meltCurve_Q569H4_PRR16.pdf</v>
      </c>
    </row>
    <row r="3446" spans="1:28" x14ac:dyDescent="0.25">
      <c r="A3446" t="s">
        <v>3450</v>
      </c>
      <c r="B3446">
        <v>0.99334974765950101</v>
      </c>
      <c r="C3446">
        <v>0.900176048923085</v>
      </c>
      <c r="D3446">
        <v>0.78306781269818104</v>
      </c>
      <c r="E3446">
        <v>0.80278956563449499</v>
      </c>
      <c r="F3446">
        <v>0.53398946615574505</v>
      </c>
      <c r="G3446">
        <v>0.247338066756047</v>
      </c>
      <c r="H3446">
        <v>0.23354475936499799</v>
      </c>
      <c r="I3446">
        <v>0.20241191200526101</v>
      </c>
      <c r="J3446">
        <v>0.241209908670144</v>
      </c>
      <c r="K3446">
        <v>0.16951351476330301</v>
      </c>
      <c r="L3446">
        <v>734.17778732086902</v>
      </c>
      <c r="M3446">
        <v>14.123339777030999</v>
      </c>
      <c r="N3446">
        <v>53.332372798643902</v>
      </c>
      <c r="O3446">
        <v>50.9744152505031</v>
      </c>
      <c r="P3446">
        <v>-5.8870271449304602E-2</v>
      </c>
      <c r="Q3446">
        <v>0.15020270497799099</v>
      </c>
      <c r="R3446">
        <v>0.96071061446336103</v>
      </c>
      <c r="S3446" t="s">
        <v>9307</v>
      </c>
      <c r="T3446" t="s">
        <v>11720</v>
      </c>
      <c r="U3446" t="s">
        <v>11720</v>
      </c>
      <c r="V3446" t="s">
        <v>11720</v>
      </c>
      <c r="W3446" t="s">
        <v>15114</v>
      </c>
      <c r="X3446">
        <v>7</v>
      </c>
      <c r="Y3446" t="s">
        <v>20839</v>
      </c>
      <c r="Z3446" t="s">
        <v>26653</v>
      </c>
      <c r="AA3446">
        <v>0.51045327515323557</v>
      </c>
      <c r="AB3446" t="str">
        <f>HYPERLINK("Melting_Curves/meltCurve_Q56VL3_OCIAD2.pdf", "Melting_Curves/meltCurve_Q56VL3_OCIAD2.pdf")</f>
        <v>Melting_Curves/meltCurve_Q56VL3_OCIAD2.pdf</v>
      </c>
    </row>
    <row r="3447" spans="1:28" x14ac:dyDescent="0.25">
      <c r="A3447" t="s">
        <v>3451</v>
      </c>
      <c r="B3447">
        <v>0.99334974765950101</v>
      </c>
      <c r="C3447">
        <v>0.95243042071279405</v>
      </c>
      <c r="D3447">
        <v>0.85050765943497697</v>
      </c>
      <c r="E3447">
        <v>0.79075772605790595</v>
      </c>
      <c r="F3447">
        <v>0.83530063019998901</v>
      </c>
      <c r="G3447">
        <v>0.66949596718236304</v>
      </c>
      <c r="H3447">
        <v>0.68299192846588197</v>
      </c>
      <c r="I3447">
        <v>0.76206932383741599</v>
      </c>
      <c r="J3447">
        <v>0.88973076410909202</v>
      </c>
      <c r="K3447">
        <v>0.79248122569852097</v>
      </c>
      <c r="L3447">
        <v>1111.53836482628</v>
      </c>
      <c r="M3447">
        <v>24.659388678964401</v>
      </c>
      <c r="O3447">
        <v>44.782388302163596</v>
      </c>
      <c r="P3447">
        <v>-3.1614459240516701E-2</v>
      </c>
      <c r="Q3447">
        <v>0.77035112376236803</v>
      </c>
      <c r="R3447">
        <v>0.63469267199665902</v>
      </c>
      <c r="S3447" t="s">
        <v>9308</v>
      </c>
      <c r="T3447" t="s">
        <v>11720</v>
      </c>
      <c r="U3447" t="s">
        <v>11720</v>
      </c>
      <c r="V3447" t="s">
        <v>11720</v>
      </c>
      <c r="W3447" t="s">
        <v>15115</v>
      </c>
      <c r="X3447">
        <v>3</v>
      </c>
      <c r="Y3447" t="s">
        <v>20840</v>
      </c>
      <c r="Z3447" t="s">
        <v>26654</v>
      </c>
      <c r="AA3447">
        <v>0.81155164568783411</v>
      </c>
      <c r="AB3447" t="str">
        <f>HYPERLINK("Melting_Curves/meltCurve_Q587I9_SFT2D3.pdf", "Melting_Curves/meltCurve_Q587I9_SFT2D3.pdf")</f>
        <v>Melting_Curves/meltCurve_Q587I9_SFT2D3.pdf</v>
      </c>
    </row>
    <row r="3448" spans="1:28" x14ac:dyDescent="0.25">
      <c r="A3448" t="s">
        <v>3452</v>
      </c>
      <c r="B3448">
        <v>0.99334974765950101</v>
      </c>
      <c r="C3448">
        <v>0.99934785189116804</v>
      </c>
      <c r="D3448">
        <v>1.0490471239452499</v>
      </c>
      <c r="E3448">
        <v>1.1774855488323499</v>
      </c>
      <c r="F3448">
        <v>1.1761898585563999</v>
      </c>
      <c r="G3448">
        <v>1.07796807436943</v>
      </c>
      <c r="H3448">
        <v>1.0668531664587799</v>
      </c>
      <c r="I3448">
        <v>1.13522916216457</v>
      </c>
      <c r="J3448">
        <v>0.83479834182953305</v>
      </c>
      <c r="K3448">
        <v>0.46626067927753501</v>
      </c>
      <c r="L3448">
        <v>15000</v>
      </c>
      <c r="M3448">
        <v>223.077930117676</v>
      </c>
      <c r="N3448">
        <v>68.062894640772299</v>
      </c>
      <c r="O3448">
        <v>67.235694645215901</v>
      </c>
      <c r="P3448">
        <v>-0.44278474654640998</v>
      </c>
      <c r="Q3448">
        <v>0.46617884072848498</v>
      </c>
      <c r="R3448">
        <v>0.76885627517812605</v>
      </c>
      <c r="S3448" t="s">
        <v>9309</v>
      </c>
      <c r="T3448" t="s">
        <v>11720</v>
      </c>
      <c r="U3448" t="s">
        <v>11720</v>
      </c>
      <c r="V3448" t="s">
        <v>11720</v>
      </c>
      <c r="W3448" t="s">
        <v>15116</v>
      </c>
      <c r="X3448">
        <v>8</v>
      </c>
      <c r="Y3448" t="s">
        <v>20841</v>
      </c>
      <c r="Z3448" t="s">
        <v>26655</v>
      </c>
      <c r="AA3448">
        <v>0.95098582580840152</v>
      </c>
      <c r="AB3448" t="str">
        <f>HYPERLINK("Melting_Curves/meltCurve_Q58DX5_NAALADL2.pdf", "Melting_Curves/meltCurve_Q58DX5_NAALADL2.pdf")</f>
        <v>Melting_Curves/meltCurve_Q58DX5_NAALADL2.pdf</v>
      </c>
    </row>
    <row r="3449" spans="1:28" x14ac:dyDescent="0.25">
      <c r="A3449" t="s">
        <v>3453</v>
      </c>
      <c r="B3449">
        <v>0.99334974765950101</v>
      </c>
      <c r="C3449">
        <v>2.13643862160913</v>
      </c>
      <c r="D3449">
        <v>2.2817354640013101</v>
      </c>
      <c r="E3449">
        <v>2.56372476382891</v>
      </c>
      <c r="F3449">
        <v>0.39742379502751701</v>
      </c>
      <c r="G3449">
        <v>0.357228777847302</v>
      </c>
      <c r="H3449">
        <v>0.15082616317924799</v>
      </c>
      <c r="I3449">
        <v>0.13658398283325199</v>
      </c>
      <c r="J3449">
        <v>0.100135401811433</v>
      </c>
      <c r="K3449">
        <v>0</v>
      </c>
      <c r="L3449">
        <v>13203.049523973001</v>
      </c>
      <c r="M3449">
        <v>250</v>
      </c>
      <c r="N3449">
        <v>52.8870128070145</v>
      </c>
      <c r="O3449">
        <v>52.808812875968997</v>
      </c>
      <c r="P3449">
        <v>-1.00722497931785</v>
      </c>
      <c r="Q3449">
        <v>0.14895422346044199</v>
      </c>
      <c r="R3449">
        <v>0.41762467668875602</v>
      </c>
      <c r="S3449" t="s">
        <v>9310</v>
      </c>
      <c r="T3449" t="s">
        <v>11720</v>
      </c>
      <c r="U3449" t="s">
        <v>11720</v>
      </c>
      <c r="V3449" t="s">
        <v>11720</v>
      </c>
      <c r="W3449" t="s">
        <v>15117</v>
      </c>
      <c r="X3449">
        <v>7</v>
      </c>
      <c r="Y3449" t="s">
        <v>20842</v>
      </c>
      <c r="Z3449" t="s">
        <v>26656</v>
      </c>
      <c r="AA3449">
        <v>0.51249200487557023</v>
      </c>
      <c r="AB3449" t="str">
        <f>HYPERLINK("Melting_Curves/meltCurve_Q58FF6_HSP90AB4P.pdf", "Melting_Curves/meltCurve_Q58FF6_HSP90AB4P.pdf")</f>
        <v>Melting_Curves/meltCurve_Q58FF6_HSP90AB4P.pdf</v>
      </c>
    </row>
    <row r="3450" spans="1:28" x14ac:dyDescent="0.25">
      <c r="A3450" t="s">
        <v>3454</v>
      </c>
      <c r="B3450">
        <v>0.99334974765950101</v>
      </c>
      <c r="C3450">
        <v>1.0435138772988699</v>
      </c>
      <c r="D3450">
        <v>1.1125743713456699</v>
      </c>
      <c r="E3450">
        <v>0.94369658122922695</v>
      </c>
      <c r="F3450">
        <v>0.33002727543506</v>
      </c>
      <c r="G3450">
        <v>0.200517903907521</v>
      </c>
      <c r="H3450">
        <v>0.128686853105169</v>
      </c>
      <c r="I3450">
        <v>9.8657081333763094E-2</v>
      </c>
      <c r="J3450">
        <v>0.10737543982221399</v>
      </c>
      <c r="K3450">
        <v>8.3213022216651306E-2</v>
      </c>
      <c r="L3450">
        <v>3315.7441590749299</v>
      </c>
      <c r="M3450">
        <v>63.7129062999607</v>
      </c>
      <c r="N3450">
        <v>52.272535178512399</v>
      </c>
      <c r="O3450">
        <v>51.990767818683501</v>
      </c>
      <c r="P3450">
        <v>-0.26883579398282997</v>
      </c>
      <c r="Q3450">
        <v>0.122502942246041</v>
      </c>
      <c r="R3450">
        <v>0.98780931851760301</v>
      </c>
      <c r="S3450" t="s">
        <v>9311</v>
      </c>
      <c r="T3450" t="s">
        <v>11720</v>
      </c>
      <c r="U3450" t="s">
        <v>11720</v>
      </c>
      <c r="V3450" t="s">
        <v>11720</v>
      </c>
      <c r="W3450" t="s">
        <v>15118</v>
      </c>
      <c r="X3450">
        <v>15</v>
      </c>
      <c r="Y3450" t="s">
        <v>20843</v>
      </c>
      <c r="Z3450" t="s">
        <v>26657</v>
      </c>
      <c r="AA3450">
        <v>0.47596683108190879</v>
      </c>
      <c r="AB3450" t="str">
        <f>HYPERLINK("Melting_Curves/meltCurve_Q58FF8_HSP90AB2P.pdf", "Melting_Curves/meltCurve_Q58FF8_HSP90AB2P.pdf")</f>
        <v>Melting_Curves/meltCurve_Q58FF8_HSP90AB2P.pdf</v>
      </c>
    </row>
    <row r="3451" spans="1:28" x14ac:dyDescent="0.25">
      <c r="A3451" t="s">
        <v>3455</v>
      </c>
      <c r="B3451">
        <v>0.99334974765950101</v>
      </c>
      <c r="C3451">
        <v>1.0199887467969</v>
      </c>
      <c r="D3451">
        <v>1.25232649092425</v>
      </c>
      <c r="E3451">
        <v>1.0331005512617499</v>
      </c>
      <c r="F3451">
        <v>0.23989835858938599</v>
      </c>
      <c r="G3451">
        <v>0.30142427045986298</v>
      </c>
      <c r="H3451">
        <v>0.26385814627564902</v>
      </c>
      <c r="I3451">
        <v>0.242931711930397</v>
      </c>
      <c r="J3451">
        <v>0.15190499659678</v>
      </c>
      <c r="K3451">
        <v>0.15779855482664101</v>
      </c>
      <c r="L3451">
        <v>13046.526985562899</v>
      </c>
      <c r="M3451">
        <v>250</v>
      </c>
      <c r="N3451">
        <v>52.310119182345197</v>
      </c>
      <c r="O3451">
        <v>52.1827682195675</v>
      </c>
      <c r="P3451">
        <v>-0.92993139651105095</v>
      </c>
      <c r="Q3451">
        <v>0.22357768617253701</v>
      </c>
      <c r="R3451">
        <v>0.95373215167310998</v>
      </c>
      <c r="S3451" t="s">
        <v>9312</v>
      </c>
      <c r="T3451" t="s">
        <v>11720</v>
      </c>
      <c r="U3451" t="s">
        <v>11720</v>
      </c>
      <c r="V3451" t="s">
        <v>11720</v>
      </c>
      <c r="W3451" t="s">
        <v>15119</v>
      </c>
      <c r="X3451">
        <v>3</v>
      </c>
      <c r="Y3451" t="s">
        <v>20844</v>
      </c>
      <c r="Z3451" t="s">
        <v>26658</v>
      </c>
      <c r="AA3451">
        <v>0.53903433293938419</v>
      </c>
      <c r="AB3451" t="str">
        <f>HYPERLINK("Melting_Curves/meltCurve_Q58FG1_HSP90AA4P.pdf", "Melting_Curves/meltCurve_Q58FG1_HSP90AA4P.pdf")</f>
        <v>Melting_Curves/meltCurve_Q58FG1_HSP90AA4P.pdf</v>
      </c>
    </row>
    <row r="3452" spans="1:28" x14ac:dyDescent="0.25">
      <c r="A3452" t="s">
        <v>3456</v>
      </c>
      <c r="B3452">
        <v>0.99334974765950101</v>
      </c>
      <c r="C3452">
        <v>0.89491086132609299</v>
      </c>
      <c r="D3452">
        <v>1.03422763368066</v>
      </c>
      <c r="E3452">
        <v>1.27818583627418</v>
      </c>
      <c r="F3452">
        <v>1.4898782523676599</v>
      </c>
      <c r="G3452">
        <v>1.30086124301664</v>
      </c>
      <c r="H3452">
        <v>0.60838640774893304</v>
      </c>
      <c r="I3452">
        <v>0.47752826351490901</v>
      </c>
      <c r="J3452">
        <v>0.30393783275298403</v>
      </c>
      <c r="K3452">
        <v>0.263297679308375</v>
      </c>
      <c r="L3452">
        <v>5121.57844991212</v>
      </c>
      <c r="M3452">
        <v>84.274188743841506</v>
      </c>
      <c r="N3452">
        <v>61.617944381046897</v>
      </c>
      <c r="O3452">
        <v>60.738607745290302</v>
      </c>
      <c r="P3452">
        <v>-0.22802880254539401</v>
      </c>
      <c r="Q3452">
        <v>0.34261486146041997</v>
      </c>
      <c r="R3452">
        <v>0.73645960699267299</v>
      </c>
      <c r="S3452" t="s">
        <v>9313</v>
      </c>
      <c r="T3452" t="s">
        <v>11720</v>
      </c>
      <c r="U3452" t="s">
        <v>11720</v>
      </c>
      <c r="V3452" t="s">
        <v>11720</v>
      </c>
      <c r="W3452" t="s">
        <v>15120</v>
      </c>
      <c r="X3452">
        <v>5</v>
      </c>
      <c r="Y3452" t="s">
        <v>20845</v>
      </c>
      <c r="Z3452" t="s">
        <v>26659</v>
      </c>
      <c r="AA3452">
        <v>0.7984236275419031</v>
      </c>
      <c r="AB3452" t="str">
        <f>HYPERLINK("Melting_Curves/meltCurve_Q58WW2_3_DCAF6.pdf", "Melting_Curves/meltCurve_Q58WW2_3_DCAF6.pdf")</f>
        <v>Melting_Curves/meltCurve_Q58WW2_3_DCAF6.pdf</v>
      </c>
    </row>
    <row r="3453" spans="1:28" x14ac:dyDescent="0.25">
      <c r="A3453" t="s">
        <v>3457</v>
      </c>
      <c r="B3453">
        <v>0.99334974765950101</v>
      </c>
      <c r="C3453">
        <v>0.88311104181829603</v>
      </c>
      <c r="D3453">
        <v>0.84799328395960305</v>
      </c>
      <c r="E3453">
        <v>0.73916259800856099</v>
      </c>
      <c r="F3453">
        <v>0.44855994412099298</v>
      </c>
      <c r="G3453">
        <v>0.34081180428493202</v>
      </c>
      <c r="H3453">
        <v>0.26306791538006702</v>
      </c>
      <c r="I3453">
        <v>0.21284313937501101</v>
      </c>
      <c r="J3453">
        <v>0.26072188545977298</v>
      </c>
      <c r="K3453">
        <v>0.32154396510036598</v>
      </c>
      <c r="L3453">
        <v>819.71751258776601</v>
      </c>
      <c r="M3453">
        <v>16.1813813334625</v>
      </c>
      <c r="N3453">
        <v>52.789830183083502</v>
      </c>
      <c r="O3453">
        <v>49.903326383312198</v>
      </c>
      <c r="P3453">
        <v>-6.1623299873909403E-2</v>
      </c>
      <c r="Q3453">
        <v>0.239872852810425</v>
      </c>
      <c r="R3453">
        <v>0.97112624903899702</v>
      </c>
      <c r="S3453" t="s">
        <v>9314</v>
      </c>
      <c r="T3453" t="s">
        <v>11720</v>
      </c>
      <c r="U3453" t="s">
        <v>11720</v>
      </c>
      <c r="V3453" t="s">
        <v>11720</v>
      </c>
      <c r="W3453" t="s">
        <v>15121</v>
      </c>
      <c r="X3453">
        <v>1</v>
      </c>
      <c r="Y3453" t="s">
        <v>20846</v>
      </c>
      <c r="Z3453" t="s">
        <v>26660</v>
      </c>
      <c r="AA3453">
        <v>0.52549623359593189</v>
      </c>
      <c r="AB3453" t="str">
        <f>HYPERLINK("Melting_Curves/meltCurve_Q59GN2_RPL39P5.pdf", "Melting_Curves/meltCurve_Q59GN2_RPL39P5.pdf")</f>
        <v>Melting_Curves/meltCurve_Q59GN2_RPL39P5.pdf</v>
      </c>
    </row>
    <row r="3454" spans="1:28" x14ac:dyDescent="0.25">
      <c r="A3454" t="s">
        <v>3458</v>
      </c>
      <c r="B3454">
        <v>0.99334974765950101</v>
      </c>
      <c r="C3454">
        <v>0.91754673037978096</v>
      </c>
      <c r="D3454">
        <v>0.85407024862225001</v>
      </c>
      <c r="E3454">
        <v>0.81634089776365804</v>
      </c>
      <c r="F3454">
        <v>0.86678285685076795</v>
      </c>
      <c r="G3454">
        <v>0.53177460517873998</v>
      </c>
      <c r="H3454">
        <v>0.40117638535839101</v>
      </c>
      <c r="I3454">
        <v>0.240635340950896</v>
      </c>
      <c r="J3454">
        <v>0.24572163699069099</v>
      </c>
      <c r="K3454">
        <v>0.14388594617623601</v>
      </c>
      <c r="L3454">
        <v>603.54729378105105</v>
      </c>
      <c r="M3454">
        <v>10.3224835904321</v>
      </c>
      <c r="N3454">
        <v>58.469189097095999</v>
      </c>
      <c r="O3454">
        <v>56.402391412975803</v>
      </c>
      <c r="P3454">
        <v>-4.5773442416340002E-2</v>
      </c>
      <c r="Q3454">
        <v>0</v>
      </c>
      <c r="R3454">
        <v>0.96532724899792199</v>
      </c>
      <c r="S3454" t="s">
        <v>9315</v>
      </c>
      <c r="T3454" t="s">
        <v>11720</v>
      </c>
      <c r="U3454" t="s">
        <v>11720</v>
      </c>
      <c r="V3454" t="s">
        <v>11720</v>
      </c>
      <c r="W3454" t="s">
        <v>15122</v>
      </c>
      <c r="X3454">
        <v>3</v>
      </c>
      <c r="Y3454" t="s">
        <v>20847</v>
      </c>
      <c r="Z3454" t="s">
        <v>26661</v>
      </c>
      <c r="AA3454">
        <v>0.62335126523174644</v>
      </c>
      <c r="AB3454" t="str">
        <f>HYPERLINK("Melting_Curves/meltCurve_Q5BJH7_6_YIF1B.pdf", "Melting_Curves/meltCurve_Q5BJH7_6_YIF1B.pdf")</f>
        <v>Melting_Curves/meltCurve_Q5BJH7_6_YIF1B.pdf</v>
      </c>
    </row>
    <row r="3455" spans="1:28" x14ac:dyDescent="0.25">
      <c r="A3455" t="s">
        <v>3459</v>
      </c>
      <c r="B3455">
        <v>0.99334974765950101</v>
      </c>
      <c r="C3455">
        <v>1.0302479382315299</v>
      </c>
      <c r="D3455">
        <v>0.88875833379906699</v>
      </c>
      <c r="E3455">
        <v>0.77502147130977195</v>
      </c>
      <c r="F3455">
        <v>0.93580920330431305</v>
      </c>
      <c r="G3455">
        <v>0.59611506772654999</v>
      </c>
      <c r="H3455">
        <v>0.48859837771728698</v>
      </c>
      <c r="I3455">
        <v>0.52010260690305299</v>
      </c>
      <c r="J3455">
        <v>0.47493699925883598</v>
      </c>
      <c r="K3455">
        <v>0.39613770156004402</v>
      </c>
      <c r="L3455">
        <v>598.533247211201</v>
      </c>
      <c r="M3455">
        <v>10.6066471636576</v>
      </c>
      <c r="N3455">
        <v>63.1909638855157</v>
      </c>
      <c r="O3455">
        <v>54.534960860813896</v>
      </c>
      <c r="P3455">
        <v>-3.2139633142399399E-2</v>
      </c>
      <c r="Q3455">
        <v>0.339262028238353</v>
      </c>
      <c r="R3455">
        <v>0.90876980781708505</v>
      </c>
      <c r="S3455" t="s">
        <v>9316</v>
      </c>
      <c r="T3455" t="s">
        <v>11720</v>
      </c>
      <c r="U3455" t="s">
        <v>11720</v>
      </c>
      <c r="V3455" t="s">
        <v>11720</v>
      </c>
      <c r="W3455" t="s">
        <v>15123</v>
      </c>
      <c r="X3455">
        <v>2</v>
      </c>
      <c r="Y3455" t="s">
        <v>20848</v>
      </c>
      <c r="Z3455" t="s">
        <v>26662</v>
      </c>
      <c r="AA3455">
        <v>0.713736661993432</v>
      </c>
      <c r="AB3455" t="str">
        <f>HYPERLINK("Melting_Curves/meltCurve_Q5BKU9_OXLD1.pdf", "Melting_Curves/meltCurve_Q5BKU9_OXLD1.pdf")</f>
        <v>Melting_Curves/meltCurve_Q5BKU9_OXLD1.pdf</v>
      </c>
    </row>
    <row r="3456" spans="1:28" x14ac:dyDescent="0.25">
      <c r="A3456" t="s">
        <v>3460</v>
      </c>
      <c r="B3456">
        <v>0.99334974765950101</v>
      </c>
      <c r="C3456">
        <v>0.87409379934157905</v>
      </c>
      <c r="D3456">
        <v>0.71666772277272195</v>
      </c>
      <c r="E3456">
        <v>0.44380895266160902</v>
      </c>
      <c r="F3456">
        <v>0.235885098049922</v>
      </c>
      <c r="G3456">
        <v>0.17162121423844201</v>
      </c>
      <c r="H3456">
        <v>0.14729221706983001</v>
      </c>
      <c r="I3456">
        <v>0.18528919249048201</v>
      </c>
      <c r="J3456">
        <v>0.170358894921561</v>
      </c>
      <c r="K3456">
        <v>0.182590510631642</v>
      </c>
      <c r="L3456">
        <v>881.30013330648706</v>
      </c>
      <c r="M3456">
        <v>18.4845419758223</v>
      </c>
      <c r="N3456">
        <v>48.6676938525951</v>
      </c>
      <c r="O3456">
        <v>47.1301768247071</v>
      </c>
      <c r="P3456">
        <v>-8.2689170881328197E-2</v>
      </c>
      <c r="Q3456">
        <v>0.156704666016696</v>
      </c>
      <c r="R3456">
        <v>0.99380750522605299</v>
      </c>
      <c r="S3456" t="s">
        <v>9317</v>
      </c>
      <c r="T3456" t="s">
        <v>11720</v>
      </c>
      <c r="U3456" t="s">
        <v>11720</v>
      </c>
      <c r="V3456" t="s">
        <v>11720</v>
      </c>
      <c r="W3456" t="s">
        <v>15124</v>
      </c>
      <c r="X3456">
        <v>3</v>
      </c>
      <c r="Y3456" t="s">
        <v>20849</v>
      </c>
      <c r="Z3456" t="s">
        <v>26663</v>
      </c>
      <c r="AA3456">
        <v>0.38681546940181022</v>
      </c>
      <c r="AB3456" t="str">
        <f>HYPERLINK("Melting_Curves/meltCurve_Q5BKX5_C19orf54.pdf", "Melting_Curves/meltCurve_Q5BKX5_C19orf54.pdf")</f>
        <v>Melting_Curves/meltCurve_Q5BKX5_C19orf54.pdf</v>
      </c>
    </row>
    <row r="3457" spans="1:28" x14ac:dyDescent="0.25">
      <c r="A3457" t="s">
        <v>3461</v>
      </c>
      <c r="B3457">
        <v>0.99334974765950101</v>
      </c>
      <c r="C3457">
        <v>0.87631173871671997</v>
      </c>
      <c r="D3457">
        <v>0.40054220555050002</v>
      </c>
      <c r="E3457">
        <v>0.243036682584574</v>
      </c>
      <c r="F3457">
        <v>0.147313406989864</v>
      </c>
      <c r="G3457">
        <v>0.109101572051311</v>
      </c>
      <c r="H3457">
        <v>4.7114373755913701E-2</v>
      </c>
      <c r="I3457">
        <v>5.6373629101076198E-2</v>
      </c>
      <c r="J3457">
        <v>0.122230241360418</v>
      </c>
      <c r="K3457">
        <v>5.9667092809665298E-2</v>
      </c>
      <c r="L3457">
        <v>1218.89232729828</v>
      </c>
      <c r="M3457">
        <v>26.914522404488299</v>
      </c>
      <c r="N3457">
        <v>45.644746258888702</v>
      </c>
      <c r="O3457">
        <v>45.039734931622398</v>
      </c>
      <c r="P3457">
        <v>-0.135207623032428</v>
      </c>
      <c r="Q3457">
        <v>9.4963708320080206E-2</v>
      </c>
      <c r="R3457">
        <v>0.98283025564540005</v>
      </c>
      <c r="S3457" t="s">
        <v>9318</v>
      </c>
      <c r="T3457" t="s">
        <v>11720</v>
      </c>
      <c r="U3457" t="s">
        <v>11720</v>
      </c>
      <c r="V3457" t="s">
        <v>11720</v>
      </c>
      <c r="W3457" t="s">
        <v>15125</v>
      </c>
      <c r="X3457">
        <v>1</v>
      </c>
      <c r="Y3457" t="s">
        <v>20850</v>
      </c>
      <c r="Z3457" t="s">
        <v>26664</v>
      </c>
      <c r="AA3457">
        <v>0.26184152586550641</v>
      </c>
      <c r="AB3457" t="str">
        <f>HYPERLINK("Melting_Curves/meltCurve_Q5D1E8_ZC3H12A.pdf", "Melting_Curves/meltCurve_Q5D1E8_ZC3H12A.pdf")</f>
        <v>Melting_Curves/meltCurve_Q5D1E8_ZC3H12A.pdf</v>
      </c>
    </row>
    <row r="3458" spans="1:28" x14ac:dyDescent="0.25">
      <c r="A3458" t="s">
        <v>3462</v>
      </c>
      <c r="B3458">
        <v>0.99334974765950101</v>
      </c>
      <c r="C3458">
        <v>1.0590042696463899</v>
      </c>
      <c r="D3458">
        <v>0.82269696960767702</v>
      </c>
      <c r="E3458">
        <v>0.4130783220748</v>
      </c>
      <c r="F3458">
        <v>0.227470717296234</v>
      </c>
      <c r="G3458">
        <v>0.143907715250675</v>
      </c>
      <c r="H3458">
        <v>0.117115827840791</v>
      </c>
      <c r="I3458">
        <v>0.127413853167822</v>
      </c>
      <c r="J3458">
        <v>0.135741877082833</v>
      </c>
      <c r="K3458">
        <v>0.119872030943613</v>
      </c>
      <c r="L3458">
        <v>1300.12546660822</v>
      </c>
      <c r="M3458">
        <v>26.720447344603901</v>
      </c>
      <c r="N3458">
        <v>49.192171579055199</v>
      </c>
      <c r="O3458">
        <v>48.386523009010702</v>
      </c>
      <c r="P3458">
        <v>-0.12063364992246201</v>
      </c>
      <c r="Q3458">
        <v>0.126215228958618</v>
      </c>
      <c r="R3458">
        <v>0.99422778870411299</v>
      </c>
      <c r="S3458" t="s">
        <v>9319</v>
      </c>
      <c r="T3458" t="s">
        <v>11720</v>
      </c>
      <c r="U3458" t="s">
        <v>11720</v>
      </c>
      <c r="V3458" t="s">
        <v>11720</v>
      </c>
      <c r="W3458" t="s">
        <v>15126</v>
      </c>
      <c r="X3458">
        <v>18</v>
      </c>
      <c r="Y3458" t="s">
        <v>20851</v>
      </c>
      <c r="Z3458" t="s">
        <v>26665</v>
      </c>
      <c r="AA3458">
        <v>0.38507856708021171</v>
      </c>
      <c r="AB3458" t="str">
        <f>HYPERLINK("Melting_Curves/meltCurve_Q5EBL4_RILPL1.pdf", "Melting_Curves/meltCurve_Q5EBL4_RILPL1.pdf")</f>
        <v>Melting_Curves/meltCurve_Q5EBL4_RILPL1.pdf</v>
      </c>
    </row>
    <row r="3459" spans="1:28" x14ac:dyDescent="0.25">
      <c r="A3459" t="s">
        <v>3463</v>
      </c>
      <c r="B3459">
        <v>0.99334974765950101</v>
      </c>
      <c r="C3459">
        <v>0.99285814200125699</v>
      </c>
      <c r="D3459">
        <v>0.98347290070020599</v>
      </c>
      <c r="E3459">
        <v>0.80871066855375295</v>
      </c>
      <c r="F3459">
        <v>0.48046177140007601</v>
      </c>
      <c r="G3459">
        <v>0.30099375278354101</v>
      </c>
      <c r="H3459">
        <v>0.23794925263964201</v>
      </c>
      <c r="I3459">
        <v>0.2014282450447</v>
      </c>
      <c r="J3459">
        <v>0.20467882583288399</v>
      </c>
      <c r="K3459">
        <v>0.21921312574426599</v>
      </c>
      <c r="L3459">
        <v>1449.6361952914699</v>
      </c>
      <c r="M3459">
        <v>27.928918215395701</v>
      </c>
      <c r="N3459">
        <v>52.972452509429303</v>
      </c>
      <c r="O3459">
        <v>51.640572033887203</v>
      </c>
      <c r="P3459">
        <v>-0.106103233522069</v>
      </c>
      <c r="Q3459">
        <v>0.21526724585446499</v>
      </c>
      <c r="R3459">
        <v>0.99850077138828797</v>
      </c>
      <c r="S3459" t="s">
        <v>9320</v>
      </c>
      <c r="T3459" t="s">
        <v>11720</v>
      </c>
      <c r="U3459" t="s">
        <v>11720</v>
      </c>
      <c r="V3459" t="s">
        <v>11720</v>
      </c>
      <c r="W3459" t="s">
        <v>15127</v>
      </c>
      <c r="X3459">
        <v>5</v>
      </c>
      <c r="Y3459" t="s">
        <v>20852</v>
      </c>
      <c r="Z3459" t="s">
        <v>26666</v>
      </c>
      <c r="AA3459">
        <v>0.53242876186807842</v>
      </c>
      <c r="AB3459" t="str">
        <f>HYPERLINK("Melting_Curves/meltCurve_Q5EBL8_PDZD11.pdf", "Melting_Curves/meltCurve_Q5EBL8_PDZD11.pdf")</f>
        <v>Melting_Curves/meltCurve_Q5EBL8_PDZD11.pdf</v>
      </c>
    </row>
    <row r="3460" spans="1:28" x14ac:dyDescent="0.25">
      <c r="A3460" t="s">
        <v>3464</v>
      </c>
      <c r="B3460">
        <v>0.99334974765950101</v>
      </c>
      <c r="C3460">
        <v>0.95083991193563799</v>
      </c>
      <c r="D3460">
        <v>0.90646628677911001</v>
      </c>
      <c r="E3460">
        <v>0.76623236827177199</v>
      </c>
      <c r="F3460">
        <v>0.54470943347503897</v>
      </c>
      <c r="G3460">
        <v>0.22418788582431901</v>
      </c>
      <c r="H3460">
        <v>0.14742418579831801</v>
      </c>
      <c r="I3460">
        <v>9.8313934274312606E-2</v>
      </c>
      <c r="J3460">
        <v>8.6284307912357305E-2</v>
      </c>
      <c r="K3460">
        <v>6.9865544562561097E-2</v>
      </c>
      <c r="L3460">
        <v>950.49387200625699</v>
      </c>
      <c r="M3460">
        <v>17.9639368044127</v>
      </c>
      <c r="N3460">
        <v>53.275369800284203</v>
      </c>
      <c r="O3460">
        <v>52.2686076129716</v>
      </c>
      <c r="P3460">
        <v>-8.0961434383512401E-2</v>
      </c>
      <c r="Q3460">
        <v>5.7772013611296101E-2</v>
      </c>
      <c r="R3460">
        <v>0.99670746224234696</v>
      </c>
      <c r="S3460" t="s">
        <v>9321</v>
      </c>
      <c r="T3460" t="s">
        <v>11720</v>
      </c>
      <c r="U3460" t="s">
        <v>11720</v>
      </c>
      <c r="V3460" t="s">
        <v>11720</v>
      </c>
      <c r="W3460" t="s">
        <v>15128</v>
      </c>
      <c r="X3460">
        <v>5</v>
      </c>
      <c r="Y3460" t="s">
        <v>20853</v>
      </c>
      <c r="Z3460" t="s">
        <v>26667</v>
      </c>
      <c r="AA3460">
        <v>0.47878623588614527</v>
      </c>
      <c r="AB3460" t="str">
        <f>HYPERLINK("Melting_Curves/meltCurve_Q5GJ75_TNFAIP8L3.pdf", "Melting_Curves/meltCurve_Q5GJ75_TNFAIP8L3.pdf")</f>
        <v>Melting_Curves/meltCurve_Q5GJ75_TNFAIP8L3.pdf</v>
      </c>
    </row>
    <row r="3461" spans="1:28" x14ac:dyDescent="0.25">
      <c r="A3461" t="s">
        <v>3465</v>
      </c>
      <c r="B3461">
        <v>0.99334974765950101</v>
      </c>
      <c r="C3461">
        <v>0.99260441609737105</v>
      </c>
      <c r="D3461">
        <v>0.99118780178502097</v>
      </c>
      <c r="E3461">
        <v>0.88218664316127504</v>
      </c>
      <c r="F3461">
        <v>0.26846708368365801</v>
      </c>
      <c r="G3461">
        <v>0.15835772803661999</v>
      </c>
      <c r="H3461">
        <v>0.11450769733671901</v>
      </c>
      <c r="I3461">
        <v>9.15963336683846E-2</v>
      </c>
      <c r="J3461">
        <v>9.2224738782488894E-2</v>
      </c>
      <c r="K3461">
        <v>7.5111949477305304E-2</v>
      </c>
      <c r="L3461">
        <v>2947.2560665276901</v>
      </c>
      <c r="M3461">
        <v>57.0822942006969</v>
      </c>
      <c r="N3461">
        <v>51.845757962733799</v>
      </c>
      <c r="O3461">
        <v>51.568451290717903</v>
      </c>
      <c r="P3461">
        <v>-0.24767931278911201</v>
      </c>
      <c r="Q3461">
        <v>0.104981193849955</v>
      </c>
      <c r="R3461">
        <v>0.99768144576446605</v>
      </c>
      <c r="S3461" t="s">
        <v>9322</v>
      </c>
      <c r="T3461" t="s">
        <v>11720</v>
      </c>
      <c r="U3461" t="s">
        <v>11720</v>
      </c>
      <c r="V3461" t="s">
        <v>11720</v>
      </c>
      <c r="W3461" t="s">
        <v>15129</v>
      </c>
      <c r="X3461">
        <v>30</v>
      </c>
      <c r="Y3461" t="s">
        <v>20854</v>
      </c>
      <c r="Z3461" t="s">
        <v>26668</v>
      </c>
      <c r="AA3461">
        <v>0.45356286552114022</v>
      </c>
      <c r="AB3461" t="str">
        <f>HYPERLINK("Melting_Curves/meltCurve_Q5GLZ8_2_HERC4.pdf", "Melting_Curves/meltCurve_Q5GLZ8_2_HERC4.pdf")</f>
        <v>Melting_Curves/meltCurve_Q5GLZ8_2_HERC4.pdf</v>
      </c>
    </row>
    <row r="3462" spans="1:28" x14ac:dyDescent="0.25">
      <c r="A3462" t="s">
        <v>3466</v>
      </c>
      <c r="B3462">
        <v>0.99334974765950101</v>
      </c>
      <c r="C3462">
        <v>0.95729792224162003</v>
      </c>
      <c r="D3462">
        <v>0.80791018912368195</v>
      </c>
      <c r="E3462">
        <v>0.816087592151158</v>
      </c>
      <c r="F3462">
        <v>0.86746022592618899</v>
      </c>
      <c r="G3462">
        <v>0.79528920905009504</v>
      </c>
      <c r="H3462">
        <v>0.80846126832245102</v>
      </c>
      <c r="I3462">
        <v>0.81780527031688499</v>
      </c>
      <c r="J3462">
        <v>1.1417085063216399</v>
      </c>
      <c r="K3462">
        <v>0.95701670956111595</v>
      </c>
      <c r="L3462">
        <v>10752.3747698937</v>
      </c>
      <c r="M3462">
        <v>250</v>
      </c>
      <c r="O3462">
        <v>43.006754035235602</v>
      </c>
      <c r="P3462">
        <v>-0.179525070976401</v>
      </c>
      <c r="Q3462">
        <v>0.87646737186566104</v>
      </c>
      <c r="R3462">
        <v>0.13976252242744799</v>
      </c>
      <c r="S3462" t="s">
        <v>9323</v>
      </c>
      <c r="T3462" t="s">
        <v>11720</v>
      </c>
      <c r="U3462" t="s">
        <v>11720</v>
      </c>
      <c r="V3462" t="s">
        <v>11720</v>
      </c>
      <c r="W3462" t="s">
        <v>15130</v>
      </c>
      <c r="X3462">
        <v>3</v>
      </c>
      <c r="Y3462" t="s">
        <v>20855</v>
      </c>
      <c r="Z3462" t="s">
        <v>26669</v>
      </c>
      <c r="AA3462">
        <v>0.88886907392520009</v>
      </c>
      <c r="AB3462" t="str">
        <f>HYPERLINK("Melting_Curves/meltCurve_Q5H937_PKIG.pdf", "Melting_Curves/meltCurve_Q5H937_PKIG.pdf")</f>
        <v>Melting_Curves/meltCurve_Q5H937_PKIG.pdf</v>
      </c>
    </row>
    <row r="3463" spans="1:28" x14ac:dyDescent="0.25">
      <c r="A3463" t="s">
        <v>3467</v>
      </c>
      <c r="B3463">
        <v>0.99334974765950101</v>
      </c>
      <c r="C3463">
        <v>1.0953427247192999</v>
      </c>
      <c r="D3463">
        <v>0.95274549656500496</v>
      </c>
      <c r="E3463">
        <v>0.91935255976705399</v>
      </c>
      <c r="F3463">
        <v>0.72478131608023</v>
      </c>
      <c r="G3463">
        <v>0.685283570016057</v>
      </c>
      <c r="H3463">
        <v>0.48873503207563501</v>
      </c>
      <c r="I3463">
        <v>0.431851885119792</v>
      </c>
      <c r="J3463">
        <v>0.18866414051264899</v>
      </c>
      <c r="K3463">
        <v>0.148923144837664</v>
      </c>
      <c r="L3463">
        <v>653.61487069536804</v>
      </c>
      <c r="M3463">
        <v>10.827847702689001</v>
      </c>
      <c r="N3463">
        <v>60.364246784401701</v>
      </c>
      <c r="O3463">
        <v>58.414712549304397</v>
      </c>
      <c r="P3463">
        <v>-4.6357026613919501E-2</v>
      </c>
      <c r="Q3463">
        <v>0</v>
      </c>
      <c r="R3463">
        <v>0.96666256330178801</v>
      </c>
      <c r="S3463" t="s">
        <v>9324</v>
      </c>
      <c r="T3463" t="s">
        <v>11720</v>
      </c>
      <c r="U3463" t="s">
        <v>11720</v>
      </c>
      <c r="V3463" t="s">
        <v>11720</v>
      </c>
      <c r="W3463" t="s">
        <v>15131</v>
      </c>
      <c r="X3463">
        <v>8</v>
      </c>
      <c r="Y3463" t="s">
        <v>20856</v>
      </c>
      <c r="Z3463" t="s">
        <v>26670</v>
      </c>
      <c r="AA3463">
        <v>0.67531608598293302</v>
      </c>
      <c r="AB3463" t="str">
        <f>HYPERLINK("Melting_Curves/meltCurve_Q5H9A7_TIMP1.pdf", "Melting_Curves/meltCurve_Q5H9A7_TIMP1.pdf")</f>
        <v>Melting_Curves/meltCurve_Q5H9A7_TIMP1.pdf</v>
      </c>
    </row>
    <row r="3464" spans="1:28" x14ac:dyDescent="0.25">
      <c r="A3464" t="s">
        <v>3468</v>
      </c>
      <c r="B3464">
        <v>0.99334974765950101</v>
      </c>
      <c r="C3464">
        <v>1.16937202000577</v>
      </c>
      <c r="D3464">
        <v>0.98641826575958602</v>
      </c>
      <c r="E3464">
        <v>0.81356157411868701</v>
      </c>
      <c r="F3464">
        <v>0.58122816144381595</v>
      </c>
      <c r="G3464">
        <v>0.57914591413570804</v>
      </c>
      <c r="H3464">
        <v>0.451250126108099</v>
      </c>
      <c r="I3464">
        <v>0.35643110597967798</v>
      </c>
      <c r="J3464">
        <v>0.31009286140563402</v>
      </c>
      <c r="K3464">
        <v>0.24802583426091199</v>
      </c>
      <c r="L3464">
        <v>732.40054454188498</v>
      </c>
      <c r="M3464">
        <v>13.489611780769399</v>
      </c>
      <c r="N3464">
        <v>57.468270309097797</v>
      </c>
      <c r="O3464">
        <v>53.142162562412899</v>
      </c>
      <c r="P3464">
        <v>-4.6797808559195297E-2</v>
      </c>
      <c r="Q3464">
        <v>0.26267518401203199</v>
      </c>
      <c r="R3464">
        <v>0.93694637776851597</v>
      </c>
      <c r="S3464" t="s">
        <v>9325</v>
      </c>
      <c r="T3464" t="s">
        <v>11720</v>
      </c>
      <c r="U3464" t="s">
        <v>11720</v>
      </c>
      <c r="V3464" t="s">
        <v>11720</v>
      </c>
      <c r="W3464" t="s">
        <v>15132</v>
      </c>
      <c r="X3464">
        <v>1</v>
      </c>
      <c r="Y3464" t="s">
        <v>20857</v>
      </c>
      <c r="Z3464" t="s">
        <v>26671</v>
      </c>
      <c r="AA3464">
        <v>0.63072329450936593</v>
      </c>
      <c r="AB3464" t="str">
        <f>HYPERLINK("Melting_Curves/meltCurve_Q5H9L1_TCEAL8.pdf", "Melting_Curves/meltCurve_Q5H9L1_TCEAL8.pdf")</f>
        <v>Melting_Curves/meltCurve_Q5H9L1_TCEAL8.pdf</v>
      </c>
    </row>
    <row r="3465" spans="1:28" x14ac:dyDescent="0.25">
      <c r="A3465" t="s">
        <v>3469</v>
      </c>
      <c r="B3465">
        <v>0.99334974765950101</v>
      </c>
      <c r="C3465">
        <v>1.01909099701415</v>
      </c>
      <c r="D3465">
        <v>0.94639071745582504</v>
      </c>
      <c r="E3465">
        <v>0.78518923535566099</v>
      </c>
      <c r="F3465">
        <v>0.37364683211389399</v>
      </c>
      <c r="G3465">
        <v>0.24793689399383301</v>
      </c>
      <c r="H3465">
        <v>0.18763368719777901</v>
      </c>
      <c r="I3465">
        <v>0.13370644185088801</v>
      </c>
      <c r="J3465">
        <v>0.14545728772346</v>
      </c>
      <c r="K3465">
        <v>0.248242330104541</v>
      </c>
      <c r="L3465">
        <v>1791.0723261927401</v>
      </c>
      <c r="M3465">
        <v>34.878340323364803</v>
      </c>
      <c r="N3465">
        <v>52.039488131115</v>
      </c>
      <c r="O3465">
        <v>51.184061680177997</v>
      </c>
      <c r="P3465">
        <v>-0.13890909133076601</v>
      </c>
      <c r="Q3465">
        <v>0.184604997651271</v>
      </c>
      <c r="R3465">
        <v>0.99053575947820904</v>
      </c>
      <c r="S3465" t="s">
        <v>9326</v>
      </c>
      <c r="T3465" t="s">
        <v>11720</v>
      </c>
      <c r="U3465" t="s">
        <v>11720</v>
      </c>
      <c r="V3465" t="s">
        <v>11720</v>
      </c>
      <c r="W3465" t="s">
        <v>15133</v>
      </c>
      <c r="X3465">
        <v>3</v>
      </c>
      <c r="Y3465" t="s">
        <v>20858</v>
      </c>
      <c r="Z3465" t="s">
        <v>26672</v>
      </c>
      <c r="AA3465">
        <v>0.49696263802311058</v>
      </c>
      <c r="AB3465" t="str">
        <f>HYPERLINK("Melting_Curves/meltCurve_Q5HYI7_MTX3.pdf", "Melting_Curves/meltCurve_Q5HYI7_MTX3.pdf")</f>
        <v>Melting_Curves/meltCurve_Q5HYI7_MTX3.pdf</v>
      </c>
    </row>
    <row r="3466" spans="1:28" x14ac:dyDescent="0.25">
      <c r="A3466" t="s">
        <v>3470</v>
      </c>
      <c r="B3466">
        <v>0.99334974765950101</v>
      </c>
      <c r="C3466">
        <v>0.88478421371833005</v>
      </c>
      <c r="D3466">
        <v>0.72413649401666502</v>
      </c>
      <c r="E3466">
        <v>0.64669941715971002</v>
      </c>
      <c r="F3466">
        <v>0.40557039794479699</v>
      </c>
      <c r="G3466">
        <v>0.23091002576076899</v>
      </c>
      <c r="H3466">
        <v>0.18095214926813699</v>
      </c>
      <c r="I3466">
        <v>0.13917044123070199</v>
      </c>
      <c r="J3466">
        <v>0.137497376461723</v>
      </c>
      <c r="K3466">
        <v>0.108650545337473</v>
      </c>
      <c r="L3466">
        <v>588.73821537072604</v>
      </c>
      <c r="M3466">
        <v>11.6170316689111</v>
      </c>
      <c r="N3466">
        <v>51.321105970396196</v>
      </c>
      <c r="O3466">
        <v>49.246988708488402</v>
      </c>
      <c r="P3466">
        <v>-5.4998759472198899E-2</v>
      </c>
      <c r="Q3466">
        <v>6.7650095654017306E-2</v>
      </c>
      <c r="R3466">
        <v>0.98802244952158103</v>
      </c>
      <c r="S3466" t="s">
        <v>9327</v>
      </c>
      <c r="T3466" t="s">
        <v>11720</v>
      </c>
      <c r="U3466" t="s">
        <v>11720</v>
      </c>
      <c r="V3466" t="s">
        <v>11720</v>
      </c>
      <c r="W3466" t="s">
        <v>15134</v>
      </c>
      <c r="X3466">
        <v>4</v>
      </c>
      <c r="Y3466" t="s">
        <v>20859</v>
      </c>
      <c r="Z3466" t="s">
        <v>26673</v>
      </c>
      <c r="AA3466">
        <v>0.43203589323536151</v>
      </c>
      <c r="AB3466" t="str">
        <f>HYPERLINK("Melting_Curves/meltCurve_Q5HYI8_RABL3.pdf", "Melting_Curves/meltCurve_Q5HYI8_RABL3.pdf")</f>
        <v>Melting_Curves/meltCurve_Q5HYI8_RABL3.pdf</v>
      </c>
    </row>
    <row r="3467" spans="1:28" x14ac:dyDescent="0.25">
      <c r="A3467" t="s">
        <v>3471</v>
      </c>
      <c r="B3467">
        <v>0.99334974765950101</v>
      </c>
      <c r="C3467">
        <v>1.2581507062881401</v>
      </c>
      <c r="D3467">
        <v>1.06979661211559</v>
      </c>
      <c r="E3467">
        <v>0.84776783574440895</v>
      </c>
      <c r="F3467">
        <v>0.71752560412247102</v>
      </c>
      <c r="G3467">
        <v>0.52509012560530599</v>
      </c>
      <c r="H3467">
        <v>0.41057054242329699</v>
      </c>
      <c r="I3467">
        <v>0.311665561162079</v>
      </c>
      <c r="J3467">
        <v>0.245264625214902</v>
      </c>
      <c r="K3467">
        <v>0.13879313230514401</v>
      </c>
      <c r="L3467">
        <v>802.15279843671397</v>
      </c>
      <c r="M3467">
        <v>14.2007095269107</v>
      </c>
      <c r="N3467">
        <v>57.8799723947456</v>
      </c>
      <c r="O3467">
        <v>55.4020353822877</v>
      </c>
      <c r="P3467">
        <v>-5.4810977156713701E-2</v>
      </c>
      <c r="Q3467">
        <v>0.14475794247297399</v>
      </c>
      <c r="R3467">
        <v>0.93035507978237098</v>
      </c>
      <c r="S3467" t="s">
        <v>9328</v>
      </c>
      <c r="T3467" t="s">
        <v>11720</v>
      </c>
      <c r="U3467" t="s">
        <v>11720</v>
      </c>
      <c r="V3467" t="s">
        <v>11720</v>
      </c>
      <c r="W3467" t="s">
        <v>15135</v>
      </c>
      <c r="X3467">
        <v>3</v>
      </c>
      <c r="Y3467" t="s">
        <v>20860</v>
      </c>
      <c r="Z3467" t="s">
        <v>26674</v>
      </c>
      <c r="AA3467">
        <v>0.62971669721378565</v>
      </c>
      <c r="AB3467" t="str">
        <f>HYPERLINK("Melting_Curves/meltCurve_Q5HYK3_COQ5.pdf", "Melting_Curves/meltCurve_Q5HYK3_COQ5.pdf")</f>
        <v>Melting_Curves/meltCurve_Q5HYK3_COQ5.pdf</v>
      </c>
    </row>
    <row r="3468" spans="1:28" x14ac:dyDescent="0.25">
      <c r="A3468" t="s">
        <v>3472</v>
      </c>
      <c r="B3468">
        <v>0.99334974765950101</v>
      </c>
      <c r="C3468">
        <v>0.91879377839957399</v>
      </c>
      <c r="D3468">
        <v>0.79048071463204495</v>
      </c>
      <c r="E3468">
        <v>0.36894782702929602</v>
      </c>
      <c r="F3468">
        <v>0.16599288803187801</v>
      </c>
      <c r="G3468">
        <v>0.118009905168353</v>
      </c>
      <c r="H3468">
        <v>9.3696587836216594E-2</v>
      </c>
      <c r="I3468">
        <v>8.9987098707174099E-2</v>
      </c>
      <c r="J3468">
        <v>8.8573739880967201E-2</v>
      </c>
      <c r="K3468">
        <v>7.5080214050831304E-2</v>
      </c>
      <c r="L3468">
        <v>1121.2836362029</v>
      </c>
      <c r="M3468">
        <v>23.237023094903499</v>
      </c>
      <c r="N3468">
        <v>48.634151731937898</v>
      </c>
      <c r="O3468">
        <v>47.901072619088801</v>
      </c>
      <c r="P3468">
        <v>-0.111211040897954</v>
      </c>
      <c r="Q3468">
        <v>8.30094973165411E-2</v>
      </c>
      <c r="R3468">
        <v>0.99855655222413697</v>
      </c>
      <c r="S3468" t="s">
        <v>9329</v>
      </c>
      <c r="T3468" t="s">
        <v>11720</v>
      </c>
      <c r="U3468" t="s">
        <v>11720</v>
      </c>
      <c r="V3468" t="s">
        <v>11720</v>
      </c>
      <c r="W3468" t="s">
        <v>15136</v>
      </c>
      <c r="X3468">
        <v>20</v>
      </c>
      <c r="Y3468" t="s">
        <v>20861</v>
      </c>
      <c r="Z3468" t="s">
        <v>26675</v>
      </c>
      <c r="AA3468">
        <v>0.34476417615864569</v>
      </c>
      <c r="AB3468" t="str">
        <f>HYPERLINK("Melting_Curves/meltCurve_Q5HYK7_SH3D19.pdf", "Melting_Curves/meltCurve_Q5HYK7_SH3D19.pdf")</f>
        <v>Melting_Curves/meltCurve_Q5HYK7_SH3D19.pdf</v>
      </c>
    </row>
    <row r="3469" spans="1:28" x14ac:dyDescent="0.25">
      <c r="A3469" t="s">
        <v>3473</v>
      </c>
      <c r="B3469">
        <v>0.99334974765950101</v>
      </c>
      <c r="C3469">
        <v>1.1000331233749201</v>
      </c>
      <c r="D3469">
        <v>1.0853678402938101</v>
      </c>
      <c r="E3469">
        <v>1.00791688472466</v>
      </c>
      <c r="F3469">
        <v>0.70589043737671697</v>
      </c>
      <c r="G3469">
        <v>0.68076954950331003</v>
      </c>
      <c r="H3469">
        <v>0.238484019393288</v>
      </c>
      <c r="I3469">
        <v>7.2763767825293299E-2</v>
      </c>
      <c r="J3469">
        <v>6.3067310626514397E-2</v>
      </c>
      <c r="K3469">
        <v>4.6540463499689502E-2</v>
      </c>
      <c r="L3469">
        <v>1143.44314778231</v>
      </c>
      <c r="M3469">
        <v>19.770607352688099</v>
      </c>
      <c r="N3469">
        <v>57.835511992925703</v>
      </c>
      <c r="O3469">
        <v>57.253555866496001</v>
      </c>
      <c r="P3469">
        <v>-8.6332109370818005E-2</v>
      </c>
      <c r="Q3469">
        <v>0</v>
      </c>
      <c r="R3469">
        <v>0.96688795970952102</v>
      </c>
      <c r="S3469" t="s">
        <v>9330</v>
      </c>
      <c r="T3469" t="s">
        <v>11720</v>
      </c>
      <c r="U3469" t="s">
        <v>11720</v>
      </c>
      <c r="V3469" t="s">
        <v>11720</v>
      </c>
      <c r="W3469" t="s">
        <v>15137</v>
      </c>
      <c r="X3469">
        <v>36</v>
      </c>
      <c r="Y3469" t="s">
        <v>20862</v>
      </c>
      <c r="Z3469" t="s">
        <v>26676</v>
      </c>
      <c r="AA3469">
        <v>0.60615021098722299</v>
      </c>
      <c r="AB3469" t="str">
        <f>HYPERLINK("Melting_Curves/meltCurve_Q5JP53_TUBB.pdf", "Melting_Curves/meltCurve_Q5JP53_TUBB.pdf")</f>
        <v>Melting_Curves/meltCurve_Q5JP53_TUBB.pdf</v>
      </c>
    </row>
    <row r="3470" spans="1:28" x14ac:dyDescent="0.25">
      <c r="A3470" t="s">
        <v>3474</v>
      </c>
      <c r="B3470">
        <v>0.99334974765950101</v>
      </c>
      <c r="C3470">
        <v>0.96801341627888804</v>
      </c>
      <c r="D3470">
        <v>0.95357866022382298</v>
      </c>
      <c r="E3470">
        <v>0.73687272856298702</v>
      </c>
      <c r="F3470">
        <v>0.194349876447199</v>
      </c>
      <c r="G3470">
        <v>9.8674983645359302E-2</v>
      </c>
      <c r="H3470">
        <v>7.6278302281298796E-2</v>
      </c>
      <c r="I3470">
        <v>4.9024980045025597E-2</v>
      </c>
      <c r="J3470">
        <v>4.8275618630368201E-2</v>
      </c>
      <c r="K3470">
        <v>4.1333358611023802E-2</v>
      </c>
      <c r="L3470">
        <v>2335.4635963047099</v>
      </c>
      <c r="M3470">
        <v>45.790476303537503</v>
      </c>
      <c r="N3470">
        <v>51.145913103672903</v>
      </c>
      <c r="O3470">
        <v>50.906248925018403</v>
      </c>
      <c r="P3470">
        <v>-0.21139612114724199</v>
      </c>
      <c r="Q3470">
        <v>5.9946443247321901E-2</v>
      </c>
      <c r="R3470">
        <v>0.99732093179629699</v>
      </c>
      <c r="S3470" t="s">
        <v>9331</v>
      </c>
      <c r="T3470" t="s">
        <v>11720</v>
      </c>
      <c r="U3470" t="s">
        <v>11720</v>
      </c>
      <c r="V3470" t="s">
        <v>11720</v>
      </c>
      <c r="W3470" t="s">
        <v>15138</v>
      </c>
      <c r="X3470">
        <v>38</v>
      </c>
      <c r="Y3470" t="s">
        <v>20863</v>
      </c>
      <c r="Z3470" t="s">
        <v>26677</v>
      </c>
      <c r="AA3470">
        <v>0.40725908126457971</v>
      </c>
      <c r="AB3470" t="str">
        <f>HYPERLINK("Melting_Curves/meltCurve_Q5JPE7_2_NOMO2.pdf", "Melting_Curves/meltCurve_Q5JPE7_2_NOMO2.pdf")</f>
        <v>Melting_Curves/meltCurve_Q5JPE7_2_NOMO2.pdf</v>
      </c>
    </row>
    <row r="3471" spans="1:28" x14ac:dyDescent="0.25">
      <c r="A3471" t="s">
        <v>3475</v>
      </c>
      <c r="B3471">
        <v>0.99334974765950101</v>
      </c>
      <c r="C3471">
        <v>0.89686431592548699</v>
      </c>
      <c r="D3471">
        <v>0.42609716608849701</v>
      </c>
      <c r="E3471">
        <v>0.14746076445356601</v>
      </c>
      <c r="F3471">
        <v>0.11083994229123099</v>
      </c>
      <c r="G3471">
        <v>7.1026516791853803E-2</v>
      </c>
      <c r="H3471">
        <v>5.3690898492703802E-2</v>
      </c>
      <c r="I3471">
        <v>4.49418624350231E-2</v>
      </c>
      <c r="J3471">
        <v>3.37683030189301E-2</v>
      </c>
      <c r="K3471">
        <v>3.3874602250634898E-2</v>
      </c>
      <c r="L3471">
        <v>1408.9008944255399</v>
      </c>
      <c r="M3471">
        <v>30.981815656884901</v>
      </c>
      <c r="N3471">
        <v>45.661773513347399</v>
      </c>
      <c r="O3471">
        <v>45.286893085942097</v>
      </c>
      <c r="P3471">
        <v>-0.16085784916066401</v>
      </c>
      <c r="Q3471">
        <v>5.94856762551716E-2</v>
      </c>
      <c r="R3471">
        <v>0.995526443186874</v>
      </c>
      <c r="S3471" t="s">
        <v>9332</v>
      </c>
      <c r="T3471" t="s">
        <v>11720</v>
      </c>
      <c r="U3471" t="s">
        <v>11720</v>
      </c>
      <c r="V3471" t="s">
        <v>11720</v>
      </c>
      <c r="W3471" t="s">
        <v>15139</v>
      </c>
      <c r="X3471">
        <v>9</v>
      </c>
      <c r="Y3471" t="s">
        <v>20864</v>
      </c>
      <c r="Z3471" t="s">
        <v>26678</v>
      </c>
      <c r="AA3471">
        <v>0.23657130865418891</v>
      </c>
      <c r="AB3471" t="str">
        <f>HYPERLINK("Melting_Curves/meltCurve_Q5JPH6_EARS2.pdf", "Melting_Curves/meltCurve_Q5JPH6_EARS2.pdf")</f>
        <v>Melting_Curves/meltCurve_Q5JPH6_EARS2.pdf</v>
      </c>
    </row>
    <row r="3472" spans="1:28" x14ac:dyDescent="0.25">
      <c r="A3472" t="s">
        <v>3476</v>
      </c>
      <c r="B3472">
        <v>0.99334974765950101</v>
      </c>
      <c r="C3472">
        <v>0.92579182557620399</v>
      </c>
      <c r="D3472">
        <v>0.609673388008795</v>
      </c>
      <c r="E3472">
        <v>0.24002194281926301</v>
      </c>
      <c r="F3472">
        <v>0.114450500393966</v>
      </c>
      <c r="G3472">
        <v>6.3640645490284503E-2</v>
      </c>
      <c r="H3472">
        <v>5.44073104245286E-2</v>
      </c>
      <c r="I3472">
        <v>3.9013613036498002E-2</v>
      </c>
      <c r="J3472">
        <v>4.7189528025815899E-2</v>
      </c>
      <c r="K3472">
        <v>3.6852354219666303E-2</v>
      </c>
      <c r="L3472">
        <v>1085.1161019828</v>
      </c>
      <c r="M3472">
        <v>23.1364898309856</v>
      </c>
      <c r="N3472">
        <v>47.095086589894699</v>
      </c>
      <c r="O3472">
        <v>46.554475542339901</v>
      </c>
      <c r="P3472">
        <v>-0.11858659505267199</v>
      </c>
      <c r="Q3472">
        <v>4.5553441093868899E-2</v>
      </c>
      <c r="R3472">
        <v>0.99890961342055296</v>
      </c>
      <c r="S3472" t="s">
        <v>9333</v>
      </c>
      <c r="T3472" t="s">
        <v>11720</v>
      </c>
      <c r="U3472" t="s">
        <v>11720</v>
      </c>
      <c r="V3472" t="s">
        <v>11720</v>
      </c>
      <c r="W3472" t="s">
        <v>15140</v>
      </c>
      <c r="X3472">
        <v>2</v>
      </c>
      <c r="Y3472" t="s">
        <v>20865</v>
      </c>
      <c r="Z3472" t="s">
        <v>26679</v>
      </c>
      <c r="AA3472">
        <v>0.27523967974845731</v>
      </c>
      <c r="AB3472" t="str">
        <f>HYPERLINK("Melting_Curves/meltCurve_Q5JPI9_METTL10.pdf", "Melting_Curves/meltCurve_Q5JPI9_METTL10.pdf")</f>
        <v>Melting_Curves/meltCurve_Q5JPI9_METTL10.pdf</v>
      </c>
    </row>
    <row r="3473" spans="1:28" x14ac:dyDescent="0.25">
      <c r="A3473" t="s">
        <v>3477</v>
      </c>
      <c r="B3473">
        <v>0.99334974765950101</v>
      </c>
      <c r="C3473">
        <v>1.0103485170955699</v>
      </c>
      <c r="D3473">
        <v>0.795167835561572</v>
      </c>
      <c r="E3473">
        <v>0.32870341219740601</v>
      </c>
      <c r="F3473">
        <v>0.23069280844567999</v>
      </c>
      <c r="G3473">
        <v>0.133209985933398</v>
      </c>
      <c r="H3473">
        <v>0.126828646390612</v>
      </c>
      <c r="I3473">
        <v>7.8898535726832794E-2</v>
      </c>
      <c r="J3473">
        <v>0.12278493156183</v>
      </c>
      <c r="K3473">
        <v>8.8515279363843305E-2</v>
      </c>
      <c r="L3473">
        <v>1275.6065564424</v>
      </c>
      <c r="M3473">
        <v>26.503240068693501</v>
      </c>
      <c r="N3473">
        <v>48.593461525750499</v>
      </c>
      <c r="O3473">
        <v>47.858705144833799</v>
      </c>
      <c r="P3473">
        <v>-0.122990638855579</v>
      </c>
      <c r="Q3473">
        <v>0.111639222973882</v>
      </c>
      <c r="R3473">
        <v>0.99492654320219898</v>
      </c>
      <c r="S3473" t="s">
        <v>9334</v>
      </c>
      <c r="T3473" t="s">
        <v>11720</v>
      </c>
      <c r="U3473" t="s">
        <v>11720</v>
      </c>
      <c r="V3473" t="s">
        <v>11720</v>
      </c>
      <c r="W3473" t="s">
        <v>15141</v>
      </c>
      <c r="X3473">
        <v>1</v>
      </c>
      <c r="Y3473" t="s">
        <v>20866</v>
      </c>
      <c r="Z3473" t="s">
        <v>26680</v>
      </c>
      <c r="AA3473">
        <v>0.3593313365965275</v>
      </c>
      <c r="AB3473" t="str">
        <f>HYPERLINK("Melting_Curves/meltCurve_Q5JQQ4_DPCD.pdf", "Melting_Curves/meltCurve_Q5JQQ4_DPCD.pdf")</f>
        <v>Melting_Curves/meltCurve_Q5JQQ4_DPCD.pdf</v>
      </c>
    </row>
    <row r="3474" spans="1:28" x14ac:dyDescent="0.25">
      <c r="A3474" t="s">
        <v>3478</v>
      </c>
      <c r="B3474">
        <v>0.99334974765950101</v>
      </c>
      <c r="C3474">
        <v>0.93387419351173095</v>
      </c>
      <c r="D3474">
        <v>0.84936244106241698</v>
      </c>
      <c r="E3474">
        <v>0.64436418946074603</v>
      </c>
      <c r="F3474">
        <v>0.41146149145000799</v>
      </c>
      <c r="G3474">
        <v>0.20603556932040001</v>
      </c>
      <c r="H3474">
        <v>0.138422078033762</v>
      </c>
      <c r="I3474">
        <v>0.107488256973495</v>
      </c>
      <c r="J3474">
        <v>9.7661795296410406E-2</v>
      </c>
      <c r="K3474">
        <v>7.2967221696991394E-2</v>
      </c>
      <c r="L3474">
        <v>789.49426060341204</v>
      </c>
      <c r="M3474">
        <v>15.4029115220705</v>
      </c>
      <c r="N3474">
        <v>51.702624643871602</v>
      </c>
      <c r="O3474">
        <v>50.415521925009699</v>
      </c>
      <c r="P3474">
        <v>-7.1630212292082301E-2</v>
      </c>
      <c r="Q3474">
        <v>6.2269318253242098E-2</v>
      </c>
      <c r="R3474">
        <v>0.99858254806051305</v>
      </c>
      <c r="S3474" t="s">
        <v>9335</v>
      </c>
      <c r="T3474" t="s">
        <v>11720</v>
      </c>
      <c r="U3474" t="s">
        <v>11720</v>
      </c>
      <c r="V3474" t="s">
        <v>11720</v>
      </c>
      <c r="W3474" t="s">
        <v>15142</v>
      </c>
      <c r="X3474">
        <v>16</v>
      </c>
      <c r="Y3474" t="s">
        <v>20867</v>
      </c>
      <c r="Z3474" t="s">
        <v>26681</v>
      </c>
      <c r="AA3474">
        <v>0.43469014952836621</v>
      </c>
      <c r="AB3474" t="str">
        <f>HYPERLINK("Melting_Curves/meltCurve_Q5JR08_RHOC.pdf", "Melting_Curves/meltCurve_Q5JR08_RHOC.pdf")</f>
        <v>Melting_Curves/meltCurve_Q5JR08_RHOC.pdf</v>
      </c>
    </row>
    <row r="3475" spans="1:28" x14ac:dyDescent="0.25">
      <c r="A3475" t="s">
        <v>3479</v>
      </c>
      <c r="B3475">
        <v>0.99334974765950101</v>
      </c>
      <c r="C3475">
        <v>1.0034323742872999</v>
      </c>
      <c r="D3475">
        <v>1.0162441480131801</v>
      </c>
      <c r="E3475">
        <v>0.89610857861358295</v>
      </c>
      <c r="F3475">
        <v>0.64825986757280096</v>
      </c>
      <c r="G3475">
        <v>0.412134447904353</v>
      </c>
      <c r="H3475">
        <v>0.331240130728646</v>
      </c>
      <c r="I3475">
        <v>0.35557251511091498</v>
      </c>
      <c r="J3475">
        <v>0.36868282675007102</v>
      </c>
      <c r="K3475">
        <v>0.36229430058044798</v>
      </c>
      <c r="L3475">
        <v>1686.2431628002701</v>
      </c>
      <c r="M3475">
        <v>32.0025680121528</v>
      </c>
      <c r="N3475">
        <v>54.788718659734599</v>
      </c>
      <c r="O3475">
        <v>52.486391658746903</v>
      </c>
      <c r="P3475">
        <v>-9.8597804543993695E-2</v>
      </c>
      <c r="Q3475">
        <v>0.353174575910644</v>
      </c>
      <c r="R3475">
        <v>0.99782086695701999</v>
      </c>
      <c r="S3475" t="s">
        <v>9336</v>
      </c>
      <c r="T3475" t="s">
        <v>11720</v>
      </c>
      <c r="U3475" t="s">
        <v>11720</v>
      </c>
      <c r="V3475" t="s">
        <v>11720</v>
      </c>
      <c r="W3475" t="s">
        <v>15143</v>
      </c>
      <c r="X3475">
        <v>52</v>
      </c>
      <c r="Y3475" t="s">
        <v>20868</v>
      </c>
      <c r="Z3475" t="s">
        <v>26682</v>
      </c>
      <c r="AA3475">
        <v>0.63047628269583744</v>
      </c>
      <c r="AB3475" t="str">
        <f>HYPERLINK("Melting_Curves/meltCurve_Q5JRA6_MIA3.pdf", "Melting_Curves/meltCurve_Q5JRA6_MIA3.pdf")</f>
        <v>Melting_Curves/meltCurve_Q5JRA6_MIA3.pdf</v>
      </c>
    </row>
    <row r="3476" spans="1:28" x14ac:dyDescent="0.25">
      <c r="A3476" t="s">
        <v>3480</v>
      </c>
      <c r="B3476">
        <v>0.99334974765950101</v>
      </c>
      <c r="C3476">
        <v>1.09887289925377</v>
      </c>
      <c r="D3476">
        <v>1.2126391125282601</v>
      </c>
      <c r="E3476">
        <v>1.6830494385549599</v>
      </c>
      <c r="F3476">
        <v>1.3519531711306301</v>
      </c>
      <c r="G3476">
        <v>0.85636441058253499</v>
      </c>
      <c r="H3476">
        <v>0.57256450880196696</v>
      </c>
      <c r="I3476">
        <v>0.47562338849511299</v>
      </c>
      <c r="J3476">
        <v>0.45834845373579203</v>
      </c>
      <c r="K3476">
        <v>0.39102426666998802</v>
      </c>
      <c r="L3476">
        <v>2473.0383913976798</v>
      </c>
      <c r="M3476">
        <v>41.827399974647598</v>
      </c>
      <c r="N3476">
        <v>62.149719853669502</v>
      </c>
      <c r="O3476">
        <v>58.990170366575398</v>
      </c>
      <c r="P3476">
        <v>-0.100205895367346</v>
      </c>
      <c r="Q3476">
        <v>0.43470996292659497</v>
      </c>
      <c r="R3476">
        <v>0.61661710339403297</v>
      </c>
      <c r="S3476" t="s">
        <v>9337</v>
      </c>
      <c r="T3476" t="s">
        <v>11720</v>
      </c>
      <c r="U3476" t="s">
        <v>11720</v>
      </c>
      <c r="V3476" t="s">
        <v>11720</v>
      </c>
      <c r="W3476" t="s">
        <v>15144</v>
      </c>
      <c r="X3476">
        <v>4</v>
      </c>
      <c r="Y3476" t="s">
        <v>20869</v>
      </c>
      <c r="Z3476" t="s">
        <v>26683</v>
      </c>
      <c r="AA3476">
        <v>0.79713151695733442</v>
      </c>
      <c r="AB3476" t="str">
        <f>HYPERLINK("Melting_Curves/meltCurve_Q5JRG1_NUPL1.pdf", "Melting_Curves/meltCurve_Q5JRG1_NUPL1.pdf")</f>
        <v>Melting_Curves/meltCurve_Q5JRG1_NUPL1.pdf</v>
      </c>
    </row>
    <row r="3477" spans="1:28" x14ac:dyDescent="0.25">
      <c r="A3477" t="s">
        <v>3481</v>
      </c>
      <c r="B3477">
        <v>0.99334974765950101</v>
      </c>
      <c r="C3477">
        <v>0.76861002745092599</v>
      </c>
      <c r="D3477">
        <v>0.77566553641519398</v>
      </c>
      <c r="E3477">
        <v>0.80387384962698605</v>
      </c>
      <c r="F3477">
        <v>0.74209332911612202</v>
      </c>
      <c r="G3477">
        <v>0.57014726481135003</v>
      </c>
      <c r="H3477">
        <v>0.31392418416731199</v>
      </c>
      <c r="I3477">
        <v>0.29873555727247397</v>
      </c>
      <c r="J3477">
        <v>0.48295949239643499</v>
      </c>
      <c r="K3477">
        <v>0.51025649635565395</v>
      </c>
      <c r="L3477">
        <v>408.47538274176998</v>
      </c>
      <c r="M3477">
        <v>7.8209653592168298</v>
      </c>
      <c r="N3477">
        <v>59.630473620622602</v>
      </c>
      <c r="O3477">
        <v>49.143849022773203</v>
      </c>
      <c r="P3477">
        <v>-2.7461456937406401E-2</v>
      </c>
      <c r="Q3477">
        <v>0.31062066502103403</v>
      </c>
      <c r="R3477">
        <v>0.77029746460485404</v>
      </c>
      <c r="S3477" t="s">
        <v>9338</v>
      </c>
      <c r="T3477" t="s">
        <v>11720</v>
      </c>
      <c r="U3477" t="s">
        <v>11720</v>
      </c>
      <c r="V3477" t="s">
        <v>11720</v>
      </c>
      <c r="W3477" t="s">
        <v>15145</v>
      </c>
      <c r="X3477">
        <v>1</v>
      </c>
      <c r="Y3477" t="s">
        <v>20870</v>
      </c>
      <c r="Z3477" t="s">
        <v>26684</v>
      </c>
      <c r="AA3477">
        <v>0.62368135057487606</v>
      </c>
      <c r="AB3477" t="str">
        <f>HYPERLINK("Melting_Curves/meltCurve_Q5JRI1_SRSF10.pdf", "Melting_Curves/meltCurve_Q5JRI1_SRSF10.pdf")</f>
        <v>Melting_Curves/meltCurve_Q5JRI1_SRSF10.pdf</v>
      </c>
    </row>
    <row r="3478" spans="1:28" x14ac:dyDescent="0.25">
      <c r="A3478" t="s">
        <v>3482</v>
      </c>
      <c r="B3478">
        <v>0.99334974765950101</v>
      </c>
      <c r="C3478">
        <v>0.93233393271601595</v>
      </c>
      <c r="D3478">
        <v>0.85134744575302101</v>
      </c>
      <c r="E3478">
        <v>0.50212221582947103</v>
      </c>
      <c r="F3478">
        <v>0.308585359510614</v>
      </c>
      <c r="G3478">
        <v>0.18345278402759499</v>
      </c>
      <c r="H3478">
        <v>0.109220125607622</v>
      </c>
      <c r="I3478">
        <v>9.8917026199563607E-2</v>
      </c>
      <c r="J3478">
        <v>8.2857732715085106E-2</v>
      </c>
      <c r="K3478">
        <v>6.6562942874351702E-2</v>
      </c>
      <c r="L3478">
        <v>888.38664076336795</v>
      </c>
      <c r="M3478">
        <v>17.846496001619201</v>
      </c>
      <c r="N3478">
        <v>50.244126188129997</v>
      </c>
      <c r="O3478">
        <v>49.166932629163597</v>
      </c>
      <c r="P3478">
        <v>-8.3843713412786194E-2</v>
      </c>
      <c r="Q3478">
        <v>7.6092508502428102E-2</v>
      </c>
      <c r="R3478">
        <v>0.99851051312001105</v>
      </c>
      <c r="S3478" t="s">
        <v>9339</v>
      </c>
      <c r="T3478" t="s">
        <v>11720</v>
      </c>
      <c r="U3478" t="s">
        <v>11720</v>
      </c>
      <c r="V3478" t="s">
        <v>11720</v>
      </c>
      <c r="W3478" t="s">
        <v>15146</v>
      </c>
      <c r="X3478">
        <v>37</v>
      </c>
      <c r="Y3478" t="s">
        <v>20871</v>
      </c>
      <c r="Z3478" t="s">
        <v>26685</v>
      </c>
      <c r="AA3478">
        <v>0.39333027208702942</v>
      </c>
      <c r="AB3478" t="str">
        <f>HYPERLINK("Melting_Curves/meltCurve_Q5JRX3_PITRM1.pdf", "Melting_Curves/meltCurve_Q5JRX3_PITRM1.pdf")</f>
        <v>Melting_Curves/meltCurve_Q5JRX3_PITRM1.pdf</v>
      </c>
    </row>
    <row r="3479" spans="1:28" x14ac:dyDescent="0.25">
      <c r="A3479" t="s">
        <v>3483</v>
      </c>
      <c r="B3479">
        <v>0.99334974765950101</v>
      </c>
      <c r="C3479">
        <v>0.88110230830309</v>
      </c>
      <c r="D3479">
        <v>0.75699034509361596</v>
      </c>
      <c r="E3479">
        <v>0.35619522951584098</v>
      </c>
      <c r="F3479">
        <v>0.240254333525553</v>
      </c>
      <c r="G3479">
        <v>0.17580084847987401</v>
      </c>
      <c r="H3479">
        <v>8.4076954187406794E-2</v>
      </c>
      <c r="I3479">
        <v>8.7525858324693201E-2</v>
      </c>
      <c r="J3479">
        <v>3.1356888509608001E-2</v>
      </c>
      <c r="K3479">
        <v>2.93971616071977E-2</v>
      </c>
      <c r="L3479">
        <v>808.22300450624004</v>
      </c>
      <c r="M3479">
        <v>16.693829013913799</v>
      </c>
      <c r="N3479">
        <v>48.733471356394702</v>
      </c>
      <c r="O3479">
        <v>47.735754017176703</v>
      </c>
      <c r="P3479">
        <v>-8.2908805028964097E-2</v>
      </c>
      <c r="Q3479">
        <v>5.1757000056971501E-2</v>
      </c>
      <c r="R3479">
        <v>0.99259399216770805</v>
      </c>
      <c r="S3479" t="s">
        <v>9340</v>
      </c>
      <c r="T3479" t="s">
        <v>11720</v>
      </c>
      <c r="U3479" t="s">
        <v>11720</v>
      </c>
      <c r="V3479" t="s">
        <v>11720</v>
      </c>
      <c r="W3479" t="s">
        <v>15147</v>
      </c>
      <c r="X3479">
        <v>1</v>
      </c>
      <c r="Y3479" t="s">
        <v>20872</v>
      </c>
      <c r="Z3479" t="s">
        <v>26686</v>
      </c>
      <c r="AA3479">
        <v>0.33710756885193222</v>
      </c>
      <c r="AB3479" t="str">
        <f>HYPERLINK("Melting_Curves/meltCurve_Q5JS36_PROSER1.pdf", "Melting_Curves/meltCurve_Q5JS36_PROSER1.pdf")</f>
        <v>Melting_Curves/meltCurve_Q5JS36_PROSER1.pdf</v>
      </c>
    </row>
    <row r="3480" spans="1:28" x14ac:dyDescent="0.25">
      <c r="A3480" t="s">
        <v>3484</v>
      </c>
      <c r="B3480">
        <v>0.99334974765950101</v>
      </c>
      <c r="C3480">
        <v>0.90292819554751502</v>
      </c>
      <c r="D3480">
        <v>0.91478560513429197</v>
      </c>
      <c r="E3480">
        <v>0.82697919351558702</v>
      </c>
      <c r="F3480">
        <v>0.814823229928618</v>
      </c>
      <c r="G3480">
        <v>0.65930351102725004</v>
      </c>
      <c r="H3480">
        <v>0.623530354475475</v>
      </c>
      <c r="I3480">
        <v>0.80156639201317703</v>
      </c>
      <c r="J3480">
        <v>0.65198824061149196</v>
      </c>
      <c r="K3480">
        <v>0.57414578192432297</v>
      </c>
      <c r="L3480">
        <v>436.73089552448101</v>
      </c>
      <c r="M3480">
        <v>8.4092842199241407</v>
      </c>
      <c r="O3480">
        <v>49.246726083892</v>
      </c>
      <c r="P3480">
        <v>-1.7449583343375999E-2</v>
      </c>
      <c r="Q3480">
        <v>0.59162783115330897</v>
      </c>
      <c r="R3480">
        <v>0.80887081750620005</v>
      </c>
      <c r="S3480" t="s">
        <v>9341</v>
      </c>
      <c r="T3480" t="s">
        <v>11720</v>
      </c>
      <c r="U3480" t="s">
        <v>11720</v>
      </c>
      <c r="V3480" t="s">
        <v>11720</v>
      </c>
      <c r="W3480" t="s">
        <v>15148</v>
      </c>
      <c r="X3480">
        <v>4</v>
      </c>
      <c r="Y3480" t="s">
        <v>20873</v>
      </c>
      <c r="Z3480" t="s">
        <v>26687</v>
      </c>
      <c r="AA3480">
        <v>0.77264770040372222</v>
      </c>
      <c r="AB3480" t="str">
        <f>HYPERLINK("Melting_Curves/meltCurve_Q5JS37_NHLRC3.pdf", "Melting_Curves/meltCurve_Q5JS37_NHLRC3.pdf")</f>
        <v>Melting_Curves/meltCurve_Q5JS37_NHLRC3.pdf</v>
      </c>
    </row>
    <row r="3481" spans="1:28" x14ac:dyDescent="0.25">
      <c r="A3481" t="s">
        <v>3485</v>
      </c>
      <c r="B3481">
        <v>0.99334974765950101</v>
      </c>
      <c r="C3481">
        <v>1.0290223591619201</v>
      </c>
      <c r="D3481">
        <v>1.0157278345040699</v>
      </c>
      <c r="E3481">
        <v>0.908355377035589</v>
      </c>
      <c r="F3481">
        <v>0.72714740931456801</v>
      </c>
      <c r="G3481">
        <v>0.55357006527803498</v>
      </c>
      <c r="H3481">
        <v>0.54209572352840496</v>
      </c>
      <c r="I3481">
        <v>0.77650032868986396</v>
      </c>
      <c r="J3481">
        <v>0.69558058914399301</v>
      </c>
      <c r="K3481">
        <v>0.56890649671082505</v>
      </c>
      <c r="L3481">
        <v>2234.7152670588498</v>
      </c>
      <c r="M3481">
        <v>43.424885847289197</v>
      </c>
      <c r="O3481">
        <v>51.3528511519783</v>
      </c>
      <c r="P3481">
        <v>-7.8526085960888503E-2</v>
      </c>
      <c r="Q3481">
        <v>0.62855102529169704</v>
      </c>
      <c r="R3481">
        <v>0.86690872160993904</v>
      </c>
      <c r="S3481" t="s">
        <v>9342</v>
      </c>
      <c r="T3481" t="s">
        <v>11720</v>
      </c>
      <c r="U3481" t="s">
        <v>11720</v>
      </c>
      <c r="V3481" t="s">
        <v>11720</v>
      </c>
      <c r="W3481" t="s">
        <v>15149</v>
      </c>
      <c r="X3481">
        <v>2</v>
      </c>
      <c r="Y3481" t="s">
        <v>20874</v>
      </c>
      <c r="Z3481" t="s">
        <v>26688</v>
      </c>
      <c r="AA3481">
        <v>0.77158433557782424</v>
      </c>
      <c r="AB3481" t="str">
        <f>HYPERLINK("Melting_Curves/meltCurve_Q5JS54_PSMG4.pdf", "Melting_Curves/meltCurve_Q5JS54_PSMG4.pdf")</f>
        <v>Melting_Curves/meltCurve_Q5JS54_PSMG4.pdf</v>
      </c>
    </row>
    <row r="3482" spans="1:28" x14ac:dyDescent="0.25">
      <c r="A3482" t="s">
        <v>3486</v>
      </c>
      <c r="B3482">
        <v>0.99334974765950101</v>
      </c>
      <c r="C3482">
        <v>1.00674186628451</v>
      </c>
      <c r="D3482">
        <v>0.96470010242920501</v>
      </c>
      <c r="E3482">
        <v>0.86370074249556505</v>
      </c>
      <c r="F3482">
        <v>0.75931037100919396</v>
      </c>
      <c r="G3482">
        <v>0.48539364775827698</v>
      </c>
      <c r="H3482">
        <v>0.21971214386975199</v>
      </c>
      <c r="I3482">
        <v>0.1826287315098</v>
      </c>
      <c r="J3482">
        <v>0.16090815808374201</v>
      </c>
      <c r="K3482">
        <v>0.13047500624481501</v>
      </c>
      <c r="L3482">
        <v>988.863674032831</v>
      </c>
      <c r="M3482">
        <v>17.7447867622394</v>
      </c>
      <c r="N3482">
        <v>56.448788671880699</v>
      </c>
      <c r="O3482">
        <v>55.033705390943602</v>
      </c>
      <c r="P3482">
        <v>-7.2430839319340204E-2</v>
      </c>
      <c r="Q3482">
        <v>0.101498434492028</v>
      </c>
      <c r="R3482">
        <v>0.99674769786379402</v>
      </c>
      <c r="S3482" t="s">
        <v>9343</v>
      </c>
      <c r="T3482" t="s">
        <v>11720</v>
      </c>
      <c r="U3482" t="s">
        <v>11720</v>
      </c>
      <c r="V3482" t="s">
        <v>11720</v>
      </c>
      <c r="W3482" t="s">
        <v>15150</v>
      </c>
      <c r="X3482">
        <v>45</v>
      </c>
      <c r="Y3482" t="s">
        <v>20875</v>
      </c>
      <c r="Z3482" t="s">
        <v>26689</v>
      </c>
      <c r="AA3482">
        <v>0.58619817802038099</v>
      </c>
      <c r="AB3482" t="str">
        <f>HYPERLINK("Melting_Curves/meltCurve_Q5JSH3_2_WDR44.pdf", "Melting_Curves/meltCurve_Q5JSH3_2_WDR44.pdf")</f>
        <v>Melting_Curves/meltCurve_Q5JSH3_2_WDR44.pdf</v>
      </c>
    </row>
    <row r="3483" spans="1:28" x14ac:dyDescent="0.25">
      <c r="A3483" t="s">
        <v>3487</v>
      </c>
      <c r="B3483">
        <v>0.99334974765950101</v>
      </c>
      <c r="C3483">
        <v>1.2362373094675101</v>
      </c>
      <c r="D3483">
        <v>1.3022527500263399</v>
      </c>
      <c r="E3483">
        <v>0.700032686789542</v>
      </c>
      <c r="F3483">
        <v>1.2174447991858699</v>
      </c>
      <c r="G3483">
        <v>0.66803821188634804</v>
      </c>
      <c r="H3483">
        <v>1.1255081483325799</v>
      </c>
      <c r="I3483">
        <v>2.06222628089427</v>
      </c>
      <c r="J3483">
        <v>1.3278528551747399</v>
      </c>
      <c r="K3483">
        <v>1.17109649050841</v>
      </c>
      <c r="L3483">
        <v>15000</v>
      </c>
      <c r="M3483">
        <v>244.80937449713099</v>
      </c>
      <c r="O3483">
        <v>61.268074423053797</v>
      </c>
      <c r="P3483">
        <v>0.499463581272444</v>
      </c>
      <c r="Q3483">
        <v>1.5</v>
      </c>
      <c r="R3483">
        <v>0.37143402257930802</v>
      </c>
      <c r="S3483" t="s">
        <v>9344</v>
      </c>
      <c r="T3483" t="s">
        <v>11720</v>
      </c>
      <c r="U3483" t="s">
        <v>11720</v>
      </c>
      <c r="V3483" t="s">
        <v>11720</v>
      </c>
      <c r="W3483" t="s">
        <v>15151</v>
      </c>
      <c r="X3483">
        <v>1</v>
      </c>
      <c r="Y3483" t="s">
        <v>20876</v>
      </c>
      <c r="Z3483" t="s">
        <v>26690</v>
      </c>
      <c r="AA3483">
        <v>1.1454078725499901</v>
      </c>
      <c r="AB3483" t="str">
        <f>HYPERLINK("Melting_Curves/meltCurve_Q5JSK7_HMGN5.pdf", "Melting_Curves/meltCurve_Q5JSK7_HMGN5.pdf")</f>
        <v>Melting_Curves/meltCurve_Q5JSK7_HMGN5.pdf</v>
      </c>
    </row>
    <row r="3484" spans="1:28" x14ac:dyDescent="0.25">
      <c r="A3484" t="s">
        <v>3488</v>
      </c>
      <c r="B3484">
        <v>0.99334974765950101</v>
      </c>
      <c r="C3484">
        <v>1.0074341097992501</v>
      </c>
      <c r="D3484">
        <v>0.86412507815540396</v>
      </c>
      <c r="E3484">
        <v>0.80855087372736301</v>
      </c>
      <c r="F3484">
        <v>0.73697036853293796</v>
      </c>
      <c r="G3484">
        <v>0.49762811187723299</v>
      </c>
      <c r="H3484">
        <v>0.43282407929201799</v>
      </c>
      <c r="I3484">
        <v>0.46843970010985297</v>
      </c>
      <c r="J3484">
        <v>0.583307672372395</v>
      </c>
      <c r="K3484">
        <v>0.74321381291407096</v>
      </c>
      <c r="L3484">
        <v>1021.63956645198</v>
      </c>
      <c r="M3484">
        <v>20.284856754785501</v>
      </c>
      <c r="O3484">
        <v>49.882829394455399</v>
      </c>
      <c r="P3484">
        <v>-4.6253984523796698E-2</v>
      </c>
      <c r="Q3484">
        <v>0.54503822417633296</v>
      </c>
      <c r="R3484">
        <v>0.79585874745657803</v>
      </c>
      <c r="S3484" t="s">
        <v>9345</v>
      </c>
      <c r="T3484" t="s">
        <v>11720</v>
      </c>
      <c r="U3484" t="s">
        <v>11720</v>
      </c>
      <c r="V3484" t="s">
        <v>11720</v>
      </c>
      <c r="W3484" t="s">
        <v>15152</v>
      </c>
      <c r="X3484">
        <v>22</v>
      </c>
      <c r="Y3484" t="s">
        <v>20877</v>
      </c>
      <c r="Z3484" t="s">
        <v>26691</v>
      </c>
      <c r="AA3484">
        <v>0.70837815527808512</v>
      </c>
      <c r="AB3484" t="str">
        <f>HYPERLINK("Melting_Curves/meltCurve_Q5JSZ5_PRRC2B.pdf", "Melting_Curves/meltCurve_Q5JSZ5_PRRC2B.pdf")</f>
        <v>Melting_Curves/meltCurve_Q5JSZ5_PRRC2B.pdf</v>
      </c>
    </row>
    <row r="3485" spans="1:28" x14ac:dyDescent="0.25">
      <c r="A3485" t="s">
        <v>3489</v>
      </c>
      <c r="B3485">
        <v>0.99334974765950101</v>
      </c>
      <c r="C3485">
        <v>0.99571700513097805</v>
      </c>
      <c r="D3485">
        <v>0.94188287031951501</v>
      </c>
      <c r="E3485">
        <v>0.74033144783998495</v>
      </c>
      <c r="F3485">
        <v>0.63187583359814403</v>
      </c>
      <c r="G3485">
        <v>0.49313968519369</v>
      </c>
      <c r="H3485">
        <v>0.43391941323102801</v>
      </c>
      <c r="I3485">
        <v>0.42836794289506802</v>
      </c>
      <c r="J3485">
        <v>0.53334797913328702</v>
      </c>
      <c r="K3485">
        <v>0.51024985411477497</v>
      </c>
      <c r="L3485">
        <v>1123.84641095703</v>
      </c>
      <c r="M3485">
        <v>22.335249183131801</v>
      </c>
      <c r="N3485">
        <v>57.855369349073698</v>
      </c>
      <c r="O3485">
        <v>49.919018325674202</v>
      </c>
      <c r="P3485">
        <v>-5.8976253137887999E-2</v>
      </c>
      <c r="Q3485">
        <v>0.472766147036563</v>
      </c>
      <c r="R3485">
        <v>0.97708244816708001</v>
      </c>
      <c r="S3485" t="s">
        <v>9346</v>
      </c>
      <c r="T3485" t="s">
        <v>11720</v>
      </c>
      <c r="U3485" t="s">
        <v>11720</v>
      </c>
      <c r="V3485" t="s">
        <v>11720</v>
      </c>
      <c r="W3485" t="s">
        <v>15153</v>
      </c>
      <c r="X3485">
        <v>21</v>
      </c>
      <c r="Y3485" t="s">
        <v>20878</v>
      </c>
      <c r="Z3485" t="s">
        <v>26692</v>
      </c>
      <c r="AA3485">
        <v>0.6599972490249798</v>
      </c>
      <c r="AB3485" t="str">
        <f>HYPERLINK("Melting_Curves/meltCurve_Q5JTD0_2_TJAP1.pdf", "Melting_Curves/meltCurve_Q5JTD0_2_TJAP1.pdf")</f>
        <v>Melting_Curves/meltCurve_Q5JTD0_2_TJAP1.pdf</v>
      </c>
    </row>
    <row r="3486" spans="1:28" x14ac:dyDescent="0.25">
      <c r="A3486" t="s">
        <v>3490</v>
      </c>
      <c r="B3486">
        <v>0.99334974765950101</v>
      </c>
      <c r="C3486">
        <v>1.0055663187644199</v>
      </c>
      <c r="D3486">
        <v>0.89233440377485795</v>
      </c>
      <c r="E3486">
        <v>0.81991767109601199</v>
      </c>
      <c r="F3486">
        <v>0.89249076621750201</v>
      </c>
      <c r="G3486">
        <v>0.71516469089478396</v>
      </c>
      <c r="H3486">
        <v>0.72584139425324601</v>
      </c>
      <c r="I3486">
        <v>0.85359254436768295</v>
      </c>
      <c r="J3486">
        <v>1.0370492083688601</v>
      </c>
      <c r="K3486">
        <v>0.994907958544337</v>
      </c>
      <c r="L3486">
        <v>11440.6414286326</v>
      </c>
      <c r="M3486">
        <v>250</v>
      </c>
      <c r="O3486">
        <v>45.759637220107798</v>
      </c>
      <c r="P3486">
        <v>-0.187516270407802</v>
      </c>
      <c r="Q3486">
        <v>0.86270917607200703</v>
      </c>
      <c r="R3486">
        <v>0.24172779794306901</v>
      </c>
      <c r="S3486" t="s">
        <v>9347</v>
      </c>
      <c r="T3486" t="s">
        <v>11720</v>
      </c>
      <c r="U3486" t="s">
        <v>11720</v>
      </c>
      <c r="V3486" t="s">
        <v>11720</v>
      </c>
      <c r="W3486" t="s">
        <v>15154</v>
      </c>
      <c r="X3486">
        <v>8</v>
      </c>
      <c r="Y3486" t="s">
        <v>20879</v>
      </c>
      <c r="Z3486" t="s">
        <v>26693</v>
      </c>
      <c r="AA3486">
        <v>0.88909178208331352</v>
      </c>
      <c r="AB3486" t="str">
        <f>HYPERLINK("Melting_Curves/meltCurve_Q5JTJ3_3_COA6.pdf", "Melting_Curves/meltCurve_Q5JTJ3_3_COA6.pdf")</f>
        <v>Melting_Curves/meltCurve_Q5JTJ3_3_COA6.pdf</v>
      </c>
    </row>
    <row r="3487" spans="1:28" x14ac:dyDescent="0.25">
      <c r="A3487" t="s">
        <v>3491</v>
      </c>
      <c r="B3487">
        <v>0.99334974765950101</v>
      </c>
      <c r="C3487">
        <v>1.1884006298220899</v>
      </c>
      <c r="D3487">
        <v>0.87408297225862597</v>
      </c>
      <c r="E3487">
        <v>1.02164525411533</v>
      </c>
      <c r="F3487">
        <v>1.1478959729868199</v>
      </c>
      <c r="G3487">
        <v>0.97437382572848297</v>
      </c>
      <c r="H3487">
        <v>0.61717792184549702</v>
      </c>
      <c r="I3487">
        <v>0.48920514214697203</v>
      </c>
      <c r="J3487">
        <v>0.46034700804022</v>
      </c>
      <c r="K3487">
        <v>0.33084842690525601</v>
      </c>
      <c r="L3487">
        <v>2489.97525175294</v>
      </c>
      <c r="M3487">
        <v>41.220911101149099</v>
      </c>
      <c r="N3487">
        <v>62.852661741544502</v>
      </c>
      <c r="O3487">
        <v>60.263988536174203</v>
      </c>
      <c r="P3487">
        <v>-0.10267978492157501</v>
      </c>
      <c r="Q3487">
        <v>0.39953952427414702</v>
      </c>
      <c r="R3487">
        <v>0.90202434918890595</v>
      </c>
      <c r="S3487" t="s">
        <v>9348</v>
      </c>
      <c r="T3487" t="s">
        <v>11720</v>
      </c>
      <c r="U3487" t="s">
        <v>11720</v>
      </c>
      <c r="V3487" t="s">
        <v>11720</v>
      </c>
      <c r="W3487" t="s">
        <v>15155</v>
      </c>
      <c r="X3487">
        <v>20</v>
      </c>
      <c r="Y3487" t="s">
        <v>20880</v>
      </c>
      <c r="Z3487" t="s">
        <v>26694</v>
      </c>
      <c r="AA3487">
        <v>0.81017885451299909</v>
      </c>
      <c r="AB3487" t="str">
        <f>HYPERLINK("Melting_Curves/meltCurve_Q5JTV8_TOR1AIP1.pdf", "Melting_Curves/meltCurve_Q5JTV8_TOR1AIP1.pdf")</f>
        <v>Melting_Curves/meltCurve_Q5JTV8_TOR1AIP1.pdf</v>
      </c>
    </row>
    <row r="3488" spans="1:28" x14ac:dyDescent="0.25">
      <c r="A3488" t="s">
        <v>3492</v>
      </c>
      <c r="B3488">
        <v>0.99334974765950101</v>
      </c>
      <c r="C3488">
        <v>0.84816942519171901</v>
      </c>
      <c r="D3488">
        <v>0.63768640583452696</v>
      </c>
      <c r="E3488">
        <v>0.265291329924699</v>
      </c>
      <c r="F3488">
        <v>0.163826744916197</v>
      </c>
      <c r="G3488">
        <v>0.121723599781033</v>
      </c>
      <c r="H3488">
        <v>0.104114444368231</v>
      </c>
      <c r="I3488">
        <v>8.5229011516308906E-2</v>
      </c>
      <c r="J3488">
        <v>6.1838040506491797E-2</v>
      </c>
      <c r="K3488">
        <v>4.4153729655598002E-2</v>
      </c>
      <c r="L3488">
        <v>914.611263082307</v>
      </c>
      <c r="M3488">
        <v>19.511515018256102</v>
      </c>
      <c r="N3488">
        <v>47.254439167377697</v>
      </c>
      <c r="O3488">
        <v>46.391395933192598</v>
      </c>
      <c r="P3488">
        <v>-9.7534350694148106E-2</v>
      </c>
      <c r="Q3488">
        <v>7.2426251147870296E-2</v>
      </c>
      <c r="R3488">
        <v>0.99674228390860897</v>
      </c>
      <c r="S3488" t="s">
        <v>9349</v>
      </c>
      <c r="T3488" t="s">
        <v>11720</v>
      </c>
      <c r="U3488" t="s">
        <v>11720</v>
      </c>
      <c r="V3488" t="s">
        <v>11720</v>
      </c>
      <c r="W3488" t="s">
        <v>15156</v>
      </c>
      <c r="X3488">
        <v>9</v>
      </c>
      <c r="Y3488" t="s">
        <v>20881</v>
      </c>
      <c r="Z3488" t="s">
        <v>26695</v>
      </c>
      <c r="AA3488">
        <v>0.29942929106893768</v>
      </c>
      <c r="AB3488" t="str">
        <f>HYPERLINK("Melting_Curves/meltCurve_Q5JTZ9_AARS2.pdf", "Melting_Curves/meltCurve_Q5JTZ9_AARS2.pdf")</f>
        <v>Melting_Curves/meltCurve_Q5JTZ9_AARS2.pdf</v>
      </c>
    </row>
    <row r="3489" spans="1:28" x14ac:dyDescent="0.25">
      <c r="A3489" t="s">
        <v>3493</v>
      </c>
      <c r="B3489">
        <v>0.99334974765950101</v>
      </c>
      <c r="C3489">
        <v>0.68364513126972304</v>
      </c>
      <c r="D3489">
        <v>0.56659840028094099</v>
      </c>
      <c r="E3489">
        <v>0.25773243263629297</v>
      </c>
      <c r="F3489">
        <v>0.17021032729163299</v>
      </c>
      <c r="G3489">
        <v>0.18083588717389701</v>
      </c>
      <c r="H3489">
        <v>7.5502939324311305E-2</v>
      </c>
      <c r="I3489">
        <v>5.7533954157804303E-2</v>
      </c>
      <c r="J3489">
        <v>0</v>
      </c>
      <c r="K3489">
        <v>7.2073451102934893E-2</v>
      </c>
      <c r="L3489">
        <v>665.42209757574904</v>
      </c>
      <c r="M3489">
        <v>14.428972361060699</v>
      </c>
      <c r="N3489">
        <v>46.450627775260898</v>
      </c>
      <c r="O3489">
        <v>45.258425887229301</v>
      </c>
      <c r="P3489">
        <v>-7.57898696763213E-2</v>
      </c>
      <c r="Q3489">
        <v>4.9211360536926797E-2</v>
      </c>
      <c r="R3489">
        <v>0.974903143649825</v>
      </c>
      <c r="S3489" t="s">
        <v>9350</v>
      </c>
      <c r="T3489" t="s">
        <v>11720</v>
      </c>
      <c r="U3489" t="s">
        <v>11720</v>
      </c>
      <c r="V3489" t="s">
        <v>11720</v>
      </c>
      <c r="W3489" t="s">
        <v>15157</v>
      </c>
      <c r="X3489">
        <v>2</v>
      </c>
      <c r="Y3489" t="s">
        <v>20882</v>
      </c>
      <c r="Z3489" t="s">
        <v>26696</v>
      </c>
      <c r="AA3489">
        <v>0.27289841454662761</v>
      </c>
      <c r="AB3489" t="str">
        <f>HYPERLINK("Melting_Curves/meltCurve_Q5JU21_FPGS.pdf", "Melting_Curves/meltCurve_Q5JU21_FPGS.pdf")</f>
        <v>Melting_Curves/meltCurve_Q5JU21_FPGS.pdf</v>
      </c>
    </row>
    <row r="3490" spans="1:28" x14ac:dyDescent="0.25">
      <c r="A3490" t="s">
        <v>3494</v>
      </c>
      <c r="B3490">
        <v>0.99334974765950101</v>
      </c>
      <c r="C3490">
        <v>0.83735117417088101</v>
      </c>
      <c r="D3490">
        <v>0.89677070481023302</v>
      </c>
      <c r="E3490">
        <v>0.71436747083575203</v>
      </c>
      <c r="F3490">
        <v>0.785205546252425</v>
      </c>
      <c r="G3490">
        <v>0.51238166517788997</v>
      </c>
      <c r="H3490">
        <v>0.48117216080300701</v>
      </c>
      <c r="I3490">
        <v>0.48739845997314601</v>
      </c>
      <c r="J3490">
        <v>0.52221228821760801</v>
      </c>
      <c r="K3490">
        <v>0.302375650967103</v>
      </c>
      <c r="L3490">
        <v>354.76522635202298</v>
      </c>
      <c r="M3490">
        <v>6.1960118698690101</v>
      </c>
      <c r="N3490">
        <v>61.679681596085501</v>
      </c>
      <c r="O3490">
        <v>52.1563125674597</v>
      </c>
      <c r="P3490">
        <v>-2.4442861091907599E-2</v>
      </c>
      <c r="Q3490">
        <v>0.17935585541941201</v>
      </c>
      <c r="R3490">
        <v>0.89611809115761498</v>
      </c>
      <c r="S3490" t="s">
        <v>9351</v>
      </c>
      <c r="T3490" t="s">
        <v>11720</v>
      </c>
      <c r="U3490" t="s">
        <v>11720</v>
      </c>
      <c r="V3490" t="s">
        <v>11720</v>
      </c>
      <c r="W3490" t="s">
        <v>15158</v>
      </c>
      <c r="X3490">
        <v>3</v>
      </c>
      <c r="Y3490" t="s">
        <v>20883</v>
      </c>
      <c r="Z3490" t="s">
        <v>26697</v>
      </c>
      <c r="AA3490">
        <v>0.65273137473674647</v>
      </c>
      <c r="AB3490" t="str">
        <f>HYPERLINK("Melting_Curves/meltCurve_Q5JU69_TOR2A.pdf", "Melting_Curves/meltCurve_Q5JU69_TOR2A.pdf")</f>
        <v>Melting_Curves/meltCurve_Q5JU69_TOR2A.pdf</v>
      </c>
    </row>
    <row r="3491" spans="1:28" x14ac:dyDescent="0.25">
      <c r="A3491" t="s">
        <v>3495</v>
      </c>
      <c r="B3491">
        <v>0.99334974765950101</v>
      </c>
      <c r="C3491">
        <v>1.10077622367623</v>
      </c>
      <c r="D3491">
        <v>0.75341064585527795</v>
      </c>
      <c r="E3491">
        <v>0.70257637222778502</v>
      </c>
      <c r="F3491">
        <v>0.44366774882405402</v>
      </c>
      <c r="G3491">
        <v>0.35511507408634202</v>
      </c>
      <c r="H3491">
        <v>0.291048509953996</v>
      </c>
      <c r="I3491">
        <v>0.25033173350348498</v>
      </c>
      <c r="J3491">
        <v>0.239383537073867</v>
      </c>
      <c r="K3491">
        <v>0.18096662494294699</v>
      </c>
      <c r="L3491">
        <v>764.45349243411499</v>
      </c>
      <c r="M3491">
        <v>15.0511422768289</v>
      </c>
      <c r="N3491">
        <v>52.682978919244697</v>
      </c>
      <c r="O3491">
        <v>49.919111008534401</v>
      </c>
      <c r="P3491">
        <v>-5.9642573002113203E-2</v>
      </c>
      <c r="Q3491">
        <v>0.20882883522538401</v>
      </c>
      <c r="R3491">
        <v>0.95915001832197899</v>
      </c>
      <c r="S3491" t="s">
        <v>9352</v>
      </c>
      <c r="T3491" t="s">
        <v>11720</v>
      </c>
      <c r="U3491" t="s">
        <v>11720</v>
      </c>
      <c r="V3491" t="s">
        <v>11720</v>
      </c>
      <c r="W3491" t="s">
        <v>15159</v>
      </c>
      <c r="X3491">
        <v>1</v>
      </c>
      <c r="Y3491" t="s">
        <v>20884</v>
      </c>
      <c r="Z3491" t="s">
        <v>26698</v>
      </c>
      <c r="AA3491">
        <v>0.51169314476243832</v>
      </c>
      <c r="AB3491" t="str">
        <f>HYPERLINK("Melting_Curves/meltCurve_Q5JV73_FRMPD3.pdf", "Melting_Curves/meltCurve_Q5JV73_FRMPD3.pdf")</f>
        <v>Melting_Curves/meltCurve_Q5JV73_FRMPD3.pdf</v>
      </c>
    </row>
    <row r="3492" spans="1:28" x14ac:dyDescent="0.25">
      <c r="A3492" t="s">
        <v>3496</v>
      </c>
      <c r="B3492">
        <v>0.99334974765950101</v>
      </c>
      <c r="C3492">
        <v>0.98892096523887096</v>
      </c>
      <c r="D3492">
        <v>0.85837780064552405</v>
      </c>
      <c r="E3492">
        <v>0.42607507885958901</v>
      </c>
      <c r="F3492">
        <v>0.24433927367563099</v>
      </c>
      <c r="G3492">
        <v>0.17262963044024601</v>
      </c>
      <c r="H3492">
        <v>0.13011573615778799</v>
      </c>
      <c r="I3492">
        <v>9.8290125148449203E-2</v>
      </c>
      <c r="J3492">
        <v>8.41411551113177E-2</v>
      </c>
      <c r="K3492">
        <v>6.9294528462716207E-2</v>
      </c>
      <c r="L3492">
        <v>1161.95228770582</v>
      </c>
      <c r="M3492">
        <v>23.6964655577444</v>
      </c>
      <c r="N3492">
        <v>49.507682858566298</v>
      </c>
      <c r="O3492">
        <v>48.6896283832534</v>
      </c>
      <c r="P3492">
        <v>-0.109351218442366</v>
      </c>
      <c r="Q3492">
        <v>0.101269930549231</v>
      </c>
      <c r="R3492">
        <v>0.99653799546863697</v>
      </c>
      <c r="S3492" t="s">
        <v>9353</v>
      </c>
      <c r="T3492" t="s">
        <v>11720</v>
      </c>
      <c r="U3492" t="s">
        <v>11720</v>
      </c>
      <c r="V3492" t="s">
        <v>11720</v>
      </c>
      <c r="W3492" t="s">
        <v>15160</v>
      </c>
      <c r="X3492">
        <v>6</v>
      </c>
      <c r="Y3492" t="s">
        <v>20885</v>
      </c>
      <c r="Z3492" t="s">
        <v>26699</v>
      </c>
      <c r="AA3492">
        <v>0.38082653898802249</v>
      </c>
      <c r="AB3492" t="str">
        <f>HYPERLINK("Melting_Curves/meltCurve_Q5JVF3_3_PCID2.pdf", "Melting_Curves/meltCurve_Q5JVF3_3_PCID2.pdf")</f>
        <v>Melting_Curves/meltCurve_Q5JVF3_3_PCID2.pdf</v>
      </c>
    </row>
    <row r="3493" spans="1:28" x14ac:dyDescent="0.25">
      <c r="A3493" t="s">
        <v>3497</v>
      </c>
      <c r="B3493">
        <v>0.99334974765950101</v>
      </c>
      <c r="C3493">
        <v>1.07713545852302</v>
      </c>
      <c r="D3493">
        <v>0.91133905405737403</v>
      </c>
      <c r="E3493">
        <v>0.84125509307468105</v>
      </c>
      <c r="F3493">
        <v>0.68081632358506705</v>
      </c>
      <c r="G3493">
        <v>0.494435984772222</v>
      </c>
      <c r="H3493">
        <v>0.44535570033744598</v>
      </c>
      <c r="I3493">
        <v>0.342681151369012</v>
      </c>
      <c r="J3493">
        <v>0.55819049740234805</v>
      </c>
      <c r="K3493">
        <v>0.50494961622170098</v>
      </c>
      <c r="L3493">
        <v>1243.9167356770599</v>
      </c>
      <c r="M3493">
        <v>23.9928859752157</v>
      </c>
      <c r="N3493">
        <v>57.702228125970699</v>
      </c>
      <c r="O3493">
        <v>51.489099156551603</v>
      </c>
      <c r="P3493">
        <v>-6.3348961154593597E-2</v>
      </c>
      <c r="Q3493">
        <v>0.45621726204195101</v>
      </c>
      <c r="R3493">
        <v>0.93407118843104298</v>
      </c>
      <c r="S3493" t="s">
        <v>9354</v>
      </c>
      <c r="T3493" t="s">
        <v>11720</v>
      </c>
      <c r="U3493" t="s">
        <v>11720</v>
      </c>
      <c r="V3493" t="s">
        <v>11720</v>
      </c>
      <c r="W3493" t="s">
        <v>15161</v>
      </c>
      <c r="X3493">
        <v>5</v>
      </c>
      <c r="Y3493" t="s">
        <v>20886</v>
      </c>
      <c r="Z3493" t="s">
        <v>26700</v>
      </c>
      <c r="AA3493">
        <v>0.6762893783942332</v>
      </c>
      <c r="AB3493" t="str">
        <f>HYPERLINK("Melting_Curves/meltCurve_Q5JVS0_HABP4.pdf", "Melting_Curves/meltCurve_Q5JVS0_HABP4.pdf")</f>
        <v>Melting_Curves/meltCurve_Q5JVS0_HABP4.pdf</v>
      </c>
    </row>
    <row r="3494" spans="1:28" x14ac:dyDescent="0.25">
      <c r="A3494" t="s">
        <v>3498</v>
      </c>
      <c r="B3494">
        <v>0.99334974765950101</v>
      </c>
      <c r="C3494">
        <v>0.90663137424406803</v>
      </c>
      <c r="D3494">
        <v>0.92259688273837404</v>
      </c>
      <c r="E3494">
        <v>0.60571972915563999</v>
      </c>
      <c r="F3494">
        <v>0.17528613914791499</v>
      </c>
      <c r="G3494">
        <v>0.123355884503751</v>
      </c>
      <c r="H3494">
        <v>8.7058709128961603E-2</v>
      </c>
      <c r="I3494">
        <v>8.3354356433925206E-2</v>
      </c>
      <c r="J3494">
        <v>6.3421024676511895E-2</v>
      </c>
      <c r="K3494">
        <v>5.7740376782162602E-2</v>
      </c>
      <c r="L3494">
        <v>1734.97298005947</v>
      </c>
      <c r="M3494">
        <v>34.500550870247103</v>
      </c>
      <c r="N3494">
        <v>50.5258026070453</v>
      </c>
      <c r="O3494">
        <v>50.120214089130201</v>
      </c>
      <c r="P3494">
        <v>-0.15920662897211599</v>
      </c>
      <c r="Q3494">
        <v>7.4862246697208201E-2</v>
      </c>
      <c r="R3494">
        <v>0.99091787916349305</v>
      </c>
      <c r="S3494" t="s">
        <v>9355</v>
      </c>
      <c r="T3494" t="s">
        <v>11720</v>
      </c>
      <c r="U3494" t="s">
        <v>11720</v>
      </c>
      <c r="V3494" t="s">
        <v>11720</v>
      </c>
      <c r="W3494" t="s">
        <v>15162</v>
      </c>
      <c r="X3494">
        <v>12</v>
      </c>
      <c r="Y3494" t="s">
        <v>20887</v>
      </c>
      <c r="Z3494" t="s">
        <v>26701</v>
      </c>
      <c r="AA3494">
        <v>0.39646656711249662</v>
      </c>
      <c r="AB3494" t="str">
        <f>HYPERLINK("Melting_Curves/meltCurve_Q5JVZ5_ELMO2.pdf", "Melting_Curves/meltCurve_Q5JVZ5_ELMO2.pdf")</f>
        <v>Melting_Curves/meltCurve_Q5JVZ5_ELMO2.pdf</v>
      </c>
    </row>
    <row r="3495" spans="1:28" x14ac:dyDescent="0.25">
      <c r="A3495" t="s">
        <v>3499</v>
      </c>
      <c r="B3495">
        <v>0.99334974765950101</v>
      </c>
      <c r="C3495">
        <v>0.85898445069666496</v>
      </c>
      <c r="D3495">
        <v>0.90558981627785895</v>
      </c>
      <c r="E3495">
        <v>0.75268917179468897</v>
      </c>
      <c r="F3495">
        <v>0.58609806325831004</v>
      </c>
      <c r="G3495">
        <v>0.83762989833246504</v>
      </c>
      <c r="H3495">
        <v>0.94731338049612501</v>
      </c>
      <c r="I3495">
        <v>0.766720201205353</v>
      </c>
      <c r="J3495">
        <v>0.37405606532005198</v>
      </c>
      <c r="K3495">
        <v>0.20150173742219599</v>
      </c>
      <c r="L3495">
        <v>361.04179226953403</v>
      </c>
      <c r="M3495">
        <v>5.3742520603732</v>
      </c>
      <c r="N3495">
        <v>67.179902963903103</v>
      </c>
      <c r="O3495">
        <v>59.578010797172503</v>
      </c>
      <c r="P3495">
        <v>-2.2659019849397801E-2</v>
      </c>
      <c r="Q3495">
        <v>0</v>
      </c>
      <c r="R3495">
        <v>0.50281857262326102</v>
      </c>
      <c r="S3495" t="s">
        <v>9356</v>
      </c>
      <c r="T3495" t="s">
        <v>11720</v>
      </c>
      <c r="U3495" t="s">
        <v>11720</v>
      </c>
      <c r="V3495" t="s">
        <v>11720</v>
      </c>
      <c r="W3495" t="s">
        <v>15163</v>
      </c>
      <c r="X3495">
        <v>1</v>
      </c>
      <c r="Y3495" t="s">
        <v>20888</v>
      </c>
      <c r="Z3495" t="s">
        <v>26702</v>
      </c>
      <c r="AA3495">
        <v>0.74675197426358286</v>
      </c>
      <c r="AB3495" t="str">
        <f>HYPERLINK("Melting_Curves/meltCurve_Q5JW02_SLC35C2.pdf", "Melting_Curves/meltCurve_Q5JW02_SLC35C2.pdf")</f>
        <v>Melting_Curves/meltCurve_Q5JW02_SLC35C2.pdf</v>
      </c>
    </row>
    <row r="3496" spans="1:28" x14ac:dyDescent="0.25">
      <c r="A3496" t="s">
        <v>3500</v>
      </c>
      <c r="B3496">
        <v>0.99334974765950101</v>
      </c>
      <c r="C3496">
        <v>0.95540777474775995</v>
      </c>
      <c r="D3496">
        <v>0.84459630210421699</v>
      </c>
      <c r="E3496">
        <v>0.72178026424592101</v>
      </c>
      <c r="F3496">
        <v>0.61828498840106705</v>
      </c>
      <c r="G3496">
        <v>0.39078145673709802</v>
      </c>
      <c r="H3496">
        <v>0.279581070474893</v>
      </c>
      <c r="I3496">
        <v>0.240624001146238</v>
      </c>
      <c r="J3496">
        <v>0.232211859170772</v>
      </c>
      <c r="K3496">
        <v>0.199046039549965</v>
      </c>
      <c r="L3496">
        <v>620.01904100691195</v>
      </c>
      <c r="M3496">
        <v>11.6731543140331</v>
      </c>
      <c r="N3496">
        <v>54.7201998757686</v>
      </c>
      <c r="O3496">
        <v>51.628009030850798</v>
      </c>
      <c r="P3496">
        <v>-4.8343164133661701E-2</v>
      </c>
      <c r="Q3496">
        <v>0.14498145687286099</v>
      </c>
      <c r="R3496">
        <v>0.99533160985172797</v>
      </c>
      <c r="S3496" t="s">
        <v>9357</v>
      </c>
      <c r="T3496" t="s">
        <v>11720</v>
      </c>
      <c r="U3496" t="s">
        <v>11720</v>
      </c>
      <c r="V3496" t="s">
        <v>11720</v>
      </c>
      <c r="W3496" t="s">
        <v>15164</v>
      </c>
      <c r="X3496">
        <v>3</v>
      </c>
      <c r="Y3496" t="s">
        <v>20889</v>
      </c>
      <c r="Z3496" t="s">
        <v>26703</v>
      </c>
      <c r="AA3496">
        <v>0.54361828117482569</v>
      </c>
      <c r="AB3496" t="str">
        <f>HYPERLINK("Melting_Curves/meltCurve_Q5JW30_STAU1.pdf", "Melting_Curves/meltCurve_Q5JW30_STAU1.pdf")</f>
        <v>Melting_Curves/meltCurve_Q5JW30_STAU1.pdf</v>
      </c>
    </row>
    <row r="3497" spans="1:28" x14ac:dyDescent="0.25">
      <c r="A3497" t="s">
        <v>3501</v>
      </c>
      <c r="B3497">
        <v>0.99334974765950101</v>
      </c>
      <c r="C3497">
        <v>0.89252246978091598</v>
      </c>
      <c r="D3497">
        <v>0.83103801561653501</v>
      </c>
      <c r="E3497">
        <v>0.80322547688692503</v>
      </c>
      <c r="F3497">
        <v>0.77303313047831301</v>
      </c>
      <c r="G3497">
        <v>0.65335641649384602</v>
      </c>
      <c r="H3497">
        <v>0.59837523731278297</v>
      </c>
      <c r="I3497">
        <v>0.65181104046804506</v>
      </c>
      <c r="J3497">
        <v>0.70737057977822804</v>
      </c>
      <c r="K3497">
        <v>0.54327951096510196</v>
      </c>
      <c r="L3497">
        <v>421.63639616975797</v>
      </c>
      <c r="M3497">
        <v>8.4337120363675808</v>
      </c>
      <c r="O3497">
        <v>47.420641285206798</v>
      </c>
      <c r="P3497">
        <v>-1.9063213101146701E-2</v>
      </c>
      <c r="Q3497">
        <v>0.57164689504682797</v>
      </c>
      <c r="R3497">
        <v>0.88127071597110695</v>
      </c>
      <c r="S3497" t="s">
        <v>9358</v>
      </c>
      <c r="T3497" t="s">
        <v>11720</v>
      </c>
      <c r="U3497" t="s">
        <v>11720</v>
      </c>
      <c r="V3497" t="s">
        <v>11720</v>
      </c>
      <c r="W3497" t="s">
        <v>15165</v>
      </c>
      <c r="X3497">
        <v>3</v>
      </c>
      <c r="Y3497" t="s">
        <v>20890</v>
      </c>
      <c r="Z3497" t="s">
        <v>26704</v>
      </c>
      <c r="AA3497">
        <v>0.73840555189202417</v>
      </c>
      <c r="AB3497" t="str">
        <f>HYPERLINK("Melting_Curves/meltCurve_Q5JWB9_TMEM230.pdf", "Melting_Curves/meltCurve_Q5JWB9_TMEM230.pdf")</f>
        <v>Melting_Curves/meltCurve_Q5JWB9_TMEM230.pdf</v>
      </c>
    </row>
    <row r="3498" spans="1:28" x14ac:dyDescent="0.25">
      <c r="A3498" t="s">
        <v>3502</v>
      </c>
      <c r="B3498">
        <v>0.99334974765950101</v>
      </c>
      <c r="C3498">
        <v>1.00572806091015</v>
      </c>
      <c r="D3498">
        <v>0.85254309913404602</v>
      </c>
      <c r="E3498">
        <v>0.820945872151991</v>
      </c>
      <c r="F3498">
        <v>0.54307423009849098</v>
      </c>
      <c r="G3498">
        <v>0.297997844967333</v>
      </c>
      <c r="H3498">
        <v>0.25226867296636402</v>
      </c>
      <c r="I3498">
        <v>0.13745229537417</v>
      </c>
      <c r="J3498">
        <v>0.262944810425082</v>
      </c>
      <c r="K3498">
        <v>0.18315388374825101</v>
      </c>
      <c r="L3498">
        <v>1033.22961018808</v>
      </c>
      <c r="M3498">
        <v>19.7120205638371</v>
      </c>
      <c r="N3498">
        <v>53.660023085029799</v>
      </c>
      <c r="O3498">
        <v>51.885709429480997</v>
      </c>
      <c r="P3498">
        <v>-7.7563509704752107E-2</v>
      </c>
      <c r="Q3498">
        <v>0.18338173583435599</v>
      </c>
      <c r="R3498">
        <v>0.97945409633403202</v>
      </c>
      <c r="S3498" t="s">
        <v>9359</v>
      </c>
      <c r="T3498" t="s">
        <v>11720</v>
      </c>
      <c r="U3498" t="s">
        <v>11720</v>
      </c>
      <c r="V3498" t="s">
        <v>11720</v>
      </c>
      <c r="W3498" t="s">
        <v>15166</v>
      </c>
      <c r="X3498">
        <v>2</v>
      </c>
      <c r="Y3498" t="s">
        <v>20891</v>
      </c>
      <c r="Z3498" t="s">
        <v>26705</v>
      </c>
      <c r="AA3498">
        <v>0.53292693692881743</v>
      </c>
      <c r="AB3498" t="str">
        <f>HYPERLINK("Melting_Curves/meltCurve_Q5JXX2_MORF4L2.pdf", "Melting_Curves/meltCurve_Q5JXX2_MORF4L2.pdf")</f>
        <v>Melting_Curves/meltCurve_Q5JXX2_MORF4L2.pdf</v>
      </c>
    </row>
    <row r="3499" spans="1:28" x14ac:dyDescent="0.25">
      <c r="A3499" t="s">
        <v>3503</v>
      </c>
      <c r="B3499">
        <v>0.99334974765950101</v>
      </c>
      <c r="C3499">
        <v>0.88255958053202099</v>
      </c>
      <c r="D3499">
        <v>0.69199930793571196</v>
      </c>
      <c r="E3499">
        <v>0.41109565254916203</v>
      </c>
      <c r="F3499">
        <v>0.40739169879258202</v>
      </c>
      <c r="G3499">
        <v>0.24839061465422901</v>
      </c>
      <c r="H3499">
        <v>0.303882401754622</v>
      </c>
      <c r="I3499">
        <v>0.280581561209851</v>
      </c>
      <c r="J3499">
        <v>0.33378041140026099</v>
      </c>
      <c r="K3499">
        <v>0.34154500743903898</v>
      </c>
      <c r="L3499">
        <v>978.08875716684702</v>
      </c>
      <c r="M3499">
        <v>21.076624293794701</v>
      </c>
      <c r="N3499">
        <v>48.577770153275402</v>
      </c>
      <c r="O3499">
        <v>45.9946298283704</v>
      </c>
      <c r="P3499">
        <v>-7.9609795133285005E-2</v>
      </c>
      <c r="Q3499">
        <v>0.30510197440724202</v>
      </c>
      <c r="R3499">
        <v>0.98198303010853005</v>
      </c>
      <c r="S3499" t="s">
        <v>9360</v>
      </c>
      <c r="T3499" t="s">
        <v>11720</v>
      </c>
      <c r="U3499" t="s">
        <v>11720</v>
      </c>
      <c r="V3499" t="s">
        <v>11720</v>
      </c>
      <c r="W3499" t="s">
        <v>15167</v>
      </c>
      <c r="X3499">
        <v>1</v>
      </c>
      <c r="Y3499" t="s">
        <v>20892</v>
      </c>
      <c r="Z3499" t="s">
        <v>26706</v>
      </c>
      <c r="AA3499">
        <v>0.46278902711835712</v>
      </c>
      <c r="AB3499" t="str">
        <f>HYPERLINK("Melting_Curves/meltCurve_Q5JY65_CRNKL1.pdf", "Melting_Curves/meltCurve_Q5JY65_CRNKL1.pdf")</f>
        <v>Melting_Curves/meltCurve_Q5JY65_CRNKL1.pdf</v>
      </c>
    </row>
    <row r="3500" spans="1:28" x14ac:dyDescent="0.25">
      <c r="A3500" t="s">
        <v>3504</v>
      </c>
      <c r="B3500">
        <v>0.99334974765950101</v>
      </c>
      <c r="C3500">
        <v>1.21897505411689</v>
      </c>
      <c r="D3500">
        <v>0.89334570834535698</v>
      </c>
      <c r="E3500">
        <v>0.90693816481960698</v>
      </c>
      <c r="F3500">
        <v>0.55101755386457196</v>
      </c>
      <c r="G3500">
        <v>0.46977148266712898</v>
      </c>
      <c r="H3500">
        <v>0.248709082488141</v>
      </c>
      <c r="I3500">
        <v>0.18359652699666901</v>
      </c>
      <c r="J3500">
        <v>0.100401885695601</v>
      </c>
      <c r="K3500">
        <v>7.7630571387147795E-2</v>
      </c>
      <c r="L3500">
        <v>812.05027560982899</v>
      </c>
      <c r="M3500">
        <v>14.7190213860921</v>
      </c>
      <c r="N3500">
        <v>55.594902059682902</v>
      </c>
      <c r="O3500">
        <v>54.181797251198503</v>
      </c>
      <c r="P3500">
        <v>-6.4309979987693694E-2</v>
      </c>
      <c r="Q3500">
        <v>5.3184041840478799E-2</v>
      </c>
      <c r="R3500">
        <v>0.94789393181134496</v>
      </c>
      <c r="S3500" t="s">
        <v>9361</v>
      </c>
      <c r="T3500" t="s">
        <v>11720</v>
      </c>
      <c r="U3500" t="s">
        <v>11720</v>
      </c>
      <c r="V3500" t="s">
        <v>11720</v>
      </c>
      <c r="W3500" t="s">
        <v>15168</v>
      </c>
      <c r="X3500">
        <v>1</v>
      </c>
      <c r="Y3500" t="s">
        <v>20893</v>
      </c>
      <c r="Z3500" t="s">
        <v>26707</v>
      </c>
      <c r="AA3500">
        <v>0.55034152599840147</v>
      </c>
      <c r="AB3500" t="str">
        <f>HYPERLINK("Melting_Curves/meltCurve_Q5JYT7_KIAA1755.pdf", "Melting_Curves/meltCurve_Q5JYT7_KIAA1755.pdf")</f>
        <v>Melting_Curves/meltCurve_Q5JYT7_KIAA1755.pdf</v>
      </c>
    </row>
    <row r="3501" spans="1:28" x14ac:dyDescent="0.25">
      <c r="A3501" t="s">
        <v>3505</v>
      </c>
      <c r="B3501">
        <v>0.99334974765950101</v>
      </c>
      <c r="C3501">
        <v>0.94556443115359001</v>
      </c>
      <c r="D3501">
        <v>0.75350540055305903</v>
      </c>
      <c r="E3501">
        <v>0.41933701424033498</v>
      </c>
      <c r="F3501">
        <v>0.47932649743525502</v>
      </c>
      <c r="G3501">
        <v>0.227994687522661</v>
      </c>
      <c r="H3501">
        <v>0.16268833950762501</v>
      </c>
      <c r="I3501">
        <v>9.4907526037486895E-2</v>
      </c>
      <c r="J3501">
        <v>0.101841201908455</v>
      </c>
      <c r="K3501">
        <v>4.6693984231439299E-2</v>
      </c>
      <c r="L3501">
        <v>598.19210720541105</v>
      </c>
      <c r="M3501">
        <v>11.9042848019917</v>
      </c>
      <c r="N3501">
        <v>50.623263465526101</v>
      </c>
      <c r="O3501">
        <v>48.895085487238298</v>
      </c>
      <c r="P3501">
        <v>-5.8324574056157201E-2</v>
      </c>
      <c r="Q3501">
        <v>4.2000072883619802E-2</v>
      </c>
      <c r="R3501">
        <v>0.97455139743120001</v>
      </c>
      <c r="S3501" t="s">
        <v>9362</v>
      </c>
      <c r="T3501" t="s">
        <v>11720</v>
      </c>
      <c r="U3501" t="s">
        <v>11720</v>
      </c>
      <c r="V3501" t="s">
        <v>11720</v>
      </c>
      <c r="W3501" t="s">
        <v>15169</v>
      </c>
      <c r="X3501">
        <v>9</v>
      </c>
      <c r="Y3501" t="s">
        <v>20894</v>
      </c>
      <c r="Z3501" t="s">
        <v>26708</v>
      </c>
      <c r="AA3501">
        <v>0.40240043536311632</v>
      </c>
      <c r="AB3501" t="str">
        <f>HYPERLINK("Melting_Curves/meltCurve_Q5JZH3_SNX21.pdf", "Melting_Curves/meltCurve_Q5JZH3_SNX21.pdf")</f>
        <v>Melting_Curves/meltCurve_Q5JZH3_SNX21.pdf</v>
      </c>
    </row>
    <row r="3502" spans="1:28" x14ac:dyDescent="0.25">
      <c r="A3502" t="s">
        <v>3506</v>
      </c>
      <c r="B3502">
        <v>0.99334974765950101</v>
      </c>
      <c r="C3502">
        <v>0.88740000089994497</v>
      </c>
      <c r="D3502">
        <v>0.79640282544337804</v>
      </c>
      <c r="E3502">
        <v>0.603780590339423</v>
      </c>
      <c r="F3502">
        <v>0.30984402058031202</v>
      </c>
      <c r="G3502">
        <v>0.179777104824344</v>
      </c>
      <c r="H3502">
        <v>0.121838634318226</v>
      </c>
      <c r="I3502">
        <v>0.11053007700793099</v>
      </c>
      <c r="J3502">
        <v>0.104249945807649</v>
      </c>
      <c r="K3502">
        <v>8.1962523476127494E-2</v>
      </c>
      <c r="L3502">
        <v>765.57060449446794</v>
      </c>
      <c r="M3502">
        <v>15.280254828277201</v>
      </c>
      <c r="N3502">
        <v>50.599468521976704</v>
      </c>
      <c r="O3502">
        <v>49.267351646893502</v>
      </c>
      <c r="P3502">
        <v>-7.2135955841892502E-2</v>
      </c>
      <c r="Q3502">
        <v>6.9750141843030702E-2</v>
      </c>
      <c r="R3502">
        <v>0.99279206862653002</v>
      </c>
      <c r="S3502" t="s">
        <v>9363</v>
      </c>
      <c r="T3502" t="s">
        <v>11720</v>
      </c>
      <c r="U3502" t="s">
        <v>11720</v>
      </c>
      <c r="V3502" t="s">
        <v>11720</v>
      </c>
      <c r="W3502" t="s">
        <v>15170</v>
      </c>
      <c r="X3502">
        <v>5</v>
      </c>
      <c r="Y3502" t="s">
        <v>20895</v>
      </c>
      <c r="Z3502" t="s">
        <v>26709</v>
      </c>
      <c r="AA3502">
        <v>0.40439366024638701</v>
      </c>
      <c r="AB3502" t="str">
        <f>HYPERLINK("Melting_Curves/meltCurve_Q5K4L6_SLC27A3.pdf", "Melting_Curves/meltCurve_Q5K4L6_SLC27A3.pdf")</f>
        <v>Melting_Curves/meltCurve_Q5K4L6_SLC27A3.pdf</v>
      </c>
    </row>
    <row r="3503" spans="1:28" x14ac:dyDescent="0.25">
      <c r="A3503" t="s">
        <v>3507</v>
      </c>
      <c r="B3503">
        <v>0.99334974765950101</v>
      </c>
      <c r="C3503">
        <v>0.970607076230807</v>
      </c>
      <c r="D3503">
        <v>0.99234992580837</v>
      </c>
      <c r="E3503">
        <v>1.07321905884873</v>
      </c>
      <c r="F3503">
        <v>1.1414630150757901</v>
      </c>
      <c r="G3503">
        <v>1.25872950830698</v>
      </c>
      <c r="H3503">
        <v>1.2475211944431299</v>
      </c>
      <c r="I3503">
        <v>1.30952037831867</v>
      </c>
      <c r="J3503">
        <v>1.24001478285925</v>
      </c>
      <c r="K3503">
        <v>1.1234623532927701</v>
      </c>
      <c r="L3503">
        <v>1689.3894486827401</v>
      </c>
      <c r="M3503">
        <v>32.6536986396355</v>
      </c>
      <c r="O3503">
        <v>51.543674511515199</v>
      </c>
      <c r="P3503">
        <v>3.7391686803448898E-2</v>
      </c>
      <c r="Q3503">
        <v>1.2360890882987099</v>
      </c>
      <c r="R3503">
        <v>0.84969377772631904</v>
      </c>
      <c r="S3503" t="s">
        <v>9364</v>
      </c>
      <c r="T3503" t="s">
        <v>11720</v>
      </c>
      <c r="U3503" t="s">
        <v>11720</v>
      </c>
      <c r="V3503" t="s">
        <v>11720</v>
      </c>
      <c r="W3503" t="s">
        <v>15171</v>
      </c>
      <c r="X3503">
        <v>8</v>
      </c>
      <c r="Y3503" t="s">
        <v>20896</v>
      </c>
      <c r="Z3503" t="s">
        <v>26710</v>
      </c>
      <c r="AA3503">
        <v>1.142458264952237</v>
      </c>
      <c r="AB3503" t="str">
        <f>HYPERLINK("Melting_Curves/meltCurve_Q5KU26_COLEC12.pdf", "Melting_Curves/meltCurve_Q5KU26_COLEC12.pdf")</f>
        <v>Melting_Curves/meltCurve_Q5KU26_COLEC12.pdf</v>
      </c>
    </row>
    <row r="3504" spans="1:28" x14ac:dyDescent="0.25">
      <c r="A3504" t="s">
        <v>3508</v>
      </c>
      <c r="B3504">
        <v>0.99334974765950101</v>
      </c>
      <c r="C3504">
        <v>1.03509955889397</v>
      </c>
      <c r="D3504">
        <v>0.903326582613864</v>
      </c>
      <c r="E3504">
        <v>0.78016292496957096</v>
      </c>
      <c r="F3504">
        <v>0.41859849250395498</v>
      </c>
      <c r="G3504">
        <v>0.315313512741143</v>
      </c>
      <c r="H3504">
        <v>0.26078726411550002</v>
      </c>
      <c r="I3504">
        <v>0.29817997556599002</v>
      </c>
      <c r="J3504">
        <v>0.29943994635563798</v>
      </c>
      <c r="K3504">
        <v>0.24331876430736901</v>
      </c>
      <c r="L3504">
        <v>1679.9530740157099</v>
      </c>
      <c r="M3504">
        <v>32.919783212207903</v>
      </c>
      <c r="N3504">
        <v>52.305673852813797</v>
      </c>
      <c r="O3504">
        <v>50.844509143382602</v>
      </c>
      <c r="P3504">
        <v>-0.117232992708465</v>
      </c>
      <c r="Q3504">
        <v>0.27573920048683898</v>
      </c>
      <c r="R3504">
        <v>0.98872095347309696</v>
      </c>
      <c r="S3504" t="s">
        <v>9365</v>
      </c>
      <c r="T3504" t="s">
        <v>11720</v>
      </c>
      <c r="U3504" t="s">
        <v>11720</v>
      </c>
      <c r="V3504" t="s">
        <v>11720</v>
      </c>
      <c r="W3504" t="s">
        <v>15172</v>
      </c>
      <c r="X3504">
        <v>8</v>
      </c>
      <c r="Y3504" t="s">
        <v>20897</v>
      </c>
      <c r="Z3504" t="s">
        <v>26711</v>
      </c>
      <c r="AA3504">
        <v>0.54584860683410663</v>
      </c>
      <c r="AB3504" t="str">
        <f>HYPERLINK("Melting_Curves/meltCurve_Q5M775_4_SPECC1.pdf", "Melting_Curves/meltCurve_Q5M775_4_SPECC1.pdf")</f>
        <v>Melting_Curves/meltCurve_Q5M775_4_SPECC1.pdf</v>
      </c>
    </row>
    <row r="3505" spans="1:28" x14ac:dyDescent="0.25">
      <c r="A3505" t="s">
        <v>3509</v>
      </c>
      <c r="B3505">
        <v>0.99334974765950101</v>
      </c>
      <c r="C3505">
        <v>1.09687058176354</v>
      </c>
      <c r="D3505">
        <v>0.94998801399024602</v>
      </c>
      <c r="E3505">
        <v>1.04766794113203</v>
      </c>
      <c r="F3505">
        <v>1.09666129425614</v>
      </c>
      <c r="G3505">
        <v>1.06326864078949</v>
      </c>
      <c r="H3505">
        <v>0.77406451466982695</v>
      </c>
      <c r="I3505">
        <v>0.69338865755193702</v>
      </c>
      <c r="J3505">
        <v>0.77377723509862795</v>
      </c>
      <c r="K3505">
        <v>0.70314464244370001</v>
      </c>
      <c r="L3505">
        <v>15000</v>
      </c>
      <c r="M3505">
        <v>247.39739838777101</v>
      </c>
      <c r="O3505">
        <v>60.627241091708299</v>
      </c>
      <c r="P3505">
        <v>-0.282138156867691</v>
      </c>
      <c r="Q3505">
        <v>0.723436770721404</v>
      </c>
      <c r="R3505">
        <v>0.87270620833046997</v>
      </c>
      <c r="S3505" t="s">
        <v>9366</v>
      </c>
      <c r="T3505" t="s">
        <v>11720</v>
      </c>
      <c r="U3505" t="s">
        <v>11720</v>
      </c>
      <c r="V3505" t="s">
        <v>11720</v>
      </c>
      <c r="W3505" t="s">
        <v>15173</v>
      </c>
      <c r="X3505">
        <v>2</v>
      </c>
      <c r="Y3505" t="s">
        <v>20898</v>
      </c>
      <c r="Z3505" t="s">
        <v>26712</v>
      </c>
      <c r="AA3505">
        <v>0.91366115550107596</v>
      </c>
      <c r="AB3505" t="str">
        <f>HYPERLINK("Melting_Curves/meltCurve_Q5MIZ7_3_SMEK2.pdf", "Melting_Curves/meltCurve_Q5MIZ7_3_SMEK2.pdf")</f>
        <v>Melting_Curves/meltCurve_Q5MIZ7_3_SMEK2.pdf</v>
      </c>
    </row>
    <row r="3506" spans="1:28" x14ac:dyDescent="0.25">
      <c r="A3506" t="s">
        <v>3510</v>
      </c>
      <c r="B3506">
        <v>0.99334974765950101</v>
      </c>
      <c r="C3506">
        <v>0.93152716555012505</v>
      </c>
      <c r="D3506">
        <v>0.88513225908656701</v>
      </c>
      <c r="E3506">
        <v>0.72842398719688695</v>
      </c>
      <c r="F3506">
        <v>0.62458301203550803</v>
      </c>
      <c r="G3506">
        <v>0.57635349616797904</v>
      </c>
      <c r="H3506">
        <v>0.51513612687567301</v>
      </c>
      <c r="I3506">
        <v>0.49576943444091098</v>
      </c>
      <c r="J3506">
        <v>0.224796679384203</v>
      </c>
      <c r="K3506">
        <v>0.102898805510564</v>
      </c>
      <c r="L3506">
        <v>422.84880778140098</v>
      </c>
      <c r="M3506">
        <v>7.2041168557273396</v>
      </c>
      <c r="N3506">
        <v>58.695443307553198</v>
      </c>
      <c r="O3506">
        <v>54.6784430291071</v>
      </c>
      <c r="P3506">
        <v>-3.2993508440466002E-2</v>
      </c>
      <c r="Q3506">
        <v>0</v>
      </c>
      <c r="R3506">
        <v>0.92646636286672501</v>
      </c>
      <c r="S3506" t="s">
        <v>9367</v>
      </c>
      <c r="T3506" t="s">
        <v>11720</v>
      </c>
      <c r="U3506" t="s">
        <v>11720</v>
      </c>
      <c r="V3506" t="s">
        <v>11720</v>
      </c>
      <c r="W3506" t="s">
        <v>15174</v>
      </c>
      <c r="X3506">
        <v>10</v>
      </c>
      <c r="Y3506" t="s">
        <v>20899</v>
      </c>
      <c r="Z3506" t="s">
        <v>26713</v>
      </c>
      <c r="AA3506">
        <v>0.61573867538203575</v>
      </c>
      <c r="AB3506" t="str">
        <f>HYPERLINK("Melting_Curves/meltCurve_Q5MNZ6_WDR45B.pdf", "Melting_Curves/meltCurve_Q5MNZ6_WDR45B.pdf")</f>
        <v>Melting_Curves/meltCurve_Q5MNZ6_WDR45B.pdf</v>
      </c>
    </row>
    <row r="3507" spans="1:28" x14ac:dyDescent="0.25">
      <c r="A3507" t="s">
        <v>3511</v>
      </c>
      <c r="B3507">
        <v>0.99334974765950101</v>
      </c>
      <c r="C3507">
        <v>1.05271309958148</v>
      </c>
      <c r="D3507">
        <v>0.94866836942256105</v>
      </c>
      <c r="E3507">
        <v>0.94629727955465504</v>
      </c>
      <c r="F3507">
        <v>0.67969935950883698</v>
      </c>
      <c r="G3507">
        <v>0.73606937645947601</v>
      </c>
      <c r="H3507">
        <v>0.61326401492723803</v>
      </c>
      <c r="I3507">
        <v>0.53340102977441095</v>
      </c>
      <c r="J3507">
        <v>0.195513504350941</v>
      </c>
      <c r="K3507">
        <v>8.2423777226169698E-2</v>
      </c>
      <c r="L3507">
        <v>691.32500565698194</v>
      </c>
      <c r="M3507">
        <v>11.2274246871873</v>
      </c>
      <c r="N3507">
        <v>61.574673196331901</v>
      </c>
      <c r="O3507">
        <v>59.718199515334803</v>
      </c>
      <c r="P3507">
        <v>-4.7016342678254497E-2</v>
      </c>
      <c r="Q3507">
        <v>0</v>
      </c>
      <c r="R3507">
        <v>0.91193933210209799</v>
      </c>
      <c r="S3507" t="s">
        <v>9368</v>
      </c>
      <c r="T3507" t="s">
        <v>11720</v>
      </c>
      <c r="U3507" t="s">
        <v>11720</v>
      </c>
      <c r="V3507" t="s">
        <v>11720</v>
      </c>
      <c r="W3507" t="s">
        <v>15175</v>
      </c>
      <c r="X3507">
        <v>14</v>
      </c>
      <c r="Y3507" t="s">
        <v>18292</v>
      </c>
      <c r="Z3507" t="s">
        <v>26714</v>
      </c>
      <c r="AA3507">
        <v>0.70801824678761727</v>
      </c>
      <c r="AB3507" t="str">
        <f>HYPERLINK("Melting_Curves/meltCurve_Q5MNZ9_2_WIPI1.pdf", "Melting_Curves/meltCurve_Q5MNZ9_2_WIPI1.pdf")</f>
        <v>Melting_Curves/meltCurve_Q5MNZ9_2_WIPI1.pdf</v>
      </c>
    </row>
    <row r="3508" spans="1:28" x14ac:dyDescent="0.25">
      <c r="A3508" t="s">
        <v>3512</v>
      </c>
      <c r="B3508">
        <v>0.99334974765950101</v>
      </c>
      <c r="C3508">
        <v>1.0377057510744701</v>
      </c>
      <c r="D3508">
        <v>1.00859688212439</v>
      </c>
      <c r="E3508">
        <v>0.81352227573546698</v>
      </c>
      <c r="F3508">
        <v>0.23812879904053</v>
      </c>
      <c r="G3508">
        <v>0.16561654843409199</v>
      </c>
      <c r="H3508">
        <v>0.118575165957907</v>
      </c>
      <c r="I3508">
        <v>0.114322728679126</v>
      </c>
      <c r="J3508">
        <v>8.6882104390062304E-2</v>
      </c>
      <c r="K3508">
        <v>6.5577925390398598E-2</v>
      </c>
      <c r="L3508">
        <v>2699.0155780073101</v>
      </c>
      <c r="M3508">
        <v>52.660060313582001</v>
      </c>
      <c r="N3508">
        <v>51.493000309739102</v>
      </c>
      <c r="O3508">
        <v>51.179807731191197</v>
      </c>
      <c r="P3508">
        <v>-0.229298705771984</v>
      </c>
      <c r="Q3508">
        <v>0.10858776600282399</v>
      </c>
      <c r="R3508">
        <v>0.99601113732304303</v>
      </c>
      <c r="S3508" t="s">
        <v>9369</v>
      </c>
      <c r="T3508" t="s">
        <v>11720</v>
      </c>
      <c r="U3508" t="s">
        <v>11720</v>
      </c>
      <c r="V3508" t="s">
        <v>11720</v>
      </c>
      <c r="W3508" t="s">
        <v>15176</v>
      </c>
      <c r="X3508">
        <v>15</v>
      </c>
      <c r="Y3508" t="s">
        <v>20900</v>
      </c>
      <c r="Z3508" t="s">
        <v>26715</v>
      </c>
      <c r="AA3508">
        <v>0.44478896008581342</v>
      </c>
      <c r="AB3508" t="str">
        <f>HYPERLINK("Melting_Curves/meltCurve_Q5NDL2_EOGT.pdf", "Melting_Curves/meltCurve_Q5NDL2_EOGT.pdf")</f>
        <v>Melting_Curves/meltCurve_Q5NDL2_EOGT.pdf</v>
      </c>
    </row>
    <row r="3509" spans="1:28" x14ac:dyDescent="0.25">
      <c r="A3509" t="s">
        <v>3513</v>
      </c>
      <c r="B3509">
        <v>0.99334974765950101</v>
      </c>
      <c r="C3509">
        <v>0.96892174355486804</v>
      </c>
      <c r="D3509">
        <v>0.75183572045867297</v>
      </c>
      <c r="E3509">
        <v>0.39368910385098499</v>
      </c>
      <c r="F3509">
        <v>0.253315825678332</v>
      </c>
      <c r="G3509">
        <v>0.151177324926631</v>
      </c>
      <c r="H3509">
        <v>0.12826844921111999</v>
      </c>
      <c r="I3509">
        <v>0.1027142748234</v>
      </c>
      <c r="J3509">
        <v>0.107725512431242</v>
      </c>
      <c r="K3509">
        <v>8.7214044222929901E-2</v>
      </c>
      <c r="L3509">
        <v>978.17449699163205</v>
      </c>
      <c r="M3509">
        <v>20.238392491992599</v>
      </c>
      <c r="N3509">
        <v>48.897226555127503</v>
      </c>
      <c r="O3509">
        <v>47.868156856075103</v>
      </c>
      <c r="P3509">
        <v>-9.4688176310137401E-2</v>
      </c>
      <c r="Q3509">
        <v>0.104196185667735</v>
      </c>
      <c r="R3509">
        <v>0.99802709553854596</v>
      </c>
      <c r="S3509" t="s">
        <v>9370</v>
      </c>
      <c r="T3509" t="s">
        <v>11720</v>
      </c>
      <c r="U3509" t="s">
        <v>11720</v>
      </c>
      <c r="V3509" t="s">
        <v>11720</v>
      </c>
      <c r="W3509" t="s">
        <v>15177</v>
      </c>
      <c r="X3509">
        <v>14</v>
      </c>
      <c r="Y3509" t="s">
        <v>20901</v>
      </c>
      <c r="Z3509" t="s">
        <v>26716</v>
      </c>
      <c r="AA3509">
        <v>0.36535262357225151</v>
      </c>
      <c r="AB3509" t="str">
        <f>HYPERLINK("Melting_Curves/meltCurve_Q5QJ74_TBCEL.pdf", "Melting_Curves/meltCurve_Q5QJ74_TBCEL.pdf")</f>
        <v>Melting_Curves/meltCurve_Q5QJ74_TBCEL.pdf</v>
      </c>
    </row>
    <row r="3510" spans="1:28" x14ac:dyDescent="0.25">
      <c r="A3510" t="s">
        <v>3514</v>
      </c>
      <c r="B3510">
        <v>0.99334974765950101</v>
      </c>
      <c r="C3510">
        <v>0.96734226842214099</v>
      </c>
      <c r="D3510">
        <v>0.92387693526271497</v>
      </c>
      <c r="E3510">
        <v>0.86262668580072799</v>
      </c>
      <c r="F3510">
        <v>0.88243876679299105</v>
      </c>
      <c r="G3510">
        <v>0.766058435980289</v>
      </c>
      <c r="H3510">
        <v>0.75205151427493899</v>
      </c>
      <c r="I3510">
        <v>1.0496072624367601</v>
      </c>
      <c r="J3510">
        <v>0.938380455634792</v>
      </c>
      <c r="K3510">
        <v>0.91199003203665496</v>
      </c>
      <c r="L3510">
        <v>1384.0109861037799</v>
      </c>
      <c r="M3510">
        <v>31.027360132451399</v>
      </c>
      <c r="O3510">
        <v>44.422082580896699</v>
      </c>
      <c r="P3510">
        <v>-2.0841163226265801E-2</v>
      </c>
      <c r="Q3510">
        <v>0.88064694082328299</v>
      </c>
      <c r="R3510">
        <v>0.20135120090542799</v>
      </c>
      <c r="S3510" t="s">
        <v>9371</v>
      </c>
      <c r="T3510" t="s">
        <v>11720</v>
      </c>
      <c r="U3510" t="s">
        <v>11720</v>
      </c>
      <c r="V3510" t="s">
        <v>11720</v>
      </c>
      <c r="W3510" t="s">
        <v>15178</v>
      </c>
      <c r="X3510">
        <v>18</v>
      </c>
      <c r="Y3510" t="s">
        <v>20902</v>
      </c>
      <c r="Z3510" t="s">
        <v>26717</v>
      </c>
      <c r="AA3510">
        <v>0.89970795959046634</v>
      </c>
      <c r="AB3510" t="str">
        <f>HYPERLINK("Melting_Curves/meltCurve_Q5QNY5_PEX19.pdf", "Melting_Curves/meltCurve_Q5QNY5_PEX19.pdf")</f>
        <v>Melting_Curves/meltCurve_Q5QNY5_PEX19.pdf</v>
      </c>
    </row>
    <row r="3511" spans="1:28" x14ac:dyDescent="0.25">
      <c r="A3511" t="s">
        <v>3515</v>
      </c>
      <c r="B3511">
        <v>0.99334974765950101</v>
      </c>
      <c r="C3511">
        <v>0.97929635780054503</v>
      </c>
      <c r="D3511">
        <v>0.87172675183399495</v>
      </c>
      <c r="E3511">
        <v>1.15087582160381</v>
      </c>
      <c r="F3511">
        <v>1.02051754767856</v>
      </c>
      <c r="G3511">
        <v>1.59442362453006</v>
      </c>
      <c r="H3511">
        <v>1.33128004111928</v>
      </c>
      <c r="I3511">
        <v>1.0324890903345001</v>
      </c>
      <c r="J3511">
        <v>0.20028693116827501</v>
      </c>
      <c r="K3511">
        <v>0.12983820624020001</v>
      </c>
      <c r="L3511">
        <v>15000</v>
      </c>
      <c r="M3511">
        <v>226.30613004850699</v>
      </c>
      <c r="N3511">
        <v>66.369987585688406</v>
      </c>
      <c r="O3511">
        <v>66.276716967791799</v>
      </c>
      <c r="P3511">
        <v>-0.74290927234241599</v>
      </c>
      <c r="Q3511">
        <v>0.12971704886886701</v>
      </c>
      <c r="R3511">
        <v>0.72779581122824999</v>
      </c>
      <c r="S3511" t="s">
        <v>9372</v>
      </c>
      <c r="T3511" t="s">
        <v>11720</v>
      </c>
      <c r="U3511" t="s">
        <v>11720</v>
      </c>
      <c r="V3511" t="s">
        <v>11720</v>
      </c>
      <c r="W3511" t="s">
        <v>15179</v>
      </c>
      <c r="X3511">
        <v>5</v>
      </c>
      <c r="Y3511" t="s">
        <v>20903</v>
      </c>
      <c r="Z3511" t="s">
        <v>26718</v>
      </c>
      <c r="AA3511">
        <v>0.89226348677108924</v>
      </c>
      <c r="AB3511" t="str">
        <f>HYPERLINK("Melting_Curves/meltCurve_Q5QNZ2_ATP5F1.pdf", "Melting_Curves/meltCurve_Q5QNZ2_ATP5F1.pdf")</f>
        <v>Melting_Curves/meltCurve_Q5QNZ2_ATP5F1.pdf</v>
      </c>
    </row>
    <row r="3512" spans="1:28" x14ac:dyDescent="0.25">
      <c r="A3512" t="s">
        <v>3516</v>
      </c>
      <c r="B3512">
        <v>0.99334974765950101</v>
      </c>
      <c r="C3512">
        <v>0.94711349961688895</v>
      </c>
      <c r="D3512">
        <v>0.98485686817201001</v>
      </c>
      <c r="E3512">
        <v>0.72546013095236705</v>
      </c>
      <c r="F3512">
        <v>0.56392124822770395</v>
      </c>
      <c r="G3512">
        <v>0.54615581295902904</v>
      </c>
      <c r="H3512">
        <v>0.51309101381049904</v>
      </c>
      <c r="I3512">
        <v>0.56331058347349405</v>
      </c>
      <c r="J3512">
        <v>0.46449742155609203</v>
      </c>
      <c r="K3512">
        <v>0.29472205371749099</v>
      </c>
      <c r="L3512">
        <v>998.32250040070005</v>
      </c>
      <c r="M3512">
        <v>19.847659243789</v>
      </c>
      <c r="N3512">
        <v>57.170625065661199</v>
      </c>
      <c r="O3512">
        <v>49.796990981924097</v>
      </c>
      <c r="P3512">
        <v>-5.4408955836441501E-2</v>
      </c>
      <c r="Q3512">
        <v>0.45397865501739298</v>
      </c>
      <c r="R3512">
        <v>0.91200824412025105</v>
      </c>
      <c r="S3512" t="s">
        <v>9373</v>
      </c>
      <c r="T3512" t="s">
        <v>11720</v>
      </c>
      <c r="U3512" t="s">
        <v>11720</v>
      </c>
      <c r="V3512" t="s">
        <v>11720</v>
      </c>
      <c r="W3512" t="s">
        <v>15180</v>
      </c>
      <c r="X3512">
        <v>4</v>
      </c>
      <c r="Y3512" t="s">
        <v>20904</v>
      </c>
      <c r="Z3512" t="s">
        <v>26719</v>
      </c>
      <c r="AA3512">
        <v>0.64913861390310723</v>
      </c>
      <c r="AB3512" t="str">
        <f>HYPERLINK("Melting_Curves/meltCurve_Q5QP56_BCL2L1.pdf", "Melting_Curves/meltCurve_Q5QP56_BCL2L1.pdf")</f>
        <v>Melting_Curves/meltCurve_Q5QP56_BCL2L1.pdf</v>
      </c>
    </row>
    <row r="3513" spans="1:28" x14ac:dyDescent="0.25">
      <c r="A3513" t="s">
        <v>3517</v>
      </c>
      <c r="B3513">
        <v>0.99334974765950101</v>
      </c>
      <c r="C3513">
        <v>1.1012585806944899</v>
      </c>
      <c r="D3513">
        <v>1.17499371145556</v>
      </c>
      <c r="E3513">
        <v>0.81004795920470496</v>
      </c>
      <c r="F3513">
        <v>0.56747418160285601</v>
      </c>
      <c r="G3513">
        <v>0.42184099886892801</v>
      </c>
      <c r="H3513">
        <v>0.114535881952508</v>
      </c>
      <c r="I3513">
        <v>7.9561028019161303E-2</v>
      </c>
      <c r="J3513">
        <v>5.8764908757890699E-2</v>
      </c>
      <c r="K3513">
        <v>4.53834620648235E-2</v>
      </c>
      <c r="L3513">
        <v>1008.59127798562</v>
      </c>
      <c r="M3513">
        <v>18.490713135014801</v>
      </c>
      <c r="N3513">
        <v>54.718835945253403</v>
      </c>
      <c r="O3513">
        <v>53.9198602261567</v>
      </c>
      <c r="P3513">
        <v>-8.33018522020815E-2</v>
      </c>
      <c r="Q3513">
        <v>2.8393337308279601E-2</v>
      </c>
      <c r="R3513">
        <v>0.96259500711270596</v>
      </c>
      <c r="S3513" t="s">
        <v>9374</v>
      </c>
      <c r="T3513" t="s">
        <v>11720</v>
      </c>
      <c r="U3513" t="s">
        <v>11720</v>
      </c>
      <c r="V3513" t="s">
        <v>11720</v>
      </c>
      <c r="W3513" t="s">
        <v>15181</v>
      </c>
      <c r="X3513">
        <v>7</v>
      </c>
      <c r="Y3513" t="s">
        <v>20905</v>
      </c>
      <c r="Z3513" t="s">
        <v>26720</v>
      </c>
      <c r="AA3513">
        <v>0.51419665815037086</v>
      </c>
      <c r="AB3513" t="str">
        <f>HYPERLINK("Melting_Curves/meltCurve_Q5QPK2_DPM1.pdf", "Melting_Curves/meltCurve_Q5QPK2_DPM1.pdf")</f>
        <v>Melting_Curves/meltCurve_Q5QPK2_DPM1.pdf</v>
      </c>
    </row>
    <row r="3514" spans="1:28" x14ac:dyDescent="0.25">
      <c r="A3514" t="s">
        <v>3518</v>
      </c>
      <c r="B3514">
        <v>0.99334974765950101</v>
      </c>
      <c r="C3514">
        <v>0.94359543085961795</v>
      </c>
      <c r="D3514">
        <v>0.79753618632286305</v>
      </c>
      <c r="E3514">
        <v>0.69512328170667204</v>
      </c>
      <c r="F3514">
        <v>0.42890840342617098</v>
      </c>
      <c r="G3514">
        <v>0.183244336351473</v>
      </c>
      <c r="H3514">
        <v>0.10914984624106799</v>
      </c>
      <c r="I3514">
        <v>9.1948021793936005E-2</v>
      </c>
      <c r="J3514">
        <v>8.4270697820031396E-2</v>
      </c>
      <c r="K3514">
        <v>5.3461091739456901E-2</v>
      </c>
      <c r="L3514">
        <v>759.08771368704902</v>
      </c>
      <c r="M3514">
        <v>14.6897106355937</v>
      </c>
      <c r="N3514">
        <v>51.893794451842403</v>
      </c>
      <c r="O3514">
        <v>50.7455052890761</v>
      </c>
      <c r="P3514">
        <v>-7.0202116529977196E-2</v>
      </c>
      <c r="Q3514">
        <v>3.00557813805949E-2</v>
      </c>
      <c r="R3514">
        <v>0.991612427804344</v>
      </c>
      <c r="S3514" t="s">
        <v>9375</v>
      </c>
      <c r="T3514" t="s">
        <v>11720</v>
      </c>
      <c r="U3514" t="s">
        <v>11720</v>
      </c>
      <c r="V3514" t="s">
        <v>11720</v>
      </c>
      <c r="W3514" t="s">
        <v>15182</v>
      </c>
      <c r="X3514">
        <v>6</v>
      </c>
      <c r="Y3514" t="s">
        <v>20906</v>
      </c>
      <c r="Z3514" t="s">
        <v>26721</v>
      </c>
      <c r="AA3514">
        <v>0.43017198786140509</v>
      </c>
      <c r="AB3514" t="str">
        <f>HYPERLINK("Melting_Curves/meltCurve_Q5QPM7_PSMF1.pdf", "Melting_Curves/meltCurve_Q5QPM7_PSMF1.pdf")</f>
        <v>Melting_Curves/meltCurve_Q5QPM7_PSMF1.pdf</v>
      </c>
    </row>
    <row r="3515" spans="1:28" x14ac:dyDescent="0.25">
      <c r="A3515" t="s">
        <v>3519</v>
      </c>
      <c r="B3515">
        <v>0.99334974765950101</v>
      </c>
      <c r="C3515">
        <v>0.99294442792031101</v>
      </c>
      <c r="D3515">
        <v>0.98632596347254797</v>
      </c>
      <c r="E3515">
        <v>0.78285839720038697</v>
      </c>
      <c r="F3515">
        <v>0.28272973049173999</v>
      </c>
      <c r="G3515">
        <v>0.146655019456466</v>
      </c>
      <c r="H3515">
        <v>0.107258986735929</v>
      </c>
      <c r="I3515">
        <v>8.9060959572784801E-2</v>
      </c>
      <c r="J3515">
        <v>8.4960842038902099E-2</v>
      </c>
      <c r="K3515">
        <v>7.1383268855622697E-2</v>
      </c>
      <c r="L3515">
        <v>2132.2735227839999</v>
      </c>
      <c r="M3515">
        <v>41.520407810567399</v>
      </c>
      <c r="N3515">
        <v>51.618188607645799</v>
      </c>
      <c r="O3515">
        <v>51.236135720979597</v>
      </c>
      <c r="P3515">
        <v>-0.18325704311972901</v>
      </c>
      <c r="Q3515">
        <v>9.5445735055624897E-2</v>
      </c>
      <c r="R3515">
        <v>0.99852498320783101</v>
      </c>
      <c r="S3515" t="s">
        <v>9376</v>
      </c>
      <c r="T3515" t="s">
        <v>11720</v>
      </c>
      <c r="U3515" t="s">
        <v>11720</v>
      </c>
      <c r="V3515" t="s">
        <v>11720</v>
      </c>
      <c r="W3515" t="s">
        <v>15183</v>
      </c>
      <c r="X3515">
        <v>26</v>
      </c>
      <c r="Y3515" t="s">
        <v>20907</v>
      </c>
      <c r="Z3515" t="s">
        <v>26722</v>
      </c>
      <c r="AA3515">
        <v>0.44079249835392248</v>
      </c>
      <c r="AB3515" t="str">
        <f>HYPERLINK("Melting_Curves/meltCurve_Q5R372_4_RABGAP1L.pdf", "Melting_Curves/meltCurve_Q5R372_4_RABGAP1L.pdf")</f>
        <v>Melting_Curves/meltCurve_Q5R372_4_RABGAP1L.pdf</v>
      </c>
    </row>
    <row r="3516" spans="1:28" x14ac:dyDescent="0.25">
      <c r="A3516" t="s">
        <v>3520</v>
      </c>
      <c r="B3516">
        <v>0.99334974765950101</v>
      </c>
      <c r="C3516">
        <v>1.11542340263808</v>
      </c>
      <c r="D3516">
        <v>1.1863798917667601</v>
      </c>
      <c r="E3516">
        <v>1.0043571178339099</v>
      </c>
      <c r="F3516">
        <v>0.351240042999581</v>
      </c>
      <c r="G3516">
        <v>0.22332442298965599</v>
      </c>
      <c r="H3516">
        <v>0.17829665104355999</v>
      </c>
      <c r="I3516">
        <v>0.113243896914819</v>
      </c>
      <c r="J3516">
        <v>9.5970715149680794E-2</v>
      </c>
      <c r="K3516">
        <v>0.11067840391080799</v>
      </c>
      <c r="L3516">
        <v>13189.439704500701</v>
      </c>
      <c r="M3516">
        <v>250</v>
      </c>
      <c r="N3516">
        <v>52.829719654943297</v>
      </c>
      <c r="O3516">
        <v>52.754382668760499</v>
      </c>
      <c r="P3516">
        <v>-1.01377499937499</v>
      </c>
      <c r="Q3516">
        <v>0.14430281284780799</v>
      </c>
      <c r="R3516">
        <v>0.97002782936137499</v>
      </c>
      <c r="S3516" t="s">
        <v>9377</v>
      </c>
      <c r="T3516" t="s">
        <v>11720</v>
      </c>
      <c r="U3516" t="s">
        <v>11720</v>
      </c>
      <c r="V3516" t="s">
        <v>11720</v>
      </c>
      <c r="W3516" t="s">
        <v>15184</v>
      </c>
      <c r="X3516">
        <v>8</v>
      </c>
      <c r="Y3516" t="s">
        <v>20907</v>
      </c>
      <c r="Z3516" t="s">
        <v>26723</v>
      </c>
      <c r="AA3516">
        <v>0.50827465219808676</v>
      </c>
      <c r="AB3516" t="str">
        <f>HYPERLINK("Melting_Curves/meltCurve_Q5R372_7_RABGAP1L.pdf", "Melting_Curves/meltCurve_Q5R372_7_RABGAP1L.pdf")</f>
        <v>Melting_Curves/meltCurve_Q5R372_7_RABGAP1L.pdf</v>
      </c>
    </row>
    <row r="3517" spans="1:28" x14ac:dyDescent="0.25">
      <c r="A3517" t="s">
        <v>3521</v>
      </c>
      <c r="B3517">
        <v>0.99334974765950101</v>
      </c>
      <c r="C3517">
        <v>1.0545651280502999</v>
      </c>
      <c r="D3517">
        <v>0.79670213182124106</v>
      </c>
      <c r="E3517">
        <v>0.58319553244798805</v>
      </c>
      <c r="F3517">
        <v>0.40994922014004898</v>
      </c>
      <c r="G3517">
        <v>0.26037524107821602</v>
      </c>
      <c r="H3517">
        <v>0.22859019409634501</v>
      </c>
      <c r="I3517">
        <v>0.20645006309646499</v>
      </c>
      <c r="J3517">
        <v>9.6866880378299297E-2</v>
      </c>
      <c r="K3517">
        <v>5.7729189264906798E-2</v>
      </c>
      <c r="L3517">
        <v>738.01778538338203</v>
      </c>
      <c r="M3517">
        <v>14.544626627144</v>
      </c>
      <c r="N3517">
        <v>51.579470106213698</v>
      </c>
      <c r="O3517">
        <v>49.811347310209797</v>
      </c>
      <c r="P3517">
        <v>-6.5325563337546702E-2</v>
      </c>
      <c r="Q3517">
        <v>0.105213621397893</v>
      </c>
      <c r="R3517">
        <v>0.97841618922684803</v>
      </c>
      <c r="S3517" t="s">
        <v>9378</v>
      </c>
      <c r="T3517" t="s">
        <v>11720</v>
      </c>
      <c r="U3517" t="s">
        <v>11720</v>
      </c>
      <c r="V3517" t="s">
        <v>11720</v>
      </c>
      <c r="W3517" t="s">
        <v>15185</v>
      </c>
      <c r="X3517">
        <v>3</v>
      </c>
      <c r="Y3517" t="s">
        <v>20908</v>
      </c>
      <c r="Z3517" t="s">
        <v>26724</v>
      </c>
      <c r="AA3517">
        <v>0.447539574309338</v>
      </c>
      <c r="AB3517" t="str">
        <f>HYPERLINK("Melting_Curves/meltCurve_Q5R3B4_MPC2.pdf", "Melting_Curves/meltCurve_Q5R3B4_MPC2.pdf")</f>
        <v>Melting_Curves/meltCurve_Q5R3B4_MPC2.pdf</v>
      </c>
    </row>
    <row r="3518" spans="1:28" x14ac:dyDescent="0.25">
      <c r="A3518" t="s">
        <v>3522</v>
      </c>
      <c r="B3518">
        <v>0.99334974765950101</v>
      </c>
      <c r="C3518">
        <v>0.95918900577258204</v>
      </c>
      <c r="D3518">
        <v>0.90445430102921098</v>
      </c>
      <c r="E3518">
        <v>0.72517411546873201</v>
      </c>
      <c r="F3518">
        <v>0.38744981678516599</v>
      </c>
      <c r="G3518">
        <v>0.16651858909769601</v>
      </c>
      <c r="H3518">
        <v>0.135910694711602</v>
      </c>
      <c r="I3518">
        <v>8.1197589297726205E-2</v>
      </c>
      <c r="J3518">
        <v>6.0267294124020203E-2</v>
      </c>
      <c r="K3518">
        <v>7.6723935632095605E-2</v>
      </c>
      <c r="L3518">
        <v>1117.1995356471</v>
      </c>
      <c r="M3518">
        <v>21.642532057097799</v>
      </c>
      <c r="N3518">
        <v>51.987224316726298</v>
      </c>
      <c r="O3518">
        <v>51.185906519005201</v>
      </c>
      <c r="P3518">
        <v>-9.8225846798371694E-2</v>
      </c>
      <c r="Q3518">
        <v>7.0781744004029895E-2</v>
      </c>
      <c r="R3518">
        <v>0.99649011574600599</v>
      </c>
      <c r="S3518" t="s">
        <v>9379</v>
      </c>
      <c r="T3518" t="s">
        <v>11720</v>
      </c>
      <c r="U3518" t="s">
        <v>11720</v>
      </c>
      <c r="V3518" t="s">
        <v>11720</v>
      </c>
      <c r="W3518" t="s">
        <v>15186</v>
      </c>
      <c r="X3518">
        <v>4</v>
      </c>
      <c r="Y3518" t="s">
        <v>20909</v>
      </c>
      <c r="Z3518" t="s">
        <v>26725</v>
      </c>
      <c r="AA3518">
        <v>0.44184526024769438</v>
      </c>
      <c r="AB3518" t="str">
        <f>HYPERLINK("Melting_Curves/meltCurve_Q5R3E4_MAPK13.pdf", "Melting_Curves/meltCurve_Q5R3E4_MAPK13.pdf")</f>
        <v>Melting_Curves/meltCurve_Q5R3E4_MAPK13.pdf</v>
      </c>
    </row>
    <row r="3519" spans="1:28" x14ac:dyDescent="0.25">
      <c r="A3519" t="s">
        <v>3523</v>
      </c>
      <c r="B3519">
        <v>0.99334974765950101</v>
      </c>
      <c r="C3519">
        <v>0.90609607309171003</v>
      </c>
      <c r="D3519">
        <v>0.86613906571935195</v>
      </c>
      <c r="E3519">
        <v>0.88462650299266099</v>
      </c>
      <c r="F3519">
        <v>0.87539152685588895</v>
      </c>
      <c r="G3519">
        <v>0.898483210290836</v>
      </c>
      <c r="H3519">
        <v>0.93779242508861804</v>
      </c>
      <c r="I3519">
        <v>0.74292871604322797</v>
      </c>
      <c r="J3519">
        <v>0.78370476006608103</v>
      </c>
      <c r="K3519">
        <v>0.59833839499498398</v>
      </c>
      <c r="L3519">
        <v>264.33242207322502</v>
      </c>
      <c r="M3519">
        <v>2.9141309417809098</v>
      </c>
      <c r="O3519">
        <v>65.925460844787096</v>
      </c>
      <c r="P3519">
        <v>-1.1421803236221301E-2</v>
      </c>
      <c r="Q3519">
        <v>0</v>
      </c>
      <c r="R3519">
        <v>0.61127353809048601</v>
      </c>
      <c r="S3519" t="s">
        <v>9380</v>
      </c>
      <c r="T3519" t="s">
        <v>11720</v>
      </c>
      <c r="U3519" t="s">
        <v>11720</v>
      </c>
      <c r="V3519" t="s">
        <v>11720</v>
      </c>
      <c r="W3519" t="s">
        <v>15187</v>
      </c>
      <c r="X3519">
        <v>5</v>
      </c>
      <c r="Y3519" t="s">
        <v>20910</v>
      </c>
      <c r="Z3519" t="s">
        <v>26726</v>
      </c>
      <c r="AA3519">
        <v>0.85885862880313513</v>
      </c>
      <c r="AB3519" t="str">
        <f>HYPERLINK("Melting_Curves/meltCurve_Q5RI15_COX20.pdf", "Melting_Curves/meltCurve_Q5RI15_COX20.pdf")</f>
        <v>Melting_Curves/meltCurve_Q5RI15_COX20.pdf</v>
      </c>
    </row>
    <row r="3520" spans="1:28" x14ac:dyDescent="0.25">
      <c r="A3520" t="s">
        <v>3524</v>
      </c>
      <c r="B3520">
        <v>0.99334974765950101</v>
      </c>
      <c r="C3520">
        <v>0.892972366633484</v>
      </c>
      <c r="D3520">
        <v>0.89369438778371002</v>
      </c>
      <c r="E3520">
        <v>0.75059951787804502</v>
      </c>
      <c r="F3520">
        <v>0.85070578646132</v>
      </c>
      <c r="G3520">
        <v>0.52584907716188001</v>
      </c>
      <c r="H3520">
        <v>0.43382288130677898</v>
      </c>
      <c r="I3520">
        <v>0.56857478544317597</v>
      </c>
      <c r="J3520">
        <v>0.363794884069571</v>
      </c>
      <c r="K3520">
        <v>0.29504655106748801</v>
      </c>
      <c r="L3520">
        <v>372.50693572598499</v>
      </c>
      <c r="M3520">
        <v>6.0657029433464196</v>
      </c>
      <c r="N3520">
        <v>61.411997925498397</v>
      </c>
      <c r="O3520">
        <v>55.738483175190801</v>
      </c>
      <c r="P3520">
        <v>-2.7290823683784101E-2</v>
      </c>
      <c r="Q3520">
        <v>0</v>
      </c>
      <c r="R3520">
        <v>0.90651937750704803</v>
      </c>
      <c r="S3520" t="s">
        <v>9381</v>
      </c>
      <c r="T3520" t="s">
        <v>11720</v>
      </c>
      <c r="U3520" t="s">
        <v>11720</v>
      </c>
      <c r="V3520" t="s">
        <v>11720</v>
      </c>
      <c r="W3520" t="s">
        <v>15188</v>
      </c>
      <c r="X3520">
        <v>2</v>
      </c>
      <c r="Y3520" t="s">
        <v>20911</v>
      </c>
      <c r="Z3520" t="s">
        <v>26727</v>
      </c>
      <c r="AA3520">
        <v>0.66154550102086529</v>
      </c>
      <c r="AB3520" t="str">
        <f>HYPERLINK("Melting_Curves/meltCurve_Q5RJ85_HLA_G.pdf", "Melting_Curves/meltCurve_Q5RJ85_HLA_G.pdf")</f>
        <v>Melting_Curves/meltCurve_Q5RJ85_HLA_G.pdf</v>
      </c>
    </row>
    <row r="3521" spans="1:28" x14ac:dyDescent="0.25">
      <c r="A3521" t="s">
        <v>3525</v>
      </c>
      <c r="B3521">
        <v>0.99334974765950101</v>
      </c>
      <c r="C3521">
        <v>1.0876153419226799</v>
      </c>
      <c r="D3521">
        <v>1.44094128311151</v>
      </c>
      <c r="E3521">
        <v>2.50257347555358</v>
      </c>
      <c r="F3521">
        <v>3.0676235151409301</v>
      </c>
      <c r="G3521">
        <v>3.0171197160780099</v>
      </c>
      <c r="H3521">
        <v>1.5205556131589599</v>
      </c>
      <c r="I3521">
        <v>0.80445442778675402</v>
      </c>
      <c r="J3521">
        <v>0.53336746028090298</v>
      </c>
      <c r="K3521">
        <v>0.34365907449681099</v>
      </c>
      <c r="L3521">
        <v>4049.8429420530701</v>
      </c>
      <c r="M3521">
        <v>61.7631660529551</v>
      </c>
      <c r="N3521">
        <v>66.914775652846004</v>
      </c>
      <c r="O3521">
        <v>65.501878049425997</v>
      </c>
      <c r="P3521">
        <v>-0.15194741162018699</v>
      </c>
      <c r="Q3521">
        <v>0.35541917243570897</v>
      </c>
      <c r="R3521">
        <v>-0.24043566235334099</v>
      </c>
      <c r="S3521" t="s">
        <v>9382</v>
      </c>
      <c r="T3521" t="s">
        <v>11720</v>
      </c>
      <c r="U3521" t="s">
        <v>11720</v>
      </c>
      <c r="V3521" t="s">
        <v>11720</v>
      </c>
      <c r="W3521" t="s">
        <v>15189</v>
      </c>
      <c r="X3521">
        <v>5</v>
      </c>
      <c r="Y3521" t="s">
        <v>20912</v>
      </c>
      <c r="Z3521" t="s">
        <v>26728</v>
      </c>
      <c r="AA3521">
        <v>0.90551186796330474</v>
      </c>
      <c r="AB3521" t="str">
        <f>HYPERLINK("Melting_Curves/meltCurve_Q5RKV6_EXOSC6.pdf", "Melting_Curves/meltCurve_Q5RKV6_EXOSC6.pdf")</f>
        <v>Melting_Curves/meltCurve_Q5RKV6_EXOSC6.pdf</v>
      </c>
    </row>
    <row r="3522" spans="1:28" x14ac:dyDescent="0.25">
      <c r="A3522" t="s">
        <v>3526</v>
      </c>
      <c r="B3522">
        <v>0.99334974765950101</v>
      </c>
      <c r="C3522">
        <v>0.49014305783024198</v>
      </c>
      <c r="D3522">
        <v>0.901509054771643</v>
      </c>
      <c r="E3522">
        <v>0.52356132407658995</v>
      </c>
      <c r="F3522">
        <v>0.27528643751138099</v>
      </c>
      <c r="G3522">
        <v>0.239166465649059</v>
      </c>
      <c r="H3522">
        <v>0</v>
      </c>
      <c r="I3522">
        <v>0</v>
      </c>
      <c r="J3522">
        <v>0</v>
      </c>
      <c r="K3522">
        <v>0</v>
      </c>
      <c r="L3522">
        <v>558.90119763233497</v>
      </c>
      <c r="M3522">
        <v>11.330070920235499</v>
      </c>
      <c r="N3522">
        <v>49.329036395077502</v>
      </c>
      <c r="O3522">
        <v>47.8672660399493</v>
      </c>
      <c r="P3522">
        <v>-5.9192235299794498E-2</v>
      </c>
      <c r="Q3522">
        <v>0</v>
      </c>
      <c r="R3522">
        <v>0.84288539086916703</v>
      </c>
      <c r="S3522" t="s">
        <v>9383</v>
      </c>
      <c r="T3522" t="s">
        <v>11720</v>
      </c>
      <c r="U3522" t="s">
        <v>11720</v>
      </c>
      <c r="V3522" t="s">
        <v>11720</v>
      </c>
      <c r="W3522" t="s">
        <v>15190</v>
      </c>
      <c r="X3522">
        <v>1</v>
      </c>
      <c r="Y3522" t="s">
        <v>20913</v>
      </c>
      <c r="Z3522" t="s">
        <v>26729</v>
      </c>
      <c r="AA3522">
        <v>0.35047160196597932</v>
      </c>
      <c r="AB3522" t="str">
        <f>HYPERLINK("Melting_Curves/meltCurve_Q5SNW6_MTHFR.pdf", "Melting_Curves/meltCurve_Q5SNW6_MTHFR.pdf")</f>
        <v>Melting_Curves/meltCurve_Q5SNW6_MTHFR.pdf</v>
      </c>
    </row>
    <row r="3523" spans="1:28" x14ac:dyDescent="0.25">
      <c r="A3523" t="s">
        <v>3527</v>
      </c>
      <c r="B3523">
        <v>0.99334974765950101</v>
      </c>
      <c r="C3523">
        <v>1.0462165482385799</v>
      </c>
      <c r="D3523">
        <v>0.93060363553894898</v>
      </c>
      <c r="E3523">
        <v>0.80376383780946603</v>
      </c>
      <c r="F3523">
        <v>0.85297897107560505</v>
      </c>
      <c r="G3523">
        <v>0.53425658350065697</v>
      </c>
      <c r="H3523">
        <v>0.55114065040863902</v>
      </c>
      <c r="I3523">
        <v>0.70665293948964003</v>
      </c>
      <c r="J3523">
        <v>0.63428317313705596</v>
      </c>
      <c r="K3523">
        <v>0.483891880039797</v>
      </c>
      <c r="L3523">
        <v>922.17733295015603</v>
      </c>
      <c r="M3523">
        <v>17.776997809340699</v>
      </c>
      <c r="O3523">
        <v>51.231675545824601</v>
      </c>
      <c r="P3523">
        <v>-3.73700218340954E-2</v>
      </c>
      <c r="Q3523">
        <v>0.56923442760879395</v>
      </c>
      <c r="R3523">
        <v>0.83979937922603298</v>
      </c>
      <c r="S3523" t="s">
        <v>9384</v>
      </c>
      <c r="T3523" t="s">
        <v>11720</v>
      </c>
      <c r="U3523" t="s">
        <v>11720</v>
      </c>
      <c r="V3523" t="s">
        <v>11720</v>
      </c>
      <c r="W3523" t="s">
        <v>15191</v>
      </c>
      <c r="X3523">
        <v>4</v>
      </c>
      <c r="Y3523" t="s">
        <v>20914</v>
      </c>
      <c r="Z3523" t="s">
        <v>26730</v>
      </c>
      <c r="AA3523">
        <v>0.74707769893386777</v>
      </c>
      <c r="AB3523" t="str">
        <f>HYPERLINK("Melting_Curves/meltCurve_Q5SPY9_NPDC1.pdf", "Melting_Curves/meltCurve_Q5SPY9_NPDC1.pdf")</f>
        <v>Melting_Curves/meltCurve_Q5SPY9_NPDC1.pdf</v>
      </c>
    </row>
    <row r="3524" spans="1:28" x14ac:dyDescent="0.25">
      <c r="A3524" t="s">
        <v>3528</v>
      </c>
      <c r="B3524">
        <v>0.99334974765950101</v>
      </c>
      <c r="C3524">
        <v>0.873727650073991</v>
      </c>
      <c r="D3524">
        <v>0.95928851656167602</v>
      </c>
      <c r="E3524">
        <v>0.68719863560679995</v>
      </c>
      <c r="F3524">
        <v>0.17803766658437201</v>
      </c>
      <c r="G3524">
        <v>8.5565432590996193E-2</v>
      </c>
      <c r="H3524">
        <v>4.5741489653000997E-2</v>
      </c>
      <c r="I3524">
        <v>5.0354457782266902E-2</v>
      </c>
      <c r="J3524">
        <v>8.6157387800580396E-2</v>
      </c>
      <c r="K3524">
        <v>0</v>
      </c>
      <c r="L3524">
        <v>2173.3210690681599</v>
      </c>
      <c r="M3524">
        <v>42.783425054271902</v>
      </c>
      <c r="N3524">
        <v>50.924213838547601</v>
      </c>
      <c r="O3524">
        <v>50.687614403402698</v>
      </c>
      <c r="P3524">
        <v>-0.20041690468445</v>
      </c>
      <c r="Q3524">
        <v>5.0227047043167099E-2</v>
      </c>
      <c r="R3524">
        <v>0.98680590284311598</v>
      </c>
      <c r="S3524" t="s">
        <v>9385</v>
      </c>
      <c r="T3524" t="s">
        <v>11720</v>
      </c>
      <c r="U3524" t="s">
        <v>11720</v>
      </c>
      <c r="V3524" t="s">
        <v>11720</v>
      </c>
      <c r="W3524" t="s">
        <v>15192</v>
      </c>
      <c r="X3524">
        <v>17</v>
      </c>
      <c r="Y3524" t="s">
        <v>20550</v>
      </c>
      <c r="Z3524" t="s">
        <v>26731</v>
      </c>
      <c r="AA3524">
        <v>0.39500070534860787</v>
      </c>
      <c r="AB3524" t="str">
        <f>HYPERLINK("Melting_Curves/meltCurve_Q5SQU3_PRKG1.pdf", "Melting_Curves/meltCurve_Q5SQU3_PRKG1.pdf")</f>
        <v>Melting_Curves/meltCurve_Q5SQU3_PRKG1.pdf</v>
      </c>
    </row>
    <row r="3525" spans="1:28" x14ac:dyDescent="0.25">
      <c r="A3525" t="s">
        <v>3529</v>
      </c>
      <c r="B3525">
        <v>0.99334974765950101</v>
      </c>
      <c r="C3525">
        <v>0.85569209167513405</v>
      </c>
      <c r="D3525">
        <v>0.77103494036994702</v>
      </c>
      <c r="E3525">
        <v>0.84470138208757395</v>
      </c>
      <c r="F3525">
        <v>1.0119639567829599</v>
      </c>
      <c r="G3525">
        <v>0.79524040738420099</v>
      </c>
      <c r="H3525">
        <v>0.74097207498829598</v>
      </c>
      <c r="I3525">
        <v>0.76281955011811897</v>
      </c>
      <c r="J3525">
        <v>0.55613621319459405</v>
      </c>
      <c r="K3525">
        <v>0.26664139479036902</v>
      </c>
      <c r="L3525">
        <v>723.03056896275598</v>
      </c>
      <c r="M3525">
        <v>10.757656868720501</v>
      </c>
      <c r="N3525">
        <v>67.210784133638001</v>
      </c>
      <c r="O3525">
        <v>65.013228730177104</v>
      </c>
      <c r="P3525">
        <v>-4.1382383534514802E-2</v>
      </c>
      <c r="Q3525">
        <v>0</v>
      </c>
      <c r="R3525">
        <v>0.68445575738391495</v>
      </c>
      <c r="S3525" t="s">
        <v>9386</v>
      </c>
      <c r="T3525" t="s">
        <v>11720</v>
      </c>
      <c r="U3525" t="s">
        <v>11720</v>
      </c>
      <c r="V3525" t="s">
        <v>11720</v>
      </c>
      <c r="W3525" t="s">
        <v>15193</v>
      </c>
      <c r="X3525">
        <v>2</v>
      </c>
      <c r="Y3525" t="s">
        <v>20915</v>
      </c>
      <c r="Z3525" t="s">
        <v>26732</v>
      </c>
      <c r="AA3525">
        <v>0.82892450654799488</v>
      </c>
      <c r="AB3525" t="str">
        <f>HYPERLINK("Melting_Curves/meltCurve_Q5SR56_HIATL1.pdf", "Melting_Curves/meltCurve_Q5SR56_HIATL1.pdf")</f>
        <v>Melting_Curves/meltCurve_Q5SR56_HIATL1.pdf</v>
      </c>
    </row>
    <row r="3526" spans="1:28" x14ac:dyDescent="0.25">
      <c r="A3526" t="s">
        <v>3530</v>
      </c>
      <c r="B3526">
        <v>0.99334974765950101</v>
      </c>
      <c r="C3526">
        <v>0.91813842294423498</v>
      </c>
      <c r="D3526">
        <v>0.66462270143491897</v>
      </c>
      <c r="E3526">
        <v>0.37162646470504701</v>
      </c>
      <c r="F3526">
        <v>0.294224597719067</v>
      </c>
      <c r="G3526">
        <v>0.215585432949046</v>
      </c>
      <c r="H3526">
        <v>0.16592865676048901</v>
      </c>
      <c r="I3526">
        <v>0.15151406945144999</v>
      </c>
      <c r="J3526">
        <v>0.128509056528959</v>
      </c>
      <c r="K3526">
        <v>0.101856716639377</v>
      </c>
      <c r="L3526">
        <v>818.22404260384997</v>
      </c>
      <c r="M3526">
        <v>17.213587415355398</v>
      </c>
      <c r="N3526">
        <v>48.433546538533001</v>
      </c>
      <c r="O3526">
        <v>46.906029947198697</v>
      </c>
      <c r="P3526">
        <v>-7.9192814337572706E-2</v>
      </c>
      <c r="Q3526">
        <v>0.13686781467362699</v>
      </c>
      <c r="R3526">
        <v>0.99322543756805903</v>
      </c>
      <c r="S3526" t="s">
        <v>9387</v>
      </c>
      <c r="T3526" t="s">
        <v>11720</v>
      </c>
      <c r="U3526" t="s">
        <v>11720</v>
      </c>
      <c r="V3526" t="s">
        <v>11720</v>
      </c>
      <c r="W3526" t="s">
        <v>15194</v>
      </c>
      <c r="X3526">
        <v>9</v>
      </c>
      <c r="Y3526" t="s">
        <v>20916</v>
      </c>
      <c r="Z3526" t="s">
        <v>26733</v>
      </c>
      <c r="AA3526">
        <v>0.37072381553299638</v>
      </c>
      <c r="AB3526" t="str">
        <f>HYPERLINK("Melting_Curves/meltCurve_Q5SRE7_2_PHYHD1.pdf", "Melting_Curves/meltCurve_Q5SRE7_2_PHYHD1.pdf")</f>
        <v>Melting_Curves/meltCurve_Q5SRE7_2_PHYHD1.pdf</v>
      </c>
    </row>
    <row r="3527" spans="1:28" x14ac:dyDescent="0.25">
      <c r="A3527" t="s">
        <v>3531</v>
      </c>
      <c r="B3527">
        <v>0.99334974765950101</v>
      </c>
      <c r="C3527">
        <v>0.919848994255824</v>
      </c>
      <c r="D3527">
        <v>0.85936470053291003</v>
      </c>
      <c r="E3527">
        <v>0.73095696140505795</v>
      </c>
      <c r="F3527">
        <v>0.72630376062822399</v>
      </c>
      <c r="G3527">
        <v>0.47801806720305201</v>
      </c>
      <c r="H3527">
        <v>0.36250506294635099</v>
      </c>
      <c r="I3527">
        <v>0.312826224749985</v>
      </c>
      <c r="J3527">
        <v>0.28185784240941802</v>
      </c>
      <c r="K3527">
        <v>0.231285783446466</v>
      </c>
      <c r="L3527">
        <v>487.17715818878901</v>
      </c>
      <c r="M3527">
        <v>8.7366165411060894</v>
      </c>
      <c r="N3527">
        <v>57.169157695427401</v>
      </c>
      <c r="O3527">
        <v>53.072478957768503</v>
      </c>
      <c r="P3527">
        <v>-3.7204593008025297E-2</v>
      </c>
      <c r="Q3527">
        <v>9.6704464849182506E-2</v>
      </c>
      <c r="R3527">
        <v>0.98738474902162299</v>
      </c>
      <c r="S3527" t="s">
        <v>9388</v>
      </c>
      <c r="T3527" t="s">
        <v>11720</v>
      </c>
      <c r="U3527" t="s">
        <v>11720</v>
      </c>
      <c r="V3527" t="s">
        <v>11720</v>
      </c>
      <c r="W3527" t="s">
        <v>15195</v>
      </c>
      <c r="X3527">
        <v>25</v>
      </c>
      <c r="Y3527" t="s">
        <v>19403</v>
      </c>
      <c r="Z3527" t="s">
        <v>26734</v>
      </c>
      <c r="AA3527">
        <v>0.5913162680344215</v>
      </c>
      <c r="AB3527" t="str">
        <f>HYPERLINK("Melting_Curves/meltCurve_Q5SRN5_HLA_A.pdf", "Melting_Curves/meltCurve_Q5SRN5_HLA_A.pdf")</f>
        <v>Melting_Curves/meltCurve_Q5SRN5_HLA_A.pdf</v>
      </c>
    </row>
    <row r="3528" spans="1:28" x14ac:dyDescent="0.25">
      <c r="A3528" t="s">
        <v>3532</v>
      </c>
      <c r="B3528">
        <v>0.99334974765950101</v>
      </c>
      <c r="C3528">
        <v>1.1062370588261199</v>
      </c>
      <c r="D3528">
        <v>1.26731002374598</v>
      </c>
      <c r="E3528">
        <v>1.49821839079718</v>
      </c>
      <c r="F3528">
        <v>1.21747518079599</v>
      </c>
      <c r="G3528">
        <v>0.58520930398321303</v>
      </c>
      <c r="H3528">
        <v>0.22416752728327</v>
      </c>
      <c r="I3528">
        <v>0.17655270727040001</v>
      </c>
      <c r="J3528">
        <v>0.21798928084017299</v>
      </c>
      <c r="K3528">
        <v>0.18202356384277399</v>
      </c>
      <c r="L3528">
        <v>14245.2572617684</v>
      </c>
      <c r="M3528">
        <v>249.991256843054</v>
      </c>
      <c r="N3528">
        <v>57.099837852491198</v>
      </c>
      <c r="O3528">
        <v>56.979356948594202</v>
      </c>
      <c r="P3528">
        <v>-0.87727880369920996</v>
      </c>
      <c r="Q3528">
        <v>0.200183259565649</v>
      </c>
      <c r="R3528">
        <v>0.84612838161200898</v>
      </c>
      <c r="S3528" t="s">
        <v>9389</v>
      </c>
      <c r="T3528" t="s">
        <v>11720</v>
      </c>
      <c r="U3528" t="s">
        <v>11720</v>
      </c>
      <c r="V3528" t="s">
        <v>11720</v>
      </c>
      <c r="W3528" t="s">
        <v>15196</v>
      </c>
      <c r="X3528">
        <v>4</v>
      </c>
      <c r="Y3528" t="s">
        <v>20917</v>
      </c>
      <c r="Z3528" t="s">
        <v>26735</v>
      </c>
      <c r="AA3528">
        <v>0.65304009073010549</v>
      </c>
      <c r="AB3528" t="str">
        <f>HYPERLINK("Melting_Curves/meltCurve_Q5SRQ6_CSNK2B.pdf", "Melting_Curves/meltCurve_Q5SRQ6_CSNK2B.pdf")</f>
        <v>Melting_Curves/meltCurve_Q5SRQ6_CSNK2B.pdf</v>
      </c>
    </row>
    <row r="3529" spans="1:28" x14ac:dyDescent="0.25">
      <c r="A3529" t="s">
        <v>3533</v>
      </c>
      <c r="B3529">
        <v>0.99334974765950101</v>
      </c>
      <c r="C3529">
        <v>0.94826259970126803</v>
      </c>
      <c r="D3529">
        <v>0.80020607696047696</v>
      </c>
      <c r="E3529">
        <v>0.47636797486710902</v>
      </c>
      <c r="F3529">
        <v>0.34419560585464398</v>
      </c>
      <c r="G3529">
        <v>0.25132384763631199</v>
      </c>
      <c r="H3529">
        <v>0.20729150440764799</v>
      </c>
      <c r="I3529">
        <v>0.18802966772025501</v>
      </c>
      <c r="J3529">
        <v>0.23361369714385999</v>
      </c>
      <c r="K3529">
        <v>0.18224585544303501</v>
      </c>
      <c r="L3529">
        <v>944.13268874181699</v>
      </c>
      <c r="M3529">
        <v>19.443049665014001</v>
      </c>
      <c r="N3529">
        <v>49.861243130479998</v>
      </c>
      <c r="O3529">
        <v>48.053949642858399</v>
      </c>
      <c r="P3529">
        <v>-8.1015185299692899E-2</v>
      </c>
      <c r="Q3529">
        <v>0.19910543504400499</v>
      </c>
      <c r="R3529">
        <v>0.99768201834096304</v>
      </c>
      <c r="S3529" t="s">
        <v>9390</v>
      </c>
      <c r="T3529" t="s">
        <v>11720</v>
      </c>
      <c r="U3529" t="s">
        <v>11720</v>
      </c>
      <c r="V3529" t="s">
        <v>11720</v>
      </c>
      <c r="W3529" t="s">
        <v>15197</v>
      </c>
      <c r="X3529">
        <v>13</v>
      </c>
      <c r="Y3529" t="s">
        <v>20918</v>
      </c>
      <c r="Z3529" t="s">
        <v>26736</v>
      </c>
      <c r="AA3529">
        <v>0.4395501419067594</v>
      </c>
      <c r="AB3529" t="str">
        <f>HYPERLINK("Melting_Curves/meltCurve_Q5SVK8_DNMBP.pdf", "Melting_Curves/meltCurve_Q5SVK8_DNMBP.pdf")</f>
        <v>Melting_Curves/meltCurve_Q5SVK8_DNMBP.pdf</v>
      </c>
    </row>
    <row r="3530" spans="1:28" x14ac:dyDescent="0.25">
      <c r="A3530" t="s">
        <v>3534</v>
      </c>
      <c r="B3530">
        <v>0.99334974765950101</v>
      </c>
      <c r="C3530">
        <v>1.0259041165360401</v>
      </c>
      <c r="D3530">
        <v>0.71265372458520404</v>
      </c>
      <c r="E3530">
        <v>0.316034738032271</v>
      </c>
      <c r="F3530">
        <v>0.15879874729452401</v>
      </c>
      <c r="G3530">
        <v>8.3157968520832098E-2</v>
      </c>
      <c r="H3530">
        <v>5.3365593185134397E-2</v>
      </c>
      <c r="I3530">
        <v>6.5352326483274506E-2</v>
      </c>
      <c r="J3530">
        <v>5.9048812294411099E-2</v>
      </c>
      <c r="K3530">
        <v>7.31489185252579E-2</v>
      </c>
      <c r="L3530">
        <v>1180.6723107697001</v>
      </c>
      <c r="M3530">
        <v>24.669698615427201</v>
      </c>
      <c r="N3530">
        <v>48.131006166999001</v>
      </c>
      <c r="O3530">
        <v>47.548058045003899</v>
      </c>
      <c r="P3530">
        <v>-0.12127742736874</v>
      </c>
      <c r="Q3530">
        <v>6.5019077211432103E-2</v>
      </c>
      <c r="R3530">
        <v>0.99453379536980602</v>
      </c>
      <c r="S3530" t="s">
        <v>9391</v>
      </c>
      <c r="T3530" t="s">
        <v>11720</v>
      </c>
      <c r="U3530" t="s">
        <v>11720</v>
      </c>
      <c r="V3530" t="s">
        <v>11720</v>
      </c>
      <c r="W3530" t="s">
        <v>15198</v>
      </c>
      <c r="X3530">
        <v>2</v>
      </c>
      <c r="Y3530" t="s">
        <v>20919</v>
      </c>
      <c r="Z3530" t="s">
        <v>26737</v>
      </c>
      <c r="AA3530">
        <v>0.31846528945804592</v>
      </c>
      <c r="AB3530" t="str">
        <f>HYPERLINK("Melting_Curves/meltCurve_Q5SW96_LDLRAP1.pdf", "Melting_Curves/meltCurve_Q5SW96_LDLRAP1.pdf")</f>
        <v>Melting_Curves/meltCurve_Q5SW96_LDLRAP1.pdf</v>
      </c>
    </row>
    <row r="3531" spans="1:28" x14ac:dyDescent="0.25">
      <c r="A3531" t="s">
        <v>3535</v>
      </c>
      <c r="B3531">
        <v>0.99334974765950101</v>
      </c>
      <c r="C3531">
        <v>0.94808430403250199</v>
      </c>
      <c r="D3531">
        <v>0.78036510049565799</v>
      </c>
      <c r="E3531">
        <v>0.63150280554363103</v>
      </c>
      <c r="F3531">
        <v>0.33730431256822802</v>
      </c>
      <c r="G3531">
        <v>0.22130538591261201</v>
      </c>
      <c r="H3531">
        <v>0.18913140595653</v>
      </c>
      <c r="I3531">
        <v>0.17560130213309399</v>
      </c>
      <c r="J3531">
        <v>0.14341252880546301</v>
      </c>
      <c r="K3531">
        <v>0.10162104439587</v>
      </c>
      <c r="L3531">
        <v>776.51325195074901</v>
      </c>
      <c r="M3531">
        <v>15.495285977115801</v>
      </c>
      <c r="N3531">
        <v>51.008136482765899</v>
      </c>
      <c r="O3531">
        <v>49.3004713513022</v>
      </c>
      <c r="P3531">
        <v>-6.9226731021698407E-2</v>
      </c>
      <c r="Q3531">
        <v>0.119059165086895</v>
      </c>
      <c r="R3531">
        <v>0.99054302798711602</v>
      </c>
      <c r="S3531" t="s">
        <v>9392</v>
      </c>
      <c r="T3531" t="s">
        <v>11720</v>
      </c>
      <c r="U3531" t="s">
        <v>11720</v>
      </c>
      <c r="V3531" t="s">
        <v>11720</v>
      </c>
      <c r="W3531" t="s">
        <v>15199</v>
      </c>
      <c r="X3531">
        <v>11</v>
      </c>
      <c r="Y3531" t="s">
        <v>20920</v>
      </c>
      <c r="Z3531" t="s">
        <v>26738</v>
      </c>
      <c r="AA3531">
        <v>0.4357810231276511</v>
      </c>
      <c r="AB3531" t="str">
        <f>HYPERLINK("Melting_Curves/meltCurve_Q5SWX3_CAMK2G.pdf", "Melting_Curves/meltCurve_Q5SWX3_CAMK2G.pdf")</f>
        <v>Melting_Curves/meltCurve_Q5SWX3_CAMK2G.pdf</v>
      </c>
    </row>
    <row r="3532" spans="1:28" x14ac:dyDescent="0.25">
      <c r="A3532" t="s">
        <v>3536</v>
      </c>
      <c r="B3532">
        <v>0.99334974765950101</v>
      </c>
      <c r="C3532">
        <v>0.99173883174036603</v>
      </c>
      <c r="D3532">
        <v>0.95112966017039102</v>
      </c>
      <c r="E3532">
        <v>0.85143529117150496</v>
      </c>
      <c r="F3532">
        <v>0.380410749686316</v>
      </c>
      <c r="G3532">
        <v>0.232285469604776</v>
      </c>
      <c r="H3532">
        <v>0.21664545777258901</v>
      </c>
      <c r="I3532">
        <v>0.181731652482266</v>
      </c>
      <c r="J3532">
        <v>0.217208751452168</v>
      </c>
      <c r="K3532">
        <v>0.15993881398580101</v>
      </c>
      <c r="L3532">
        <v>2312.9674933889</v>
      </c>
      <c r="M3532">
        <v>44.8253257543427</v>
      </c>
      <c r="N3532">
        <v>52.187889517015698</v>
      </c>
      <c r="O3532">
        <v>51.497187730993303</v>
      </c>
      <c r="P3532">
        <v>-0.174448937454485</v>
      </c>
      <c r="Q3532">
        <v>0.198344444608196</v>
      </c>
      <c r="R3532">
        <v>0.99593426179897604</v>
      </c>
      <c r="S3532" t="s">
        <v>9393</v>
      </c>
      <c r="T3532" t="s">
        <v>11720</v>
      </c>
      <c r="U3532" t="s">
        <v>11720</v>
      </c>
      <c r="V3532" t="s">
        <v>11720</v>
      </c>
      <c r="W3532" t="s">
        <v>15200</v>
      </c>
      <c r="X3532">
        <v>4</v>
      </c>
      <c r="Y3532" t="s">
        <v>20921</v>
      </c>
      <c r="Z3532" t="s">
        <v>26739</v>
      </c>
      <c r="AA3532">
        <v>0.51057934945425187</v>
      </c>
      <c r="AB3532" t="str">
        <f>HYPERLINK("Melting_Curves/meltCurve_Q5SWX8_ODR4.pdf", "Melting_Curves/meltCurve_Q5SWX8_ODR4.pdf")</f>
        <v>Melting_Curves/meltCurve_Q5SWX8_ODR4.pdf</v>
      </c>
    </row>
    <row r="3533" spans="1:28" x14ac:dyDescent="0.25">
      <c r="A3533" t="s">
        <v>3537</v>
      </c>
      <c r="B3533">
        <v>0.99334974765950101</v>
      </c>
      <c r="C3533">
        <v>1.12170916943955</v>
      </c>
      <c r="D3533">
        <v>1.1199286623418401</v>
      </c>
      <c r="E3533">
        <v>1.29763595542071</v>
      </c>
      <c r="F3533">
        <v>1.6917266888252001</v>
      </c>
      <c r="G3533">
        <v>1.8338521306036299</v>
      </c>
      <c r="H3533">
        <v>0.30897448861266902</v>
      </c>
      <c r="I3533">
        <v>0.311414600031587</v>
      </c>
      <c r="J3533">
        <v>0.153845130967247</v>
      </c>
      <c r="K3533">
        <v>0.14164350010378801</v>
      </c>
      <c r="L3533">
        <v>15000</v>
      </c>
      <c r="M3533">
        <v>247.77000044620399</v>
      </c>
      <c r="N3533">
        <v>60.666973655932601</v>
      </c>
      <c r="O3533">
        <v>60.5360729521447</v>
      </c>
      <c r="P3533">
        <v>-0.81623308093886404</v>
      </c>
      <c r="Q3533">
        <v>0.202299795306698</v>
      </c>
      <c r="R3533">
        <v>0.63530166363088902</v>
      </c>
      <c r="S3533" t="s">
        <v>9394</v>
      </c>
      <c r="T3533" t="s">
        <v>11720</v>
      </c>
      <c r="U3533" t="s">
        <v>11720</v>
      </c>
      <c r="V3533" t="s">
        <v>11720</v>
      </c>
      <c r="W3533" t="s">
        <v>15201</v>
      </c>
      <c r="X3533">
        <v>16</v>
      </c>
      <c r="Y3533" t="s">
        <v>17964</v>
      </c>
      <c r="Z3533" t="s">
        <v>26740</v>
      </c>
      <c r="AA3533">
        <v>0.74854526918477604</v>
      </c>
      <c r="AB3533" t="str">
        <f>HYPERLINK("Melting_Curves/meltCurve_Q5SX86_GDI2.pdf", "Melting_Curves/meltCurve_Q5SX86_GDI2.pdf")</f>
        <v>Melting_Curves/meltCurve_Q5SX86_GDI2.pdf</v>
      </c>
    </row>
    <row r="3534" spans="1:28" x14ac:dyDescent="0.25">
      <c r="A3534" t="s">
        <v>3538</v>
      </c>
      <c r="B3534">
        <v>0.99334974765950101</v>
      </c>
      <c r="C3534">
        <v>0.95964401164111801</v>
      </c>
      <c r="D3534">
        <v>0.81822646495628004</v>
      </c>
      <c r="E3534">
        <v>0.71907879122001905</v>
      </c>
      <c r="F3534">
        <v>0.58131370244901104</v>
      </c>
      <c r="G3534">
        <v>0.48476768645761897</v>
      </c>
      <c r="H3534">
        <v>0.43173081590357698</v>
      </c>
      <c r="I3534">
        <v>0.49114469205307798</v>
      </c>
      <c r="J3534">
        <v>0.55083316062306997</v>
      </c>
      <c r="K3534">
        <v>0.52852691030318699</v>
      </c>
      <c r="L3534">
        <v>848.85691481309505</v>
      </c>
      <c r="M3534">
        <v>17.538506096994801</v>
      </c>
      <c r="N3534">
        <v>62.240630139545097</v>
      </c>
      <c r="O3534">
        <v>47.783537077611498</v>
      </c>
      <c r="P3534">
        <v>-4.6811175770733002E-2</v>
      </c>
      <c r="Q3534">
        <v>0.489880999938692</v>
      </c>
      <c r="R3534">
        <v>0.96131338370270003</v>
      </c>
      <c r="S3534" t="s">
        <v>9395</v>
      </c>
      <c r="T3534" t="s">
        <v>11720</v>
      </c>
      <c r="U3534" t="s">
        <v>11720</v>
      </c>
      <c r="V3534" t="s">
        <v>11720</v>
      </c>
      <c r="W3534" t="s">
        <v>15202</v>
      </c>
      <c r="X3534">
        <v>3</v>
      </c>
      <c r="Y3534" t="s">
        <v>20922</v>
      </c>
      <c r="Z3534" t="s">
        <v>26741</v>
      </c>
      <c r="AA3534">
        <v>0.64214780397348581</v>
      </c>
      <c r="AB3534" t="str">
        <f>HYPERLINK("Melting_Curves/meltCurve_Q5SXM8_DNLZ.pdf", "Melting_Curves/meltCurve_Q5SXM8_DNLZ.pdf")</f>
        <v>Melting_Curves/meltCurve_Q5SXM8_DNLZ.pdf</v>
      </c>
    </row>
    <row r="3535" spans="1:28" x14ac:dyDescent="0.25">
      <c r="A3535" t="s">
        <v>3539</v>
      </c>
      <c r="B3535">
        <v>0.99334974765950101</v>
      </c>
      <c r="C3535">
        <v>1.0296475809522101</v>
      </c>
      <c r="D3535">
        <v>1.11680643012386</v>
      </c>
      <c r="E3535">
        <v>1.29990579426096</v>
      </c>
      <c r="F3535">
        <v>0.34867377888464202</v>
      </c>
      <c r="G3535">
        <v>0.217089009680935</v>
      </c>
      <c r="H3535">
        <v>0.14940285991792901</v>
      </c>
      <c r="I3535">
        <v>0.14225339702784601</v>
      </c>
      <c r="J3535">
        <v>0.20295520234585701</v>
      </c>
      <c r="K3535">
        <v>0.136953754726022</v>
      </c>
      <c r="L3535">
        <v>13181.527925451701</v>
      </c>
      <c r="M3535">
        <v>250</v>
      </c>
      <c r="N3535">
        <v>52.813720359828501</v>
      </c>
      <c r="O3535">
        <v>52.7227375971081</v>
      </c>
      <c r="P3535">
        <v>-0.98424024718465597</v>
      </c>
      <c r="Q3535">
        <v>0.169730556679312</v>
      </c>
      <c r="R3535">
        <v>0.94700388642125399</v>
      </c>
      <c r="S3535" t="s">
        <v>9396</v>
      </c>
      <c r="T3535" t="s">
        <v>11720</v>
      </c>
      <c r="U3535" t="s">
        <v>11720</v>
      </c>
      <c r="V3535" t="s">
        <v>11720</v>
      </c>
      <c r="W3535" t="s">
        <v>15203</v>
      </c>
      <c r="X3535">
        <v>4</v>
      </c>
      <c r="Y3535" t="s">
        <v>20923</v>
      </c>
      <c r="Z3535" t="s">
        <v>26742</v>
      </c>
      <c r="AA3535">
        <v>0.52201077369789395</v>
      </c>
      <c r="AB3535" t="str">
        <f>HYPERLINK("Melting_Curves/meltCurve_Q5SYE7_2_NHSL1.pdf", "Melting_Curves/meltCurve_Q5SYE7_2_NHSL1.pdf")</f>
        <v>Melting_Curves/meltCurve_Q5SYE7_2_NHSL1.pdf</v>
      </c>
    </row>
    <row r="3536" spans="1:28" x14ac:dyDescent="0.25">
      <c r="A3536" t="s">
        <v>3540</v>
      </c>
      <c r="B3536">
        <v>0.99334974765950101</v>
      </c>
      <c r="C3536">
        <v>0.90565176461129304</v>
      </c>
      <c r="D3536">
        <v>1.1319398523091</v>
      </c>
      <c r="E3536">
        <v>1.0997971768229799</v>
      </c>
      <c r="F3536">
        <v>0.51954050656101902</v>
      </c>
      <c r="G3536">
        <v>0.26428869777804098</v>
      </c>
      <c r="H3536">
        <v>0.15896887378538699</v>
      </c>
      <c r="I3536">
        <v>0</v>
      </c>
      <c r="J3536">
        <v>7.4104209776360397E-2</v>
      </c>
      <c r="K3536">
        <v>4.07390085082305E-2</v>
      </c>
      <c r="L3536">
        <v>13241.842656843701</v>
      </c>
      <c r="M3536">
        <v>250</v>
      </c>
      <c r="N3536">
        <v>53.018749018766002</v>
      </c>
      <c r="O3536">
        <v>52.9639933282755</v>
      </c>
      <c r="P3536">
        <v>-1.0530503952582999</v>
      </c>
      <c r="Q3536">
        <v>0.107620141147288</v>
      </c>
      <c r="R3536">
        <v>0.95921564302951501</v>
      </c>
      <c r="S3536" t="s">
        <v>9397</v>
      </c>
      <c r="T3536" t="s">
        <v>11720</v>
      </c>
      <c r="U3536" t="s">
        <v>11720</v>
      </c>
      <c r="V3536" t="s">
        <v>11720</v>
      </c>
      <c r="W3536" t="s">
        <v>15204</v>
      </c>
      <c r="X3536">
        <v>1</v>
      </c>
      <c r="Y3536" t="s">
        <v>20924</v>
      </c>
      <c r="Z3536" t="s">
        <v>26743</v>
      </c>
      <c r="AA3536">
        <v>0.49343043969407702</v>
      </c>
      <c r="AB3536" t="str">
        <f>HYPERLINK("Melting_Curves/meltCurve_Q5SZE2_CERS2.pdf", "Melting_Curves/meltCurve_Q5SZE2_CERS2.pdf")</f>
        <v>Melting_Curves/meltCurve_Q5SZE2_CERS2.pdf</v>
      </c>
    </row>
    <row r="3537" spans="1:28" x14ac:dyDescent="0.25">
      <c r="A3537" t="s">
        <v>3541</v>
      </c>
      <c r="B3537">
        <v>0.99334974765950101</v>
      </c>
      <c r="C3537">
        <v>0.95398557496912895</v>
      </c>
      <c r="D3537">
        <v>0.71795571091438903</v>
      </c>
      <c r="E3537">
        <v>0.42357317958861601</v>
      </c>
      <c r="F3537">
        <v>0.23062240073159601</v>
      </c>
      <c r="G3537">
        <v>0.13104282182121499</v>
      </c>
      <c r="H3537">
        <v>8.4470220034362498E-2</v>
      </c>
      <c r="I3537">
        <v>6.3810801430499497E-2</v>
      </c>
      <c r="J3537">
        <v>5.0023296552023699E-2</v>
      </c>
      <c r="K3537">
        <v>3.8914609316881697E-2</v>
      </c>
      <c r="L3537">
        <v>845.92926904677097</v>
      </c>
      <c r="M3537">
        <v>17.377605230378599</v>
      </c>
      <c r="N3537">
        <v>48.963573085685901</v>
      </c>
      <c r="O3537">
        <v>48.048361129445397</v>
      </c>
      <c r="P3537">
        <v>-8.6083214776088296E-2</v>
      </c>
      <c r="Q3537">
        <v>4.7987817184821799E-2</v>
      </c>
      <c r="R3537">
        <v>0.99774454650870403</v>
      </c>
      <c r="S3537" t="s">
        <v>9398</v>
      </c>
      <c r="T3537" t="s">
        <v>11720</v>
      </c>
      <c r="U3537" t="s">
        <v>11720</v>
      </c>
      <c r="V3537" t="s">
        <v>11720</v>
      </c>
      <c r="W3537" t="s">
        <v>15205</v>
      </c>
      <c r="X3537">
        <v>8</v>
      </c>
      <c r="Y3537" t="s">
        <v>20925</v>
      </c>
      <c r="Z3537" t="s">
        <v>26744</v>
      </c>
      <c r="AA3537">
        <v>0.34123151412793612</v>
      </c>
      <c r="AB3537" t="str">
        <f>HYPERLINK("Melting_Curves/meltCurve_Q5T0D9_TPRG1L.pdf", "Melting_Curves/meltCurve_Q5T0D9_TPRG1L.pdf")</f>
        <v>Melting_Curves/meltCurve_Q5T0D9_TPRG1L.pdf</v>
      </c>
    </row>
    <row r="3538" spans="1:28" x14ac:dyDescent="0.25">
      <c r="A3538" t="s">
        <v>3542</v>
      </c>
      <c r="B3538">
        <v>0.99334974765950101</v>
      </c>
      <c r="C3538">
        <v>0.95045579108343903</v>
      </c>
      <c r="D3538">
        <v>0.91198500337264499</v>
      </c>
      <c r="E3538">
        <v>0.73667831747930601</v>
      </c>
      <c r="F3538">
        <v>0.51572304676891001</v>
      </c>
      <c r="G3538">
        <v>0.256248355256739</v>
      </c>
      <c r="H3538">
        <v>0.212340542799142</v>
      </c>
      <c r="I3538">
        <v>0.187584111983987</v>
      </c>
      <c r="J3538">
        <v>0.177833987183974</v>
      </c>
      <c r="K3538">
        <v>0.14830132025961201</v>
      </c>
      <c r="L3538">
        <v>960.71022314142704</v>
      </c>
      <c r="M3538">
        <v>18.479941396400601</v>
      </c>
      <c r="N3538">
        <v>53.025647885165</v>
      </c>
      <c r="O3538">
        <v>51.389389140511398</v>
      </c>
      <c r="P3538">
        <v>-7.6249461185210296E-2</v>
      </c>
      <c r="Q3538">
        <v>0.151893991030144</v>
      </c>
      <c r="R3538">
        <v>0.99698775595407096</v>
      </c>
      <c r="S3538" t="s">
        <v>9399</v>
      </c>
      <c r="T3538" t="s">
        <v>11720</v>
      </c>
      <c r="U3538" t="s">
        <v>11720</v>
      </c>
      <c r="V3538" t="s">
        <v>11720</v>
      </c>
      <c r="W3538" t="s">
        <v>15206</v>
      </c>
      <c r="X3538">
        <v>7</v>
      </c>
      <c r="Y3538" t="s">
        <v>20926</v>
      </c>
      <c r="Z3538" t="s">
        <v>26745</v>
      </c>
      <c r="AA3538">
        <v>0.50425064325935864</v>
      </c>
      <c r="AB3538" t="str">
        <f>HYPERLINK("Melting_Curves/meltCurve_Q5T0N5_3_FNBP1L.pdf", "Melting_Curves/meltCurve_Q5T0N5_3_FNBP1L.pdf")</f>
        <v>Melting_Curves/meltCurve_Q5T0N5_3_FNBP1L.pdf</v>
      </c>
    </row>
    <row r="3539" spans="1:28" x14ac:dyDescent="0.25">
      <c r="A3539" t="s">
        <v>3543</v>
      </c>
      <c r="B3539">
        <v>0.99334974765950101</v>
      </c>
      <c r="C3539">
        <v>0.898328075353512</v>
      </c>
      <c r="D3539">
        <v>1.1296127684825901</v>
      </c>
      <c r="E3539">
        <v>1.2834283153659001</v>
      </c>
      <c r="F3539">
        <v>1.24810523942982</v>
      </c>
      <c r="G3539">
        <v>1.1561232954232901</v>
      </c>
      <c r="H3539">
        <v>0.46139245683437202</v>
      </c>
      <c r="I3539">
        <v>0.314639210143702</v>
      </c>
      <c r="J3539">
        <v>0.36934819049273898</v>
      </c>
      <c r="K3539">
        <v>0.206097933826701</v>
      </c>
      <c r="L3539">
        <v>12927.946541179601</v>
      </c>
      <c r="M3539">
        <v>213.11838272886399</v>
      </c>
      <c r="N3539">
        <v>60.9180737590248</v>
      </c>
      <c r="O3539">
        <v>60.655518046479997</v>
      </c>
      <c r="P3539">
        <v>-0.61778408697153997</v>
      </c>
      <c r="Q3539">
        <v>0.296690978523523</v>
      </c>
      <c r="R3539">
        <v>0.87087688277341002</v>
      </c>
      <c r="S3539" t="s">
        <v>9400</v>
      </c>
      <c r="T3539" t="s">
        <v>11720</v>
      </c>
      <c r="U3539" t="s">
        <v>11720</v>
      </c>
      <c r="V3539" t="s">
        <v>11720</v>
      </c>
      <c r="W3539" t="s">
        <v>15207</v>
      </c>
      <c r="X3539">
        <v>6</v>
      </c>
      <c r="Y3539" t="s">
        <v>19969</v>
      </c>
      <c r="Z3539" t="s">
        <v>26746</v>
      </c>
      <c r="AA3539">
        <v>0.78115989663395813</v>
      </c>
      <c r="AB3539" t="str">
        <f>HYPERLINK("Melting_Curves/meltCurve_Q5T0S4_PPT1.pdf", "Melting_Curves/meltCurve_Q5T0S4_PPT1.pdf")</f>
        <v>Melting_Curves/meltCurve_Q5T0S4_PPT1.pdf</v>
      </c>
    </row>
    <row r="3540" spans="1:28" x14ac:dyDescent="0.25">
      <c r="A3540" t="s">
        <v>3544</v>
      </c>
      <c r="B3540">
        <v>0.99334974765950101</v>
      </c>
      <c r="C3540">
        <v>1.0238896139198499</v>
      </c>
      <c r="D3540">
        <v>0.84303328048280701</v>
      </c>
      <c r="E3540">
        <v>0.833099426143181</v>
      </c>
      <c r="F3540">
        <v>0.88885505659040598</v>
      </c>
      <c r="G3540">
        <v>0.53719988084378101</v>
      </c>
      <c r="H3540">
        <v>0.44966988211650299</v>
      </c>
      <c r="I3540">
        <v>0.44028430664735702</v>
      </c>
      <c r="J3540">
        <v>0.68282068489937997</v>
      </c>
      <c r="K3540">
        <v>0.64012435796036404</v>
      </c>
      <c r="L3540">
        <v>1214.1947570673001</v>
      </c>
      <c r="M3540">
        <v>22.9780413451433</v>
      </c>
      <c r="O3540">
        <v>52.446196107871003</v>
      </c>
      <c r="P3540">
        <v>-5.0219013054308301E-2</v>
      </c>
      <c r="Q3540">
        <v>0.54151945917522604</v>
      </c>
      <c r="R3540">
        <v>0.75753151910449901</v>
      </c>
      <c r="S3540" t="s">
        <v>9401</v>
      </c>
      <c r="T3540" t="s">
        <v>11720</v>
      </c>
      <c r="U3540" t="s">
        <v>11720</v>
      </c>
      <c r="V3540" t="s">
        <v>11720</v>
      </c>
      <c r="W3540" t="s">
        <v>15208</v>
      </c>
      <c r="X3540">
        <v>7</v>
      </c>
      <c r="Y3540" t="s">
        <v>20927</v>
      </c>
      <c r="Z3540" t="s">
        <v>26747</v>
      </c>
      <c r="AA3540">
        <v>0.74270490419708068</v>
      </c>
      <c r="AB3540" t="str">
        <f>HYPERLINK("Melting_Curves/meltCurve_Q5T123_SH3BGRL3.pdf", "Melting_Curves/meltCurve_Q5T123_SH3BGRL3.pdf")</f>
        <v>Melting_Curves/meltCurve_Q5T123_SH3BGRL3.pdf</v>
      </c>
    </row>
    <row r="3541" spans="1:28" x14ac:dyDescent="0.25">
      <c r="A3541" t="s">
        <v>3545</v>
      </c>
      <c r="B3541">
        <v>0.99334974765950101</v>
      </c>
      <c r="C3541">
        <v>0.99146932741479199</v>
      </c>
      <c r="D3541">
        <v>1.0450554303973401</v>
      </c>
      <c r="E3541">
        <v>0.59779010941101596</v>
      </c>
      <c r="F3541">
        <v>0.31731733379782301</v>
      </c>
      <c r="G3541">
        <v>0.22227191318688</v>
      </c>
      <c r="H3541">
        <v>0.19680737909521601</v>
      </c>
      <c r="I3541">
        <v>0.175637062187434</v>
      </c>
      <c r="J3541">
        <v>0.15422528427937901</v>
      </c>
      <c r="K3541">
        <v>0.13737723743827601</v>
      </c>
      <c r="L3541">
        <v>1757.4284270737301</v>
      </c>
      <c r="M3541">
        <v>34.977165669669702</v>
      </c>
      <c r="N3541">
        <v>50.879512042166503</v>
      </c>
      <c r="O3541">
        <v>50.081631431044002</v>
      </c>
      <c r="P3541">
        <v>-0.14374127756415001</v>
      </c>
      <c r="Q3541">
        <v>0.17674608085429899</v>
      </c>
      <c r="R3541">
        <v>0.99204258099925502</v>
      </c>
      <c r="S3541" t="s">
        <v>9402</v>
      </c>
      <c r="T3541" t="s">
        <v>11720</v>
      </c>
      <c r="U3541" t="s">
        <v>11720</v>
      </c>
      <c r="V3541" t="s">
        <v>11720</v>
      </c>
      <c r="W3541" t="s">
        <v>15209</v>
      </c>
      <c r="X3541">
        <v>6</v>
      </c>
      <c r="Y3541" t="s">
        <v>20928</v>
      </c>
      <c r="Z3541" t="s">
        <v>26748</v>
      </c>
      <c r="AA3541">
        <v>0.46163742459619372</v>
      </c>
      <c r="AB3541" t="str">
        <f>HYPERLINK("Melting_Curves/meltCurve_Q5T160_RARS2.pdf", "Melting_Curves/meltCurve_Q5T160_RARS2.pdf")</f>
        <v>Melting_Curves/meltCurve_Q5T160_RARS2.pdf</v>
      </c>
    </row>
    <row r="3542" spans="1:28" x14ac:dyDescent="0.25">
      <c r="A3542" t="s">
        <v>3546</v>
      </c>
      <c r="B3542">
        <v>0.99334974765950101</v>
      </c>
      <c r="C3542">
        <v>0.95709229572719601</v>
      </c>
      <c r="D3542">
        <v>0.94047791443852802</v>
      </c>
      <c r="E3542">
        <v>0.82539759141014701</v>
      </c>
      <c r="F3542">
        <v>0.47385007405164697</v>
      </c>
      <c r="G3542">
        <v>0.28487426864850601</v>
      </c>
      <c r="H3542">
        <v>0.19623652286209001</v>
      </c>
      <c r="I3542">
        <v>0.23246646138657001</v>
      </c>
      <c r="J3542">
        <v>0.25961155315402301</v>
      </c>
      <c r="K3542">
        <v>0.25116151818603799</v>
      </c>
      <c r="L3542">
        <v>1659.4490250906799</v>
      </c>
      <c r="M3542">
        <v>32.0567554347924</v>
      </c>
      <c r="N3542">
        <v>52.811526582368003</v>
      </c>
      <c r="O3542">
        <v>51.565775111478096</v>
      </c>
      <c r="P3542">
        <v>-0.118903557991432</v>
      </c>
      <c r="Q3542">
        <v>0.23494153418873401</v>
      </c>
      <c r="R3542">
        <v>0.99334398697210502</v>
      </c>
      <c r="S3542" t="s">
        <v>9403</v>
      </c>
      <c r="T3542" t="s">
        <v>11720</v>
      </c>
      <c r="U3542" t="s">
        <v>11720</v>
      </c>
      <c r="V3542" t="s">
        <v>11720</v>
      </c>
      <c r="W3542" t="s">
        <v>15210</v>
      </c>
      <c r="X3542">
        <v>2</v>
      </c>
      <c r="Y3542" t="s">
        <v>20929</v>
      </c>
      <c r="Z3542" t="s">
        <v>26749</v>
      </c>
      <c r="AA3542">
        <v>0.53926397352944244</v>
      </c>
      <c r="AB3542" t="str">
        <f>HYPERLINK("Melting_Curves/meltCurve_Q5T171_PYGO2.pdf", "Melting_Curves/meltCurve_Q5T171_PYGO2.pdf")</f>
        <v>Melting_Curves/meltCurve_Q5T171_PYGO2.pdf</v>
      </c>
    </row>
    <row r="3543" spans="1:28" x14ac:dyDescent="0.25">
      <c r="A3543" t="s">
        <v>3547</v>
      </c>
      <c r="B3543">
        <v>0.99334974765950101</v>
      </c>
      <c r="C3543">
        <v>1.0767192577473099</v>
      </c>
      <c r="D3543">
        <v>0.74015638259900696</v>
      </c>
      <c r="E3543">
        <v>0.61423683280834496</v>
      </c>
      <c r="F3543">
        <v>0.79021504146502197</v>
      </c>
      <c r="G3543">
        <v>0.47905679736343099</v>
      </c>
      <c r="H3543">
        <v>0.41633602593619201</v>
      </c>
      <c r="I3543">
        <v>0.64049536980597999</v>
      </c>
      <c r="J3543">
        <v>0.78235385539337599</v>
      </c>
      <c r="K3543">
        <v>0.882225822446702</v>
      </c>
      <c r="L3543">
        <v>11447.119391844901</v>
      </c>
      <c r="M3543">
        <v>250</v>
      </c>
      <c r="O3543">
        <v>45.785547230990304</v>
      </c>
      <c r="P3543">
        <v>-0.46706103736159299</v>
      </c>
      <c r="Q3543">
        <v>0.65784567610026701</v>
      </c>
      <c r="R3543">
        <v>0.54625276212724305</v>
      </c>
      <c r="S3543" t="s">
        <v>9404</v>
      </c>
      <c r="T3543" t="s">
        <v>11720</v>
      </c>
      <c r="U3543" t="s">
        <v>11720</v>
      </c>
      <c r="V3543" t="s">
        <v>11720</v>
      </c>
      <c r="W3543" t="s">
        <v>15211</v>
      </c>
      <c r="X3543">
        <v>1</v>
      </c>
      <c r="Y3543" t="s">
        <v>20930</v>
      </c>
      <c r="Z3543" t="s">
        <v>26750</v>
      </c>
      <c r="AA3543">
        <v>0.7238915919090243</v>
      </c>
      <c r="AB3543" t="str">
        <f>HYPERLINK("Melting_Curves/meltCurve_Q5T179_CKS1B.pdf", "Melting_Curves/meltCurve_Q5T179_CKS1B.pdf")</f>
        <v>Melting_Curves/meltCurve_Q5T179_CKS1B.pdf</v>
      </c>
    </row>
    <row r="3544" spans="1:28" x14ac:dyDescent="0.25">
      <c r="A3544" t="s">
        <v>3548</v>
      </c>
      <c r="B3544">
        <v>0.99334974765950101</v>
      </c>
      <c r="C3544">
        <v>0.87921492581193705</v>
      </c>
      <c r="D3544">
        <v>0.87975776047533605</v>
      </c>
      <c r="E3544">
        <v>0.78026169478194196</v>
      </c>
      <c r="F3544">
        <v>0.761339211499795</v>
      </c>
      <c r="G3544">
        <v>0.40394862879297699</v>
      </c>
      <c r="H3544">
        <v>0.20457672321786899</v>
      </c>
      <c r="I3544">
        <v>0.16683647083846101</v>
      </c>
      <c r="J3544">
        <v>0.138969819151674</v>
      </c>
      <c r="K3544">
        <v>9.5616478813282502E-2</v>
      </c>
      <c r="L3544">
        <v>684.28128339150305</v>
      </c>
      <c r="M3544">
        <v>12.282187822455001</v>
      </c>
      <c r="N3544">
        <v>55.751199258622002</v>
      </c>
      <c r="O3544">
        <v>54.2981386634114</v>
      </c>
      <c r="P3544">
        <v>-5.6327200272034299E-2</v>
      </c>
      <c r="Q3544">
        <v>4.1550071591590796E-3</v>
      </c>
      <c r="R3544">
        <v>0.97548802918946498</v>
      </c>
      <c r="S3544" t="s">
        <v>9405</v>
      </c>
      <c r="T3544" t="s">
        <v>11720</v>
      </c>
      <c r="U3544" t="s">
        <v>11720</v>
      </c>
      <c r="V3544" t="s">
        <v>11720</v>
      </c>
      <c r="W3544" t="s">
        <v>15212</v>
      </c>
      <c r="X3544">
        <v>6</v>
      </c>
      <c r="Y3544" t="s">
        <v>20931</v>
      </c>
      <c r="Z3544" t="s">
        <v>26751</v>
      </c>
      <c r="AA3544">
        <v>0.54672779162352159</v>
      </c>
      <c r="AB3544" t="str">
        <f>HYPERLINK("Melting_Curves/meltCurve_Q5T1C6_THEM4.pdf", "Melting_Curves/meltCurve_Q5T1C6_THEM4.pdf")</f>
        <v>Melting_Curves/meltCurve_Q5T1C6_THEM4.pdf</v>
      </c>
    </row>
    <row r="3545" spans="1:28" x14ac:dyDescent="0.25">
      <c r="A3545" t="s">
        <v>3549</v>
      </c>
      <c r="B3545">
        <v>0.99334974765950101</v>
      </c>
      <c r="C3545">
        <v>0.99880043828194098</v>
      </c>
      <c r="D3545">
        <v>0.96462641059145604</v>
      </c>
      <c r="E3545">
        <v>0.61942485261124902</v>
      </c>
      <c r="F3545">
        <v>0.29239724284590701</v>
      </c>
      <c r="G3545">
        <v>0.173040077722622</v>
      </c>
      <c r="H3545">
        <v>0.14163368862074399</v>
      </c>
      <c r="I3545">
        <v>0.136037989388754</v>
      </c>
      <c r="J3545">
        <v>0.13993028252632</v>
      </c>
      <c r="K3545">
        <v>0.11457761085973101</v>
      </c>
      <c r="L3545">
        <v>1538.7750486079999</v>
      </c>
      <c r="M3545">
        <v>30.521511739580699</v>
      </c>
      <c r="N3545">
        <v>50.938549554473397</v>
      </c>
      <c r="O3545">
        <v>50.201142238347501</v>
      </c>
      <c r="P3545">
        <v>-0.13156946318148899</v>
      </c>
      <c r="Q3545">
        <v>0.13439454453578001</v>
      </c>
      <c r="R3545">
        <v>0.99945745177432699</v>
      </c>
      <c r="S3545" t="s">
        <v>9406</v>
      </c>
      <c r="T3545" t="s">
        <v>11720</v>
      </c>
      <c r="U3545" t="s">
        <v>11720</v>
      </c>
      <c r="V3545" t="s">
        <v>11720</v>
      </c>
      <c r="W3545" t="s">
        <v>15213</v>
      </c>
      <c r="X3545">
        <v>24</v>
      </c>
      <c r="Y3545" t="s">
        <v>20932</v>
      </c>
      <c r="Z3545" t="s">
        <v>26752</v>
      </c>
      <c r="AA3545">
        <v>0.44014155038118169</v>
      </c>
      <c r="AB3545" t="str">
        <f>HYPERLINK("Melting_Curves/meltCurve_Q5T1M5_FKBP15.pdf", "Melting_Curves/meltCurve_Q5T1M5_FKBP15.pdf")</f>
        <v>Melting_Curves/meltCurve_Q5T1M5_FKBP15.pdf</v>
      </c>
    </row>
    <row r="3546" spans="1:28" x14ac:dyDescent="0.25">
      <c r="A3546" t="s">
        <v>3550</v>
      </c>
      <c r="B3546">
        <v>0.99334974765950101</v>
      </c>
      <c r="C3546">
        <v>0.78562469795968704</v>
      </c>
      <c r="D3546">
        <v>0.33190196631442298</v>
      </c>
      <c r="E3546">
        <v>0.25937175649218902</v>
      </c>
      <c r="F3546">
        <v>0.22398524522317401</v>
      </c>
      <c r="G3546">
        <v>0.17846785879590399</v>
      </c>
      <c r="H3546">
        <v>0.10795828563383</v>
      </c>
      <c r="I3546">
        <v>9.2167844494298601E-2</v>
      </c>
      <c r="J3546">
        <v>9.8797199534937E-2</v>
      </c>
      <c r="K3546">
        <v>6.9767486528991896E-2</v>
      </c>
      <c r="L3546">
        <v>1265.1897014226399</v>
      </c>
      <c r="M3546">
        <v>28.475558484256599</v>
      </c>
      <c r="N3546">
        <v>44.933858512058798</v>
      </c>
      <c r="O3546">
        <v>44.213332958514002</v>
      </c>
      <c r="P3546">
        <v>-0.13903418157367101</v>
      </c>
      <c r="Q3546">
        <v>0.13650648800606799</v>
      </c>
      <c r="R3546">
        <v>0.97025014703788703</v>
      </c>
      <c r="S3546" t="s">
        <v>9407</v>
      </c>
      <c r="T3546" t="s">
        <v>11720</v>
      </c>
      <c r="U3546" t="s">
        <v>11720</v>
      </c>
      <c r="V3546" t="s">
        <v>11720</v>
      </c>
      <c r="W3546" t="s">
        <v>15214</v>
      </c>
      <c r="X3546">
        <v>2</v>
      </c>
      <c r="Y3546" t="s">
        <v>20933</v>
      </c>
      <c r="Z3546" t="s">
        <v>26753</v>
      </c>
      <c r="AA3546">
        <v>0.27074560243875778</v>
      </c>
      <c r="AB3546" t="str">
        <f>HYPERLINK("Melting_Curves/meltCurve_Q5T1N9_GPSM2.pdf", "Melting_Curves/meltCurve_Q5T1N9_GPSM2.pdf")</f>
        <v>Melting_Curves/meltCurve_Q5T1N9_GPSM2.pdf</v>
      </c>
    </row>
    <row r="3547" spans="1:28" x14ac:dyDescent="0.25">
      <c r="A3547" t="s">
        <v>3551</v>
      </c>
      <c r="B3547">
        <v>0.99334974765950101</v>
      </c>
      <c r="C3547">
        <v>0.98264803753704599</v>
      </c>
      <c r="D3547">
        <v>0.90293290242885105</v>
      </c>
      <c r="E3547">
        <v>0.57844548062393197</v>
      </c>
      <c r="F3547">
        <v>0.40573538845884799</v>
      </c>
      <c r="G3547">
        <v>0.20935407554531099</v>
      </c>
      <c r="H3547">
        <v>0.159313758088515</v>
      </c>
      <c r="I3547">
        <v>0.206823788804367</v>
      </c>
      <c r="J3547">
        <v>0.11632743926160601</v>
      </c>
      <c r="K3547">
        <v>9.8564802176412294E-2</v>
      </c>
      <c r="L3547">
        <v>955.61853416010604</v>
      </c>
      <c r="M3547">
        <v>18.9162906454088</v>
      </c>
      <c r="N3547">
        <v>51.3280291815651</v>
      </c>
      <c r="O3547">
        <v>49.963859569442903</v>
      </c>
      <c r="P3547">
        <v>-8.2442941814505497E-2</v>
      </c>
      <c r="Q3547">
        <v>0.12900460857090201</v>
      </c>
      <c r="R3547">
        <v>0.993946427743855</v>
      </c>
      <c r="S3547" t="s">
        <v>9408</v>
      </c>
      <c r="T3547" t="s">
        <v>11720</v>
      </c>
      <c r="U3547" t="s">
        <v>11720</v>
      </c>
      <c r="V3547" t="s">
        <v>11720</v>
      </c>
      <c r="W3547" t="s">
        <v>15215</v>
      </c>
      <c r="X3547">
        <v>4</v>
      </c>
      <c r="Y3547" t="s">
        <v>20934</v>
      </c>
      <c r="Z3547" t="s">
        <v>26754</v>
      </c>
      <c r="AA3547">
        <v>0.44783714547407327</v>
      </c>
      <c r="AB3547" t="str">
        <f>HYPERLINK("Melting_Curves/meltCurve_Q5T1V6_DDX59.pdf", "Melting_Curves/meltCurve_Q5T1V6_DDX59.pdf")</f>
        <v>Melting_Curves/meltCurve_Q5T1V6_DDX59.pdf</v>
      </c>
    </row>
    <row r="3548" spans="1:28" x14ac:dyDescent="0.25">
      <c r="A3548" t="s">
        <v>3552</v>
      </c>
      <c r="B3548">
        <v>0.99334974765950101</v>
      </c>
      <c r="C3548">
        <v>0.96106881468591099</v>
      </c>
      <c r="D3548">
        <v>0.87454398094578101</v>
      </c>
      <c r="E3548">
        <v>0.65878613367842198</v>
      </c>
      <c r="F3548">
        <v>0.46618024689079501</v>
      </c>
      <c r="G3548">
        <v>0.34751052448591802</v>
      </c>
      <c r="H3548">
        <v>0.31950451106623001</v>
      </c>
      <c r="I3548">
        <v>0.307819412437558</v>
      </c>
      <c r="J3548">
        <v>0.34123945750326701</v>
      </c>
      <c r="K3548">
        <v>0.31954036347224601</v>
      </c>
      <c r="L3548">
        <v>980.64379412744699</v>
      </c>
      <c r="M3548">
        <v>19.693824636932298</v>
      </c>
      <c r="N3548">
        <v>52.377871947609599</v>
      </c>
      <c r="O3548">
        <v>49.289589028284603</v>
      </c>
      <c r="P3548">
        <v>-6.8854167846623696E-2</v>
      </c>
      <c r="Q3548">
        <v>0.31071260088619601</v>
      </c>
      <c r="R3548">
        <v>0.997568246897091</v>
      </c>
      <c r="S3548" t="s">
        <v>9409</v>
      </c>
      <c r="T3548" t="s">
        <v>11720</v>
      </c>
      <c r="U3548" t="s">
        <v>11720</v>
      </c>
      <c r="V3548" t="s">
        <v>11720</v>
      </c>
      <c r="W3548" t="s">
        <v>15216</v>
      </c>
      <c r="X3548">
        <v>10</v>
      </c>
      <c r="Y3548" t="s">
        <v>20935</v>
      </c>
      <c r="Z3548" t="s">
        <v>26755</v>
      </c>
      <c r="AA3548">
        <v>0.54565258107073744</v>
      </c>
      <c r="AB3548" t="str">
        <f>HYPERLINK("Melting_Curves/meltCurve_Q5T1Z4_PUM1.pdf", "Melting_Curves/meltCurve_Q5T1Z4_PUM1.pdf")</f>
        <v>Melting_Curves/meltCurve_Q5T1Z4_PUM1.pdf</v>
      </c>
    </row>
    <row r="3549" spans="1:28" x14ac:dyDescent="0.25">
      <c r="A3549" t="s">
        <v>3553</v>
      </c>
      <c r="B3549">
        <v>0.99334974765950101</v>
      </c>
      <c r="C3549">
        <v>1.03511025259114</v>
      </c>
      <c r="D3549">
        <v>0.86577247017327996</v>
      </c>
      <c r="E3549">
        <v>0.64672765074865401</v>
      </c>
      <c r="F3549">
        <v>0.78917345749120704</v>
      </c>
      <c r="G3549">
        <v>0.52075309819510196</v>
      </c>
      <c r="H3549">
        <v>0.337688473394813</v>
      </c>
      <c r="I3549">
        <v>0.53087698071232903</v>
      </c>
      <c r="J3549">
        <v>0.155363049164882</v>
      </c>
      <c r="K3549">
        <v>0.184909670554054</v>
      </c>
      <c r="L3549">
        <v>456.49709400663397</v>
      </c>
      <c r="M3549">
        <v>7.8450546183540899</v>
      </c>
      <c r="N3549">
        <v>58.189156706394797</v>
      </c>
      <c r="O3549">
        <v>54.771796121460397</v>
      </c>
      <c r="P3549">
        <v>-3.5851480045516602E-2</v>
      </c>
      <c r="Q3549">
        <v>0</v>
      </c>
      <c r="R3549">
        <v>0.891310558372021</v>
      </c>
      <c r="S3549" t="s">
        <v>9410</v>
      </c>
      <c r="T3549" t="s">
        <v>11720</v>
      </c>
      <c r="U3549" t="s">
        <v>11720</v>
      </c>
      <c r="V3549" t="s">
        <v>11720</v>
      </c>
      <c r="W3549" t="s">
        <v>15217</v>
      </c>
      <c r="X3549">
        <v>2</v>
      </c>
      <c r="Y3549" t="s">
        <v>20936</v>
      </c>
      <c r="Z3549" t="s">
        <v>26756</v>
      </c>
      <c r="AA3549">
        <v>0.60749914886019407</v>
      </c>
      <c r="AB3549" t="str">
        <f>HYPERLINK("Melting_Curves/meltCurve_Q5T200_2_ZC3H13.pdf", "Melting_Curves/meltCurve_Q5T200_2_ZC3H13.pdf")</f>
        <v>Melting_Curves/meltCurve_Q5T200_2_ZC3H13.pdf</v>
      </c>
    </row>
    <row r="3550" spans="1:28" x14ac:dyDescent="0.25">
      <c r="A3550" t="s">
        <v>3554</v>
      </c>
      <c r="B3550">
        <v>0.99334974765950101</v>
      </c>
      <c r="C3550">
        <v>0.94483928676301598</v>
      </c>
      <c r="D3550">
        <v>0.99715663397707899</v>
      </c>
      <c r="E3550">
        <v>0.86270693447581803</v>
      </c>
      <c r="F3550">
        <v>0.95641644465704601</v>
      </c>
      <c r="G3550">
        <v>0.66849929673648201</v>
      </c>
      <c r="H3550">
        <v>0.40687119855620102</v>
      </c>
      <c r="I3550">
        <v>0.16846040420733499</v>
      </c>
      <c r="J3550">
        <v>0.12870508169355899</v>
      </c>
      <c r="K3550">
        <v>0.10466812259772</v>
      </c>
      <c r="L3550">
        <v>1152.2906948846701</v>
      </c>
      <c r="M3550">
        <v>19.522600388626099</v>
      </c>
      <c r="N3550">
        <v>59.293396724286197</v>
      </c>
      <c r="O3550">
        <v>58.414590274286297</v>
      </c>
      <c r="P3550">
        <v>-8.0001647838790393E-2</v>
      </c>
      <c r="Q3550">
        <v>4.2525885556110303E-2</v>
      </c>
      <c r="R3550">
        <v>0.98382768979939705</v>
      </c>
      <c r="S3550" t="s">
        <v>9411</v>
      </c>
      <c r="T3550" t="s">
        <v>11720</v>
      </c>
      <c r="U3550" t="s">
        <v>11720</v>
      </c>
      <c r="V3550" t="s">
        <v>11720</v>
      </c>
      <c r="W3550" t="s">
        <v>15218</v>
      </c>
      <c r="X3550">
        <v>11</v>
      </c>
      <c r="Y3550" t="s">
        <v>20937</v>
      </c>
      <c r="Z3550" t="s">
        <v>26757</v>
      </c>
      <c r="AA3550">
        <v>0.65941984772341844</v>
      </c>
      <c r="AB3550" t="str">
        <f>HYPERLINK("Melting_Curves/meltCurve_Q5T2E6_C10orf76.pdf", "Melting_Curves/meltCurve_Q5T2E6_C10orf76.pdf")</f>
        <v>Melting_Curves/meltCurve_Q5T2E6_C10orf76.pdf</v>
      </c>
    </row>
    <row r="3551" spans="1:28" x14ac:dyDescent="0.25">
      <c r="A3551" t="s">
        <v>3555</v>
      </c>
      <c r="B3551">
        <v>0.99334974765950101</v>
      </c>
      <c r="C3551">
        <v>0.850245547421007</v>
      </c>
      <c r="D3551">
        <v>0.91200509998103396</v>
      </c>
      <c r="E3551">
        <v>0.94132263855735199</v>
      </c>
      <c r="F3551">
        <v>0.68667772123845205</v>
      </c>
      <c r="G3551">
        <v>0.524529445856036</v>
      </c>
      <c r="H3551">
        <v>0.44802780828474797</v>
      </c>
      <c r="I3551">
        <v>0.326600922465272</v>
      </c>
      <c r="J3551">
        <v>0.29399169081987397</v>
      </c>
      <c r="K3551">
        <v>0.131657883206451</v>
      </c>
      <c r="L3551">
        <v>530.61976744641004</v>
      </c>
      <c r="M3551">
        <v>9.0305578049867492</v>
      </c>
      <c r="N3551">
        <v>58.758249153968201</v>
      </c>
      <c r="O3551">
        <v>56.091650389322901</v>
      </c>
      <c r="P3551">
        <v>-4.0277976374260498E-2</v>
      </c>
      <c r="Q3551">
        <v>0</v>
      </c>
      <c r="R3551">
        <v>0.957643470760417</v>
      </c>
      <c r="S3551" t="s">
        <v>9412</v>
      </c>
      <c r="T3551" t="s">
        <v>11720</v>
      </c>
      <c r="U3551" t="s">
        <v>11720</v>
      </c>
      <c r="V3551" t="s">
        <v>11720</v>
      </c>
      <c r="W3551" t="s">
        <v>15219</v>
      </c>
      <c r="X3551">
        <v>4</v>
      </c>
      <c r="Y3551" t="s">
        <v>20938</v>
      </c>
      <c r="Z3551" t="s">
        <v>26758</v>
      </c>
      <c r="AA3551">
        <v>0.62694442021819341</v>
      </c>
      <c r="AB3551" t="str">
        <f>HYPERLINK("Melting_Curves/meltCurve_Q5T3F8_TMEM63B.pdf", "Melting_Curves/meltCurve_Q5T3F8_TMEM63B.pdf")</f>
        <v>Melting_Curves/meltCurve_Q5T3F8_TMEM63B.pdf</v>
      </c>
    </row>
    <row r="3552" spans="1:28" x14ac:dyDescent="0.25">
      <c r="A3552" t="s">
        <v>3556</v>
      </c>
      <c r="B3552">
        <v>0.99334974765950101</v>
      </c>
      <c r="C3552">
        <v>0.98340081050560302</v>
      </c>
      <c r="D3552">
        <v>0.86113617083154803</v>
      </c>
      <c r="E3552">
        <v>0.96586152320422403</v>
      </c>
      <c r="F3552">
        <v>0.80889136798697203</v>
      </c>
      <c r="G3552">
        <v>0.69194584774134404</v>
      </c>
      <c r="H3552">
        <v>0.48402809256769902</v>
      </c>
      <c r="I3552">
        <v>0.445532187420422</v>
      </c>
      <c r="J3552">
        <v>0.50467656381425496</v>
      </c>
      <c r="K3552">
        <v>0.35664632866123003</v>
      </c>
      <c r="L3552">
        <v>738.040542917582</v>
      </c>
      <c r="M3552">
        <v>12.972980001964901</v>
      </c>
      <c r="N3552">
        <v>62.384144564784101</v>
      </c>
      <c r="O3552">
        <v>55.589667199867698</v>
      </c>
      <c r="P3552">
        <v>-3.8485293034822197E-2</v>
      </c>
      <c r="Q3552">
        <v>0.34047399065358902</v>
      </c>
      <c r="R3552">
        <v>0.94888742995683495</v>
      </c>
      <c r="S3552" t="s">
        <v>9413</v>
      </c>
      <c r="T3552" t="s">
        <v>11720</v>
      </c>
      <c r="U3552" t="s">
        <v>11720</v>
      </c>
      <c r="V3552" t="s">
        <v>11720</v>
      </c>
      <c r="W3552" t="s">
        <v>15220</v>
      </c>
      <c r="X3552">
        <v>1</v>
      </c>
      <c r="Y3552" t="s">
        <v>20939</v>
      </c>
      <c r="Z3552" t="s">
        <v>26759</v>
      </c>
      <c r="AA3552">
        <v>0.72306029369867508</v>
      </c>
      <c r="AB3552" t="str">
        <f>HYPERLINK("Melting_Curves/meltCurve_Q5T3J3_2_LRIF1.pdf", "Melting_Curves/meltCurve_Q5T3J3_2_LRIF1.pdf")</f>
        <v>Melting_Curves/meltCurve_Q5T3J3_2_LRIF1.pdf</v>
      </c>
    </row>
    <row r="3553" spans="1:28" x14ac:dyDescent="0.25">
      <c r="A3553" t="s">
        <v>3557</v>
      </c>
      <c r="B3553">
        <v>0.99334974765950101</v>
      </c>
      <c r="C3553">
        <v>0.92972370266150095</v>
      </c>
      <c r="D3553">
        <v>0.84043707376419596</v>
      </c>
      <c r="E3553">
        <v>0.68561016016198995</v>
      </c>
      <c r="F3553">
        <v>0.38975776037895798</v>
      </c>
      <c r="G3553">
        <v>0.17280061810323799</v>
      </c>
      <c r="H3553">
        <v>0.119056427261843</v>
      </c>
      <c r="I3553">
        <v>0.108190236070622</v>
      </c>
      <c r="J3553">
        <v>9.6122952501618897E-2</v>
      </c>
      <c r="K3553">
        <v>0.100176101639721</v>
      </c>
      <c r="L3553">
        <v>895.14722947317205</v>
      </c>
      <c r="M3553">
        <v>17.493869868604001</v>
      </c>
      <c r="N3553">
        <v>51.647847124264302</v>
      </c>
      <c r="O3553">
        <v>50.514606900323599</v>
      </c>
      <c r="P3553">
        <v>-8.0103845382545405E-2</v>
      </c>
      <c r="Q3553">
        <v>7.4832295473837199E-2</v>
      </c>
      <c r="R3553">
        <v>0.99343142246551897</v>
      </c>
      <c r="S3553" t="s">
        <v>9414</v>
      </c>
      <c r="T3553" t="s">
        <v>11720</v>
      </c>
      <c r="U3553" t="s">
        <v>11720</v>
      </c>
      <c r="V3553" t="s">
        <v>11720</v>
      </c>
      <c r="W3553" t="s">
        <v>15221</v>
      </c>
      <c r="X3553">
        <v>9</v>
      </c>
      <c r="Y3553" t="s">
        <v>20940</v>
      </c>
      <c r="Z3553" t="s">
        <v>26760</v>
      </c>
      <c r="AA3553">
        <v>0.43564446453894562</v>
      </c>
      <c r="AB3553" t="str">
        <f>HYPERLINK("Melting_Curves/meltCurve_Q5T440_IBA57.pdf", "Melting_Curves/meltCurve_Q5T440_IBA57.pdf")</f>
        <v>Melting_Curves/meltCurve_Q5T440_IBA57.pdf</v>
      </c>
    </row>
    <row r="3554" spans="1:28" x14ac:dyDescent="0.25">
      <c r="A3554" t="s">
        <v>3558</v>
      </c>
      <c r="B3554">
        <v>0.99334974765950101</v>
      </c>
      <c r="C3554">
        <v>0.525163290643056</v>
      </c>
      <c r="D3554">
        <v>0.39853751399673398</v>
      </c>
      <c r="E3554">
        <v>0.27224414174421802</v>
      </c>
      <c r="F3554">
        <v>0.1984137607241</v>
      </c>
      <c r="G3554">
        <v>0.16254549195291301</v>
      </c>
      <c r="H3554">
        <v>0.123493136422342</v>
      </c>
      <c r="I3554">
        <v>0.13227734307323899</v>
      </c>
      <c r="J3554">
        <v>0.10066073319489401</v>
      </c>
      <c r="K3554">
        <v>9.8696637571593901E-2</v>
      </c>
      <c r="L3554">
        <v>811.84419482585395</v>
      </c>
      <c r="M3554">
        <v>18.5995041575679</v>
      </c>
      <c r="N3554">
        <v>44.400126761702602</v>
      </c>
      <c r="O3554">
        <v>43.153521588879698</v>
      </c>
      <c r="P3554">
        <v>-9.3206714079991607E-2</v>
      </c>
      <c r="Q3554">
        <v>0.13502564053774599</v>
      </c>
      <c r="R3554">
        <v>0.94734602795483602</v>
      </c>
      <c r="S3554" t="s">
        <v>9415</v>
      </c>
      <c r="T3554" t="s">
        <v>11720</v>
      </c>
      <c r="U3554" t="s">
        <v>11720</v>
      </c>
      <c r="V3554" t="s">
        <v>11720</v>
      </c>
      <c r="W3554" t="s">
        <v>15222</v>
      </c>
      <c r="X3554">
        <v>3</v>
      </c>
      <c r="Y3554" t="s">
        <v>20941</v>
      </c>
      <c r="Z3554" t="s">
        <v>26761</v>
      </c>
      <c r="AA3554">
        <v>0.2612345413562604</v>
      </c>
      <c r="AB3554" t="str">
        <f>HYPERLINK("Melting_Curves/meltCurve_Q5T4B2_CERCAM.pdf", "Melting_Curves/meltCurve_Q5T4B2_CERCAM.pdf")</f>
        <v>Melting_Curves/meltCurve_Q5T4B2_CERCAM.pdf</v>
      </c>
    </row>
    <row r="3555" spans="1:28" x14ac:dyDescent="0.25">
      <c r="A3555" t="s">
        <v>3559</v>
      </c>
      <c r="B3555">
        <v>0.99334974765950101</v>
      </c>
      <c r="C3555">
        <v>1.0071232595824899</v>
      </c>
      <c r="D3555">
        <v>1.18155219275154</v>
      </c>
      <c r="E3555">
        <v>1.2424368879388701</v>
      </c>
      <c r="F3555">
        <v>1.1422012904104</v>
      </c>
      <c r="G3555">
        <v>0.76134828798744203</v>
      </c>
      <c r="H3555">
        <v>0.146715902039774</v>
      </c>
      <c r="I3555">
        <v>0.105607536351669</v>
      </c>
      <c r="J3555">
        <v>0.14156345073071899</v>
      </c>
      <c r="K3555">
        <v>0.118441816926912</v>
      </c>
      <c r="L3555">
        <v>4733.8508870062496</v>
      </c>
      <c r="M3555">
        <v>82.063437667270705</v>
      </c>
      <c r="N3555">
        <v>57.888989234868802</v>
      </c>
      <c r="O3555">
        <v>57.651032779527299</v>
      </c>
      <c r="P3555">
        <v>-0.31122687834933099</v>
      </c>
      <c r="Q3555">
        <v>0.12543030905410499</v>
      </c>
      <c r="R3555">
        <v>0.94890008031766304</v>
      </c>
      <c r="S3555" t="s">
        <v>9416</v>
      </c>
      <c r="T3555" t="s">
        <v>11720</v>
      </c>
      <c r="U3555" t="s">
        <v>11720</v>
      </c>
      <c r="V3555" t="s">
        <v>11720</v>
      </c>
      <c r="W3555" t="s">
        <v>15223</v>
      </c>
      <c r="X3555">
        <v>2</v>
      </c>
      <c r="Y3555" t="s">
        <v>20942</v>
      </c>
      <c r="Z3555" t="s">
        <v>26762</v>
      </c>
      <c r="AA3555">
        <v>0.64181996908078287</v>
      </c>
      <c r="AB3555" t="str">
        <f>HYPERLINK("Melting_Curves/meltCurve_Q5T4P9_PLEKHO1.pdf", "Melting_Curves/meltCurve_Q5T4P9_PLEKHO1.pdf")</f>
        <v>Melting_Curves/meltCurve_Q5T4P9_PLEKHO1.pdf</v>
      </c>
    </row>
    <row r="3556" spans="1:28" x14ac:dyDescent="0.25">
      <c r="A3556" t="s">
        <v>3560</v>
      </c>
      <c r="B3556">
        <v>0.99334974765950101</v>
      </c>
      <c r="C3556">
        <v>1.0256244326453099</v>
      </c>
      <c r="D3556">
        <v>0.94337521579494799</v>
      </c>
      <c r="E3556">
        <v>0.87998487490452304</v>
      </c>
      <c r="F3556">
        <v>0.57244320165362295</v>
      </c>
      <c r="G3556">
        <v>0.30828434608588801</v>
      </c>
      <c r="H3556">
        <v>0.27826730394535898</v>
      </c>
      <c r="I3556">
        <v>0.26587887198563698</v>
      </c>
      <c r="J3556">
        <v>0.26644858719994102</v>
      </c>
      <c r="K3556">
        <v>0.159751722426033</v>
      </c>
      <c r="L3556">
        <v>1500.0632149621599</v>
      </c>
      <c r="M3556">
        <v>28.490643264034102</v>
      </c>
      <c r="N3556">
        <v>53.8516959202137</v>
      </c>
      <c r="O3556">
        <v>52.393738107041997</v>
      </c>
      <c r="P3556">
        <v>-0.103987323428123</v>
      </c>
      <c r="Q3556">
        <v>0.23508346693895901</v>
      </c>
      <c r="R3556">
        <v>0.989999774557346</v>
      </c>
      <c r="S3556" t="s">
        <v>9417</v>
      </c>
      <c r="T3556" t="s">
        <v>11720</v>
      </c>
      <c r="U3556" t="s">
        <v>11720</v>
      </c>
      <c r="V3556" t="s">
        <v>11720</v>
      </c>
      <c r="W3556" t="s">
        <v>15224</v>
      </c>
      <c r="X3556">
        <v>8</v>
      </c>
      <c r="Y3556" t="s">
        <v>20943</v>
      </c>
      <c r="Z3556" t="s">
        <v>26763</v>
      </c>
      <c r="AA3556">
        <v>0.56311219436585325</v>
      </c>
      <c r="AB3556" t="str">
        <f>HYPERLINK("Melting_Curves/meltCurve_Q5T4S7_3_UBR4.pdf", "Melting_Curves/meltCurve_Q5T4S7_3_UBR4.pdf")</f>
        <v>Melting_Curves/meltCurve_Q5T4S7_3_UBR4.pdf</v>
      </c>
    </row>
    <row r="3557" spans="1:28" x14ac:dyDescent="0.25">
      <c r="A3557" t="s">
        <v>3561</v>
      </c>
      <c r="B3557">
        <v>0.99334974765950101</v>
      </c>
      <c r="C3557">
        <v>1.03860719208831</v>
      </c>
      <c r="D3557">
        <v>1.2737404461766499</v>
      </c>
      <c r="E3557">
        <v>1.4752242503267701</v>
      </c>
      <c r="F3557">
        <v>1.3246566020033199</v>
      </c>
      <c r="G3557">
        <v>0.672207329591339</v>
      </c>
      <c r="H3557">
        <v>0.197764984260415</v>
      </c>
      <c r="I3557">
        <v>0.129813496362751</v>
      </c>
      <c r="J3557">
        <v>0.103334522040295</v>
      </c>
      <c r="K3557">
        <v>8.88621960697938E-2</v>
      </c>
      <c r="L3557">
        <v>4450.2146290775099</v>
      </c>
      <c r="M3557">
        <v>77.541362336061297</v>
      </c>
      <c r="N3557">
        <v>57.6095807192469</v>
      </c>
      <c r="O3557">
        <v>57.353340783231197</v>
      </c>
      <c r="P3557">
        <v>-0.29500843095810803</v>
      </c>
      <c r="Q3557">
        <v>0.12718990150619799</v>
      </c>
      <c r="R3557">
        <v>0.85299760687470505</v>
      </c>
      <c r="S3557" t="s">
        <v>9418</v>
      </c>
      <c r="T3557" t="s">
        <v>11720</v>
      </c>
      <c r="U3557" t="s">
        <v>11720</v>
      </c>
      <c r="V3557" t="s">
        <v>11720</v>
      </c>
      <c r="W3557" t="s">
        <v>15225</v>
      </c>
      <c r="X3557">
        <v>13</v>
      </c>
      <c r="Y3557" t="s">
        <v>20944</v>
      </c>
      <c r="Z3557" t="s">
        <v>26764</v>
      </c>
      <c r="AA3557">
        <v>0.6340879724624171</v>
      </c>
      <c r="AB3557" t="str">
        <f>HYPERLINK("Melting_Curves/meltCurve_Q5T4U5_ACADM.pdf", "Melting_Curves/meltCurve_Q5T4U5_ACADM.pdf")</f>
        <v>Melting_Curves/meltCurve_Q5T4U5_ACADM.pdf</v>
      </c>
    </row>
    <row r="3558" spans="1:28" x14ac:dyDescent="0.25">
      <c r="A3558" t="s">
        <v>3562</v>
      </c>
      <c r="B3558">
        <v>0.99334974765950101</v>
      </c>
      <c r="C3558">
        <v>0.97344498062280005</v>
      </c>
      <c r="D3558">
        <v>0.84294374815844997</v>
      </c>
      <c r="E3558">
        <v>0.92822690380438</v>
      </c>
      <c r="F3558">
        <v>0.82975122240875998</v>
      </c>
      <c r="G3558">
        <v>1.03210101707504</v>
      </c>
      <c r="H3558">
        <v>0.94402050756558298</v>
      </c>
      <c r="I3558">
        <v>1.55875170746875</v>
      </c>
      <c r="J3558">
        <v>1.0125432560063199</v>
      </c>
      <c r="K3558">
        <v>0.91173624755295402</v>
      </c>
      <c r="L3558">
        <v>15000</v>
      </c>
      <c r="M3558">
        <v>241.11463672442201</v>
      </c>
      <c r="O3558">
        <v>62.206792024908999</v>
      </c>
      <c r="P3558">
        <v>0.155776127116454</v>
      </c>
      <c r="Q3558">
        <v>1.1607589362137301</v>
      </c>
      <c r="R3558">
        <v>0.201666934437808</v>
      </c>
      <c r="S3558" t="s">
        <v>9419</v>
      </c>
      <c r="T3558" t="s">
        <v>11720</v>
      </c>
      <c r="U3558" t="s">
        <v>11720</v>
      </c>
      <c r="V3558" t="s">
        <v>11720</v>
      </c>
      <c r="W3558" t="s">
        <v>15226</v>
      </c>
      <c r="X3558">
        <v>1</v>
      </c>
      <c r="Y3558" t="s">
        <v>20945</v>
      </c>
      <c r="Z3558" t="s">
        <v>26765</v>
      </c>
      <c r="AA3558">
        <v>1.0417191239019341</v>
      </c>
      <c r="AB3558" t="str">
        <f>HYPERLINK("Melting_Curves/meltCurve_Q5T593_FAM219A.pdf", "Melting_Curves/meltCurve_Q5T593_FAM219A.pdf")</f>
        <v>Melting_Curves/meltCurve_Q5T593_FAM219A.pdf</v>
      </c>
    </row>
    <row r="3559" spans="1:28" x14ac:dyDescent="0.25">
      <c r="A3559" t="s">
        <v>3563</v>
      </c>
      <c r="B3559">
        <v>0.99334974765950101</v>
      </c>
      <c r="C3559">
        <v>0.96253543071729097</v>
      </c>
      <c r="D3559">
        <v>1.0153557231680701</v>
      </c>
      <c r="E3559">
        <v>0.95189947366722905</v>
      </c>
      <c r="F3559">
        <v>0.45905574786103298</v>
      </c>
      <c r="G3559">
        <v>0.18448801725580999</v>
      </c>
      <c r="H3559">
        <v>0.120902384324596</v>
      </c>
      <c r="I3559">
        <v>0.10408909122687</v>
      </c>
      <c r="J3559">
        <v>0.113491491984022</v>
      </c>
      <c r="K3559">
        <v>0.108348185733085</v>
      </c>
      <c r="L3559">
        <v>2652.9036154816699</v>
      </c>
      <c r="M3559">
        <v>50.490845737566801</v>
      </c>
      <c r="N3559">
        <v>52.834597908160802</v>
      </c>
      <c r="O3559">
        <v>52.460045591332502</v>
      </c>
      <c r="P3559">
        <v>-0.21129317791890301</v>
      </c>
      <c r="Q3559">
        <v>0.12186535822521199</v>
      </c>
      <c r="R3559">
        <v>0.99714068143607704</v>
      </c>
      <c r="S3559" t="s">
        <v>9420</v>
      </c>
      <c r="T3559" t="s">
        <v>11720</v>
      </c>
      <c r="U3559" t="s">
        <v>11720</v>
      </c>
      <c r="V3559" t="s">
        <v>11720</v>
      </c>
      <c r="W3559" t="s">
        <v>15227</v>
      </c>
      <c r="X3559">
        <v>12</v>
      </c>
      <c r="Y3559" t="s">
        <v>20946</v>
      </c>
      <c r="Z3559" t="s">
        <v>26766</v>
      </c>
      <c r="AA3559">
        <v>0.49098749655974849</v>
      </c>
      <c r="AB3559" t="str">
        <f>HYPERLINK("Melting_Curves/meltCurve_Q5T5C0_STXBP5.pdf", "Melting_Curves/meltCurve_Q5T5C0_STXBP5.pdf")</f>
        <v>Melting_Curves/meltCurve_Q5T5C0_STXBP5.pdf</v>
      </c>
    </row>
    <row r="3560" spans="1:28" x14ac:dyDescent="0.25">
      <c r="A3560" t="s">
        <v>3564</v>
      </c>
      <c r="B3560">
        <v>0.99334974765950101</v>
      </c>
      <c r="C3560">
        <v>0.96130257861761903</v>
      </c>
      <c r="D3560">
        <v>0.71540778596800403</v>
      </c>
      <c r="E3560">
        <v>0.48752570109908699</v>
      </c>
      <c r="F3560">
        <v>0.44001256278607198</v>
      </c>
      <c r="G3560">
        <v>0.36237451069207999</v>
      </c>
      <c r="H3560">
        <v>0.247481401265776</v>
      </c>
      <c r="I3560">
        <v>0.21541931397685299</v>
      </c>
      <c r="J3560">
        <v>0.20051736619567201</v>
      </c>
      <c r="K3560">
        <v>0.18324402944485799</v>
      </c>
      <c r="L3560">
        <v>646.95034412004304</v>
      </c>
      <c r="M3560">
        <v>13.213180992822499</v>
      </c>
      <c r="N3560">
        <v>50.819034856861698</v>
      </c>
      <c r="O3560">
        <v>47.881726729109801</v>
      </c>
      <c r="P3560">
        <v>-5.5790341786144997E-2</v>
      </c>
      <c r="Q3560">
        <v>0.19144486903966099</v>
      </c>
      <c r="R3560">
        <v>0.98093885211179399</v>
      </c>
      <c r="S3560" t="s">
        <v>9421</v>
      </c>
      <c r="T3560" t="s">
        <v>11720</v>
      </c>
      <c r="U3560" t="s">
        <v>11720</v>
      </c>
      <c r="V3560" t="s">
        <v>11720</v>
      </c>
      <c r="W3560" t="s">
        <v>15228</v>
      </c>
      <c r="X3560">
        <v>9</v>
      </c>
      <c r="Y3560" t="s">
        <v>20947</v>
      </c>
      <c r="Z3560" t="s">
        <v>26767</v>
      </c>
      <c r="AA3560">
        <v>0.45821071033862559</v>
      </c>
      <c r="AB3560" t="str">
        <f>HYPERLINK("Melting_Curves/meltCurve_Q5T5U3_ARHGAP21.pdf", "Melting_Curves/meltCurve_Q5T5U3_ARHGAP21.pdf")</f>
        <v>Melting_Curves/meltCurve_Q5T5U3_ARHGAP21.pdf</v>
      </c>
    </row>
    <row r="3561" spans="1:28" x14ac:dyDescent="0.25">
      <c r="A3561" t="s">
        <v>3565</v>
      </c>
      <c r="B3561">
        <v>0.99334974765950101</v>
      </c>
      <c r="C3561">
        <v>0.95461516551265801</v>
      </c>
      <c r="D3561">
        <v>0.79804649673247796</v>
      </c>
      <c r="E3561">
        <v>0.53214647529913495</v>
      </c>
      <c r="F3561">
        <v>0.33230223985801199</v>
      </c>
      <c r="G3561">
        <v>0.28543841794765401</v>
      </c>
      <c r="H3561">
        <v>0.23270918118901901</v>
      </c>
      <c r="I3561">
        <v>0.198699268532426</v>
      </c>
      <c r="J3561">
        <v>0.171451777099279</v>
      </c>
      <c r="K3561">
        <v>0.15123993335324901</v>
      </c>
      <c r="L3561">
        <v>839.00813762412201</v>
      </c>
      <c r="M3561">
        <v>17.077383045276601</v>
      </c>
      <c r="N3561">
        <v>50.424162504457399</v>
      </c>
      <c r="O3561">
        <v>48.4709533529685</v>
      </c>
      <c r="P3561">
        <v>-7.2454404997001107E-2</v>
      </c>
      <c r="Q3561">
        <v>0.17745704450161101</v>
      </c>
      <c r="R3561">
        <v>0.99537305023992495</v>
      </c>
      <c r="S3561" t="s">
        <v>9422</v>
      </c>
      <c r="T3561" t="s">
        <v>11720</v>
      </c>
      <c r="U3561" t="s">
        <v>11720</v>
      </c>
      <c r="V3561" t="s">
        <v>11720</v>
      </c>
      <c r="W3561" t="s">
        <v>15229</v>
      </c>
      <c r="X3561">
        <v>8</v>
      </c>
      <c r="Y3561" t="s">
        <v>20948</v>
      </c>
      <c r="Z3561" t="s">
        <v>26768</v>
      </c>
      <c r="AA3561">
        <v>0.44354258967429783</v>
      </c>
      <c r="AB3561" t="str">
        <f>HYPERLINK("Melting_Curves/meltCurve_Q5T5Y3_2_CAMSAP1.pdf", "Melting_Curves/meltCurve_Q5T5Y3_2_CAMSAP1.pdf")</f>
        <v>Melting_Curves/meltCurve_Q5T5Y3_2_CAMSAP1.pdf</v>
      </c>
    </row>
    <row r="3562" spans="1:28" x14ac:dyDescent="0.25">
      <c r="A3562" t="s">
        <v>3566</v>
      </c>
      <c r="B3562">
        <v>0.99334974765950101</v>
      </c>
      <c r="C3562">
        <v>0.95331972055724001</v>
      </c>
      <c r="D3562">
        <v>0.84916083570381096</v>
      </c>
      <c r="E3562">
        <v>0.80414428007422201</v>
      </c>
      <c r="F3562">
        <v>0.78519040146637598</v>
      </c>
      <c r="G3562">
        <v>0.63733710348658701</v>
      </c>
      <c r="H3562">
        <v>0.629165886228642</v>
      </c>
      <c r="I3562">
        <v>0.72148823778148696</v>
      </c>
      <c r="J3562">
        <v>0.87755122256831597</v>
      </c>
      <c r="K3562">
        <v>0.87955645998699294</v>
      </c>
      <c r="L3562">
        <v>1096.7374824687699</v>
      </c>
      <c r="M3562">
        <v>24.1805329856664</v>
      </c>
      <c r="O3562">
        <v>45.049420276964497</v>
      </c>
      <c r="P3562">
        <v>-3.2687314502213398E-2</v>
      </c>
      <c r="Q3562">
        <v>0.75641199195833497</v>
      </c>
      <c r="R3562">
        <v>0.53605900054514899</v>
      </c>
      <c r="S3562" t="s">
        <v>9423</v>
      </c>
      <c r="T3562" t="s">
        <v>11720</v>
      </c>
      <c r="U3562" t="s">
        <v>11720</v>
      </c>
      <c r="V3562" t="s">
        <v>11720</v>
      </c>
      <c r="W3562" t="s">
        <v>15230</v>
      </c>
      <c r="X3562">
        <v>14</v>
      </c>
      <c r="Y3562" t="s">
        <v>20949</v>
      </c>
      <c r="Z3562" t="s">
        <v>26769</v>
      </c>
      <c r="AA3562">
        <v>0.80244353287007608</v>
      </c>
      <c r="AB3562" t="str">
        <f>HYPERLINK("Melting_Curves/meltCurve_Q5T6F2_UBAP2.pdf", "Melting_Curves/meltCurve_Q5T6F2_UBAP2.pdf")</f>
        <v>Melting_Curves/meltCurve_Q5T6F2_UBAP2.pdf</v>
      </c>
    </row>
    <row r="3563" spans="1:28" x14ac:dyDescent="0.25">
      <c r="A3563" t="s">
        <v>3567</v>
      </c>
      <c r="B3563">
        <v>0.99334974765950101</v>
      </c>
      <c r="C3563">
        <v>0.98683279969579196</v>
      </c>
      <c r="D3563">
        <v>0.91944912663891798</v>
      </c>
      <c r="E3563">
        <v>0.71604248124868297</v>
      </c>
      <c r="F3563">
        <v>0.22353038921072399</v>
      </c>
      <c r="G3563">
        <v>0.14286188808842701</v>
      </c>
      <c r="H3563">
        <v>9.7832853847950499E-2</v>
      </c>
      <c r="I3563">
        <v>7.8540182187018207E-2</v>
      </c>
      <c r="J3563">
        <v>7.5567610739487104E-2</v>
      </c>
      <c r="K3563">
        <v>6.6897286883000395E-2</v>
      </c>
      <c r="L3563">
        <v>2035.1848617367</v>
      </c>
      <c r="M3563">
        <v>39.979059663678498</v>
      </c>
      <c r="N3563">
        <v>51.1505589947472</v>
      </c>
      <c r="O3563">
        <v>50.779413694355199</v>
      </c>
      <c r="P3563">
        <v>-0.17972173383651599</v>
      </c>
      <c r="Q3563">
        <v>8.6907679363609797E-2</v>
      </c>
      <c r="R3563">
        <v>0.99490730096681601</v>
      </c>
      <c r="S3563" t="s">
        <v>9424</v>
      </c>
      <c r="T3563" t="s">
        <v>11720</v>
      </c>
      <c r="U3563" t="s">
        <v>11720</v>
      </c>
      <c r="V3563" t="s">
        <v>11720</v>
      </c>
      <c r="W3563" t="s">
        <v>15231</v>
      </c>
      <c r="X3563">
        <v>23</v>
      </c>
      <c r="Y3563" t="s">
        <v>20950</v>
      </c>
      <c r="Z3563" t="s">
        <v>26770</v>
      </c>
      <c r="AA3563">
        <v>0.42207171223967738</v>
      </c>
      <c r="AB3563" t="str">
        <f>HYPERLINK("Melting_Curves/meltCurve_Q5T6V5_C9orf64.pdf", "Melting_Curves/meltCurve_Q5T6V5_C9orf64.pdf")</f>
        <v>Melting_Curves/meltCurve_Q5T6V5_C9orf64.pdf</v>
      </c>
    </row>
    <row r="3564" spans="1:28" x14ac:dyDescent="0.25">
      <c r="A3564" t="s">
        <v>3568</v>
      </c>
      <c r="B3564">
        <v>0.99334974765950101</v>
      </c>
      <c r="C3564">
        <v>0.94172166943033797</v>
      </c>
      <c r="D3564">
        <v>0.82134334079036597</v>
      </c>
      <c r="E3564">
        <v>0.88472785127378395</v>
      </c>
      <c r="F3564">
        <v>0.72281757277468095</v>
      </c>
      <c r="G3564">
        <v>0.57752412872060899</v>
      </c>
      <c r="H3564">
        <v>0.52211596857970299</v>
      </c>
      <c r="I3564">
        <v>0.40100986474990902</v>
      </c>
      <c r="J3564">
        <v>0.48044635572658001</v>
      </c>
      <c r="K3564">
        <v>0.33173352025633601</v>
      </c>
      <c r="L3564">
        <v>444.17893832326502</v>
      </c>
      <c r="M3564">
        <v>7.7658560381109298</v>
      </c>
      <c r="N3564">
        <v>61.510758730903298</v>
      </c>
      <c r="O3564">
        <v>53.775108935543301</v>
      </c>
      <c r="P3564">
        <v>-2.8558017720445299E-2</v>
      </c>
      <c r="Q3564">
        <v>0.20999140510338499</v>
      </c>
      <c r="R3564">
        <v>0.95391564911180404</v>
      </c>
      <c r="S3564" t="s">
        <v>9425</v>
      </c>
      <c r="T3564" t="s">
        <v>11720</v>
      </c>
      <c r="U3564" t="s">
        <v>11720</v>
      </c>
      <c r="V3564" t="s">
        <v>11720</v>
      </c>
      <c r="W3564" t="s">
        <v>15232</v>
      </c>
      <c r="X3564">
        <v>1</v>
      </c>
      <c r="Y3564" t="s">
        <v>20951</v>
      </c>
      <c r="Z3564" t="s">
        <v>26771</v>
      </c>
      <c r="AA3564">
        <v>0.67041439298725392</v>
      </c>
      <c r="AB3564" t="str">
        <f>HYPERLINK("Melting_Curves/meltCurve_Q5T6X4_FAM162B.pdf", "Melting_Curves/meltCurve_Q5T6X4_FAM162B.pdf")</f>
        <v>Melting_Curves/meltCurve_Q5T6X4_FAM162B.pdf</v>
      </c>
    </row>
    <row r="3565" spans="1:28" x14ac:dyDescent="0.25">
      <c r="A3565" t="s">
        <v>3569</v>
      </c>
      <c r="B3565">
        <v>0.99334974765950101</v>
      </c>
      <c r="C3565">
        <v>0.96586983024759898</v>
      </c>
      <c r="D3565">
        <v>0.96849220811355496</v>
      </c>
      <c r="E3565">
        <v>0.86349603778982598</v>
      </c>
      <c r="F3565">
        <v>0.68979098912371095</v>
      </c>
      <c r="G3565">
        <v>0.37943199429144903</v>
      </c>
      <c r="H3565">
        <v>0.184042713446009</v>
      </c>
      <c r="I3565">
        <v>0.15170127148065399</v>
      </c>
      <c r="J3565">
        <v>0.133817521397185</v>
      </c>
      <c r="K3565">
        <v>9.6284581015596393E-2</v>
      </c>
      <c r="L3565">
        <v>1043.3377705089099</v>
      </c>
      <c r="M3565">
        <v>19.075927756017698</v>
      </c>
      <c r="N3565">
        <v>55.278443812097997</v>
      </c>
      <c r="O3565">
        <v>54.1035301291734</v>
      </c>
      <c r="P3565">
        <v>-8.0098339413523498E-2</v>
      </c>
      <c r="Q3565">
        <v>9.1329718485611694E-2</v>
      </c>
      <c r="R3565">
        <v>0.99867346532137402</v>
      </c>
      <c r="S3565" t="s">
        <v>9426</v>
      </c>
      <c r="T3565" t="s">
        <v>11720</v>
      </c>
      <c r="U3565" t="s">
        <v>11720</v>
      </c>
      <c r="V3565" t="s">
        <v>11720</v>
      </c>
      <c r="W3565" t="s">
        <v>15233</v>
      </c>
      <c r="X3565">
        <v>9</v>
      </c>
      <c r="Y3565" t="s">
        <v>20952</v>
      </c>
      <c r="Z3565" t="s">
        <v>26772</v>
      </c>
      <c r="AA3565">
        <v>0.54948194584735588</v>
      </c>
      <c r="AB3565" t="str">
        <f>HYPERLINK("Melting_Curves/meltCurve_Q5T7M9_FAM69A.pdf", "Melting_Curves/meltCurve_Q5T7M9_FAM69A.pdf")</f>
        <v>Melting_Curves/meltCurve_Q5T7M9_FAM69A.pdf</v>
      </c>
    </row>
    <row r="3566" spans="1:28" x14ac:dyDescent="0.25">
      <c r="A3566" t="s">
        <v>3570</v>
      </c>
      <c r="B3566">
        <v>0.99334974765950101</v>
      </c>
      <c r="C3566">
        <v>1.0060383435236699</v>
      </c>
      <c r="D3566">
        <v>0.82227027100585304</v>
      </c>
      <c r="E3566">
        <v>0.52828803533962398</v>
      </c>
      <c r="F3566">
        <v>0.33581545082548497</v>
      </c>
      <c r="G3566">
        <v>0.19691395354657601</v>
      </c>
      <c r="H3566">
        <v>0.144127623557645</v>
      </c>
      <c r="I3566">
        <v>0.144683056672989</v>
      </c>
      <c r="J3566">
        <v>0.13781299010082801</v>
      </c>
      <c r="K3566">
        <v>0.14596344691102101</v>
      </c>
      <c r="L3566">
        <v>968.811014221091</v>
      </c>
      <c r="M3566">
        <v>19.5483508715322</v>
      </c>
      <c r="N3566">
        <v>50.367968403630499</v>
      </c>
      <c r="O3566">
        <v>49.0498400645426</v>
      </c>
      <c r="P3566">
        <v>-8.6224865377472704E-2</v>
      </c>
      <c r="Q3566">
        <v>0.134624650877503</v>
      </c>
      <c r="R3566">
        <v>0.99758024809162904</v>
      </c>
      <c r="S3566" t="s">
        <v>9427</v>
      </c>
      <c r="T3566" t="s">
        <v>11720</v>
      </c>
      <c r="U3566" t="s">
        <v>11720</v>
      </c>
      <c r="V3566" t="s">
        <v>11720</v>
      </c>
      <c r="W3566" t="s">
        <v>15234</v>
      </c>
      <c r="X3566">
        <v>3</v>
      </c>
      <c r="Y3566" t="s">
        <v>20953</v>
      </c>
      <c r="Z3566" t="s">
        <v>26773</v>
      </c>
      <c r="AA3566">
        <v>0.4230143282966457</v>
      </c>
      <c r="AB3566" t="str">
        <f>HYPERLINK("Melting_Curves/meltCurve_Q5T7V8_GORAB.pdf", "Melting_Curves/meltCurve_Q5T7V8_GORAB.pdf")</f>
        <v>Melting_Curves/meltCurve_Q5T7V8_GORAB.pdf</v>
      </c>
    </row>
    <row r="3567" spans="1:28" x14ac:dyDescent="0.25">
      <c r="A3567" t="s">
        <v>3571</v>
      </c>
      <c r="B3567">
        <v>0.99334974765950101</v>
      </c>
      <c r="C3567">
        <v>0.89869471550465596</v>
      </c>
      <c r="D3567">
        <v>0.54619947426040005</v>
      </c>
      <c r="E3567">
        <v>0.24974705420975701</v>
      </c>
      <c r="F3567">
        <v>0.17631547158354099</v>
      </c>
      <c r="G3567">
        <v>0.11791874664364101</v>
      </c>
      <c r="H3567">
        <v>0.117881183529606</v>
      </c>
      <c r="I3567">
        <v>0.111060323506425</v>
      </c>
      <c r="J3567">
        <v>0.138122379291238</v>
      </c>
      <c r="K3567">
        <v>0.124462747439941</v>
      </c>
      <c r="L3567">
        <v>1150.39503237182</v>
      </c>
      <c r="M3567">
        <v>24.989569277380699</v>
      </c>
      <c r="N3567">
        <v>46.573100841057197</v>
      </c>
      <c r="O3567">
        <v>45.743248084051402</v>
      </c>
      <c r="P3567">
        <v>-0.11945164513673701</v>
      </c>
      <c r="Q3567">
        <v>0.125389864816883</v>
      </c>
      <c r="R3567">
        <v>0.99773024520935605</v>
      </c>
      <c r="S3567" t="s">
        <v>9428</v>
      </c>
      <c r="T3567" t="s">
        <v>11720</v>
      </c>
      <c r="U3567" t="s">
        <v>11720</v>
      </c>
      <c r="V3567" t="s">
        <v>11720</v>
      </c>
      <c r="W3567" t="s">
        <v>15235</v>
      </c>
      <c r="X3567">
        <v>4</v>
      </c>
      <c r="Y3567" t="s">
        <v>20954</v>
      </c>
      <c r="Z3567" t="s">
        <v>26774</v>
      </c>
      <c r="AA3567">
        <v>0.30940561873411809</v>
      </c>
      <c r="AB3567" t="str">
        <f>HYPERLINK("Melting_Curves/meltCurve_Q5T8D3_2_ACBD5.pdf", "Melting_Curves/meltCurve_Q5T8D3_2_ACBD5.pdf")</f>
        <v>Melting_Curves/meltCurve_Q5T8D3_2_ACBD5.pdf</v>
      </c>
    </row>
    <row r="3568" spans="1:28" x14ac:dyDescent="0.25">
      <c r="A3568" t="s">
        <v>3572</v>
      </c>
      <c r="B3568">
        <v>0.99334974765950101</v>
      </c>
      <c r="C3568">
        <v>0.93576726827567103</v>
      </c>
      <c r="D3568">
        <v>0.80986786423056201</v>
      </c>
      <c r="E3568">
        <v>0.76353389268434702</v>
      </c>
      <c r="F3568">
        <v>0.90634521087181297</v>
      </c>
      <c r="G3568">
        <v>0.83397656630647499</v>
      </c>
      <c r="H3568">
        <v>0.78600209877666805</v>
      </c>
      <c r="I3568">
        <v>0.73276067700413205</v>
      </c>
      <c r="J3568">
        <v>0.66738708212160003</v>
      </c>
      <c r="K3568">
        <v>0.434406874904956</v>
      </c>
      <c r="L3568">
        <v>286.07305348706501</v>
      </c>
      <c r="M3568">
        <v>3.7566982371550299</v>
      </c>
      <c r="O3568">
        <v>61.233645848073003</v>
      </c>
      <c r="P3568">
        <v>-1.55781767176795E-2</v>
      </c>
      <c r="Q3568">
        <v>0</v>
      </c>
      <c r="R3568">
        <v>0.70600150687685004</v>
      </c>
      <c r="S3568" t="s">
        <v>9429</v>
      </c>
      <c r="T3568" t="s">
        <v>11720</v>
      </c>
      <c r="U3568" t="s">
        <v>11720</v>
      </c>
      <c r="V3568" t="s">
        <v>11720</v>
      </c>
      <c r="W3568" t="s">
        <v>15236</v>
      </c>
      <c r="X3568">
        <v>1</v>
      </c>
      <c r="Y3568" t="s">
        <v>20955</v>
      </c>
      <c r="Z3568" t="s">
        <v>26775</v>
      </c>
      <c r="AA3568">
        <v>0.79739437436328664</v>
      </c>
      <c r="AB3568" t="str">
        <f>HYPERLINK("Melting_Curves/meltCurve_Q5T8I0_COX6A1P2.pdf", "Melting_Curves/meltCurve_Q5T8I0_COX6A1P2.pdf")</f>
        <v>Melting_Curves/meltCurve_Q5T8I0_COX6A1P2.pdf</v>
      </c>
    </row>
    <row r="3569" spans="1:28" x14ac:dyDescent="0.25">
      <c r="A3569" t="s">
        <v>3573</v>
      </c>
      <c r="B3569">
        <v>0.99334974765950101</v>
      </c>
      <c r="C3569">
        <v>0.99945153360846595</v>
      </c>
      <c r="D3569">
        <v>0.68584268589446296</v>
      </c>
      <c r="E3569">
        <v>0.62592928190137598</v>
      </c>
      <c r="F3569">
        <v>0.45912834095162602</v>
      </c>
      <c r="G3569">
        <v>0.32376878803670101</v>
      </c>
      <c r="H3569">
        <v>0.28303946644399502</v>
      </c>
      <c r="I3569">
        <v>0.28393740453456301</v>
      </c>
      <c r="J3569">
        <v>0.25013143664124399</v>
      </c>
      <c r="K3569">
        <v>0.15665931334772601</v>
      </c>
      <c r="L3569">
        <v>616.60207666216797</v>
      </c>
      <c r="M3569">
        <v>12.3591207129575</v>
      </c>
      <c r="N3569">
        <v>51.974562374012102</v>
      </c>
      <c r="O3569">
        <v>48.638283232243502</v>
      </c>
      <c r="P3569">
        <v>-5.1124263851181802E-2</v>
      </c>
      <c r="Q3569">
        <v>0.19539220910607299</v>
      </c>
      <c r="R3569">
        <v>0.96713629119200895</v>
      </c>
      <c r="S3569" t="s">
        <v>9430</v>
      </c>
      <c r="T3569" t="s">
        <v>11720</v>
      </c>
      <c r="U3569" t="s">
        <v>11720</v>
      </c>
      <c r="V3569" t="s">
        <v>11720</v>
      </c>
      <c r="W3569" t="s">
        <v>15237</v>
      </c>
      <c r="X3569">
        <v>1</v>
      </c>
      <c r="Y3569" t="s">
        <v>20956</v>
      </c>
      <c r="Z3569" t="s">
        <v>26776</v>
      </c>
      <c r="AA3569">
        <v>0.4874057090561717</v>
      </c>
      <c r="AB3569" t="str">
        <f>HYPERLINK("Melting_Curves/meltCurve_Q5T8N1_NUP133.pdf", "Melting_Curves/meltCurve_Q5T8N1_NUP133.pdf")</f>
        <v>Melting_Curves/meltCurve_Q5T8N1_NUP133.pdf</v>
      </c>
    </row>
    <row r="3570" spans="1:28" x14ac:dyDescent="0.25">
      <c r="A3570" t="s">
        <v>3574</v>
      </c>
      <c r="B3570">
        <v>0.99334974765950101</v>
      </c>
      <c r="C3570">
        <v>1.0282562757565601</v>
      </c>
      <c r="D3570">
        <v>0.86690507113441495</v>
      </c>
      <c r="E3570">
        <v>0.37588418858600098</v>
      </c>
      <c r="F3570">
        <v>0.266510794419347</v>
      </c>
      <c r="G3570">
        <v>0.17729596488459101</v>
      </c>
      <c r="H3570">
        <v>0.144505930756572</v>
      </c>
      <c r="I3570">
        <v>0.136751462908039</v>
      </c>
      <c r="J3570">
        <v>0.11135630661519</v>
      </c>
      <c r="K3570">
        <v>8.6359884941680704E-2</v>
      </c>
      <c r="L3570">
        <v>1357.33879524035</v>
      </c>
      <c r="M3570">
        <v>27.897257235585201</v>
      </c>
      <c r="N3570">
        <v>49.199863297240597</v>
      </c>
      <c r="O3570">
        <v>48.406978172908701</v>
      </c>
      <c r="P3570">
        <v>-0.124928890424712</v>
      </c>
      <c r="Q3570">
        <v>0.13290739767436299</v>
      </c>
      <c r="R3570">
        <v>0.992385185646945</v>
      </c>
      <c r="S3570" t="s">
        <v>9431</v>
      </c>
      <c r="T3570" t="s">
        <v>11720</v>
      </c>
      <c r="U3570" t="s">
        <v>11720</v>
      </c>
      <c r="V3570" t="s">
        <v>11720</v>
      </c>
      <c r="W3570" t="s">
        <v>15238</v>
      </c>
      <c r="X3570">
        <v>4</v>
      </c>
      <c r="Y3570" t="s">
        <v>20957</v>
      </c>
      <c r="Z3570" t="s">
        <v>26777</v>
      </c>
      <c r="AA3570">
        <v>0.3891692981515375</v>
      </c>
      <c r="AB3570" t="str">
        <f>HYPERLINK("Melting_Curves/meltCurve_Q5T8P6_2_RBM26.pdf", "Melting_Curves/meltCurve_Q5T8P6_2_RBM26.pdf")</f>
        <v>Melting_Curves/meltCurve_Q5T8P6_2_RBM26.pdf</v>
      </c>
    </row>
    <row r="3571" spans="1:28" x14ac:dyDescent="0.25">
      <c r="A3571" t="s">
        <v>3575</v>
      </c>
      <c r="B3571">
        <v>0.99334974765950101</v>
      </c>
      <c r="C3571">
        <v>0.97387261860806795</v>
      </c>
      <c r="D3571">
        <v>0.82741595517740596</v>
      </c>
      <c r="E3571">
        <v>0.80818262636266303</v>
      </c>
      <c r="F3571">
        <v>0.78978540961395505</v>
      </c>
      <c r="G3571">
        <v>0.480468397508372</v>
      </c>
      <c r="H3571">
        <v>0.32711957399888197</v>
      </c>
      <c r="I3571">
        <v>0.28345344299840097</v>
      </c>
      <c r="J3571">
        <v>0.30055046862879597</v>
      </c>
      <c r="K3571">
        <v>0.22867239467462899</v>
      </c>
      <c r="L3571">
        <v>635.63395428310798</v>
      </c>
      <c r="M3571">
        <v>11.4507495494006</v>
      </c>
      <c r="N3571">
        <v>57.321512224054899</v>
      </c>
      <c r="O3571">
        <v>53.898177602864799</v>
      </c>
      <c r="P3571">
        <v>-4.5063476106687803E-2</v>
      </c>
      <c r="Q3571">
        <v>0.15179781579902299</v>
      </c>
      <c r="R3571">
        <v>0.96901637303251398</v>
      </c>
      <c r="S3571" t="s">
        <v>9432</v>
      </c>
      <c r="T3571" t="s">
        <v>11720</v>
      </c>
      <c r="U3571" t="s">
        <v>11720</v>
      </c>
      <c r="V3571" t="s">
        <v>11720</v>
      </c>
      <c r="W3571" t="s">
        <v>15239</v>
      </c>
      <c r="X3571">
        <v>3</v>
      </c>
      <c r="Y3571" t="s">
        <v>20958</v>
      </c>
      <c r="Z3571" t="s">
        <v>26778</v>
      </c>
      <c r="AA3571">
        <v>0.609380594429627</v>
      </c>
      <c r="AB3571" t="str">
        <f>HYPERLINK("Melting_Curves/meltCurve_Q5T8T7_MED22.pdf", "Melting_Curves/meltCurve_Q5T8T7_MED22.pdf")</f>
        <v>Melting_Curves/meltCurve_Q5T8T7_MED22.pdf</v>
      </c>
    </row>
    <row r="3572" spans="1:28" x14ac:dyDescent="0.25">
      <c r="A3572" t="s">
        <v>3576</v>
      </c>
      <c r="B3572">
        <v>0.99334974765950101</v>
      </c>
      <c r="C3572">
        <v>0.97219245984382896</v>
      </c>
      <c r="D3572">
        <v>1.0410916582035901</v>
      </c>
      <c r="E3572">
        <v>0.89493146151433101</v>
      </c>
      <c r="F3572">
        <v>0.83880001584523001</v>
      </c>
      <c r="G3572">
        <v>0.67416038462822003</v>
      </c>
      <c r="H3572">
        <v>0.52524132634860798</v>
      </c>
      <c r="I3572">
        <v>0.41362209632175201</v>
      </c>
      <c r="J3572">
        <v>0.24458421390983201</v>
      </c>
      <c r="K3572">
        <v>0.21246714789857399</v>
      </c>
      <c r="L3572">
        <v>662.31926362931097</v>
      </c>
      <c r="M3572">
        <v>10.817673424276901</v>
      </c>
      <c r="N3572">
        <v>61.225666356703599</v>
      </c>
      <c r="O3572">
        <v>59.244787834245798</v>
      </c>
      <c r="P3572">
        <v>-4.5664631777244002E-2</v>
      </c>
      <c r="Q3572">
        <v>0</v>
      </c>
      <c r="R3572">
        <v>0.99054842201892501</v>
      </c>
      <c r="S3572" t="s">
        <v>9433</v>
      </c>
      <c r="T3572" t="s">
        <v>11720</v>
      </c>
      <c r="U3572" t="s">
        <v>11720</v>
      </c>
      <c r="V3572" t="s">
        <v>11720</v>
      </c>
      <c r="W3572" t="s">
        <v>15240</v>
      </c>
      <c r="X3572">
        <v>3</v>
      </c>
      <c r="Y3572" t="s">
        <v>20959</v>
      </c>
      <c r="Z3572" t="s">
        <v>26779</v>
      </c>
      <c r="AA3572">
        <v>0.69740478573917786</v>
      </c>
      <c r="AB3572" t="str">
        <f>HYPERLINK("Melting_Curves/meltCurve_Q5T8U5_SURF4.pdf", "Melting_Curves/meltCurve_Q5T8U5_SURF4.pdf")</f>
        <v>Melting_Curves/meltCurve_Q5T8U5_SURF4.pdf</v>
      </c>
    </row>
    <row r="3573" spans="1:28" x14ac:dyDescent="0.25">
      <c r="A3573" t="s">
        <v>3577</v>
      </c>
      <c r="B3573">
        <v>0.99334974765950101</v>
      </c>
      <c r="C3573">
        <v>0.83502171450907503</v>
      </c>
      <c r="D3573">
        <v>0.91208983881940997</v>
      </c>
      <c r="E3573">
        <v>0.60520938286193204</v>
      </c>
      <c r="F3573">
        <v>0.196925090542375</v>
      </c>
      <c r="G3573">
        <v>0.109523432230675</v>
      </c>
      <c r="H3573">
        <v>7.2786589385096398E-2</v>
      </c>
      <c r="I3573">
        <v>6.4419305197040005E-2</v>
      </c>
      <c r="J3573">
        <v>6.5845708005778103E-2</v>
      </c>
      <c r="K3573">
        <v>5.9521057920280902E-2</v>
      </c>
      <c r="L3573">
        <v>1393.09674194335</v>
      </c>
      <c r="M3573">
        <v>27.705210929688</v>
      </c>
      <c r="N3573">
        <v>50.518639644154597</v>
      </c>
      <c r="O3573">
        <v>50.023070054266498</v>
      </c>
      <c r="P3573">
        <v>-0.130065416773191</v>
      </c>
      <c r="Q3573">
        <v>6.0651482687598901E-2</v>
      </c>
      <c r="R3573">
        <v>0.97951274237925701</v>
      </c>
      <c r="S3573" t="s">
        <v>9434</v>
      </c>
      <c r="T3573" t="s">
        <v>11720</v>
      </c>
      <c r="U3573" t="s">
        <v>11720</v>
      </c>
      <c r="V3573" t="s">
        <v>11720</v>
      </c>
      <c r="W3573" t="s">
        <v>15241</v>
      </c>
      <c r="X3573">
        <v>23</v>
      </c>
      <c r="Y3573" t="s">
        <v>20960</v>
      </c>
      <c r="Z3573" t="s">
        <v>26780</v>
      </c>
      <c r="AA3573">
        <v>0.38947595816807279</v>
      </c>
      <c r="AB3573" t="str">
        <f>HYPERLINK("Melting_Curves/meltCurve_Q5T9B7_AK1.pdf", "Melting_Curves/meltCurve_Q5T9B7_AK1.pdf")</f>
        <v>Melting_Curves/meltCurve_Q5T9B7_AK1.pdf</v>
      </c>
    </row>
    <row r="3574" spans="1:28" x14ac:dyDescent="0.25">
      <c r="A3574" t="s">
        <v>3578</v>
      </c>
      <c r="B3574">
        <v>0.99334974765950101</v>
      </c>
      <c r="C3574">
        <v>1.0158411623072101</v>
      </c>
      <c r="D3574">
        <v>0.93093985392001999</v>
      </c>
      <c r="E3574">
        <v>0.67845463246168902</v>
      </c>
      <c r="F3574">
        <v>0.30312740964494</v>
      </c>
      <c r="G3574">
        <v>0.24695694092126599</v>
      </c>
      <c r="H3574">
        <v>0.22027357110031001</v>
      </c>
      <c r="I3574">
        <v>0.31207511906400498</v>
      </c>
      <c r="J3574">
        <v>0.34216040498622102</v>
      </c>
      <c r="K3574">
        <v>0.183572727379231</v>
      </c>
      <c r="L3574">
        <v>2370.4816766373801</v>
      </c>
      <c r="M3574">
        <v>47.182488746366403</v>
      </c>
      <c r="N3574">
        <v>51.027214631061497</v>
      </c>
      <c r="O3574">
        <v>50.1507055470707</v>
      </c>
      <c r="P3574">
        <v>-0.17443162445053001</v>
      </c>
      <c r="Q3574">
        <v>0.258380812881851</v>
      </c>
      <c r="R3574">
        <v>0.98000412857942898</v>
      </c>
      <c r="S3574" t="s">
        <v>9435</v>
      </c>
      <c r="T3574" t="s">
        <v>11720</v>
      </c>
      <c r="U3574" t="s">
        <v>11720</v>
      </c>
      <c r="V3574" t="s">
        <v>11720</v>
      </c>
      <c r="W3574" t="s">
        <v>15242</v>
      </c>
      <c r="X3574">
        <v>1</v>
      </c>
      <c r="Y3574" t="s">
        <v>20961</v>
      </c>
      <c r="Z3574" t="s">
        <v>26781</v>
      </c>
      <c r="AA3574">
        <v>0.51338464819951646</v>
      </c>
      <c r="AB3574" t="str">
        <f>HYPERLINK("Melting_Curves/meltCurve_Q5T9P7_PRPF18.pdf", "Melting_Curves/meltCurve_Q5T9P7_PRPF18.pdf")</f>
        <v>Melting_Curves/meltCurve_Q5T9P7_PRPF18.pdf</v>
      </c>
    </row>
    <row r="3575" spans="1:28" x14ac:dyDescent="0.25">
      <c r="A3575" t="s">
        <v>3579</v>
      </c>
      <c r="B3575">
        <v>0.99334974765950101</v>
      </c>
      <c r="C3575">
        <v>0.95097525932105298</v>
      </c>
      <c r="D3575">
        <v>0.76712559281067705</v>
      </c>
      <c r="E3575">
        <v>0.40453498743372601</v>
      </c>
      <c r="F3575">
        <v>0.16113346850563101</v>
      </c>
      <c r="G3575">
        <v>0.110818046924508</v>
      </c>
      <c r="H3575">
        <v>8.5216943805854303E-2</v>
      </c>
      <c r="I3575">
        <v>6.3451872601380202E-2</v>
      </c>
      <c r="J3575">
        <v>5.08824928614326E-2</v>
      </c>
      <c r="K3575">
        <v>5.1482319010181098E-2</v>
      </c>
      <c r="L3575">
        <v>1035.66198770552</v>
      </c>
      <c r="M3575">
        <v>21.3417626869964</v>
      </c>
      <c r="N3575">
        <v>48.806191004572597</v>
      </c>
      <c r="O3575">
        <v>48.107450565254403</v>
      </c>
      <c r="P3575">
        <v>-0.104546719557721</v>
      </c>
      <c r="Q3575">
        <v>5.7369600285920697E-2</v>
      </c>
      <c r="R3575">
        <v>0.99852122324839299</v>
      </c>
      <c r="S3575" t="s">
        <v>9436</v>
      </c>
      <c r="T3575" t="s">
        <v>11720</v>
      </c>
      <c r="U3575" t="s">
        <v>11720</v>
      </c>
      <c r="V3575" t="s">
        <v>11720</v>
      </c>
      <c r="W3575" t="s">
        <v>15243</v>
      </c>
      <c r="X3575">
        <v>4</v>
      </c>
      <c r="Y3575" t="s">
        <v>20962</v>
      </c>
      <c r="Z3575" t="s">
        <v>26782</v>
      </c>
      <c r="AA3575">
        <v>0.33691033209387689</v>
      </c>
      <c r="AB3575" t="str">
        <f>HYPERLINK("Melting_Curves/meltCurve_Q5TA50_GLTPD1.pdf", "Melting_Curves/meltCurve_Q5TA50_GLTPD1.pdf")</f>
        <v>Melting_Curves/meltCurve_Q5TA50_GLTPD1.pdf</v>
      </c>
    </row>
    <row r="3576" spans="1:28" x14ac:dyDescent="0.25">
      <c r="A3576" t="s">
        <v>3580</v>
      </c>
      <c r="B3576">
        <v>0.99334974765950101</v>
      </c>
      <c r="C3576">
        <v>0.99242533409678002</v>
      </c>
      <c r="D3576">
        <v>1.02131333129975</v>
      </c>
      <c r="E3576">
        <v>0.88677612142038398</v>
      </c>
      <c r="F3576">
        <v>0.31178019067565699</v>
      </c>
      <c r="G3576">
        <v>0.151225489521019</v>
      </c>
      <c r="H3576">
        <v>0.105459309509475</v>
      </c>
      <c r="I3576">
        <v>8.4826567116853394E-2</v>
      </c>
      <c r="J3576">
        <v>7.2706230431826294E-2</v>
      </c>
      <c r="K3576">
        <v>5.9599785631335403E-2</v>
      </c>
      <c r="L3576">
        <v>2663.6847469204199</v>
      </c>
      <c r="M3576">
        <v>51.368200462432497</v>
      </c>
      <c r="N3576">
        <v>52.061170166169198</v>
      </c>
      <c r="O3576">
        <v>51.776332667671099</v>
      </c>
      <c r="P3576">
        <v>-0.22517686110413099</v>
      </c>
      <c r="Q3576">
        <v>9.2136921081097306E-2</v>
      </c>
      <c r="R3576">
        <v>0.99723841087313003</v>
      </c>
      <c r="S3576" t="s">
        <v>9437</v>
      </c>
      <c r="T3576" t="s">
        <v>11720</v>
      </c>
      <c r="U3576" t="s">
        <v>11720</v>
      </c>
      <c r="V3576" t="s">
        <v>11720</v>
      </c>
      <c r="W3576" t="s">
        <v>15244</v>
      </c>
      <c r="X3576">
        <v>1</v>
      </c>
      <c r="Y3576" t="s">
        <v>20963</v>
      </c>
      <c r="Z3576" t="s">
        <v>26783</v>
      </c>
      <c r="AA3576">
        <v>0.45285308456237561</v>
      </c>
      <c r="AB3576" t="str">
        <f>HYPERLINK("Melting_Curves/meltCurve_Q5TAA8_HPS1.pdf", "Melting_Curves/meltCurve_Q5TAA8_HPS1.pdf")</f>
        <v>Melting_Curves/meltCurve_Q5TAA8_HPS1.pdf</v>
      </c>
    </row>
    <row r="3577" spans="1:28" x14ac:dyDescent="0.25">
      <c r="A3577" t="s">
        <v>3581</v>
      </c>
      <c r="B3577">
        <v>0.99334974765950101</v>
      </c>
      <c r="C3577">
        <v>1.0272383018665801</v>
      </c>
      <c r="D3577">
        <v>0.85024307600817794</v>
      </c>
      <c r="E3577">
        <v>0.75210386973007404</v>
      </c>
      <c r="F3577">
        <v>0.697542134935212</v>
      </c>
      <c r="G3577">
        <v>0.38848721850520002</v>
      </c>
      <c r="H3577">
        <v>0.36361116022413298</v>
      </c>
      <c r="I3577">
        <v>0.31370480502920001</v>
      </c>
      <c r="J3577">
        <v>0.444650597803881</v>
      </c>
      <c r="K3577">
        <v>0.36655902628813902</v>
      </c>
      <c r="L3577">
        <v>852.12245381539799</v>
      </c>
      <c r="M3577">
        <v>16.468680550669902</v>
      </c>
      <c r="N3577">
        <v>55.661837340195198</v>
      </c>
      <c r="O3577">
        <v>50.9971293372815</v>
      </c>
      <c r="P3577">
        <v>-5.3027713842776297E-2</v>
      </c>
      <c r="Q3577">
        <v>0.34322071038048702</v>
      </c>
      <c r="R3577">
        <v>0.95199070428476396</v>
      </c>
      <c r="S3577" t="s">
        <v>9438</v>
      </c>
      <c r="T3577" t="s">
        <v>11720</v>
      </c>
      <c r="U3577" t="s">
        <v>11720</v>
      </c>
      <c r="V3577" t="s">
        <v>11720</v>
      </c>
      <c r="W3577" t="s">
        <v>15245</v>
      </c>
      <c r="X3577">
        <v>1</v>
      </c>
      <c r="Y3577" t="s">
        <v>20964</v>
      </c>
      <c r="Z3577" t="s">
        <v>26784</v>
      </c>
      <c r="AA3577">
        <v>0.61303235316984961</v>
      </c>
      <c r="AB3577" t="str">
        <f>HYPERLINK("Melting_Curves/meltCurve_Q5TC82_2_RC3H1.pdf", "Melting_Curves/meltCurve_Q5TC82_2_RC3H1.pdf")</f>
        <v>Melting_Curves/meltCurve_Q5TC82_2_RC3H1.pdf</v>
      </c>
    </row>
    <row r="3578" spans="1:28" x14ac:dyDescent="0.25">
      <c r="A3578" t="s">
        <v>3582</v>
      </c>
      <c r="B3578">
        <v>0.99334974765950101</v>
      </c>
      <c r="C3578">
        <v>1.0210815072263799</v>
      </c>
      <c r="D3578">
        <v>0.951456946555025</v>
      </c>
      <c r="E3578">
        <v>0.931874614161468</v>
      </c>
      <c r="F3578">
        <v>0.94659896039368896</v>
      </c>
      <c r="G3578">
        <v>0.775981754674264</v>
      </c>
      <c r="H3578">
        <v>0.73757354289445998</v>
      </c>
      <c r="I3578">
        <v>0.90850914128244598</v>
      </c>
      <c r="J3578">
        <v>0.63951627907209896</v>
      </c>
      <c r="K3578">
        <v>0.27290645636535699</v>
      </c>
      <c r="L3578">
        <v>953.89921123552801</v>
      </c>
      <c r="M3578">
        <v>13.9810280268625</v>
      </c>
      <c r="N3578">
        <v>68.2281173726373</v>
      </c>
      <c r="O3578">
        <v>66.877747545172397</v>
      </c>
      <c r="P3578">
        <v>-5.2270330970173202E-2</v>
      </c>
      <c r="Q3578">
        <v>0</v>
      </c>
      <c r="R3578">
        <v>0.76841144283526297</v>
      </c>
      <c r="S3578" t="s">
        <v>9439</v>
      </c>
      <c r="T3578" t="s">
        <v>11720</v>
      </c>
      <c r="U3578" t="s">
        <v>11720</v>
      </c>
      <c r="V3578" t="s">
        <v>11720</v>
      </c>
      <c r="W3578" t="s">
        <v>15246</v>
      </c>
      <c r="X3578">
        <v>10</v>
      </c>
      <c r="Y3578" t="s">
        <v>20965</v>
      </c>
      <c r="Z3578" t="s">
        <v>26785</v>
      </c>
      <c r="AA3578">
        <v>0.87073600713799026</v>
      </c>
      <c r="AB3578" t="str">
        <f>HYPERLINK("Melting_Curves/meltCurve_Q5TD07_NQO2.pdf", "Melting_Curves/meltCurve_Q5TD07_NQO2.pdf")</f>
        <v>Melting_Curves/meltCurve_Q5TD07_NQO2.pdf</v>
      </c>
    </row>
    <row r="3579" spans="1:28" x14ac:dyDescent="0.25">
      <c r="A3579" t="s">
        <v>3583</v>
      </c>
      <c r="B3579">
        <v>0.99334974765950101</v>
      </c>
      <c r="C3579">
        <v>0.99818948449342804</v>
      </c>
      <c r="D3579">
        <v>0.87311929850818304</v>
      </c>
      <c r="E3579">
        <v>0.79869057150775102</v>
      </c>
      <c r="F3579">
        <v>0.63406415603391098</v>
      </c>
      <c r="G3579">
        <v>0.26707352835242998</v>
      </c>
      <c r="H3579">
        <v>0.127408170801392</v>
      </c>
      <c r="I3579">
        <v>9.2387795836581701E-2</v>
      </c>
      <c r="J3579">
        <v>8.8345907624078998E-2</v>
      </c>
      <c r="K3579">
        <v>6.6900639235259796E-2</v>
      </c>
      <c r="L3579">
        <v>956.47092384372502</v>
      </c>
      <c r="M3579">
        <v>17.778550954064901</v>
      </c>
      <c r="N3579">
        <v>54.066080175190997</v>
      </c>
      <c r="O3579">
        <v>53.132325792791796</v>
      </c>
      <c r="P3579">
        <v>-8.0141698909524398E-2</v>
      </c>
      <c r="Q3579">
        <v>4.2015316462982302E-2</v>
      </c>
      <c r="R3579">
        <v>0.99232657930423096</v>
      </c>
      <c r="S3579" t="s">
        <v>9440</v>
      </c>
      <c r="T3579" t="s">
        <v>11720</v>
      </c>
      <c r="U3579" t="s">
        <v>11720</v>
      </c>
      <c r="V3579" t="s">
        <v>11720</v>
      </c>
      <c r="W3579" t="s">
        <v>15247</v>
      </c>
      <c r="X3579">
        <v>13</v>
      </c>
      <c r="Y3579" t="s">
        <v>20966</v>
      </c>
      <c r="Z3579" t="s">
        <v>26786</v>
      </c>
      <c r="AA3579">
        <v>0.49836026921369109</v>
      </c>
      <c r="AB3579" t="str">
        <f>HYPERLINK("Melting_Curves/meltCurve_Q5TDH0_DDI2.pdf", "Melting_Curves/meltCurve_Q5TDH0_DDI2.pdf")</f>
        <v>Melting_Curves/meltCurve_Q5TDH0_DDI2.pdf</v>
      </c>
    </row>
    <row r="3580" spans="1:28" x14ac:dyDescent="0.25">
      <c r="A3580" t="s">
        <v>3584</v>
      </c>
      <c r="B3580">
        <v>0.99334974765950101</v>
      </c>
      <c r="C3580">
        <v>0.81415576900602005</v>
      </c>
      <c r="D3580">
        <v>0.68264575473636002</v>
      </c>
      <c r="E3580">
        <v>0.32639932075356498</v>
      </c>
      <c r="F3580">
        <v>0.29188900174951099</v>
      </c>
      <c r="G3580">
        <v>0.173441528501629</v>
      </c>
      <c r="H3580">
        <v>0.127247480970206</v>
      </c>
      <c r="I3580">
        <v>0.17068157661257799</v>
      </c>
      <c r="J3580">
        <v>0.13270247104594199</v>
      </c>
      <c r="K3580">
        <v>0.12582923791060799</v>
      </c>
      <c r="L3580">
        <v>779.00971283520096</v>
      </c>
      <c r="M3580">
        <v>16.5484015143569</v>
      </c>
      <c r="N3580">
        <v>47.9589005717527</v>
      </c>
      <c r="O3580">
        <v>46.403283148358597</v>
      </c>
      <c r="P3580">
        <v>-7.7438106883667895E-2</v>
      </c>
      <c r="Q3580">
        <v>0.13148415336297201</v>
      </c>
      <c r="R3580">
        <v>0.98991849883013605</v>
      </c>
      <c r="S3580" t="s">
        <v>9441</v>
      </c>
      <c r="T3580" t="s">
        <v>11720</v>
      </c>
      <c r="U3580" t="s">
        <v>11720</v>
      </c>
      <c r="V3580" t="s">
        <v>11720</v>
      </c>
      <c r="W3580" t="s">
        <v>15248</v>
      </c>
      <c r="X3580">
        <v>2</v>
      </c>
      <c r="Y3580" t="s">
        <v>20967</v>
      </c>
      <c r="Z3580" t="s">
        <v>26787</v>
      </c>
      <c r="AA3580">
        <v>0.35542604665896849</v>
      </c>
      <c r="AB3580" t="str">
        <f>HYPERLINK("Melting_Curves/meltCurve_Q5TEA3_C20orf194.pdf", "Melting_Curves/meltCurve_Q5TEA3_C20orf194.pdf")</f>
        <v>Melting_Curves/meltCurve_Q5TEA3_C20orf194.pdf</v>
      </c>
    </row>
    <row r="3581" spans="1:28" x14ac:dyDescent="0.25">
      <c r="A3581" t="s">
        <v>3585</v>
      </c>
      <c r="B3581">
        <v>0.99334974765950101</v>
      </c>
      <c r="C3581">
        <v>1.0176339687184</v>
      </c>
      <c r="D3581">
        <v>0.90990005473674695</v>
      </c>
      <c r="E3581">
        <v>0.57218660406439603</v>
      </c>
      <c r="F3581">
        <v>0.48693363794734101</v>
      </c>
      <c r="G3581">
        <v>0.32595483710175699</v>
      </c>
      <c r="H3581">
        <v>0.22986883608110201</v>
      </c>
      <c r="I3581">
        <v>0.20451369671183101</v>
      </c>
      <c r="J3581">
        <v>0.28214718065010203</v>
      </c>
      <c r="K3581">
        <v>0.131895171170609</v>
      </c>
      <c r="L3581">
        <v>869.87436715784304</v>
      </c>
      <c r="M3581">
        <v>17.193357926886499</v>
      </c>
      <c r="N3581">
        <v>52.125663769861497</v>
      </c>
      <c r="O3581">
        <v>49.924081469176201</v>
      </c>
      <c r="P3581">
        <v>-6.9024350184168803E-2</v>
      </c>
      <c r="Q3581">
        <v>0.198347729616317</v>
      </c>
      <c r="R3581">
        <v>0.97982985379815202</v>
      </c>
      <c r="S3581" t="s">
        <v>9442</v>
      </c>
      <c r="T3581" t="s">
        <v>11720</v>
      </c>
      <c r="U3581" t="s">
        <v>11720</v>
      </c>
      <c r="V3581" t="s">
        <v>11720</v>
      </c>
      <c r="W3581" t="s">
        <v>15249</v>
      </c>
      <c r="X3581">
        <v>3</v>
      </c>
      <c r="Y3581" t="s">
        <v>20968</v>
      </c>
      <c r="Z3581" t="s">
        <v>26788</v>
      </c>
      <c r="AA3581">
        <v>0.49618527118966049</v>
      </c>
      <c r="AB3581" t="str">
        <f>HYPERLINK("Melting_Curves/meltCurve_Q5TEE2_HDAC1.pdf", "Melting_Curves/meltCurve_Q5TEE2_HDAC1.pdf")</f>
        <v>Melting_Curves/meltCurve_Q5TEE2_HDAC1.pdf</v>
      </c>
    </row>
    <row r="3582" spans="1:28" x14ac:dyDescent="0.25">
      <c r="A3582" t="s">
        <v>3586</v>
      </c>
      <c r="B3582">
        <v>0.99334974765950101</v>
      </c>
      <c r="C3582">
        <v>0.95628375283383404</v>
      </c>
      <c r="D3582">
        <v>1.1111922427371601</v>
      </c>
      <c r="E3582">
        <v>0.88596774859176097</v>
      </c>
      <c r="F3582">
        <v>0.57796285881599097</v>
      </c>
      <c r="G3582">
        <v>0.24179389478623101</v>
      </c>
      <c r="H3582">
        <v>9.6884829175967802E-2</v>
      </c>
      <c r="I3582">
        <v>7.1043618892198304E-2</v>
      </c>
      <c r="J3582">
        <v>5.4050005163103397E-2</v>
      </c>
      <c r="K3582">
        <v>4.4882555418799298E-2</v>
      </c>
      <c r="L3582">
        <v>1423.4547678443</v>
      </c>
      <c r="M3582">
        <v>26.545104723469301</v>
      </c>
      <c r="N3582">
        <v>53.8639019418817</v>
      </c>
      <c r="O3582">
        <v>53.322468794440702</v>
      </c>
      <c r="P3582">
        <v>-0.117518086153631</v>
      </c>
      <c r="Q3582">
        <v>5.5752740299581098E-2</v>
      </c>
      <c r="R3582">
        <v>0.98985304722526002</v>
      </c>
      <c r="S3582" t="s">
        <v>9443</v>
      </c>
      <c r="T3582" t="s">
        <v>11720</v>
      </c>
      <c r="U3582" t="s">
        <v>11720</v>
      </c>
      <c r="V3582" t="s">
        <v>11720</v>
      </c>
      <c r="W3582" t="s">
        <v>15250</v>
      </c>
      <c r="X3582">
        <v>4</v>
      </c>
      <c r="Y3582" t="s">
        <v>20969</v>
      </c>
      <c r="Z3582" t="s">
        <v>26789</v>
      </c>
      <c r="AA3582">
        <v>0.49237021790710922</v>
      </c>
      <c r="AB3582" t="str">
        <f>HYPERLINK("Melting_Curves/meltCurve_Q5TEU4_NDUFAF5.pdf", "Melting_Curves/meltCurve_Q5TEU4_NDUFAF5.pdf")</f>
        <v>Melting_Curves/meltCurve_Q5TEU4_NDUFAF5.pdf</v>
      </c>
    </row>
    <row r="3583" spans="1:28" x14ac:dyDescent="0.25">
      <c r="A3583" t="s">
        <v>3587</v>
      </c>
      <c r="B3583">
        <v>0.99334974765950101</v>
      </c>
      <c r="C3583">
        <v>0.99051717575535703</v>
      </c>
      <c r="D3583">
        <v>0.93528442706938097</v>
      </c>
      <c r="E3583">
        <v>0.76544995674809901</v>
      </c>
      <c r="F3583">
        <v>0.57772210414867797</v>
      </c>
      <c r="G3583">
        <v>0.33240630082962602</v>
      </c>
      <c r="H3583">
        <v>0.15844551285847799</v>
      </c>
      <c r="I3583">
        <v>0.13612844550696901</v>
      </c>
      <c r="J3583">
        <v>0.124547618786672</v>
      </c>
      <c r="K3583">
        <v>0.11143878655704501</v>
      </c>
      <c r="L3583">
        <v>888.177868115102</v>
      </c>
      <c r="M3583">
        <v>16.6435222808324</v>
      </c>
      <c r="N3583">
        <v>53.971662051127403</v>
      </c>
      <c r="O3583">
        <v>52.612232377479899</v>
      </c>
      <c r="P3583">
        <v>-7.2341480228247504E-2</v>
      </c>
      <c r="Q3583">
        <v>8.5339972541964196E-2</v>
      </c>
      <c r="R3583">
        <v>0.99896950642613902</v>
      </c>
      <c r="S3583" t="s">
        <v>9444</v>
      </c>
      <c r="T3583" t="s">
        <v>11720</v>
      </c>
      <c r="U3583" t="s">
        <v>11720</v>
      </c>
      <c r="V3583" t="s">
        <v>11720</v>
      </c>
      <c r="W3583" t="s">
        <v>15251</v>
      </c>
      <c r="X3583">
        <v>16</v>
      </c>
      <c r="Y3583" t="s">
        <v>20970</v>
      </c>
      <c r="Z3583" t="s">
        <v>26790</v>
      </c>
      <c r="AA3583">
        <v>0.50955272368302817</v>
      </c>
      <c r="AB3583" t="str">
        <f>HYPERLINK("Melting_Curves/meltCurve_Q5TFE4_NT5DC1.pdf", "Melting_Curves/meltCurve_Q5TFE4_NT5DC1.pdf")</f>
        <v>Melting_Curves/meltCurve_Q5TFE4_NT5DC1.pdf</v>
      </c>
    </row>
    <row r="3584" spans="1:28" x14ac:dyDescent="0.25">
      <c r="A3584" t="s">
        <v>3588</v>
      </c>
      <c r="B3584">
        <v>0.99334974765950101</v>
      </c>
      <c r="C3584">
        <v>0.87480646878429302</v>
      </c>
      <c r="D3584">
        <v>0.98588894873899302</v>
      </c>
      <c r="E3584">
        <v>0.92803068353616303</v>
      </c>
      <c r="F3584">
        <v>0.93988934547000003</v>
      </c>
      <c r="G3584">
        <v>0.73141483832243204</v>
      </c>
      <c r="H3584">
        <v>0.392037415289474</v>
      </c>
      <c r="I3584">
        <v>0.35597715330408303</v>
      </c>
      <c r="J3584">
        <v>0.21868857575866099</v>
      </c>
      <c r="K3584">
        <v>0.17342942303394801</v>
      </c>
      <c r="L3584">
        <v>1145.8381545503601</v>
      </c>
      <c r="M3584">
        <v>19.418930298621898</v>
      </c>
      <c r="N3584">
        <v>60.093068783259397</v>
      </c>
      <c r="O3584">
        <v>58.391186089145101</v>
      </c>
      <c r="P3584">
        <v>-7.08326087191022E-2</v>
      </c>
      <c r="Q3584">
        <v>0.14807896981478799</v>
      </c>
      <c r="R3584">
        <v>0.97576248672414201</v>
      </c>
      <c r="S3584" t="s">
        <v>9445</v>
      </c>
      <c r="T3584" t="s">
        <v>11720</v>
      </c>
      <c r="U3584" t="s">
        <v>11720</v>
      </c>
      <c r="V3584" t="s">
        <v>11720</v>
      </c>
      <c r="W3584" t="s">
        <v>15252</v>
      </c>
      <c r="X3584">
        <v>2</v>
      </c>
      <c r="Y3584" t="s">
        <v>20971</v>
      </c>
      <c r="Z3584" t="s">
        <v>26791</v>
      </c>
      <c r="AA3584">
        <v>0.69652706605985248</v>
      </c>
      <c r="AB3584" t="str">
        <f>HYPERLINK("Melting_Curves/meltCurve_Q5TG81_KCNAB2.pdf", "Melting_Curves/meltCurve_Q5TG81_KCNAB2.pdf")</f>
        <v>Melting_Curves/meltCurve_Q5TG81_KCNAB2.pdf</v>
      </c>
    </row>
    <row r="3585" spans="1:28" x14ac:dyDescent="0.25">
      <c r="A3585" t="s">
        <v>3589</v>
      </c>
      <c r="B3585">
        <v>0.99334974765950101</v>
      </c>
      <c r="C3585">
        <v>1.0498242369158499</v>
      </c>
      <c r="D3585">
        <v>0.89533436998545202</v>
      </c>
      <c r="E3585">
        <v>0.91368271498699005</v>
      </c>
      <c r="F3585">
        <v>0.84637375641543</v>
      </c>
      <c r="G3585">
        <v>0.66618740786389197</v>
      </c>
      <c r="H3585">
        <v>0.636704774289368</v>
      </c>
      <c r="I3585">
        <v>0.735496911510789</v>
      </c>
      <c r="J3585">
        <v>0.86595646842659801</v>
      </c>
      <c r="K3585">
        <v>0.47214895019791298</v>
      </c>
      <c r="L3585">
        <v>872.02321711399304</v>
      </c>
      <c r="M3585">
        <v>16.648410382077</v>
      </c>
      <c r="O3585">
        <v>51.640550463702603</v>
      </c>
      <c r="P3585">
        <v>-2.7764646303358499E-2</v>
      </c>
      <c r="Q3585">
        <v>0.65553818217041404</v>
      </c>
      <c r="R3585">
        <v>0.65915959537005397</v>
      </c>
      <c r="S3585" t="s">
        <v>9446</v>
      </c>
      <c r="T3585" t="s">
        <v>11720</v>
      </c>
      <c r="U3585" t="s">
        <v>11720</v>
      </c>
      <c r="V3585" t="s">
        <v>11720</v>
      </c>
      <c r="W3585" t="s">
        <v>15253</v>
      </c>
      <c r="X3585">
        <v>2</v>
      </c>
      <c r="Y3585" t="s">
        <v>18261</v>
      </c>
      <c r="Z3585" t="s">
        <v>26792</v>
      </c>
      <c r="AA3585">
        <v>0.80414547985425422</v>
      </c>
      <c r="AB3585" t="str">
        <f>HYPERLINK("Melting_Curves/meltCurve_Q5TGE1_TMEM189.pdf", "Melting_Curves/meltCurve_Q5TGE1_TMEM189.pdf")</f>
        <v>Melting_Curves/meltCurve_Q5TGE1_TMEM189.pdf</v>
      </c>
    </row>
    <row r="3586" spans="1:28" x14ac:dyDescent="0.25">
      <c r="A3586" t="s">
        <v>3590</v>
      </c>
      <c r="B3586">
        <v>0.99334974765950101</v>
      </c>
      <c r="C3586">
        <v>0.89242005626419196</v>
      </c>
      <c r="D3586">
        <v>0.84493298711715903</v>
      </c>
      <c r="E3586">
        <v>0.43284559078395901</v>
      </c>
      <c r="F3586">
        <v>0.21813092156255301</v>
      </c>
      <c r="G3586">
        <v>0.130887576139009</v>
      </c>
      <c r="H3586">
        <v>6.9758972682496395E-2</v>
      </c>
      <c r="I3586">
        <v>5.90313457067261E-2</v>
      </c>
      <c r="J3586">
        <v>4.5962773958588603E-2</v>
      </c>
      <c r="K3586">
        <v>3.5530364855190302E-2</v>
      </c>
      <c r="L3586">
        <v>974.73365534628397</v>
      </c>
      <c r="M3586">
        <v>19.823065213655799</v>
      </c>
      <c r="N3586">
        <v>49.4138954510139</v>
      </c>
      <c r="O3586">
        <v>48.679487450101</v>
      </c>
      <c r="P3586">
        <v>-9.7094145633893805E-2</v>
      </c>
      <c r="Q3586">
        <v>4.6296054812406E-2</v>
      </c>
      <c r="R3586">
        <v>0.99560662606809003</v>
      </c>
      <c r="S3586" t="s">
        <v>9447</v>
      </c>
      <c r="T3586" t="s">
        <v>11720</v>
      </c>
      <c r="U3586" t="s">
        <v>11720</v>
      </c>
      <c r="V3586" t="s">
        <v>11720</v>
      </c>
      <c r="W3586" t="s">
        <v>15254</v>
      </c>
      <c r="X3586">
        <v>9</v>
      </c>
      <c r="Y3586" t="s">
        <v>20972</v>
      </c>
      <c r="Z3586" t="s">
        <v>26793</v>
      </c>
      <c r="AA3586">
        <v>0.35144592038597261</v>
      </c>
      <c r="AB3586" t="str">
        <f>HYPERLINK("Melting_Curves/meltCurve_Q5TGL8_PXDC1.pdf", "Melting_Curves/meltCurve_Q5TGL8_PXDC1.pdf")</f>
        <v>Melting_Curves/meltCurve_Q5TGL8_PXDC1.pdf</v>
      </c>
    </row>
    <row r="3587" spans="1:28" x14ac:dyDescent="0.25">
      <c r="A3587" t="s">
        <v>3591</v>
      </c>
      <c r="B3587">
        <v>0.99334974765950101</v>
      </c>
      <c r="C3587">
        <v>0.89403194487510695</v>
      </c>
      <c r="D3587">
        <v>0.86856993988923903</v>
      </c>
      <c r="E3587">
        <v>0.74640928338714796</v>
      </c>
      <c r="F3587">
        <v>0.35813030489068098</v>
      </c>
      <c r="G3587">
        <v>0.296645340640394</v>
      </c>
      <c r="H3587">
        <v>0.160115521868055</v>
      </c>
      <c r="I3587">
        <v>0.19947223624671501</v>
      </c>
      <c r="J3587">
        <v>6.5318206157047698E-2</v>
      </c>
      <c r="K3587">
        <v>8.3444063336910707E-2</v>
      </c>
      <c r="L3587">
        <v>766.39318901730701</v>
      </c>
      <c r="M3587">
        <v>14.8139471231052</v>
      </c>
      <c r="N3587">
        <v>52.339785776805698</v>
      </c>
      <c r="O3587">
        <v>50.819282711158102</v>
      </c>
      <c r="P3587">
        <v>-6.7146416168010994E-2</v>
      </c>
      <c r="Q3587">
        <v>7.8714046250888695E-2</v>
      </c>
      <c r="R3587">
        <v>0.97474657898055905</v>
      </c>
      <c r="S3587" t="s">
        <v>9448</v>
      </c>
      <c r="T3587" t="s">
        <v>11720</v>
      </c>
      <c r="U3587" t="s">
        <v>11720</v>
      </c>
      <c r="V3587" t="s">
        <v>11720</v>
      </c>
      <c r="W3587" t="s">
        <v>15255</v>
      </c>
      <c r="X3587">
        <v>1</v>
      </c>
      <c r="Y3587" t="s">
        <v>20973</v>
      </c>
      <c r="Z3587" t="s">
        <v>26794</v>
      </c>
      <c r="AA3587">
        <v>0.46026969213932228</v>
      </c>
      <c r="AB3587" t="str">
        <f>HYPERLINK("Melting_Curves/meltCurve_Q5TGY1_TMCO4.pdf", "Melting_Curves/meltCurve_Q5TGY1_TMCO4.pdf")</f>
        <v>Melting_Curves/meltCurve_Q5TGY1_TMCO4.pdf</v>
      </c>
    </row>
    <row r="3588" spans="1:28" x14ac:dyDescent="0.25">
      <c r="A3588" t="s">
        <v>3592</v>
      </c>
      <c r="B3588">
        <v>0.99334974765950101</v>
      </c>
      <c r="C3588">
        <v>1.0183767723197401</v>
      </c>
      <c r="D3588">
        <v>0.90786208050495798</v>
      </c>
      <c r="E3588">
        <v>0.98229517642848097</v>
      </c>
      <c r="F3588">
        <v>1.4574304370365001</v>
      </c>
      <c r="G3588">
        <v>1.3964651997294599</v>
      </c>
      <c r="H3588">
        <v>1.0858983093818599</v>
      </c>
      <c r="I3588">
        <v>1.12914064650285</v>
      </c>
      <c r="J3588">
        <v>1.2179662515132701</v>
      </c>
      <c r="K3588">
        <v>0.81789252190043504</v>
      </c>
      <c r="L3588">
        <v>12795.6405884491</v>
      </c>
      <c r="M3588">
        <v>250</v>
      </c>
      <c r="O3588">
        <v>51.179287022527198</v>
      </c>
      <c r="P3588">
        <v>0.22484832666892299</v>
      </c>
      <c r="Q3588">
        <v>1.1841212324905499</v>
      </c>
      <c r="R3588">
        <v>0.269264371691465</v>
      </c>
      <c r="S3588" t="s">
        <v>9449</v>
      </c>
      <c r="T3588" t="s">
        <v>11720</v>
      </c>
      <c r="U3588" t="s">
        <v>11720</v>
      </c>
      <c r="V3588" t="s">
        <v>11720</v>
      </c>
      <c r="W3588" t="s">
        <v>15256</v>
      </c>
      <c r="X3588">
        <v>1</v>
      </c>
      <c r="Y3588" t="s">
        <v>20974</v>
      </c>
      <c r="Z3588" t="s">
        <v>26795</v>
      </c>
      <c r="AA3588">
        <v>1.115473121774978</v>
      </c>
      <c r="AB3588" t="str">
        <f>HYPERLINK("Melting_Curves/meltCurve_Q5TIE1_SLC19A2.pdf", "Melting_Curves/meltCurve_Q5TIE1_SLC19A2.pdf")</f>
        <v>Melting_Curves/meltCurve_Q5TIE1_SLC19A2.pdf</v>
      </c>
    </row>
    <row r="3589" spans="1:28" x14ac:dyDescent="0.25">
      <c r="A3589" t="s">
        <v>3593</v>
      </c>
      <c r="B3589">
        <v>0.99334974765950101</v>
      </c>
      <c r="C3589">
        <v>1.1857373342930699</v>
      </c>
      <c r="D3589">
        <v>0.90591141582532997</v>
      </c>
      <c r="E3589">
        <v>0.69599953376249402</v>
      </c>
      <c r="F3589">
        <v>1.11564455237289</v>
      </c>
      <c r="G3589">
        <v>0.63582105264228805</v>
      </c>
      <c r="H3589">
        <v>0.67483943036020699</v>
      </c>
      <c r="I3589">
        <v>0.78639809723026499</v>
      </c>
      <c r="J3589">
        <v>1.4583017499779001</v>
      </c>
      <c r="K3589">
        <v>0.73652253032429604</v>
      </c>
      <c r="L3589">
        <v>11453.149350662499</v>
      </c>
      <c r="M3589">
        <v>250</v>
      </c>
      <c r="O3589">
        <v>45.809665508972998</v>
      </c>
      <c r="P3589">
        <v>-0.174727839659229</v>
      </c>
      <c r="Q3589">
        <v>0.87193241737691995</v>
      </c>
      <c r="R3589">
        <v>8.9385629034636802E-2</v>
      </c>
      <c r="S3589" t="s">
        <v>9450</v>
      </c>
      <c r="T3589" t="s">
        <v>11720</v>
      </c>
      <c r="U3589" t="s">
        <v>11720</v>
      </c>
      <c r="V3589" t="s">
        <v>11720</v>
      </c>
      <c r="W3589" t="s">
        <v>15257</v>
      </c>
      <c r="X3589">
        <v>2</v>
      </c>
      <c r="Y3589" t="s">
        <v>20975</v>
      </c>
      <c r="Z3589" t="s">
        <v>26796</v>
      </c>
      <c r="AA3589">
        <v>0.89675622399849175</v>
      </c>
      <c r="AB3589" t="str">
        <f>HYPERLINK("Melting_Curves/meltCurve_Q5TIH2_SFT2D2.pdf", "Melting_Curves/meltCurve_Q5TIH2_SFT2D2.pdf")</f>
        <v>Melting_Curves/meltCurve_Q5TIH2_SFT2D2.pdf</v>
      </c>
    </row>
    <row r="3590" spans="1:28" x14ac:dyDescent="0.25">
      <c r="A3590" t="s">
        <v>3594</v>
      </c>
      <c r="B3590">
        <v>0.99334974765950101</v>
      </c>
      <c r="C3590">
        <v>1.0207931985764001</v>
      </c>
      <c r="D3590">
        <v>0.98849506644235496</v>
      </c>
      <c r="E3590">
        <v>0.83821062738987995</v>
      </c>
      <c r="F3590">
        <v>0.49513250406030901</v>
      </c>
      <c r="G3590">
        <v>0.32019313166914498</v>
      </c>
      <c r="H3590">
        <v>0.25187086204137199</v>
      </c>
      <c r="I3590">
        <v>0.26515564053107699</v>
      </c>
      <c r="J3590">
        <v>0.25733730060710702</v>
      </c>
      <c r="K3590">
        <v>0.23520256685775301</v>
      </c>
      <c r="L3590">
        <v>1677.01348701304</v>
      </c>
      <c r="M3590">
        <v>32.315487634283102</v>
      </c>
      <c r="N3590">
        <v>53.066767019652197</v>
      </c>
      <c r="O3590">
        <v>51.697512659490101</v>
      </c>
      <c r="P3590">
        <v>-0.116416089205248</v>
      </c>
      <c r="Q3590">
        <v>0.25504522415355302</v>
      </c>
      <c r="R3590">
        <v>0.99824164085245304</v>
      </c>
      <c r="S3590" t="s">
        <v>9451</v>
      </c>
      <c r="T3590" t="s">
        <v>11720</v>
      </c>
      <c r="U3590" t="s">
        <v>11720</v>
      </c>
      <c r="V3590" t="s">
        <v>11720</v>
      </c>
      <c r="W3590" t="s">
        <v>15258</v>
      </c>
      <c r="X3590">
        <v>15</v>
      </c>
      <c r="Y3590" t="s">
        <v>20976</v>
      </c>
      <c r="Z3590" t="s">
        <v>26797</v>
      </c>
      <c r="AA3590">
        <v>0.55451872402620217</v>
      </c>
      <c r="AB3590" t="str">
        <f>HYPERLINK("Melting_Curves/meltCurve_Q5TZA2_CROCC.pdf", "Melting_Curves/meltCurve_Q5TZA2_CROCC.pdf")</f>
        <v>Melting_Curves/meltCurve_Q5TZA2_CROCC.pdf</v>
      </c>
    </row>
    <row r="3591" spans="1:28" x14ac:dyDescent="0.25">
      <c r="A3591" t="s">
        <v>3595</v>
      </c>
      <c r="B3591">
        <v>0.99334974765950101</v>
      </c>
      <c r="C3591">
        <v>0.92355197403633904</v>
      </c>
      <c r="D3591">
        <v>0.84243201121005296</v>
      </c>
      <c r="E3591">
        <v>0.68255410297143304</v>
      </c>
      <c r="F3591">
        <v>0.70423891619661005</v>
      </c>
      <c r="G3591">
        <v>0.376715108052804</v>
      </c>
      <c r="H3591">
        <v>0.426534303435951</v>
      </c>
      <c r="I3591">
        <v>0.35237024579300702</v>
      </c>
      <c r="J3591">
        <v>0.45159224358231798</v>
      </c>
      <c r="K3591">
        <v>0.400162351787477</v>
      </c>
      <c r="L3591">
        <v>654.75398337210504</v>
      </c>
      <c r="M3591">
        <v>12.956896436570799</v>
      </c>
      <c r="N3591">
        <v>56.209097049109403</v>
      </c>
      <c r="O3591">
        <v>49.374945187918499</v>
      </c>
      <c r="P3591">
        <v>-4.1675029131713399E-2</v>
      </c>
      <c r="Q3591">
        <v>0.36486824856405398</v>
      </c>
      <c r="R3591">
        <v>0.938987534619936</v>
      </c>
      <c r="S3591" t="s">
        <v>9452</v>
      </c>
      <c r="T3591" t="s">
        <v>11720</v>
      </c>
      <c r="U3591" t="s">
        <v>11720</v>
      </c>
      <c r="V3591" t="s">
        <v>11720</v>
      </c>
      <c r="W3591" t="s">
        <v>15259</v>
      </c>
      <c r="X3591">
        <v>1</v>
      </c>
      <c r="Y3591" t="s">
        <v>20977</v>
      </c>
      <c r="Z3591" t="s">
        <v>26798</v>
      </c>
      <c r="AA3591">
        <v>0.60680788427016796</v>
      </c>
      <c r="AB3591" t="str">
        <f>HYPERLINK("Melting_Curves/meltCurve_Q5U5Q3_MEX3C.pdf", "Melting_Curves/meltCurve_Q5U5Q3_MEX3C.pdf")</f>
        <v>Melting_Curves/meltCurve_Q5U5Q3_MEX3C.pdf</v>
      </c>
    </row>
    <row r="3592" spans="1:28" x14ac:dyDescent="0.25">
      <c r="A3592" t="s">
        <v>3596</v>
      </c>
      <c r="B3592">
        <v>0.99334974765950101</v>
      </c>
      <c r="C3592">
        <v>0.95145912744935901</v>
      </c>
      <c r="D3592">
        <v>0.94457522448184805</v>
      </c>
      <c r="E3592">
        <v>0.62515048425182496</v>
      </c>
      <c r="F3592">
        <v>0.23089030272754801</v>
      </c>
      <c r="G3592">
        <v>0.10842534805595599</v>
      </c>
      <c r="H3592">
        <v>6.9507494834489397E-2</v>
      </c>
      <c r="I3592">
        <v>6.09781891722459E-2</v>
      </c>
      <c r="J3592">
        <v>6.1080240197745099E-2</v>
      </c>
      <c r="K3592">
        <v>6.7034365557449904E-2</v>
      </c>
      <c r="L3592">
        <v>1568.6732048838501</v>
      </c>
      <c r="M3592">
        <v>31.021386252593601</v>
      </c>
      <c r="N3592">
        <v>50.794729437437297</v>
      </c>
      <c r="O3592">
        <v>50.358732360201003</v>
      </c>
      <c r="P3592">
        <v>-0.144024608747407</v>
      </c>
      <c r="Q3592">
        <v>6.4792878492729203E-2</v>
      </c>
      <c r="R3592">
        <v>0.998122653234085</v>
      </c>
      <c r="S3592" t="s">
        <v>9453</v>
      </c>
      <c r="T3592" t="s">
        <v>11720</v>
      </c>
      <c r="U3592" t="s">
        <v>11720</v>
      </c>
      <c r="V3592" t="s">
        <v>11720</v>
      </c>
      <c r="W3592" t="s">
        <v>15260</v>
      </c>
      <c r="X3592">
        <v>7</v>
      </c>
      <c r="Y3592" t="s">
        <v>20978</v>
      </c>
      <c r="Z3592" t="s">
        <v>26799</v>
      </c>
      <c r="AA3592">
        <v>0.39967675944752939</v>
      </c>
      <c r="AB3592" t="str">
        <f>HYPERLINK("Melting_Curves/meltCurve_Q5U5X0_LYRM7.pdf", "Melting_Curves/meltCurve_Q5U5X0_LYRM7.pdf")</f>
        <v>Melting_Curves/meltCurve_Q5U5X0_LYRM7.pdf</v>
      </c>
    </row>
    <row r="3593" spans="1:28" x14ac:dyDescent="0.25">
      <c r="A3593" t="s">
        <v>3597</v>
      </c>
      <c r="B3593">
        <v>0.99334974765950101</v>
      </c>
      <c r="C3593">
        <v>0.839040413260976</v>
      </c>
      <c r="D3593">
        <v>0.85970002362587705</v>
      </c>
      <c r="E3593">
        <v>0.66751298504432499</v>
      </c>
      <c r="F3593">
        <v>9.2739301999898396E-2</v>
      </c>
      <c r="G3593">
        <v>8.1931401802148404E-2</v>
      </c>
      <c r="H3593">
        <v>7.2885952047400296E-2</v>
      </c>
      <c r="I3593">
        <v>0</v>
      </c>
      <c r="J3593">
        <v>0</v>
      </c>
      <c r="K3593">
        <v>0</v>
      </c>
      <c r="L3593">
        <v>2606.4896797441802</v>
      </c>
      <c r="M3593">
        <v>51.518761973738002</v>
      </c>
      <c r="N3593">
        <v>50.647992884744298</v>
      </c>
      <c r="O3593">
        <v>50.516960387177598</v>
      </c>
      <c r="P3593">
        <v>-0.24802501327505899</v>
      </c>
      <c r="Q3593">
        <v>2.7192386250955301E-2</v>
      </c>
      <c r="R3593">
        <v>0.96769451714394195</v>
      </c>
      <c r="S3593" t="s">
        <v>9454</v>
      </c>
      <c r="T3593" t="s">
        <v>11720</v>
      </c>
      <c r="U3593" t="s">
        <v>11720</v>
      </c>
      <c r="V3593" t="s">
        <v>11720</v>
      </c>
      <c r="W3593" t="s">
        <v>15261</v>
      </c>
      <c r="X3593">
        <v>6</v>
      </c>
      <c r="Y3593" t="s">
        <v>20979</v>
      </c>
      <c r="Z3593" t="s">
        <v>26800</v>
      </c>
      <c r="AA3593">
        <v>0.37273555085496513</v>
      </c>
      <c r="AB3593" t="str">
        <f>HYPERLINK("Melting_Curves/meltCurve_Q5VIR6_4_VPS53.pdf", "Melting_Curves/meltCurve_Q5VIR6_4_VPS53.pdf")</f>
        <v>Melting_Curves/meltCurve_Q5VIR6_4_VPS53.pdf</v>
      </c>
    </row>
    <row r="3594" spans="1:28" x14ac:dyDescent="0.25">
      <c r="A3594" t="s">
        <v>3598</v>
      </c>
      <c r="B3594">
        <v>0.99334974765950101</v>
      </c>
      <c r="C3594">
        <v>0.93561411427948604</v>
      </c>
      <c r="D3594">
        <v>0.84982322286608003</v>
      </c>
      <c r="E3594">
        <v>0.56191224898798198</v>
      </c>
      <c r="F3594">
        <v>0.37196011013824098</v>
      </c>
      <c r="G3594">
        <v>0.20550221401883201</v>
      </c>
      <c r="H3594">
        <v>0.113435533582225</v>
      </c>
      <c r="I3594">
        <v>8.3156170340558097E-2</v>
      </c>
      <c r="J3594">
        <v>6.1406920796072899E-2</v>
      </c>
      <c r="K3594">
        <v>4.4325461287437799E-2</v>
      </c>
      <c r="L3594">
        <v>762.58606596347101</v>
      </c>
      <c r="M3594">
        <v>15.0147351018701</v>
      </c>
      <c r="N3594">
        <v>51.0595232016815</v>
      </c>
      <c r="O3594">
        <v>49.913803784416601</v>
      </c>
      <c r="P3594">
        <v>-7.2337062777031599E-2</v>
      </c>
      <c r="Q3594">
        <v>3.8210240329235999E-2</v>
      </c>
      <c r="R3594">
        <v>0.99937157581993796</v>
      </c>
      <c r="S3594" t="s">
        <v>9455</v>
      </c>
      <c r="T3594" t="s">
        <v>11720</v>
      </c>
      <c r="U3594" t="s">
        <v>11720</v>
      </c>
      <c r="V3594" t="s">
        <v>11720</v>
      </c>
      <c r="W3594" t="s">
        <v>15262</v>
      </c>
      <c r="X3594">
        <v>6</v>
      </c>
      <c r="Y3594" t="s">
        <v>20980</v>
      </c>
      <c r="Z3594" t="s">
        <v>26801</v>
      </c>
      <c r="AA3594">
        <v>0.40644072686799543</v>
      </c>
      <c r="AB3594" t="str">
        <f>HYPERLINK("Melting_Curves/meltCurve_Q5VSL9_STRIP1.pdf", "Melting_Curves/meltCurve_Q5VSL9_STRIP1.pdf")</f>
        <v>Melting_Curves/meltCurve_Q5VSL9_STRIP1.pdf</v>
      </c>
    </row>
    <row r="3595" spans="1:28" x14ac:dyDescent="0.25">
      <c r="A3595" t="s">
        <v>3599</v>
      </c>
      <c r="B3595">
        <v>0.99334974765950101</v>
      </c>
      <c r="C3595">
        <v>0.97904541537502898</v>
      </c>
      <c r="D3595">
        <v>0.93415567964187396</v>
      </c>
      <c r="E3595">
        <v>0.87309307697248795</v>
      </c>
      <c r="F3595">
        <v>0.85408731557761497</v>
      </c>
      <c r="G3595">
        <v>0.61487189179891499</v>
      </c>
      <c r="H3595">
        <v>0.25983613197321598</v>
      </c>
      <c r="I3595">
        <v>0.16426298017506</v>
      </c>
      <c r="J3595">
        <v>0.13484280896865</v>
      </c>
      <c r="K3595">
        <v>0.105547447622215</v>
      </c>
      <c r="L3595">
        <v>1057.78061349275</v>
      </c>
      <c r="M3595">
        <v>18.3774359125402</v>
      </c>
      <c r="N3595">
        <v>57.922692965047197</v>
      </c>
      <c r="O3595">
        <v>56.890107723608303</v>
      </c>
      <c r="P3595">
        <v>-7.6357494183005706E-2</v>
      </c>
      <c r="Q3595">
        <v>5.4538707094468099E-2</v>
      </c>
      <c r="R3595">
        <v>0.98964614918985505</v>
      </c>
      <c r="S3595" t="s">
        <v>9456</v>
      </c>
      <c r="T3595" t="s">
        <v>11720</v>
      </c>
      <c r="U3595" t="s">
        <v>11720</v>
      </c>
      <c r="V3595" t="s">
        <v>11720</v>
      </c>
      <c r="W3595" t="s">
        <v>15263</v>
      </c>
      <c r="X3595">
        <v>10</v>
      </c>
      <c r="Y3595" t="s">
        <v>20981</v>
      </c>
      <c r="Z3595" t="s">
        <v>26802</v>
      </c>
      <c r="AA3595">
        <v>0.61999312383092786</v>
      </c>
      <c r="AB3595" t="str">
        <f>HYPERLINK("Melting_Curves/meltCurve_Q5VST6_ABHD17B.pdf", "Melting_Curves/meltCurve_Q5VST6_ABHD17B.pdf")</f>
        <v>Melting_Curves/meltCurve_Q5VST6_ABHD17B.pdf</v>
      </c>
    </row>
    <row r="3596" spans="1:28" x14ac:dyDescent="0.25">
      <c r="A3596" t="s">
        <v>3600</v>
      </c>
      <c r="B3596">
        <v>0.99334974765950101</v>
      </c>
      <c r="C3596">
        <v>0.89465282448899897</v>
      </c>
      <c r="D3596">
        <v>0.68126786161952102</v>
      </c>
      <c r="E3596">
        <v>0.231872338070895</v>
      </c>
      <c r="F3596">
        <v>0.203656592229991</v>
      </c>
      <c r="G3596">
        <v>0.15785470858523801</v>
      </c>
      <c r="H3596">
        <v>0.13183050935705101</v>
      </c>
      <c r="I3596">
        <v>0.142089468129456</v>
      </c>
      <c r="J3596">
        <v>0.13847088112476599</v>
      </c>
      <c r="K3596">
        <v>0.138156555584903</v>
      </c>
      <c r="L3596">
        <v>1257.58625270738</v>
      </c>
      <c r="M3596">
        <v>26.925149276690199</v>
      </c>
      <c r="N3596">
        <v>47.288302424818802</v>
      </c>
      <c r="O3596">
        <v>46.4513910124356</v>
      </c>
      <c r="P3596">
        <v>-0.12448758886863399</v>
      </c>
      <c r="Q3596">
        <v>0.14094236627741399</v>
      </c>
      <c r="R3596">
        <v>0.99638680717297901</v>
      </c>
      <c r="S3596" t="s">
        <v>9457</v>
      </c>
      <c r="T3596" t="s">
        <v>11720</v>
      </c>
      <c r="U3596" t="s">
        <v>11720</v>
      </c>
      <c r="V3596" t="s">
        <v>11720</v>
      </c>
      <c r="W3596" t="s">
        <v>15264</v>
      </c>
      <c r="X3596">
        <v>4</v>
      </c>
      <c r="Y3596" t="s">
        <v>20982</v>
      </c>
      <c r="Z3596" t="s">
        <v>26803</v>
      </c>
      <c r="AA3596">
        <v>0.33953965748958298</v>
      </c>
      <c r="AB3596" t="str">
        <f>HYPERLINK("Melting_Curves/meltCurve_Q5VT52_2_RPRD2.pdf", "Melting_Curves/meltCurve_Q5VT52_2_RPRD2.pdf")</f>
        <v>Melting_Curves/meltCurve_Q5VT52_2_RPRD2.pdf</v>
      </c>
    </row>
    <row r="3597" spans="1:28" x14ac:dyDescent="0.25">
      <c r="A3597" t="s">
        <v>3601</v>
      </c>
      <c r="B3597">
        <v>0.99334974765950101</v>
      </c>
      <c r="C3597">
        <v>0.96169076425646205</v>
      </c>
      <c r="D3597">
        <v>0.78927497293168003</v>
      </c>
      <c r="E3597">
        <v>0.999121382168073</v>
      </c>
      <c r="F3597">
        <v>1.0444397192467101</v>
      </c>
      <c r="G3597">
        <v>0.948582804946002</v>
      </c>
      <c r="H3597">
        <v>1.1357968316877201</v>
      </c>
      <c r="I3597">
        <v>1.77467471336444</v>
      </c>
      <c r="J3597">
        <v>1.1210824795913199</v>
      </c>
      <c r="K3597">
        <v>0.57354792639570196</v>
      </c>
      <c r="L3597">
        <v>15000</v>
      </c>
      <c r="M3597">
        <v>247.786225128072</v>
      </c>
      <c r="O3597">
        <v>60.532122428139601</v>
      </c>
      <c r="P3597">
        <v>0.16008783009191599</v>
      </c>
      <c r="Q3597">
        <v>1.1564324897485401</v>
      </c>
      <c r="R3597">
        <v>9.3904178750635503E-2</v>
      </c>
      <c r="S3597" t="s">
        <v>9458</v>
      </c>
      <c r="T3597" t="s">
        <v>11720</v>
      </c>
      <c r="U3597" t="s">
        <v>11720</v>
      </c>
      <c r="V3597" t="s">
        <v>11720</v>
      </c>
      <c r="W3597" t="s">
        <v>15265</v>
      </c>
      <c r="X3597">
        <v>1</v>
      </c>
      <c r="Y3597" t="s">
        <v>20983</v>
      </c>
      <c r="Z3597" t="s">
        <v>26804</v>
      </c>
      <c r="AA3597">
        <v>1.0493320432185129</v>
      </c>
      <c r="AB3597" t="str">
        <f>HYPERLINK("Melting_Curves/meltCurve_Q5VT94_GHITM.pdf", "Melting_Curves/meltCurve_Q5VT94_GHITM.pdf")</f>
        <v>Melting_Curves/meltCurve_Q5VT94_GHITM.pdf</v>
      </c>
    </row>
    <row r="3598" spans="1:28" x14ac:dyDescent="0.25">
      <c r="A3598" t="s">
        <v>3602</v>
      </c>
      <c r="B3598">
        <v>0.99334974765950101</v>
      </c>
      <c r="C3598">
        <v>1.0550474152012601</v>
      </c>
      <c r="D3598">
        <v>1.00279057008795</v>
      </c>
      <c r="E3598">
        <v>0.98051863368815295</v>
      </c>
      <c r="F3598">
        <v>0.56981756922255</v>
      </c>
      <c r="G3598">
        <v>0.19378748259727299</v>
      </c>
      <c r="H3598">
        <v>9.7828146678338695E-2</v>
      </c>
      <c r="I3598">
        <v>7.8093078808881403E-2</v>
      </c>
      <c r="J3598">
        <v>7.4828540982202804E-2</v>
      </c>
      <c r="K3598">
        <v>2.8940524892206099E-2</v>
      </c>
      <c r="L3598">
        <v>1943.58465535662</v>
      </c>
      <c r="M3598">
        <v>36.402757788359402</v>
      </c>
      <c r="N3598">
        <v>53.623566039362601</v>
      </c>
      <c r="O3598">
        <v>53.230785464870699</v>
      </c>
      <c r="P3598">
        <v>-0.158489038114182</v>
      </c>
      <c r="Q3598">
        <v>7.2985607831602503E-2</v>
      </c>
      <c r="R3598">
        <v>0.99452528236505799</v>
      </c>
      <c r="S3598" t="s">
        <v>9459</v>
      </c>
      <c r="T3598" t="s">
        <v>11720</v>
      </c>
      <c r="U3598" t="s">
        <v>11720</v>
      </c>
      <c r="V3598" t="s">
        <v>11720</v>
      </c>
      <c r="W3598" t="s">
        <v>15266</v>
      </c>
      <c r="X3598">
        <v>2</v>
      </c>
      <c r="Y3598" t="s">
        <v>20984</v>
      </c>
      <c r="Z3598" t="s">
        <v>26805</v>
      </c>
      <c r="AA3598">
        <v>0.49090298682606159</v>
      </c>
      <c r="AB3598" t="str">
        <f>HYPERLINK("Melting_Curves/meltCurve_Q5VTQ0_2_TTC39B.pdf", "Melting_Curves/meltCurve_Q5VTQ0_2_TTC39B.pdf")</f>
        <v>Melting_Curves/meltCurve_Q5VTQ0_2_TTC39B.pdf</v>
      </c>
    </row>
    <row r="3599" spans="1:28" x14ac:dyDescent="0.25">
      <c r="A3599" t="s">
        <v>3603</v>
      </c>
      <c r="B3599">
        <v>0.99334974765950101</v>
      </c>
      <c r="C3599">
        <v>0.94265618339391199</v>
      </c>
      <c r="D3599">
        <v>0.97871841495540302</v>
      </c>
      <c r="E3599">
        <v>0.590174747163147</v>
      </c>
      <c r="F3599">
        <v>0.42060605931624601</v>
      </c>
      <c r="G3599">
        <v>0.23103621844329</v>
      </c>
      <c r="H3599">
        <v>0.13053481004426301</v>
      </c>
      <c r="I3599">
        <v>0.13404796032527999</v>
      </c>
      <c r="J3599">
        <v>9.9653493458673303E-2</v>
      </c>
      <c r="K3599">
        <v>3.6721519102199299E-2</v>
      </c>
      <c r="L3599">
        <v>924.37248708680204</v>
      </c>
      <c r="M3599">
        <v>18.022635156705999</v>
      </c>
      <c r="N3599">
        <v>51.787235968547002</v>
      </c>
      <c r="O3599">
        <v>50.670580062518397</v>
      </c>
      <c r="P3599">
        <v>-8.1853876731754496E-2</v>
      </c>
      <c r="Q3599">
        <v>7.9517561037421705E-2</v>
      </c>
      <c r="R3599">
        <v>0.98939742386534402</v>
      </c>
      <c r="S3599" t="s">
        <v>9460</v>
      </c>
      <c r="T3599" t="s">
        <v>11720</v>
      </c>
      <c r="U3599" t="s">
        <v>11720</v>
      </c>
      <c r="V3599" t="s">
        <v>11720</v>
      </c>
      <c r="W3599" t="s">
        <v>15267</v>
      </c>
      <c r="X3599">
        <v>2</v>
      </c>
      <c r="Y3599" t="s">
        <v>20985</v>
      </c>
      <c r="Z3599" t="s">
        <v>26806</v>
      </c>
      <c r="AA3599">
        <v>0.44133365308483452</v>
      </c>
      <c r="AB3599" t="str">
        <f>HYPERLINK("Melting_Curves/meltCurve_Q5VTR2_RNF20.pdf", "Melting_Curves/meltCurve_Q5VTR2_RNF20.pdf")</f>
        <v>Melting_Curves/meltCurve_Q5VTR2_RNF20.pdf</v>
      </c>
    </row>
    <row r="3600" spans="1:28" x14ac:dyDescent="0.25">
      <c r="A3600" t="s">
        <v>3604</v>
      </c>
      <c r="B3600">
        <v>0.99334974765950101</v>
      </c>
      <c r="C3600">
        <v>1.09048238561734</v>
      </c>
      <c r="D3600">
        <v>0.88639540315809795</v>
      </c>
      <c r="E3600">
        <v>1.0858759047502</v>
      </c>
      <c r="F3600">
        <v>1.03448537804928</v>
      </c>
      <c r="G3600">
        <v>0.55512170587696796</v>
      </c>
      <c r="H3600">
        <v>0.46626960006617602</v>
      </c>
      <c r="I3600">
        <v>0.50478703398065505</v>
      </c>
      <c r="J3600">
        <v>0.57294022912630505</v>
      </c>
      <c r="K3600">
        <v>0.49431182826341202</v>
      </c>
      <c r="L3600">
        <v>14120.090768984101</v>
      </c>
      <c r="M3600">
        <v>250</v>
      </c>
      <c r="O3600">
        <v>56.476748821240498</v>
      </c>
      <c r="P3600">
        <v>-0.54272648240565902</v>
      </c>
      <c r="Q3600">
        <v>0.50957716595665303</v>
      </c>
      <c r="R3600">
        <v>0.94563979845421997</v>
      </c>
      <c r="S3600" t="s">
        <v>9461</v>
      </c>
      <c r="T3600" t="s">
        <v>11720</v>
      </c>
      <c r="U3600" t="s">
        <v>11720</v>
      </c>
      <c r="V3600" t="s">
        <v>11720</v>
      </c>
      <c r="W3600" t="s">
        <v>15268</v>
      </c>
      <c r="X3600">
        <v>1</v>
      </c>
      <c r="Y3600" t="s">
        <v>20986</v>
      </c>
      <c r="Z3600" t="s">
        <v>26807</v>
      </c>
      <c r="AA3600">
        <v>0.77903732325184982</v>
      </c>
      <c r="AB3600" t="str">
        <f>HYPERLINK("Melting_Curves/meltCurve_Q5VTU3_DYNLT1.pdf", "Melting_Curves/meltCurve_Q5VTU3_DYNLT1.pdf")</f>
        <v>Melting_Curves/meltCurve_Q5VTU3_DYNLT1.pdf</v>
      </c>
    </row>
    <row r="3601" spans="1:28" x14ac:dyDescent="0.25">
      <c r="A3601" t="s">
        <v>3605</v>
      </c>
      <c r="B3601">
        <v>0.99334974765950101</v>
      </c>
      <c r="C3601">
        <v>1.2158125155772099</v>
      </c>
      <c r="D3601">
        <v>1.11204003774461</v>
      </c>
      <c r="E3601">
        <v>1.0169550499797999</v>
      </c>
      <c r="F3601">
        <v>0.55625397986413505</v>
      </c>
      <c r="G3601">
        <v>0.48630638590398301</v>
      </c>
      <c r="H3601">
        <v>0.36452448285671402</v>
      </c>
      <c r="I3601">
        <v>0.281780527490128</v>
      </c>
      <c r="J3601">
        <v>0.21384424255611101</v>
      </c>
      <c r="K3601">
        <v>0.151873600011248</v>
      </c>
      <c r="L3601">
        <v>1161.2530389516401</v>
      </c>
      <c r="M3601">
        <v>21.408984737796398</v>
      </c>
      <c r="N3601">
        <v>55.797190461531301</v>
      </c>
      <c r="O3601">
        <v>53.774791864923898</v>
      </c>
      <c r="P3601">
        <v>-7.7162537300641501E-2</v>
      </c>
      <c r="Q3601">
        <v>0.224756101908894</v>
      </c>
      <c r="R3601">
        <v>0.91912067625053195</v>
      </c>
      <c r="S3601" t="s">
        <v>9462</v>
      </c>
      <c r="T3601" t="s">
        <v>11720</v>
      </c>
      <c r="U3601" t="s">
        <v>11720</v>
      </c>
      <c r="V3601" t="s">
        <v>11720</v>
      </c>
      <c r="W3601" t="s">
        <v>15269</v>
      </c>
      <c r="X3601">
        <v>2</v>
      </c>
      <c r="Y3601" t="s">
        <v>20987</v>
      </c>
      <c r="Z3601" t="s">
        <v>26808</v>
      </c>
      <c r="AA3601">
        <v>0.60217043621747501</v>
      </c>
      <c r="AB3601" t="str">
        <f>HYPERLINK("Melting_Curves/meltCurve_Q5VU10_RPP30.pdf", "Melting_Curves/meltCurve_Q5VU10_RPP30.pdf")</f>
        <v>Melting_Curves/meltCurve_Q5VU10_RPP30.pdf</v>
      </c>
    </row>
    <row r="3602" spans="1:28" x14ac:dyDescent="0.25">
      <c r="A3602" t="s">
        <v>3606</v>
      </c>
      <c r="B3602">
        <v>0.99334974765950101</v>
      </c>
      <c r="C3602">
        <v>0.97142956889919196</v>
      </c>
      <c r="D3602">
        <v>1.1825141306625</v>
      </c>
      <c r="E3602">
        <v>1.15077147167968</v>
      </c>
      <c r="F3602">
        <v>1.2070786987450901</v>
      </c>
      <c r="G3602">
        <v>0.63333117846290599</v>
      </c>
      <c r="H3602">
        <v>0.41005709529360901</v>
      </c>
      <c r="I3602">
        <v>0.34975881096483102</v>
      </c>
      <c r="J3602">
        <v>0.32062585179329101</v>
      </c>
      <c r="K3602">
        <v>0.18608773503687301</v>
      </c>
      <c r="L3602">
        <v>7063.2742318352903</v>
      </c>
      <c r="M3602">
        <v>124.062325226409</v>
      </c>
      <c r="N3602">
        <v>57.397201579947499</v>
      </c>
      <c r="O3602">
        <v>56.918483353246302</v>
      </c>
      <c r="P3602">
        <v>-0.37241290117627301</v>
      </c>
      <c r="Q3602">
        <v>0.31656360633481101</v>
      </c>
      <c r="R3602">
        <v>0.91298590573851901</v>
      </c>
      <c r="S3602" t="s">
        <v>9463</v>
      </c>
      <c r="T3602" t="s">
        <v>11720</v>
      </c>
      <c r="U3602" t="s">
        <v>11720</v>
      </c>
      <c r="V3602" t="s">
        <v>11720</v>
      </c>
      <c r="W3602" t="s">
        <v>15270</v>
      </c>
      <c r="X3602">
        <v>4</v>
      </c>
      <c r="Y3602" t="s">
        <v>20988</v>
      </c>
      <c r="Z3602" t="s">
        <v>26809</v>
      </c>
      <c r="AA3602">
        <v>0.70260158783171811</v>
      </c>
      <c r="AB3602" t="str">
        <f>HYPERLINK("Melting_Curves/meltCurve_Q5VU97_CACHD1.pdf", "Melting_Curves/meltCurve_Q5VU97_CACHD1.pdf")</f>
        <v>Melting_Curves/meltCurve_Q5VU97_CACHD1.pdf</v>
      </c>
    </row>
    <row r="3603" spans="1:28" x14ac:dyDescent="0.25">
      <c r="A3603" t="s">
        <v>3607</v>
      </c>
      <c r="B3603">
        <v>0.99334974765950101</v>
      </c>
      <c r="C3603">
        <v>1.13182693985706</v>
      </c>
      <c r="D3603">
        <v>0.84990712786491995</v>
      </c>
      <c r="E3603">
        <v>0.64280240059706395</v>
      </c>
      <c r="F3603">
        <v>0.419241042590482</v>
      </c>
      <c r="G3603">
        <v>0.30555668125783803</v>
      </c>
      <c r="H3603">
        <v>0.357041342192777</v>
      </c>
      <c r="I3603">
        <v>0.41712712249259198</v>
      </c>
      <c r="J3603">
        <v>0.33035295349826499</v>
      </c>
      <c r="K3603">
        <v>0.180272850312578</v>
      </c>
      <c r="L3603">
        <v>1212.59287189109</v>
      </c>
      <c r="M3603">
        <v>24.454933217813998</v>
      </c>
      <c r="N3603">
        <v>51.631666281232498</v>
      </c>
      <c r="O3603">
        <v>49.256799840095098</v>
      </c>
      <c r="P3603">
        <v>-8.5599001887784201E-2</v>
      </c>
      <c r="Q3603">
        <v>0.31036066159894998</v>
      </c>
      <c r="R3603">
        <v>0.94023270971641604</v>
      </c>
      <c r="S3603" t="s">
        <v>9464</v>
      </c>
      <c r="T3603" t="s">
        <v>11720</v>
      </c>
      <c r="U3603" t="s">
        <v>11720</v>
      </c>
      <c r="V3603" t="s">
        <v>11720</v>
      </c>
      <c r="W3603" t="s">
        <v>15271</v>
      </c>
      <c r="X3603">
        <v>2</v>
      </c>
      <c r="Y3603" t="s">
        <v>20989</v>
      </c>
      <c r="Z3603" t="s">
        <v>26810</v>
      </c>
      <c r="AA3603">
        <v>0.53711585326591205</v>
      </c>
      <c r="AB3603" t="str">
        <f>HYPERLINK("Melting_Curves/meltCurve_Q5VUA4_ZNF318.pdf", "Melting_Curves/meltCurve_Q5VUA4_ZNF318.pdf")</f>
        <v>Melting_Curves/meltCurve_Q5VUA4_ZNF318.pdf</v>
      </c>
    </row>
    <row r="3604" spans="1:28" x14ac:dyDescent="0.25">
      <c r="A3604" t="s">
        <v>3608</v>
      </c>
      <c r="B3604">
        <v>0.99334974765950101</v>
      </c>
      <c r="C3604">
        <v>0.96900184092097197</v>
      </c>
      <c r="D3604">
        <v>0.76024025273250895</v>
      </c>
      <c r="E3604">
        <v>0.855699625050798</v>
      </c>
      <c r="F3604">
        <v>0.55125815567150205</v>
      </c>
      <c r="G3604">
        <v>0.47552381456182802</v>
      </c>
      <c r="H3604">
        <v>0.39684251100319301</v>
      </c>
      <c r="I3604">
        <v>0.41478410947334798</v>
      </c>
      <c r="J3604">
        <v>0.37915242444522401</v>
      </c>
      <c r="K3604">
        <v>0.26534783863786499</v>
      </c>
      <c r="L3604">
        <v>540.83407785655504</v>
      </c>
      <c r="M3604">
        <v>10.281179881152999</v>
      </c>
      <c r="N3604">
        <v>56.802940318474697</v>
      </c>
      <c r="O3604">
        <v>50.7307342840001</v>
      </c>
      <c r="P3604">
        <v>-3.7196899772296801E-2</v>
      </c>
      <c r="Q3604">
        <v>0.26615416762994998</v>
      </c>
      <c r="R3604">
        <v>0.93678078632666395</v>
      </c>
      <c r="S3604" t="s">
        <v>9465</v>
      </c>
      <c r="T3604" t="s">
        <v>11720</v>
      </c>
      <c r="U3604" t="s">
        <v>11720</v>
      </c>
      <c r="V3604" t="s">
        <v>11720</v>
      </c>
      <c r="W3604" t="s">
        <v>15272</v>
      </c>
      <c r="X3604">
        <v>2</v>
      </c>
      <c r="Y3604" t="s">
        <v>20990</v>
      </c>
      <c r="Z3604" t="s">
        <v>26811</v>
      </c>
      <c r="AA3604">
        <v>0.59997541150772959</v>
      </c>
      <c r="AB3604" t="str">
        <f>HYPERLINK("Melting_Curves/meltCurve_Q5VUE5_C1orf53.pdf", "Melting_Curves/meltCurve_Q5VUE5_C1orf53.pdf")</f>
        <v>Melting_Curves/meltCurve_Q5VUE5_C1orf53.pdf</v>
      </c>
    </row>
    <row r="3605" spans="1:28" x14ac:dyDescent="0.25">
      <c r="A3605" t="s">
        <v>3609</v>
      </c>
      <c r="B3605">
        <v>0.99334974765950101</v>
      </c>
      <c r="C3605">
        <v>1.40755315748052</v>
      </c>
      <c r="D3605">
        <v>0.75511791391331096</v>
      </c>
      <c r="E3605">
        <v>1.7790890957598</v>
      </c>
      <c r="F3605">
        <v>0.32957077971787002</v>
      </c>
      <c r="G3605">
        <v>0.24725063501564101</v>
      </c>
      <c r="H3605">
        <v>0.163982195961733</v>
      </c>
      <c r="I3605">
        <v>0.175013389645512</v>
      </c>
      <c r="J3605">
        <v>0</v>
      </c>
      <c r="K3605">
        <v>0</v>
      </c>
      <c r="L3605">
        <v>13189.061412315499</v>
      </c>
      <c r="M3605">
        <v>250</v>
      </c>
      <c r="N3605">
        <v>52.812702417198999</v>
      </c>
      <c r="O3605">
        <v>52.7528695997824</v>
      </c>
      <c r="P3605">
        <v>-1.0458569816816801</v>
      </c>
      <c r="Q3605">
        <v>0.117248689445207</v>
      </c>
      <c r="R3605">
        <v>0.74823318822082596</v>
      </c>
      <c r="S3605" t="s">
        <v>9466</v>
      </c>
      <c r="T3605" t="s">
        <v>11720</v>
      </c>
      <c r="U3605" t="s">
        <v>11720</v>
      </c>
      <c r="V3605" t="s">
        <v>11720</v>
      </c>
      <c r="W3605" t="s">
        <v>15273</v>
      </c>
      <c r="X3605">
        <v>1</v>
      </c>
      <c r="Y3605" t="s">
        <v>20991</v>
      </c>
      <c r="Z3605" t="s">
        <v>26812</v>
      </c>
      <c r="AA3605">
        <v>0.49268350569052288</v>
      </c>
      <c r="AB3605" t="str">
        <f>HYPERLINK("Melting_Curves/meltCurve_Q5VUJ6_2_LRCH2.pdf", "Melting_Curves/meltCurve_Q5VUJ6_2_LRCH2.pdf")</f>
        <v>Melting_Curves/meltCurve_Q5VUJ6_2_LRCH2.pdf</v>
      </c>
    </row>
    <row r="3606" spans="1:28" x14ac:dyDescent="0.25">
      <c r="A3606" t="s">
        <v>3610</v>
      </c>
      <c r="B3606">
        <v>0.99334974765950101</v>
      </c>
      <c r="C3606">
        <v>1.23997509809832</v>
      </c>
      <c r="D3606">
        <v>1.47248429468814</v>
      </c>
      <c r="E3606">
        <v>0.74340013104417602</v>
      </c>
      <c r="F3606">
        <v>1.6915856699663601</v>
      </c>
      <c r="G3606">
        <v>0.98348539165644</v>
      </c>
      <c r="H3606">
        <v>1.51618433447705</v>
      </c>
      <c r="I3606">
        <v>0.44622422475530898</v>
      </c>
      <c r="J3606">
        <v>4.2121871893506801</v>
      </c>
      <c r="K3606">
        <v>2.1862031566698299</v>
      </c>
      <c r="L3606">
        <v>629.47983873394298</v>
      </c>
      <c r="M3606">
        <v>13.1281943021063</v>
      </c>
      <c r="O3606">
        <v>46.877088494127598</v>
      </c>
      <c r="P3606">
        <v>3.5012911199195397E-2</v>
      </c>
      <c r="Q3606">
        <v>1.5</v>
      </c>
      <c r="R3606">
        <v>3.93228990836407E-2</v>
      </c>
      <c r="S3606" t="s">
        <v>9467</v>
      </c>
      <c r="T3606" t="s">
        <v>11720</v>
      </c>
      <c r="U3606" t="s">
        <v>11720</v>
      </c>
      <c r="V3606" t="s">
        <v>11720</v>
      </c>
      <c r="W3606" t="s">
        <v>15274</v>
      </c>
      <c r="X3606">
        <v>3</v>
      </c>
      <c r="Y3606" t="s">
        <v>20992</v>
      </c>
      <c r="Z3606" t="s">
        <v>26813</v>
      </c>
      <c r="AA3606">
        <v>1.350847508522127</v>
      </c>
      <c r="AB3606" t="str">
        <f>HYPERLINK("Melting_Curves/meltCurve_Q5VUM1_C6orf57.pdf", "Melting_Curves/meltCurve_Q5VUM1_C6orf57.pdf")</f>
        <v>Melting_Curves/meltCurve_Q5VUM1_C6orf57.pdf</v>
      </c>
    </row>
    <row r="3607" spans="1:28" x14ac:dyDescent="0.25">
      <c r="A3607" t="s">
        <v>3611</v>
      </c>
      <c r="B3607">
        <v>0.99334974765950101</v>
      </c>
      <c r="C3607">
        <v>0.85021623886661801</v>
      </c>
      <c r="D3607">
        <v>0.86206777932912004</v>
      </c>
      <c r="E3607">
        <v>0.782976890790399</v>
      </c>
      <c r="F3607">
        <v>0.64387275810924105</v>
      </c>
      <c r="G3607">
        <v>0.34627746453626002</v>
      </c>
      <c r="H3607">
        <v>0.25513584469545803</v>
      </c>
      <c r="I3607">
        <v>0.262608395202027</v>
      </c>
      <c r="J3607">
        <v>0.19131520372066799</v>
      </c>
      <c r="K3607">
        <v>0.13184868051607801</v>
      </c>
      <c r="L3607">
        <v>571.39607900085298</v>
      </c>
      <c r="M3607">
        <v>10.509897264559299</v>
      </c>
      <c r="N3607">
        <v>55.041561584604104</v>
      </c>
      <c r="O3607">
        <v>52.509761575138697</v>
      </c>
      <c r="P3607">
        <v>-4.7034890532545101E-2</v>
      </c>
      <c r="Q3607">
        <v>6.0391043862312199E-2</v>
      </c>
      <c r="R3607">
        <v>0.97563682326630796</v>
      </c>
      <c r="S3607" t="s">
        <v>9468</v>
      </c>
      <c r="T3607" t="s">
        <v>11720</v>
      </c>
      <c r="U3607" t="s">
        <v>11720</v>
      </c>
      <c r="V3607" t="s">
        <v>11720</v>
      </c>
      <c r="W3607" t="s">
        <v>15275</v>
      </c>
      <c r="X3607">
        <v>1</v>
      </c>
      <c r="Y3607" t="s">
        <v>20993</v>
      </c>
      <c r="Z3607" t="s">
        <v>26814</v>
      </c>
      <c r="AA3607">
        <v>0.53650135723183245</v>
      </c>
      <c r="AB3607" t="str">
        <f>HYPERLINK("Melting_Curves/meltCurve_Q5VV89_MGST3.pdf", "Melting_Curves/meltCurve_Q5VV89_MGST3.pdf")</f>
        <v>Melting_Curves/meltCurve_Q5VV89_MGST3.pdf</v>
      </c>
    </row>
    <row r="3608" spans="1:28" x14ac:dyDescent="0.25">
      <c r="A3608" t="s">
        <v>3612</v>
      </c>
      <c r="B3608">
        <v>0.99334974765950101</v>
      </c>
      <c r="C3608">
        <v>1.1088390543765001</v>
      </c>
      <c r="D3608">
        <v>1.0207638069521401</v>
      </c>
      <c r="E3608">
        <v>0.88685516726277802</v>
      </c>
      <c r="F3608">
        <v>0.36634635120847397</v>
      </c>
      <c r="G3608">
        <v>0.181914344818845</v>
      </c>
      <c r="H3608">
        <v>0.106129370653031</v>
      </c>
      <c r="I3608">
        <v>8.3450843183605503E-2</v>
      </c>
      <c r="J3608">
        <v>8.6631030708307702E-2</v>
      </c>
      <c r="K3608">
        <v>6.6822308517082707E-2</v>
      </c>
      <c r="L3608">
        <v>2325.9397627578501</v>
      </c>
      <c r="M3608">
        <v>44.684915182431702</v>
      </c>
      <c r="N3608">
        <v>52.3114221389013</v>
      </c>
      <c r="O3608">
        <v>51.948085987169598</v>
      </c>
      <c r="P3608">
        <v>-0.193675486594622</v>
      </c>
      <c r="Q3608">
        <v>9.9377740344930604E-2</v>
      </c>
      <c r="R3608">
        <v>0.990018371155301</v>
      </c>
      <c r="S3608" t="s">
        <v>9469</v>
      </c>
      <c r="T3608" t="s">
        <v>11720</v>
      </c>
      <c r="U3608" t="s">
        <v>11720</v>
      </c>
      <c r="V3608" t="s">
        <v>11720</v>
      </c>
      <c r="W3608" t="s">
        <v>15276</v>
      </c>
      <c r="X3608">
        <v>12</v>
      </c>
      <c r="Y3608" t="s">
        <v>20994</v>
      </c>
      <c r="Z3608" t="s">
        <v>26815</v>
      </c>
      <c r="AA3608">
        <v>0.46378015046228349</v>
      </c>
      <c r="AB3608" t="str">
        <f>HYPERLINK("Melting_Curves/meltCurve_Q5VVD7_PLEKHM2.pdf", "Melting_Curves/meltCurve_Q5VVD7_PLEKHM2.pdf")</f>
        <v>Melting_Curves/meltCurve_Q5VVD7_PLEKHM2.pdf</v>
      </c>
    </row>
    <row r="3609" spans="1:28" x14ac:dyDescent="0.25">
      <c r="A3609" t="s">
        <v>3613</v>
      </c>
      <c r="B3609">
        <v>0.99334974765950101</v>
      </c>
      <c r="C3609">
        <v>0.97663590181389004</v>
      </c>
      <c r="D3609">
        <v>0.89911987280340699</v>
      </c>
      <c r="E3609">
        <v>0.592239247679615</v>
      </c>
      <c r="F3609">
        <v>0.38409279673135799</v>
      </c>
      <c r="G3609">
        <v>0.19164157795533099</v>
      </c>
      <c r="H3609">
        <v>0.19409468689715301</v>
      </c>
      <c r="I3609">
        <v>0.176629914910577</v>
      </c>
      <c r="J3609">
        <v>0.24474351870518901</v>
      </c>
      <c r="K3609">
        <v>0.219680089594637</v>
      </c>
      <c r="L3609">
        <v>1180.9175356772801</v>
      </c>
      <c r="M3609">
        <v>23.643312924156</v>
      </c>
      <c r="N3609">
        <v>51.030911003179703</v>
      </c>
      <c r="O3609">
        <v>49.594020662630101</v>
      </c>
      <c r="P3609">
        <v>-9.5662657334281503E-2</v>
      </c>
      <c r="Q3609">
        <v>0.19736870762414899</v>
      </c>
      <c r="R3609">
        <v>0.99430746436176898</v>
      </c>
      <c r="S3609" t="s">
        <v>9470</v>
      </c>
      <c r="T3609" t="s">
        <v>11720</v>
      </c>
      <c r="U3609" t="s">
        <v>11720</v>
      </c>
      <c r="V3609" t="s">
        <v>11720</v>
      </c>
      <c r="W3609" t="s">
        <v>15277</v>
      </c>
      <c r="X3609">
        <v>3</v>
      </c>
      <c r="Y3609" t="s">
        <v>20995</v>
      </c>
      <c r="Z3609" t="s">
        <v>26816</v>
      </c>
      <c r="AA3609">
        <v>0.47152049838648491</v>
      </c>
      <c r="AB3609" t="str">
        <f>HYPERLINK("Melting_Curves/meltCurve_Q5VVQ6_2_YOD1.pdf", "Melting_Curves/meltCurve_Q5VVQ6_2_YOD1.pdf")</f>
        <v>Melting_Curves/meltCurve_Q5VVQ6_2_YOD1.pdf</v>
      </c>
    </row>
    <row r="3610" spans="1:28" x14ac:dyDescent="0.25">
      <c r="A3610" t="s">
        <v>3614</v>
      </c>
      <c r="B3610">
        <v>0.99334974765950101</v>
      </c>
      <c r="C3610">
        <v>0.71066250886851501</v>
      </c>
      <c r="D3610">
        <v>1.1999086017610801</v>
      </c>
      <c r="E3610">
        <v>0.57741547464065002</v>
      </c>
      <c r="F3610">
        <v>1.0554410194202799</v>
      </c>
      <c r="G3610">
        <v>0.566982171428425</v>
      </c>
      <c r="H3610">
        <v>0.89642653684126805</v>
      </c>
      <c r="I3610">
        <v>0.84578498788604195</v>
      </c>
      <c r="J3610">
        <v>1.0641944380761801</v>
      </c>
      <c r="K3610">
        <v>0.45611799202049003</v>
      </c>
      <c r="L3610">
        <v>148.32348135022499</v>
      </c>
      <c r="M3610">
        <v>1.0607347973917201</v>
      </c>
      <c r="O3610">
        <v>52.486113055191602</v>
      </c>
      <c r="P3610">
        <v>-6.7184765549532302E-3</v>
      </c>
      <c r="Q3610">
        <v>0</v>
      </c>
      <c r="R3610">
        <v>7.1561829536692906E-2</v>
      </c>
      <c r="S3610" t="s">
        <v>9471</v>
      </c>
      <c r="T3610" t="s">
        <v>11720</v>
      </c>
      <c r="U3610" t="s">
        <v>11720</v>
      </c>
      <c r="V3610" t="s">
        <v>11720</v>
      </c>
      <c r="W3610" t="s">
        <v>15278</v>
      </c>
      <c r="X3610">
        <v>1</v>
      </c>
      <c r="Y3610" t="s">
        <v>20996</v>
      </c>
      <c r="Z3610" t="s">
        <v>26817</v>
      </c>
      <c r="AA3610">
        <v>0.83754605750946454</v>
      </c>
      <c r="AB3610" t="str">
        <f>HYPERLINK("Melting_Curves/meltCurve_Q5VVW5_SLC2A8.pdf", "Melting_Curves/meltCurve_Q5VVW5_SLC2A8.pdf")</f>
        <v>Melting_Curves/meltCurve_Q5VVW5_SLC2A8.pdf</v>
      </c>
    </row>
    <row r="3611" spans="1:28" x14ac:dyDescent="0.25">
      <c r="A3611" t="s">
        <v>3615</v>
      </c>
      <c r="B3611">
        <v>0.99334974765950101</v>
      </c>
      <c r="C3611">
        <v>1.11131443236183</v>
      </c>
      <c r="D3611">
        <v>0.84761660514007997</v>
      </c>
      <c r="E3611">
        <v>0.78001513691579305</v>
      </c>
      <c r="F3611">
        <v>0.68409405193346895</v>
      </c>
      <c r="G3611">
        <v>0.59839308637784805</v>
      </c>
      <c r="H3611">
        <v>0.52410974164678403</v>
      </c>
      <c r="I3611">
        <v>1.01976310337434</v>
      </c>
      <c r="J3611">
        <v>0.63533138089903995</v>
      </c>
      <c r="K3611">
        <v>0.71940388617572903</v>
      </c>
      <c r="L3611">
        <v>11495.7338609505</v>
      </c>
      <c r="M3611">
        <v>250</v>
      </c>
      <c r="O3611">
        <v>45.9799928520858</v>
      </c>
      <c r="P3611">
        <v>-0.39591940922575902</v>
      </c>
      <c r="Q3611">
        <v>0.70873005471282902</v>
      </c>
      <c r="R3611">
        <v>0.52163090020301495</v>
      </c>
      <c r="S3611" t="s">
        <v>9472</v>
      </c>
      <c r="T3611" t="s">
        <v>11720</v>
      </c>
      <c r="U3611" t="s">
        <v>11720</v>
      </c>
      <c r="V3611" t="s">
        <v>11720</v>
      </c>
      <c r="W3611" t="s">
        <v>12825</v>
      </c>
      <c r="X3611">
        <v>2</v>
      </c>
      <c r="Y3611" t="s">
        <v>20997</v>
      </c>
      <c r="Z3611" t="s">
        <v>26818</v>
      </c>
      <c r="AA3611">
        <v>0.76684186931645493</v>
      </c>
      <c r="AB3611" t="str">
        <f>HYPERLINK("Melting_Curves/meltCurve_Q5VW27_NFIB.pdf", "Melting_Curves/meltCurve_Q5VW27_NFIB.pdf")</f>
        <v>Melting_Curves/meltCurve_Q5VW27_NFIB.pdf</v>
      </c>
    </row>
    <row r="3612" spans="1:28" x14ac:dyDescent="0.25">
      <c r="A3612" t="s">
        <v>3616</v>
      </c>
      <c r="B3612">
        <v>0.99334974765950101</v>
      </c>
      <c r="C3612">
        <v>0.96905111883928696</v>
      </c>
      <c r="D3612">
        <v>0.86794259130532003</v>
      </c>
      <c r="E3612">
        <v>0.47581346086202098</v>
      </c>
      <c r="F3612">
        <v>0.20275964257276199</v>
      </c>
      <c r="G3612">
        <v>0.133648032069274</v>
      </c>
      <c r="H3612">
        <v>0.112103826234992</v>
      </c>
      <c r="I3612">
        <v>0.111230439109231</v>
      </c>
      <c r="J3612">
        <v>0.107493872280022</v>
      </c>
      <c r="K3612">
        <v>8.3156874563470207E-2</v>
      </c>
      <c r="L3612">
        <v>1270.3177065816401</v>
      </c>
      <c r="M3612">
        <v>25.800945508052202</v>
      </c>
      <c r="N3612">
        <v>49.664838375402503</v>
      </c>
      <c r="O3612">
        <v>48.9423993005216</v>
      </c>
      <c r="P3612">
        <v>-0.118615105386459</v>
      </c>
      <c r="Q3612">
        <v>9.9995933265941195E-2</v>
      </c>
      <c r="R3612">
        <v>0.99901848311553298</v>
      </c>
      <c r="S3612" t="s">
        <v>9473</v>
      </c>
      <c r="T3612" t="s">
        <v>11720</v>
      </c>
      <c r="U3612" t="s">
        <v>11720</v>
      </c>
      <c r="V3612" t="s">
        <v>11720</v>
      </c>
      <c r="W3612" t="s">
        <v>15279</v>
      </c>
      <c r="X3612">
        <v>11</v>
      </c>
      <c r="Y3612" t="s">
        <v>20998</v>
      </c>
      <c r="Z3612" t="s">
        <v>26819</v>
      </c>
      <c r="AA3612">
        <v>0.38454550800856763</v>
      </c>
      <c r="AB3612" t="str">
        <f>HYPERLINK("Melting_Curves/meltCurve_Q5VW32_BROX.pdf", "Melting_Curves/meltCurve_Q5VW32_BROX.pdf")</f>
        <v>Melting_Curves/meltCurve_Q5VW32_BROX.pdf</v>
      </c>
    </row>
    <row r="3613" spans="1:28" x14ac:dyDescent="0.25">
      <c r="A3613" t="s">
        <v>3617</v>
      </c>
      <c r="B3613">
        <v>0.99334974765950101</v>
      </c>
      <c r="C3613">
        <v>0.95446146253375896</v>
      </c>
      <c r="D3613">
        <v>0.89391015170910604</v>
      </c>
      <c r="E3613">
        <v>0.45710125210263203</v>
      </c>
      <c r="F3613">
        <v>0.27072943438839903</v>
      </c>
      <c r="G3613">
        <v>0.190670058906629</v>
      </c>
      <c r="H3613">
        <v>0.17293708055023699</v>
      </c>
      <c r="I3613">
        <v>0.15399917080395401</v>
      </c>
      <c r="J3613">
        <v>0.15350402827280399</v>
      </c>
      <c r="K3613">
        <v>0.120965420928604</v>
      </c>
      <c r="L3613">
        <v>1281.3883153904701</v>
      </c>
      <c r="M3613">
        <v>26.123400105988701</v>
      </c>
      <c r="N3613">
        <v>49.746619823398902</v>
      </c>
      <c r="O3613">
        <v>48.766628793883598</v>
      </c>
      <c r="P3613">
        <v>-0.113440271080007</v>
      </c>
      <c r="Q3613">
        <v>0.15293765852161301</v>
      </c>
      <c r="R3613">
        <v>0.99743874999468896</v>
      </c>
      <c r="S3613" t="s">
        <v>9474</v>
      </c>
      <c r="T3613" t="s">
        <v>11720</v>
      </c>
      <c r="U3613" t="s">
        <v>11720</v>
      </c>
      <c r="V3613" t="s">
        <v>11720</v>
      </c>
      <c r="W3613" t="s">
        <v>15280</v>
      </c>
      <c r="X3613">
        <v>12</v>
      </c>
      <c r="Y3613" t="s">
        <v>20999</v>
      </c>
      <c r="Z3613" t="s">
        <v>26820</v>
      </c>
      <c r="AA3613">
        <v>0.41536594221870049</v>
      </c>
      <c r="AB3613" t="str">
        <f>HYPERLINK("Melting_Curves/meltCurve_Q5VWJ9_SNX30.pdf", "Melting_Curves/meltCurve_Q5VWJ9_SNX30.pdf")</f>
        <v>Melting_Curves/meltCurve_Q5VWJ9_SNX30.pdf</v>
      </c>
    </row>
    <row r="3614" spans="1:28" x14ac:dyDescent="0.25">
      <c r="A3614" t="s">
        <v>3618</v>
      </c>
      <c r="B3614">
        <v>0.99334974765950101</v>
      </c>
      <c r="C3614">
        <v>0.90574516993029797</v>
      </c>
      <c r="D3614">
        <v>0.86403901584374398</v>
      </c>
      <c r="E3614">
        <v>0.53070129263319599</v>
      </c>
      <c r="F3614">
        <v>0.34940606999581503</v>
      </c>
      <c r="G3614">
        <v>0.24511059946385</v>
      </c>
      <c r="H3614">
        <v>0.18988879423480701</v>
      </c>
      <c r="I3614">
        <v>0.211431247678219</v>
      </c>
      <c r="J3614">
        <v>0.19162204047033801</v>
      </c>
      <c r="K3614">
        <v>0.202343814972411</v>
      </c>
      <c r="L3614">
        <v>964.81474165553402</v>
      </c>
      <c r="M3614">
        <v>19.593279459394498</v>
      </c>
      <c r="N3614">
        <v>50.477064170152303</v>
      </c>
      <c r="O3614">
        <v>48.737771253364301</v>
      </c>
      <c r="P3614">
        <v>-8.1369772492733305E-2</v>
      </c>
      <c r="Q3614">
        <v>0.19040761626518399</v>
      </c>
      <c r="R3614">
        <v>0.995885795774621</v>
      </c>
      <c r="S3614" t="s">
        <v>9475</v>
      </c>
      <c r="T3614" t="s">
        <v>11720</v>
      </c>
      <c r="U3614" t="s">
        <v>11720</v>
      </c>
      <c r="V3614" t="s">
        <v>11720</v>
      </c>
      <c r="W3614" t="s">
        <v>15281</v>
      </c>
      <c r="X3614">
        <v>5</v>
      </c>
      <c r="Y3614" t="s">
        <v>21000</v>
      </c>
      <c r="Z3614" t="s">
        <v>26821</v>
      </c>
      <c r="AA3614">
        <v>0.45161386619246358</v>
      </c>
      <c r="AB3614" t="str">
        <f>HYPERLINK("Melting_Curves/meltCurve_Q5VWQ8_2_DAB2IP.pdf", "Melting_Curves/meltCurve_Q5VWQ8_2_DAB2IP.pdf")</f>
        <v>Melting_Curves/meltCurve_Q5VWQ8_2_DAB2IP.pdf</v>
      </c>
    </row>
    <row r="3615" spans="1:28" x14ac:dyDescent="0.25">
      <c r="A3615" t="s">
        <v>3619</v>
      </c>
      <c r="B3615">
        <v>0.99334974765950101</v>
      </c>
      <c r="C3615">
        <v>0.920038072846458</v>
      </c>
      <c r="D3615">
        <v>0.82452896393482999</v>
      </c>
      <c r="E3615">
        <v>0.44758591233762302</v>
      </c>
      <c r="F3615">
        <v>0.44636672688588702</v>
      </c>
      <c r="G3615">
        <v>0.30846161152797102</v>
      </c>
      <c r="H3615">
        <v>0.27105202461136402</v>
      </c>
      <c r="I3615">
        <v>0.34587734280003701</v>
      </c>
      <c r="J3615">
        <v>0.27851917474342303</v>
      </c>
      <c r="K3615">
        <v>0.36817712994404</v>
      </c>
      <c r="L3615">
        <v>1089.2316248868699</v>
      </c>
      <c r="M3615">
        <v>22.830593620028399</v>
      </c>
      <c r="N3615">
        <v>49.8972272555255</v>
      </c>
      <c r="O3615">
        <v>47.347814728944002</v>
      </c>
      <c r="P3615">
        <v>-8.2424497364940702E-2</v>
      </c>
      <c r="Q3615">
        <v>0.316260869902175</v>
      </c>
      <c r="R3615">
        <v>0.97678442214723404</v>
      </c>
      <c r="S3615" t="s">
        <v>9476</v>
      </c>
      <c r="T3615" t="s">
        <v>11720</v>
      </c>
      <c r="U3615" t="s">
        <v>11720</v>
      </c>
      <c r="V3615" t="s">
        <v>11720</v>
      </c>
      <c r="W3615" t="s">
        <v>15282</v>
      </c>
      <c r="X3615">
        <v>3</v>
      </c>
      <c r="Y3615" t="s">
        <v>21001</v>
      </c>
      <c r="Z3615" t="s">
        <v>26822</v>
      </c>
      <c r="AA3615">
        <v>0.49932146852238041</v>
      </c>
      <c r="AB3615" t="str">
        <f>HYPERLINK("Melting_Curves/meltCurve_Q5VWU8_PARD3.pdf", "Melting_Curves/meltCurve_Q5VWU8_PARD3.pdf")</f>
        <v>Melting_Curves/meltCurve_Q5VWU8_PARD3.pdf</v>
      </c>
    </row>
    <row r="3616" spans="1:28" x14ac:dyDescent="0.25">
      <c r="A3616" t="s">
        <v>3620</v>
      </c>
      <c r="B3616">
        <v>0.99334974765950101</v>
      </c>
      <c r="C3616">
        <v>0.93930571000165597</v>
      </c>
      <c r="D3616">
        <v>0.84544168977968004</v>
      </c>
      <c r="E3616">
        <v>0.69574413774738897</v>
      </c>
      <c r="F3616">
        <v>0.367263365936425</v>
      </c>
      <c r="G3616">
        <v>0.16858351332230101</v>
      </c>
      <c r="H3616">
        <v>0.109368087484431</v>
      </c>
      <c r="I3616">
        <v>8.9659613607982802E-2</v>
      </c>
      <c r="J3616">
        <v>7.24323534749923E-2</v>
      </c>
      <c r="K3616">
        <v>6.3360175157138807E-2</v>
      </c>
      <c r="L3616">
        <v>917.06758297668205</v>
      </c>
      <c r="M3616">
        <v>17.8735057816126</v>
      </c>
      <c r="N3616">
        <v>51.636055648465401</v>
      </c>
      <c r="O3616">
        <v>50.679422346803101</v>
      </c>
      <c r="P3616">
        <v>-8.3451934636373098E-2</v>
      </c>
      <c r="Q3616">
        <v>5.3553042146965303E-2</v>
      </c>
      <c r="R3616">
        <v>0.99390403461101895</v>
      </c>
      <c r="S3616" t="s">
        <v>9477</v>
      </c>
      <c r="T3616" t="s">
        <v>11720</v>
      </c>
      <c r="U3616" t="s">
        <v>11720</v>
      </c>
      <c r="V3616" t="s">
        <v>11720</v>
      </c>
      <c r="W3616" t="s">
        <v>15283</v>
      </c>
      <c r="X3616">
        <v>6</v>
      </c>
      <c r="Y3616" t="s">
        <v>21002</v>
      </c>
      <c r="Z3616" t="s">
        <v>26823</v>
      </c>
      <c r="AA3616">
        <v>0.4264135177083393</v>
      </c>
      <c r="AB3616" t="str">
        <f>HYPERLINK("Melting_Curves/meltCurve_Q5VWZ2_LYPLAL1.pdf", "Melting_Curves/meltCurve_Q5VWZ2_LYPLAL1.pdf")</f>
        <v>Melting_Curves/meltCurve_Q5VWZ2_LYPLAL1.pdf</v>
      </c>
    </row>
    <row r="3617" spans="1:28" x14ac:dyDescent="0.25">
      <c r="A3617" t="s">
        <v>3621</v>
      </c>
      <c r="B3617">
        <v>0.99334974765950101</v>
      </c>
      <c r="C3617">
        <v>1.04908185648935</v>
      </c>
      <c r="D3617">
        <v>0.855333554773551</v>
      </c>
      <c r="E3617">
        <v>0.90193643002552504</v>
      </c>
      <c r="F3617">
        <v>1.0716194025883099</v>
      </c>
      <c r="G3617">
        <v>0.84203071089801795</v>
      </c>
      <c r="H3617">
        <v>0.70538556971913102</v>
      </c>
      <c r="I3617">
        <v>1.0952773444360799</v>
      </c>
      <c r="J3617">
        <v>1.2674498946499499</v>
      </c>
      <c r="K3617">
        <v>1.0668264649107599</v>
      </c>
      <c r="L3617">
        <v>15000</v>
      </c>
      <c r="M3617">
        <v>234.656874324743</v>
      </c>
      <c r="O3617">
        <v>63.918483514584601</v>
      </c>
      <c r="P3617">
        <v>0.153399747741394</v>
      </c>
      <c r="Q3617">
        <v>1.1671389949664399</v>
      </c>
      <c r="R3617">
        <v>0.26926430528716699</v>
      </c>
      <c r="S3617" t="s">
        <v>9478</v>
      </c>
      <c r="T3617" t="s">
        <v>11720</v>
      </c>
      <c r="U3617" t="s">
        <v>11720</v>
      </c>
      <c r="V3617" t="s">
        <v>11720</v>
      </c>
      <c r="W3617" t="s">
        <v>15284</v>
      </c>
      <c r="X3617">
        <v>4</v>
      </c>
      <c r="Y3617" t="s">
        <v>21003</v>
      </c>
      <c r="Z3617" t="s">
        <v>26824</v>
      </c>
      <c r="AA3617">
        <v>1.0338348263889581</v>
      </c>
      <c r="AB3617" t="str">
        <f>HYPERLINK("Melting_Curves/meltCurve_Q5VY43_PEAR1.pdf", "Melting_Curves/meltCurve_Q5VY43_PEAR1.pdf")</f>
        <v>Melting_Curves/meltCurve_Q5VY43_PEAR1.pdf</v>
      </c>
    </row>
    <row r="3618" spans="1:28" x14ac:dyDescent="0.25">
      <c r="A3618" t="s">
        <v>3622</v>
      </c>
      <c r="B3618">
        <v>0.99334974765950101</v>
      </c>
      <c r="C3618">
        <v>0.91395396132819096</v>
      </c>
      <c r="D3618">
        <v>1.1649294343345</v>
      </c>
      <c r="E3618">
        <v>1.54387464839786</v>
      </c>
      <c r="F3618">
        <v>2.4620720462087302</v>
      </c>
      <c r="G3618">
        <v>1.25697059429889</v>
      </c>
      <c r="H3618">
        <v>0.47684077212346299</v>
      </c>
      <c r="I3618">
        <v>0.48320995694720797</v>
      </c>
      <c r="J3618">
        <v>0.480012775027719</v>
      </c>
      <c r="K3618">
        <v>0.41745657976217299</v>
      </c>
      <c r="S3618" t="s">
        <v>9479</v>
      </c>
      <c r="T3618" t="s">
        <v>11720</v>
      </c>
      <c r="U3618" t="s">
        <v>11721</v>
      </c>
      <c r="V3618" t="s">
        <v>11720</v>
      </c>
      <c r="W3618" t="s">
        <v>15285</v>
      </c>
      <c r="X3618">
        <v>1</v>
      </c>
      <c r="Y3618" t="s">
        <v>21004</v>
      </c>
      <c r="Z3618" t="s">
        <v>26825</v>
      </c>
      <c r="AB3618" t="str">
        <f>HYPERLINK("Melting_Curves/meltCurve_Q5VYS8_2_ZCCHC6.pdf", "Melting_Curves/meltCurve_Q5VYS8_2_ZCCHC6.pdf")</f>
        <v>Melting_Curves/meltCurve_Q5VYS8_2_ZCCHC6.pdf</v>
      </c>
    </row>
    <row r="3619" spans="1:28" x14ac:dyDescent="0.25">
      <c r="A3619" t="s">
        <v>3623</v>
      </c>
      <c r="B3619">
        <v>0.99334974765950101</v>
      </c>
      <c r="C3619">
        <v>0.97128790893280104</v>
      </c>
      <c r="D3619">
        <v>0.93855448258243002</v>
      </c>
      <c r="E3619">
        <v>0.82744359366601905</v>
      </c>
      <c r="F3619">
        <v>0.670724272405679</v>
      </c>
      <c r="G3619">
        <v>0.39540559738723402</v>
      </c>
      <c r="H3619">
        <v>0.18784087615068701</v>
      </c>
      <c r="I3619">
        <v>0.15113215444668099</v>
      </c>
      <c r="J3619">
        <v>0.145242015378335</v>
      </c>
      <c r="K3619">
        <v>0.13957058319152499</v>
      </c>
      <c r="L3619">
        <v>939.48983256420695</v>
      </c>
      <c r="M3619">
        <v>17.264091101933001</v>
      </c>
      <c r="N3619">
        <v>55.139235775123801</v>
      </c>
      <c r="O3619">
        <v>53.704317247992499</v>
      </c>
      <c r="P3619">
        <v>-7.2255185055250401E-2</v>
      </c>
      <c r="Q3619">
        <v>0.100980229984714</v>
      </c>
      <c r="R3619">
        <v>0.99723963381746294</v>
      </c>
      <c r="S3619" t="s">
        <v>9480</v>
      </c>
      <c r="T3619" t="s">
        <v>11720</v>
      </c>
      <c r="U3619" t="s">
        <v>11720</v>
      </c>
      <c r="V3619" t="s">
        <v>11720</v>
      </c>
      <c r="W3619" t="s">
        <v>15286</v>
      </c>
      <c r="X3619">
        <v>5</v>
      </c>
      <c r="Y3619" t="s">
        <v>21005</v>
      </c>
      <c r="Z3619" t="s">
        <v>26826</v>
      </c>
      <c r="AA3619">
        <v>0.54813127958520813</v>
      </c>
      <c r="AB3619" t="str">
        <f>HYPERLINK("Melting_Curves/meltCurve_Q5VYX0_2_RNLS.pdf", "Melting_Curves/meltCurve_Q5VYX0_2_RNLS.pdf")</f>
        <v>Melting_Curves/meltCurve_Q5VYX0_2_RNLS.pdf</v>
      </c>
    </row>
    <row r="3620" spans="1:28" x14ac:dyDescent="0.25">
      <c r="A3620" t="s">
        <v>3624</v>
      </c>
      <c r="B3620">
        <v>0.99334974765950101</v>
      </c>
      <c r="C3620">
        <v>0.90590056396849805</v>
      </c>
      <c r="D3620">
        <v>0.93692227725868404</v>
      </c>
      <c r="E3620">
        <v>0.68117390669795896</v>
      </c>
      <c r="F3620">
        <v>0.21563342178308001</v>
      </c>
      <c r="G3620">
        <v>0.144687957473907</v>
      </c>
      <c r="H3620">
        <v>9.9156880634368699E-2</v>
      </c>
      <c r="I3620">
        <v>6.4761181367495396E-2</v>
      </c>
      <c r="J3620">
        <v>4.8444060810181599E-2</v>
      </c>
      <c r="K3620">
        <v>6.5537276833716199E-2</v>
      </c>
      <c r="L3620">
        <v>1837.49599662483</v>
      </c>
      <c r="M3620">
        <v>36.192556002341597</v>
      </c>
      <c r="N3620">
        <v>51.005579220416401</v>
      </c>
      <c r="O3620">
        <v>50.615749183720602</v>
      </c>
      <c r="P3620">
        <v>-0.16500379052936701</v>
      </c>
      <c r="Q3620">
        <v>7.6963286373668102E-2</v>
      </c>
      <c r="R3620">
        <v>0.98974198954103298</v>
      </c>
      <c r="S3620" t="s">
        <v>9481</v>
      </c>
      <c r="T3620" t="s">
        <v>11720</v>
      </c>
      <c r="U3620" t="s">
        <v>11720</v>
      </c>
      <c r="V3620" t="s">
        <v>11720</v>
      </c>
      <c r="W3620" t="s">
        <v>15287</v>
      </c>
      <c r="X3620">
        <v>4</v>
      </c>
      <c r="Y3620" t="s">
        <v>21006</v>
      </c>
      <c r="Z3620" t="s">
        <v>26827</v>
      </c>
      <c r="AA3620">
        <v>0.41229628105788391</v>
      </c>
      <c r="AB3620" t="str">
        <f>HYPERLINK("Melting_Curves/meltCurve_Q5VZE5_NAA35.pdf", "Melting_Curves/meltCurve_Q5VZE5_NAA35.pdf")</f>
        <v>Melting_Curves/meltCurve_Q5VZE5_NAA35.pdf</v>
      </c>
    </row>
    <row r="3621" spans="1:28" x14ac:dyDescent="0.25">
      <c r="A3621" t="s">
        <v>3625</v>
      </c>
      <c r="B3621">
        <v>0.99334974765950101</v>
      </c>
      <c r="C3621">
        <v>0.94781120204569802</v>
      </c>
      <c r="D3621">
        <v>0.95377848377227603</v>
      </c>
      <c r="E3621">
        <v>0.86500309997887503</v>
      </c>
      <c r="F3621">
        <v>0.83630013604170494</v>
      </c>
      <c r="G3621">
        <v>0.76435056298790804</v>
      </c>
      <c r="H3621">
        <v>0.62518878598105199</v>
      </c>
      <c r="I3621">
        <v>0.71975924707309902</v>
      </c>
      <c r="J3621">
        <v>0.59953644582999099</v>
      </c>
      <c r="K3621">
        <v>0.42245567665580303</v>
      </c>
      <c r="L3621">
        <v>364.16040945179498</v>
      </c>
      <c r="M3621">
        <v>5.2049679942640799</v>
      </c>
      <c r="N3621">
        <v>69.964008477460695</v>
      </c>
      <c r="O3621">
        <v>61.621760781899503</v>
      </c>
      <c r="P3621">
        <v>-2.12292972174663E-2</v>
      </c>
      <c r="Q3621">
        <v>0</v>
      </c>
      <c r="R3621">
        <v>0.92578759030680202</v>
      </c>
      <c r="S3621" t="s">
        <v>9482</v>
      </c>
      <c r="T3621" t="s">
        <v>11720</v>
      </c>
      <c r="U3621" t="s">
        <v>11720</v>
      </c>
      <c r="V3621" t="s">
        <v>11720</v>
      </c>
      <c r="W3621" t="s">
        <v>15288</v>
      </c>
      <c r="X3621">
        <v>2</v>
      </c>
      <c r="Y3621" t="s">
        <v>21007</v>
      </c>
      <c r="Z3621" t="s">
        <v>26828</v>
      </c>
      <c r="AA3621">
        <v>0.78133920207929697</v>
      </c>
      <c r="AB3621" t="str">
        <f>HYPERLINK("Melting_Curves/meltCurve_Q5VZI3_2_C9orf91.pdf", "Melting_Curves/meltCurve_Q5VZI3_2_C9orf91.pdf")</f>
        <v>Melting_Curves/meltCurve_Q5VZI3_2_C9orf91.pdf</v>
      </c>
    </row>
    <row r="3622" spans="1:28" x14ac:dyDescent="0.25">
      <c r="A3622" t="s">
        <v>3626</v>
      </c>
      <c r="B3622">
        <v>0.99334974765950101</v>
      </c>
      <c r="C3622">
        <v>1.0396740110181</v>
      </c>
      <c r="D3622">
        <v>0.87379565287573602</v>
      </c>
      <c r="E3622">
        <v>0.91841835651005699</v>
      </c>
      <c r="F3622">
        <v>1.05210458466457</v>
      </c>
      <c r="G3622">
        <v>0.46508114531762901</v>
      </c>
      <c r="H3622">
        <v>0.395298619022318</v>
      </c>
      <c r="I3622">
        <v>0.34638127094998999</v>
      </c>
      <c r="J3622">
        <v>0.435382295091853</v>
      </c>
      <c r="K3622">
        <v>0.31362468970653501</v>
      </c>
      <c r="L3622">
        <v>14149.9145134918</v>
      </c>
      <c r="M3622">
        <v>250</v>
      </c>
      <c r="N3622">
        <v>56.911056326350902</v>
      </c>
      <c r="O3622">
        <v>56.596036050512701</v>
      </c>
      <c r="P3622">
        <v>-0.69276968434929698</v>
      </c>
      <c r="Q3622">
        <v>0.37267171224477103</v>
      </c>
      <c r="R3622">
        <v>0.96019963362931904</v>
      </c>
      <c r="S3622" t="s">
        <v>9483</v>
      </c>
      <c r="T3622" t="s">
        <v>11720</v>
      </c>
      <c r="U3622" t="s">
        <v>11720</v>
      </c>
      <c r="V3622" t="s">
        <v>11720</v>
      </c>
      <c r="W3622" t="s">
        <v>15289</v>
      </c>
      <c r="X3622">
        <v>3</v>
      </c>
      <c r="Y3622" t="s">
        <v>21008</v>
      </c>
      <c r="Z3622" t="s">
        <v>26829</v>
      </c>
      <c r="AA3622">
        <v>0.71984852786042219</v>
      </c>
      <c r="AB3622" t="str">
        <f>HYPERLINK("Melting_Curves/meltCurve_Q5VZK9_LRRC16A.pdf", "Melting_Curves/meltCurve_Q5VZK9_LRRC16A.pdf")</f>
        <v>Melting_Curves/meltCurve_Q5VZK9_LRRC16A.pdf</v>
      </c>
    </row>
    <row r="3623" spans="1:28" x14ac:dyDescent="0.25">
      <c r="A3623" t="s">
        <v>3627</v>
      </c>
      <c r="B3623">
        <v>0.99334974765950101</v>
      </c>
      <c r="C3623">
        <v>0.98029439150203801</v>
      </c>
      <c r="D3623">
        <v>0.87097761636014703</v>
      </c>
      <c r="E3623">
        <v>0.63674157856998503</v>
      </c>
      <c r="F3623">
        <v>0.289221385595474</v>
      </c>
      <c r="G3623">
        <v>0.22221884594218499</v>
      </c>
      <c r="H3623">
        <v>0.14327435313158199</v>
      </c>
      <c r="I3623">
        <v>0.12001444032596301</v>
      </c>
      <c r="J3623">
        <v>9.3308177546035306E-2</v>
      </c>
      <c r="K3623">
        <v>8.4579781976037494E-2</v>
      </c>
      <c r="L3623">
        <v>1037.1732196732701</v>
      </c>
      <c r="M3623">
        <v>20.543946326503999</v>
      </c>
      <c r="N3623">
        <v>51.0512479951432</v>
      </c>
      <c r="O3623">
        <v>50.014537258230298</v>
      </c>
      <c r="P3623">
        <v>-9.2239697468436396E-2</v>
      </c>
      <c r="Q3623">
        <v>0.101790756576753</v>
      </c>
      <c r="R3623">
        <v>0.99373439693697796</v>
      </c>
      <c r="S3623" t="s">
        <v>9484</v>
      </c>
      <c r="T3623" t="s">
        <v>11720</v>
      </c>
      <c r="U3623" t="s">
        <v>11720</v>
      </c>
      <c r="V3623" t="s">
        <v>11720</v>
      </c>
      <c r="W3623" t="s">
        <v>15290</v>
      </c>
      <c r="X3623">
        <v>4</v>
      </c>
      <c r="Y3623" t="s">
        <v>21009</v>
      </c>
      <c r="Z3623" t="s">
        <v>26830</v>
      </c>
      <c r="AA3623">
        <v>0.42759074745593267</v>
      </c>
      <c r="AB3623" t="str">
        <f>HYPERLINK("Melting_Curves/meltCurve_Q5VZZ6_CELF2.pdf", "Melting_Curves/meltCurve_Q5VZZ6_CELF2.pdf")</f>
        <v>Melting_Curves/meltCurve_Q5VZZ6_CELF2.pdf</v>
      </c>
    </row>
    <row r="3624" spans="1:28" x14ac:dyDescent="0.25">
      <c r="A3624" t="s">
        <v>3628</v>
      </c>
      <c r="B3624">
        <v>0.99334974765950101</v>
      </c>
      <c r="C3624">
        <v>0.95139991505007804</v>
      </c>
      <c r="D3624">
        <v>0.87671741827334504</v>
      </c>
      <c r="E3624">
        <v>0.812574011657199</v>
      </c>
      <c r="F3624">
        <v>0.54761298047399898</v>
      </c>
      <c r="G3624">
        <v>0.39372777152730398</v>
      </c>
      <c r="H3624">
        <v>0.28958594203451299</v>
      </c>
      <c r="I3624">
        <v>0.28801015853117101</v>
      </c>
      <c r="J3624">
        <v>0.26361885373663202</v>
      </c>
      <c r="K3624">
        <v>0.217659651771169</v>
      </c>
      <c r="L3624">
        <v>806.24893294610899</v>
      </c>
      <c r="M3624">
        <v>15.3667617389015</v>
      </c>
      <c r="N3624">
        <v>54.530547438492398</v>
      </c>
      <c r="O3624">
        <v>51.602615745199202</v>
      </c>
      <c r="P3624">
        <v>-5.8039629367224697E-2</v>
      </c>
      <c r="Q3624">
        <v>0.22046778001640499</v>
      </c>
      <c r="R3624">
        <v>0.99041909490563595</v>
      </c>
      <c r="S3624" t="s">
        <v>9485</v>
      </c>
      <c r="T3624" t="s">
        <v>11720</v>
      </c>
      <c r="U3624" t="s">
        <v>11720</v>
      </c>
      <c r="V3624" t="s">
        <v>11720</v>
      </c>
      <c r="W3624" t="s">
        <v>15291</v>
      </c>
      <c r="X3624">
        <v>5</v>
      </c>
      <c r="Y3624" t="s">
        <v>21010</v>
      </c>
      <c r="Z3624" t="s">
        <v>26831</v>
      </c>
      <c r="AA3624">
        <v>0.56095047020605882</v>
      </c>
      <c r="AB3624" t="str">
        <f>HYPERLINK("Melting_Curves/meltCurve_Q5W0A2_ITM2B.pdf", "Melting_Curves/meltCurve_Q5W0A2_ITM2B.pdf")</f>
        <v>Melting_Curves/meltCurve_Q5W0A2_ITM2B.pdf</v>
      </c>
    </row>
    <row r="3625" spans="1:28" x14ac:dyDescent="0.25">
      <c r="A3625" t="s">
        <v>3629</v>
      </c>
      <c r="B3625">
        <v>0.99334974765950101</v>
      </c>
      <c r="C3625">
        <v>0.98602003485887202</v>
      </c>
      <c r="D3625">
        <v>1.0868797496315199</v>
      </c>
      <c r="E3625">
        <v>0.87559701548253499</v>
      </c>
      <c r="F3625">
        <v>0.63351942633286495</v>
      </c>
      <c r="G3625">
        <v>0.25906968355112697</v>
      </c>
      <c r="H3625">
        <v>0.14148538485520401</v>
      </c>
      <c r="I3625">
        <v>0.103388343741504</v>
      </c>
      <c r="J3625">
        <v>8.7747047648821005E-2</v>
      </c>
      <c r="K3625">
        <v>7.4237963396499004E-2</v>
      </c>
      <c r="L3625">
        <v>1400.18488027633</v>
      </c>
      <c r="M3625">
        <v>26.012862458510799</v>
      </c>
      <c r="N3625">
        <v>54.217320706194798</v>
      </c>
      <c r="O3625">
        <v>53.511560133628002</v>
      </c>
      <c r="P3625">
        <v>-0.111144205685914</v>
      </c>
      <c r="Q3625">
        <v>8.5463138988271695E-2</v>
      </c>
      <c r="R3625">
        <v>0.99378681225489796</v>
      </c>
      <c r="S3625" t="s">
        <v>9486</v>
      </c>
      <c r="T3625" t="s">
        <v>11720</v>
      </c>
      <c r="U3625" t="s">
        <v>11720</v>
      </c>
      <c r="V3625" t="s">
        <v>11720</v>
      </c>
      <c r="W3625" t="s">
        <v>15292</v>
      </c>
      <c r="X3625">
        <v>15</v>
      </c>
      <c r="Y3625" t="s">
        <v>21011</v>
      </c>
      <c r="Z3625" t="s">
        <v>26832</v>
      </c>
      <c r="AA3625">
        <v>0.51482249185263773</v>
      </c>
      <c r="AB3625" t="str">
        <f>HYPERLINK("Melting_Curves/meltCurve_Q5W0V3_FAM160B1.pdf", "Melting_Curves/meltCurve_Q5W0V3_FAM160B1.pdf")</f>
        <v>Melting_Curves/meltCurve_Q5W0V3_FAM160B1.pdf</v>
      </c>
    </row>
    <row r="3626" spans="1:28" x14ac:dyDescent="0.25">
      <c r="A3626" t="s">
        <v>3630</v>
      </c>
      <c r="B3626">
        <v>0.99334974765950101</v>
      </c>
      <c r="C3626">
        <v>0.85140401931383802</v>
      </c>
      <c r="D3626">
        <v>0.76526024676362303</v>
      </c>
      <c r="E3626">
        <v>0.95456904592611402</v>
      </c>
      <c r="F3626">
        <v>0.89957651566948704</v>
      </c>
      <c r="G3626">
        <v>0.70635556020127599</v>
      </c>
      <c r="H3626">
        <v>0.689636127798265</v>
      </c>
      <c r="I3626">
        <v>0.67021097235835403</v>
      </c>
      <c r="J3626">
        <v>0.52599759447221195</v>
      </c>
      <c r="K3626">
        <v>0.36352289813736799</v>
      </c>
      <c r="L3626">
        <v>374.42334101874798</v>
      </c>
      <c r="M3626">
        <v>5.4951098549988098</v>
      </c>
      <c r="N3626">
        <v>68.137531556592407</v>
      </c>
      <c r="O3626">
        <v>60.7050580342232</v>
      </c>
      <c r="P3626">
        <v>-2.27303497376624E-2</v>
      </c>
      <c r="Q3626">
        <v>0</v>
      </c>
      <c r="R3626">
        <v>0.79413263423038805</v>
      </c>
      <c r="S3626" t="s">
        <v>9487</v>
      </c>
      <c r="T3626" t="s">
        <v>11720</v>
      </c>
      <c r="U3626" t="s">
        <v>11720</v>
      </c>
      <c r="V3626" t="s">
        <v>11720</v>
      </c>
      <c r="W3626" t="s">
        <v>15293</v>
      </c>
      <c r="X3626">
        <v>6</v>
      </c>
      <c r="Y3626" t="s">
        <v>21012</v>
      </c>
      <c r="Z3626" t="s">
        <v>26833</v>
      </c>
      <c r="AA3626">
        <v>0.76393734851624895</v>
      </c>
      <c r="AB3626" t="str">
        <f>HYPERLINK("Melting_Curves/meltCurve_Q5W0Z9_3_ZDHHC20.pdf", "Melting_Curves/meltCurve_Q5W0Z9_3_ZDHHC20.pdf")</f>
        <v>Melting_Curves/meltCurve_Q5W0Z9_3_ZDHHC20.pdf</v>
      </c>
    </row>
    <row r="3627" spans="1:28" x14ac:dyDescent="0.25">
      <c r="A3627" t="s">
        <v>3631</v>
      </c>
      <c r="B3627">
        <v>0.99334974765950101</v>
      </c>
      <c r="C3627">
        <v>0.89627677308828402</v>
      </c>
      <c r="D3627">
        <v>0.78698215775378899</v>
      </c>
      <c r="E3627">
        <v>0.69086533318495202</v>
      </c>
      <c r="F3627">
        <v>0.46476648428664502</v>
      </c>
      <c r="G3627">
        <v>0.193601671936282</v>
      </c>
      <c r="H3627">
        <v>0.107676143662309</v>
      </c>
      <c r="I3627">
        <v>9.9021482376735206E-2</v>
      </c>
      <c r="J3627">
        <v>9.0696660752402194E-2</v>
      </c>
      <c r="K3627">
        <v>0.10125803160031301</v>
      </c>
      <c r="L3627">
        <v>697.18100660746597</v>
      </c>
      <c r="M3627">
        <v>13.4900374264748</v>
      </c>
      <c r="N3627">
        <v>51.965203336827699</v>
      </c>
      <c r="O3627">
        <v>50.585142419883702</v>
      </c>
      <c r="P3627">
        <v>-6.4310344314598603E-2</v>
      </c>
      <c r="Q3627">
        <v>3.5539973143302803E-2</v>
      </c>
      <c r="R3627">
        <v>0.98613737470057605</v>
      </c>
      <c r="S3627" t="s">
        <v>9488</v>
      </c>
      <c r="T3627" t="s">
        <v>11720</v>
      </c>
      <c r="U3627" t="s">
        <v>11720</v>
      </c>
      <c r="V3627" t="s">
        <v>11720</v>
      </c>
      <c r="W3627" t="s">
        <v>15294</v>
      </c>
      <c r="X3627">
        <v>7</v>
      </c>
      <c r="Y3627" t="s">
        <v>21013</v>
      </c>
      <c r="Z3627" t="s">
        <v>26834</v>
      </c>
      <c r="AA3627">
        <v>0.43667228582775569</v>
      </c>
      <c r="AB3627" t="str">
        <f>HYPERLINK("Melting_Curves/meltCurve_Q5W111_SPRYD7.pdf", "Melting_Curves/meltCurve_Q5W111_SPRYD7.pdf")</f>
        <v>Melting_Curves/meltCurve_Q5W111_SPRYD7.pdf</v>
      </c>
    </row>
    <row r="3628" spans="1:28" x14ac:dyDescent="0.25">
      <c r="A3628" t="s">
        <v>3632</v>
      </c>
      <c r="B3628">
        <v>0.99334974765950101</v>
      </c>
      <c r="C3628">
        <v>0.94771568115906402</v>
      </c>
      <c r="D3628">
        <v>0.86776478829515102</v>
      </c>
      <c r="E3628">
        <v>0.89154840817663705</v>
      </c>
      <c r="F3628">
        <v>0.79486025579911301</v>
      </c>
      <c r="G3628">
        <v>1.4929284831702201</v>
      </c>
      <c r="H3628">
        <v>1.9963684601798699</v>
      </c>
      <c r="I3628">
        <v>1.9698994244753201</v>
      </c>
      <c r="J3628">
        <v>1.7722074974133499</v>
      </c>
      <c r="K3628">
        <v>1.31564142786319</v>
      </c>
      <c r="L3628">
        <v>14008.1542872476</v>
      </c>
      <c r="M3628">
        <v>250</v>
      </c>
      <c r="O3628">
        <v>56.029031366454497</v>
      </c>
      <c r="P3628">
        <v>0.55774656882859597</v>
      </c>
      <c r="Q3628">
        <v>1.5</v>
      </c>
      <c r="R3628">
        <v>0.67867192056017001</v>
      </c>
      <c r="S3628" t="s">
        <v>9489</v>
      </c>
      <c r="T3628" t="s">
        <v>11720</v>
      </c>
      <c r="U3628" t="s">
        <v>11720</v>
      </c>
      <c r="V3628" t="s">
        <v>11720</v>
      </c>
      <c r="W3628" t="s">
        <v>15295</v>
      </c>
      <c r="X3628">
        <v>3</v>
      </c>
      <c r="Y3628" t="s">
        <v>21014</v>
      </c>
      <c r="Z3628" t="s">
        <v>26835</v>
      </c>
      <c r="AA3628">
        <v>1.2327405459979759</v>
      </c>
      <c r="AB3628" t="str">
        <f>HYPERLINK("Melting_Curves/meltCurve_Q5W145_NDUFB8.pdf", "Melting_Curves/meltCurve_Q5W145_NDUFB8.pdf")</f>
        <v>Melting_Curves/meltCurve_Q5W145_NDUFB8.pdf</v>
      </c>
    </row>
    <row r="3629" spans="1:28" x14ac:dyDescent="0.25">
      <c r="A3629" t="s">
        <v>3633</v>
      </c>
      <c r="B3629">
        <v>0.99334974765950101</v>
      </c>
      <c r="C3629">
        <v>0.97440673741788497</v>
      </c>
      <c r="D3629">
        <v>0.91600135815250705</v>
      </c>
      <c r="E3629">
        <v>0.84416285594898199</v>
      </c>
      <c r="F3629">
        <v>0.76808713013047303</v>
      </c>
      <c r="G3629">
        <v>0.68912041898795395</v>
      </c>
      <c r="H3629">
        <v>0.57041492058839705</v>
      </c>
      <c r="I3629">
        <v>0.51820110924946206</v>
      </c>
      <c r="J3629">
        <v>0.46393188886355402</v>
      </c>
      <c r="K3629">
        <v>0.44127878785119301</v>
      </c>
      <c r="L3629">
        <v>477.323124296907</v>
      </c>
      <c r="M3629">
        <v>8.2576987049077299</v>
      </c>
      <c r="N3629">
        <v>65.090750715397704</v>
      </c>
      <c r="O3629">
        <v>54.710829240642298</v>
      </c>
      <c r="P3629">
        <v>-2.63781078299982E-2</v>
      </c>
      <c r="Q3629">
        <v>0.30163600001512098</v>
      </c>
      <c r="R3629">
        <v>0.99783197649156596</v>
      </c>
      <c r="S3629" t="s">
        <v>9490</v>
      </c>
      <c r="T3629" t="s">
        <v>11720</v>
      </c>
      <c r="U3629" t="s">
        <v>11720</v>
      </c>
      <c r="V3629" t="s">
        <v>11720</v>
      </c>
      <c r="W3629" t="s">
        <v>15296</v>
      </c>
      <c r="X3629">
        <v>3</v>
      </c>
      <c r="Y3629" t="s">
        <v>21015</v>
      </c>
      <c r="Z3629" t="s">
        <v>26836</v>
      </c>
      <c r="AA3629">
        <v>0.72047774521852603</v>
      </c>
      <c r="AB3629" t="str">
        <f>HYPERLINK("Melting_Curves/meltCurve_Q5XKP0_QIL1.pdf", "Melting_Curves/meltCurve_Q5XKP0_QIL1.pdf")</f>
        <v>Melting_Curves/meltCurve_Q5XKP0_QIL1.pdf</v>
      </c>
    </row>
    <row r="3630" spans="1:28" x14ac:dyDescent="0.25">
      <c r="A3630" t="s">
        <v>3634</v>
      </c>
      <c r="B3630">
        <v>0.99334974765950101</v>
      </c>
      <c r="C3630">
        <v>1.0446908760539799</v>
      </c>
      <c r="D3630">
        <v>1.0536338939866701</v>
      </c>
      <c r="E3630">
        <v>1.0881936904813601</v>
      </c>
      <c r="F3630">
        <v>0.38288401209142497</v>
      </c>
      <c r="G3630">
        <v>0.26805132053549402</v>
      </c>
      <c r="H3630">
        <v>0.210226115842119</v>
      </c>
      <c r="I3630">
        <v>0.23402486636689299</v>
      </c>
      <c r="J3630">
        <v>0.14981748534164599</v>
      </c>
      <c r="K3630">
        <v>0.19184356895080901</v>
      </c>
      <c r="L3630">
        <v>13182.317606922399</v>
      </c>
      <c r="M3630">
        <v>250</v>
      </c>
      <c r="N3630">
        <v>52.844998460759498</v>
      </c>
      <c r="O3630">
        <v>52.725904256974502</v>
      </c>
      <c r="P3630">
        <v>-0.93550734805781499</v>
      </c>
      <c r="Q3630">
        <v>0.21079258881740801</v>
      </c>
      <c r="R3630">
        <v>0.98708434300426595</v>
      </c>
      <c r="S3630" t="s">
        <v>9491</v>
      </c>
      <c r="T3630" t="s">
        <v>11720</v>
      </c>
      <c r="U3630" t="s">
        <v>11720</v>
      </c>
      <c r="V3630" t="s">
        <v>11720</v>
      </c>
      <c r="W3630" t="s">
        <v>15297</v>
      </c>
      <c r="X3630">
        <v>1</v>
      </c>
      <c r="Y3630" t="s">
        <v>21016</v>
      </c>
      <c r="Z3630" t="s">
        <v>26837</v>
      </c>
      <c r="AA3630">
        <v>0.54573344000333224</v>
      </c>
      <c r="AB3630" t="str">
        <f>HYPERLINK("Melting_Curves/meltCurve_Q5XPI4_RNF123.pdf", "Melting_Curves/meltCurve_Q5XPI4_RNF123.pdf")</f>
        <v>Melting_Curves/meltCurve_Q5XPI4_RNF123.pdf</v>
      </c>
    </row>
    <row r="3631" spans="1:28" x14ac:dyDescent="0.25">
      <c r="A3631" t="s">
        <v>3635</v>
      </c>
      <c r="B3631">
        <v>0.99334974765950101</v>
      </c>
      <c r="C3631">
        <v>0.94743370031221297</v>
      </c>
      <c r="D3631">
        <v>0.94462043471318202</v>
      </c>
      <c r="E3631">
        <v>0.75588575117159895</v>
      </c>
      <c r="F3631">
        <v>0.55862533647125001</v>
      </c>
      <c r="G3631">
        <v>0.20990569429206901</v>
      </c>
      <c r="H3631">
        <v>0.14341476662392999</v>
      </c>
      <c r="I3631">
        <v>0.10716897703690299</v>
      </c>
      <c r="J3631">
        <v>0.10287233404205801</v>
      </c>
      <c r="K3631">
        <v>9.1112801047869299E-2</v>
      </c>
      <c r="L3631">
        <v>1056.8589894806801</v>
      </c>
      <c r="M3631">
        <v>20.027123804474101</v>
      </c>
      <c r="N3631">
        <v>53.2384555309185</v>
      </c>
      <c r="O3631">
        <v>52.253680008250399</v>
      </c>
      <c r="P3631">
        <v>-8.8100049322369006E-2</v>
      </c>
      <c r="Q3631">
        <v>8.0566385521118403E-2</v>
      </c>
      <c r="R3631">
        <v>0.99607569314270406</v>
      </c>
      <c r="S3631" t="s">
        <v>9492</v>
      </c>
      <c r="T3631" t="s">
        <v>11720</v>
      </c>
      <c r="U3631" t="s">
        <v>11720</v>
      </c>
      <c r="V3631" t="s">
        <v>11720</v>
      </c>
      <c r="W3631" t="s">
        <v>15298</v>
      </c>
      <c r="X3631">
        <v>3</v>
      </c>
      <c r="Y3631" t="s">
        <v>21017</v>
      </c>
      <c r="Z3631" t="s">
        <v>26838</v>
      </c>
      <c r="AA3631">
        <v>0.48462004204315429</v>
      </c>
      <c r="AB3631" t="str">
        <f>HYPERLINK("Melting_Curves/meltCurve_Q5XUX1_3_FBXW9.pdf", "Melting_Curves/meltCurve_Q5XUX1_3_FBXW9.pdf")</f>
        <v>Melting_Curves/meltCurve_Q5XUX1_3_FBXW9.pdf</v>
      </c>
    </row>
    <row r="3632" spans="1:28" x14ac:dyDescent="0.25">
      <c r="A3632" t="s">
        <v>3636</v>
      </c>
      <c r="B3632">
        <v>0.99334974765950101</v>
      </c>
      <c r="C3632">
        <v>0.95583413452774801</v>
      </c>
      <c r="D3632">
        <v>0.90574600477453604</v>
      </c>
      <c r="E3632">
        <v>0.83944544439567903</v>
      </c>
      <c r="F3632">
        <v>0.98280045368756497</v>
      </c>
      <c r="G3632">
        <v>0.63602678850063199</v>
      </c>
      <c r="H3632">
        <v>0.59009832539256701</v>
      </c>
      <c r="I3632">
        <v>0.77390468551961</v>
      </c>
      <c r="J3632">
        <v>0.68734905612513497</v>
      </c>
      <c r="K3632">
        <v>0.52159613604634103</v>
      </c>
      <c r="L3632">
        <v>438.20367145243102</v>
      </c>
      <c r="M3632">
        <v>7.6379424357927297</v>
      </c>
      <c r="O3632">
        <v>53.835802294138603</v>
      </c>
      <c r="P3632">
        <v>-1.7993943361236199E-2</v>
      </c>
      <c r="Q3632">
        <v>0.49336160129665801</v>
      </c>
      <c r="R3632">
        <v>0.71613211754774897</v>
      </c>
      <c r="S3632" t="s">
        <v>9493</v>
      </c>
      <c r="T3632" t="s">
        <v>11720</v>
      </c>
      <c r="U3632" t="s">
        <v>11720</v>
      </c>
      <c r="V3632" t="s">
        <v>11720</v>
      </c>
      <c r="W3632" t="s">
        <v>15299</v>
      </c>
      <c r="X3632">
        <v>8</v>
      </c>
      <c r="Y3632" t="s">
        <v>21018</v>
      </c>
      <c r="Z3632" t="s">
        <v>26839</v>
      </c>
      <c r="AA3632">
        <v>0.79058221641366988</v>
      </c>
      <c r="AB3632" t="str">
        <f>HYPERLINK("Melting_Curves/meltCurve_Q5ZPR3_CD276.pdf", "Melting_Curves/meltCurve_Q5ZPR3_CD276.pdf")</f>
        <v>Melting_Curves/meltCurve_Q5ZPR3_CD276.pdf</v>
      </c>
    </row>
    <row r="3633" spans="1:28" x14ac:dyDescent="0.25">
      <c r="A3633" t="s">
        <v>3637</v>
      </c>
      <c r="B3633">
        <v>0.99334974765950101</v>
      </c>
      <c r="C3633">
        <v>0.99226711467337303</v>
      </c>
      <c r="D3633">
        <v>0.82173495882592495</v>
      </c>
      <c r="E3633">
        <v>0.62721477598233399</v>
      </c>
      <c r="F3633">
        <v>0.74664212446886302</v>
      </c>
      <c r="G3633">
        <v>0.48848456478672903</v>
      </c>
      <c r="H3633">
        <v>0.42115031745307202</v>
      </c>
      <c r="I3633">
        <v>0.46150478914132198</v>
      </c>
      <c r="J3633">
        <v>0.50917207673218201</v>
      </c>
      <c r="K3633">
        <v>0.49507339966413</v>
      </c>
      <c r="L3633">
        <v>690.11762960524902</v>
      </c>
      <c r="M3633">
        <v>14.0038882270029</v>
      </c>
      <c r="N3633">
        <v>60.014290978136799</v>
      </c>
      <c r="O3633">
        <v>48.308150926469096</v>
      </c>
      <c r="P3633">
        <v>-3.92015832190254E-2</v>
      </c>
      <c r="Q3633">
        <v>0.45914858275438403</v>
      </c>
      <c r="R3633">
        <v>0.91042261616680997</v>
      </c>
      <c r="S3633" t="s">
        <v>9494</v>
      </c>
      <c r="T3633" t="s">
        <v>11720</v>
      </c>
      <c r="U3633" t="s">
        <v>11720</v>
      </c>
      <c r="V3633" t="s">
        <v>11720</v>
      </c>
      <c r="W3633" t="s">
        <v>15300</v>
      </c>
      <c r="X3633">
        <v>2</v>
      </c>
      <c r="Y3633" t="s">
        <v>21019</v>
      </c>
      <c r="Z3633" t="s">
        <v>26840</v>
      </c>
      <c r="AA3633">
        <v>0.64143638221094423</v>
      </c>
      <c r="AB3633" t="str">
        <f>HYPERLINK("Melting_Curves/meltCurve_Q63HM1_AFMID.pdf", "Melting_Curves/meltCurve_Q63HM1_AFMID.pdf")</f>
        <v>Melting_Curves/meltCurve_Q63HM1_AFMID.pdf</v>
      </c>
    </row>
    <row r="3634" spans="1:28" x14ac:dyDescent="0.25">
      <c r="A3634" t="s">
        <v>3638</v>
      </c>
      <c r="B3634">
        <v>0.99334974765950101</v>
      </c>
      <c r="C3634">
        <v>0.90150463025969796</v>
      </c>
      <c r="D3634">
        <v>0.81319393921958805</v>
      </c>
      <c r="E3634">
        <v>0.70207265153037801</v>
      </c>
      <c r="F3634">
        <v>0.54679920549910999</v>
      </c>
      <c r="G3634">
        <v>0.48352231451695799</v>
      </c>
      <c r="H3634">
        <v>0.44031066206186198</v>
      </c>
      <c r="I3634">
        <v>0.475779006905309</v>
      </c>
      <c r="J3634">
        <v>0.54990232394540695</v>
      </c>
      <c r="K3634">
        <v>0.39871547958307102</v>
      </c>
      <c r="L3634">
        <v>699.81082000194897</v>
      </c>
      <c r="M3634">
        <v>14.466525592293801</v>
      </c>
      <c r="N3634">
        <v>57.338882381299101</v>
      </c>
      <c r="O3634">
        <v>47.478317048302898</v>
      </c>
      <c r="P3634">
        <v>-4.2059737570332101E-2</v>
      </c>
      <c r="Q3634">
        <v>0.44791357241014201</v>
      </c>
      <c r="R3634">
        <v>0.957856398803279</v>
      </c>
      <c r="S3634" t="s">
        <v>9495</v>
      </c>
      <c r="T3634" t="s">
        <v>11720</v>
      </c>
      <c r="U3634" t="s">
        <v>11720</v>
      </c>
      <c r="V3634" t="s">
        <v>11720</v>
      </c>
      <c r="W3634" t="s">
        <v>15301</v>
      </c>
      <c r="X3634">
        <v>4</v>
      </c>
      <c r="Y3634" t="s">
        <v>21020</v>
      </c>
      <c r="Z3634" t="s">
        <v>26841</v>
      </c>
      <c r="AA3634">
        <v>0.61700954331885827</v>
      </c>
      <c r="AB3634" t="str">
        <f>HYPERLINK("Melting_Curves/meltCurve_Q63HN8_RNF213.pdf", "Melting_Curves/meltCurve_Q63HN8_RNF213.pdf")</f>
        <v>Melting_Curves/meltCurve_Q63HN8_RNF213.pdf</v>
      </c>
    </row>
    <row r="3635" spans="1:28" x14ac:dyDescent="0.25">
      <c r="A3635" t="s">
        <v>3639</v>
      </c>
      <c r="B3635">
        <v>0.99334974765950101</v>
      </c>
      <c r="C3635">
        <v>1.0124315202590499</v>
      </c>
      <c r="D3635">
        <v>0.95626970031417802</v>
      </c>
      <c r="E3635">
        <v>0.95231210348320905</v>
      </c>
      <c r="F3635">
        <v>1.22490981126091</v>
      </c>
      <c r="G3635">
        <v>0.99721757677655598</v>
      </c>
      <c r="H3635">
        <v>1.0902861422701899</v>
      </c>
      <c r="I3635">
        <v>1.39880514902991</v>
      </c>
      <c r="J3635">
        <v>1.49616451496641</v>
      </c>
      <c r="K3635">
        <v>1.26121637079292</v>
      </c>
      <c r="L3635">
        <v>15000</v>
      </c>
      <c r="M3635">
        <v>244.71729984124099</v>
      </c>
      <c r="O3635">
        <v>61.291126709231598</v>
      </c>
      <c r="P3635">
        <v>0.38469616520951999</v>
      </c>
      <c r="Q3635">
        <v>1.38539915414318</v>
      </c>
      <c r="R3635">
        <v>0.76009039417031199</v>
      </c>
      <c r="S3635" t="s">
        <v>9496</v>
      </c>
      <c r="T3635" t="s">
        <v>11720</v>
      </c>
      <c r="U3635" t="s">
        <v>11720</v>
      </c>
      <c r="V3635" t="s">
        <v>11720</v>
      </c>
      <c r="W3635" t="s">
        <v>15302</v>
      </c>
      <c r="X3635">
        <v>5</v>
      </c>
      <c r="Y3635" t="s">
        <v>21021</v>
      </c>
      <c r="Z3635" t="s">
        <v>26842</v>
      </c>
      <c r="AA3635">
        <v>1.1117839321716441</v>
      </c>
      <c r="AB3635" t="str">
        <f>HYPERLINK("Melting_Curves/meltCurve_Q63HQ0_AP1AR.pdf", "Melting_Curves/meltCurve_Q63HQ0_AP1AR.pdf")</f>
        <v>Melting_Curves/meltCurve_Q63HQ0_AP1AR.pdf</v>
      </c>
    </row>
    <row r="3636" spans="1:28" x14ac:dyDescent="0.25">
      <c r="A3636" t="s">
        <v>3640</v>
      </c>
      <c r="B3636">
        <v>0.99334974765950101</v>
      </c>
      <c r="C3636">
        <v>0.93819951481970998</v>
      </c>
      <c r="D3636">
        <v>0.74581585682826901</v>
      </c>
      <c r="E3636">
        <v>0.409472154424388</v>
      </c>
      <c r="F3636">
        <v>0.31490888958465402</v>
      </c>
      <c r="G3636">
        <v>0.23364432117016401</v>
      </c>
      <c r="H3636">
        <v>0.20209360550145</v>
      </c>
      <c r="I3636">
        <v>0.21735139339356199</v>
      </c>
      <c r="J3636">
        <v>0.223822720830363</v>
      </c>
      <c r="K3636">
        <v>0.198990549059293</v>
      </c>
      <c r="L3636">
        <v>1011.94094335581</v>
      </c>
      <c r="M3636">
        <v>21.245004588128701</v>
      </c>
      <c r="N3636">
        <v>48.886637077294203</v>
      </c>
      <c r="O3636">
        <v>47.215949893431699</v>
      </c>
      <c r="P3636">
        <v>-8.8850845998053998E-2</v>
      </c>
      <c r="Q3636">
        <v>0.21015417343658899</v>
      </c>
      <c r="R3636">
        <v>0.99858410133555198</v>
      </c>
      <c r="S3636" t="s">
        <v>9497</v>
      </c>
      <c r="T3636" t="s">
        <v>11720</v>
      </c>
      <c r="U3636" t="s">
        <v>11720</v>
      </c>
      <c r="V3636" t="s">
        <v>11720</v>
      </c>
      <c r="W3636" t="s">
        <v>15303</v>
      </c>
      <c r="X3636">
        <v>17</v>
      </c>
      <c r="Y3636" t="s">
        <v>21022</v>
      </c>
      <c r="Z3636" t="s">
        <v>26843</v>
      </c>
      <c r="AA3636">
        <v>0.42102880552397381</v>
      </c>
      <c r="AB3636" t="str">
        <f>HYPERLINK("Melting_Curves/meltCurve_Q63ZY3_3_KANK2.pdf", "Melting_Curves/meltCurve_Q63ZY3_3_KANK2.pdf")</f>
        <v>Melting_Curves/meltCurve_Q63ZY3_3_KANK2.pdf</v>
      </c>
    </row>
    <row r="3637" spans="1:28" x14ac:dyDescent="0.25">
      <c r="A3637" t="s">
        <v>3641</v>
      </c>
      <c r="B3637">
        <v>0.99334974765950101</v>
      </c>
      <c r="C3637">
        <v>1.0243771854777399</v>
      </c>
      <c r="D3637">
        <v>0.999608602590495</v>
      </c>
      <c r="E3637">
        <v>0.94329607338090504</v>
      </c>
      <c r="F3637">
        <v>1.1726987121346399</v>
      </c>
      <c r="G3637">
        <v>0.77970227560418404</v>
      </c>
      <c r="H3637">
        <v>0.78234964495039905</v>
      </c>
      <c r="I3637">
        <v>0.86554525103831603</v>
      </c>
      <c r="J3637">
        <v>1.1238986877422199</v>
      </c>
      <c r="K3637">
        <v>1.1909753846490101</v>
      </c>
      <c r="L3637">
        <v>15000</v>
      </c>
      <c r="M3637">
        <v>224.493238007982</v>
      </c>
      <c r="O3637">
        <v>66.811862312505298</v>
      </c>
      <c r="P3637">
        <v>0.16043975606917399</v>
      </c>
      <c r="Q3637">
        <v>1.1909951098170899</v>
      </c>
      <c r="R3637">
        <v>0.25400339169297598</v>
      </c>
      <c r="S3637" t="s">
        <v>9498</v>
      </c>
      <c r="T3637" t="s">
        <v>11720</v>
      </c>
      <c r="U3637" t="s">
        <v>11720</v>
      </c>
      <c r="V3637" t="s">
        <v>11720</v>
      </c>
      <c r="W3637" t="s">
        <v>15304</v>
      </c>
      <c r="X3637">
        <v>36</v>
      </c>
      <c r="Y3637" t="s">
        <v>21023</v>
      </c>
      <c r="Z3637" t="s">
        <v>26844</v>
      </c>
      <c r="AA3637">
        <v>1.02023588039474</v>
      </c>
      <c r="AB3637" t="str">
        <f>HYPERLINK("Melting_Curves/meltCurve_Q641Q2_FAM21A.pdf", "Melting_Curves/meltCurve_Q641Q2_FAM21A.pdf")</f>
        <v>Melting_Curves/meltCurve_Q641Q2_FAM21A.pdf</v>
      </c>
    </row>
    <row r="3638" spans="1:28" x14ac:dyDescent="0.25">
      <c r="A3638" t="s">
        <v>3642</v>
      </c>
      <c r="B3638">
        <v>0.99334974765950101</v>
      </c>
      <c r="C3638">
        <v>0.87814122739036404</v>
      </c>
      <c r="D3638">
        <v>0.88860213449143999</v>
      </c>
      <c r="E3638">
        <v>0.70697248841544102</v>
      </c>
      <c r="F3638">
        <v>0.53218799588515597</v>
      </c>
      <c r="G3638">
        <v>0.35725184198634802</v>
      </c>
      <c r="H3638">
        <v>0.36605414290355898</v>
      </c>
      <c r="I3638">
        <v>0.24428727567036099</v>
      </c>
      <c r="J3638">
        <v>0.19961217713017701</v>
      </c>
      <c r="K3638">
        <v>0.18810550861880801</v>
      </c>
      <c r="L3638">
        <v>578.65653328661699</v>
      </c>
      <c r="M3638">
        <v>11.007936938452399</v>
      </c>
      <c r="N3638">
        <v>54.231613207992297</v>
      </c>
      <c r="O3638">
        <v>50.921735106907803</v>
      </c>
      <c r="P3638">
        <v>-4.6312092476497799E-2</v>
      </c>
      <c r="Q3638">
        <v>0.14334540679303701</v>
      </c>
      <c r="R3638">
        <v>0.98563683969642601</v>
      </c>
      <c r="S3638" t="s">
        <v>9499</v>
      </c>
      <c r="T3638" t="s">
        <v>11720</v>
      </c>
      <c r="U3638" t="s">
        <v>11720</v>
      </c>
      <c r="V3638" t="s">
        <v>11720</v>
      </c>
      <c r="W3638" t="s">
        <v>15305</v>
      </c>
      <c r="X3638">
        <v>1</v>
      </c>
      <c r="Y3638" t="s">
        <v>21024</v>
      </c>
      <c r="Z3638" t="s">
        <v>26845</v>
      </c>
      <c r="AA3638">
        <v>0.53001097064004998</v>
      </c>
      <c r="AB3638" t="str">
        <f>HYPERLINK("Melting_Curves/meltCurve_Q658P3_3_STEAP3.pdf", "Melting_Curves/meltCurve_Q658P3_3_STEAP3.pdf")</f>
        <v>Melting_Curves/meltCurve_Q658P3_3_STEAP3.pdf</v>
      </c>
    </row>
    <row r="3639" spans="1:28" x14ac:dyDescent="0.25">
      <c r="A3639" t="s">
        <v>3643</v>
      </c>
      <c r="B3639">
        <v>0.99334974765950101</v>
      </c>
      <c r="C3639">
        <v>0.99606703290198695</v>
      </c>
      <c r="D3639">
        <v>0.98154518402447999</v>
      </c>
      <c r="E3639">
        <v>0.43190786333125297</v>
      </c>
      <c r="F3639">
        <v>0.21108068889485401</v>
      </c>
      <c r="G3639">
        <v>0.119195472080974</v>
      </c>
      <c r="H3639">
        <v>8.9558633019335504E-2</v>
      </c>
      <c r="I3639">
        <v>8.2330674344219701E-2</v>
      </c>
      <c r="J3639">
        <v>8.3594021771002794E-2</v>
      </c>
      <c r="K3639">
        <v>6.0748017273384497E-2</v>
      </c>
      <c r="L3639">
        <v>1762.9703498874701</v>
      </c>
      <c r="M3639">
        <v>35.654025966079601</v>
      </c>
      <c r="N3639">
        <v>49.726005662222597</v>
      </c>
      <c r="O3639">
        <v>49.291821091545998</v>
      </c>
      <c r="P3639">
        <v>-0.16441738260685401</v>
      </c>
      <c r="Q3639">
        <v>9.0772440902538706E-2</v>
      </c>
      <c r="R3639">
        <v>0.99638788394753997</v>
      </c>
      <c r="S3639" t="s">
        <v>9500</v>
      </c>
      <c r="T3639" t="s">
        <v>11720</v>
      </c>
      <c r="U3639" t="s">
        <v>11720</v>
      </c>
      <c r="V3639" t="s">
        <v>11720</v>
      </c>
      <c r="W3639" t="s">
        <v>15306</v>
      </c>
      <c r="X3639">
        <v>16</v>
      </c>
      <c r="Y3639" t="s">
        <v>21025</v>
      </c>
      <c r="Z3639" t="s">
        <v>26846</v>
      </c>
      <c r="AA3639">
        <v>0.38100086963001378</v>
      </c>
      <c r="AB3639" t="str">
        <f>HYPERLINK("Melting_Curves/meltCurve_Q66K14_2_TBC1D9B.pdf", "Melting_Curves/meltCurve_Q66K14_2_TBC1D9B.pdf")</f>
        <v>Melting_Curves/meltCurve_Q66K14_2_TBC1D9B.pdf</v>
      </c>
    </row>
    <row r="3640" spans="1:28" x14ac:dyDescent="0.25">
      <c r="A3640" t="s">
        <v>3644</v>
      </c>
      <c r="B3640">
        <v>0.99334974765950101</v>
      </c>
      <c r="C3640">
        <v>1.06336966998442</v>
      </c>
      <c r="D3640">
        <v>1.0390471592800301</v>
      </c>
      <c r="E3640">
        <v>1.1799506066334</v>
      </c>
      <c r="F3640">
        <v>0.988943569962763</v>
      </c>
      <c r="G3640">
        <v>0.37722396319124402</v>
      </c>
      <c r="H3640">
        <v>0.33876425633559898</v>
      </c>
      <c r="I3640">
        <v>0.29042385416005501</v>
      </c>
      <c r="J3640">
        <v>0.36281266622177699</v>
      </c>
      <c r="K3640">
        <v>0.31468010077167602</v>
      </c>
      <c r="L3640">
        <v>5058.03059482761</v>
      </c>
      <c r="M3640">
        <v>91.248663403604496</v>
      </c>
      <c r="N3640">
        <v>56.082282714950502</v>
      </c>
      <c r="O3640">
        <v>55.404683369808097</v>
      </c>
      <c r="P3640">
        <v>-0.27724920290243898</v>
      </c>
      <c r="Q3640">
        <v>0.32663556803493599</v>
      </c>
      <c r="R3640">
        <v>0.96881808089569799</v>
      </c>
      <c r="S3640" t="s">
        <v>9501</v>
      </c>
      <c r="T3640" t="s">
        <v>11720</v>
      </c>
      <c r="U3640" t="s">
        <v>11720</v>
      </c>
      <c r="V3640" t="s">
        <v>11720</v>
      </c>
      <c r="W3640" t="s">
        <v>15307</v>
      </c>
      <c r="X3640">
        <v>6</v>
      </c>
      <c r="Y3640" t="s">
        <v>21026</v>
      </c>
      <c r="Z3640" t="s">
        <v>26847</v>
      </c>
      <c r="AA3640">
        <v>0.67349058143625007</v>
      </c>
      <c r="AB3640" t="str">
        <f>HYPERLINK("Melting_Curves/meltCurve_Q66LE6_PPP2R2D.pdf", "Melting_Curves/meltCurve_Q66LE6_PPP2R2D.pdf")</f>
        <v>Melting_Curves/meltCurve_Q66LE6_PPP2R2D.pdf</v>
      </c>
    </row>
    <row r="3641" spans="1:28" x14ac:dyDescent="0.25">
      <c r="A3641" t="s">
        <v>3645</v>
      </c>
      <c r="B3641">
        <v>0.99334974765950101</v>
      </c>
      <c r="C3641">
        <v>0.97594298132288204</v>
      </c>
      <c r="D3641">
        <v>0.80360177545178402</v>
      </c>
      <c r="E3641">
        <v>0.76514958140772704</v>
      </c>
      <c r="F3641">
        <v>0.75140962947891898</v>
      </c>
      <c r="G3641">
        <v>0.38136172401683099</v>
      </c>
      <c r="H3641">
        <v>0.30240074978085502</v>
      </c>
      <c r="I3641">
        <v>0.244430645309439</v>
      </c>
      <c r="J3641">
        <v>0.31234898781663401</v>
      </c>
      <c r="K3641">
        <v>0.30575774523235399</v>
      </c>
      <c r="L3641">
        <v>706.90493848042104</v>
      </c>
      <c r="M3641">
        <v>13.2830208524156</v>
      </c>
      <c r="N3641">
        <v>55.721925291237902</v>
      </c>
      <c r="O3641">
        <v>52.055870323597503</v>
      </c>
      <c r="P3641">
        <v>-4.9466493781428103E-2</v>
      </c>
      <c r="Q3641">
        <v>0.224693492332533</v>
      </c>
      <c r="R3641">
        <v>0.94767906766772503</v>
      </c>
      <c r="S3641" t="s">
        <v>9502</v>
      </c>
      <c r="T3641" t="s">
        <v>11720</v>
      </c>
      <c r="U3641" t="s">
        <v>11720</v>
      </c>
      <c r="V3641" t="s">
        <v>11720</v>
      </c>
      <c r="W3641" t="s">
        <v>15308</v>
      </c>
      <c r="X3641">
        <v>3</v>
      </c>
      <c r="Y3641" t="s">
        <v>21027</v>
      </c>
      <c r="Z3641" t="s">
        <v>26848</v>
      </c>
      <c r="AA3641">
        <v>0.58562834092591831</v>
      </c>
      <c r="AB3641" t="str">
        <f>HYPERLINK("Melting_Curves/meltCurve_Q66PJ3_ARL6IP4.pdf", "Melting_Curves/meltCurve_Q66PJ3_ARL6IP4.pdf")</f>
        <v>Melting_Curves/meltCurve_Q66PJ3_ARL6IP4.pdf</v>
      </c>
    </row>
    <row r="3642" spans="1:28" x14ac:dyDescent="0.25">
      <c r="A3642" t="s">
        <v>3646</v>
      </c>
      <c r="B3642">
        <v>0.99334974765950101</v>
      </c>
      <c r="C3642">
        <v>1.04024145489922</v>
      </c>
      <c r="D3642">
        <v>1.06730513157882</v>
      </c>
      <c r="E3642">
        <v>0.98955821908661801</v>
      </c>
      <c r="F3642">
        <v>1.11673356631525</v>
      </c>
      <c r="G3642">
        <v>0.78356651520000897</v>
      </c>
      <c r="H3642">
        <v>0.61306085573001901</v>
      </c>
      <c r="I3642">
        <v>0.65527354021269901</v>
      </c>
      <c r="J3642">
        <v>0.74839042463463401</v>
      </c>
      <c r="K3642">
        <v>0.87392110212830798</v>
      </c>
      <c r="L3642">
        <v>14177.7258630082</v>
      </c>
      <c r="M3642">
        <v>250</v>
      </c>
      <c r="O3642">
        <v>56.707284973452502</v>
      </c>
      <c r="P3642">
        <v>-0.305669030207884</v>
      </c>
      <c r="Q3642">
        <v>0.72266147936799496</v>
      </c>
      <c r="R3642">
        <v>0.79259639991619302</v>
      </c>
      <c r="S3642" t="s">
        <v>9503</v>
      </c>
      <c r="T3642" t="s">
        <v>11720</v>
      </c>
      <c r="U3642" t="s">
        <v>11720</v>
      </c>
      <c r="V3642" t="s">
        <v>11720</v>
      </c>
      <c r="W3642" t="s">
        <v>15309</v>
      </c>
      <c r="X3642">
        <v>2</v>
      </c>
      <c r="Y3642" t="s">
        <v>21028</v>
      </c>
      <c r="Z3642" t="s">
        <v>26849</v>
      </c>
      <c r="AA3642">
        <v>0.87717499003078736</v>
      </c>
      <c r="AB3642" t="str">
        <f>HYPERLINK("Melting_Curves/meltCurve_Q674X7_3_KAZN.pdf", "Melting_Curves/meltCurve_Q674X7_3_KAZN.pdf")</f>
        <v>Melting_Curves/meltCurve_Q674X7_3_KAZN.pdf</v>
      </c>
    </row>
    <row r="3643" spans="1:28" x14ac:dyDescent="0.25">
      <c r="A3643" t="s">
        <v>3647</v>
      </c>
      <c r="B3643">
        <v>0.99334974765950101</v>
      </c>
      <c r="C3643">
        <v>0.97135560167201696</v>
      </c>
      <c r="D3643">
        <v>0.60889706310543101</v>
      </c>
      <c r="E3643">
        <v>0.28071477145212198</v>
      </c>
      <c r="F3643">
        <v>0.151356788186914</v>
      </c>
      <c r="G3643">
        <v>0.122881448092931</v>
      </c>
      <c r="H3643">
        <v>9.73870336424736E-2</v>
      </c>
      <c r="I3643">
        <v>5.82999299546689E-2</v>
      </c>
      <c r="J3643">
        <v>7.4153601706988703E-2</v>
      </c>
      <c r="K3643">
        <v>4.85295381356316E-2</v>
      </c>
      <c r="L3643">
        <v>1089.8686575588699</v>
      </c>
      <c r="M3643">
        <v>23.1964885988174</v>
      </c>
      <c r="N3643">
        <v>47.333940758644601</v>
      </c>
      <c r="O3643">
        <v>46.639201873121699</v>
      </c>
      <c r="P3643">
        <v>-0.114549948649025</v>
      </c>
      <c r="Q3643">
        <v>7.8753444678489895E-2</v>
      </c>
      <c r="R3643">
        <v>0.99311030505759001</v>
      </c>
      <c r="S3643" t="s">
        <v>9504</v>
      </c>
      <c r="T3643" t="s">
        <v>11720</v>
      </c>
      <c r="U3643" t="s">
        <v>11720</v>
      </c>
      <c r="V3643" t="s">
        <v>11720</v>
      </c>
      <c r="W3643" t="s">
        <v>15310</v>
      </c>
      <c r="X3643">
        <v>1</v>
      </c>
      <c r="Y3643" t="s">
        <v>21029</v>
      </c>
      <c r="Z3643" t="s">
        <v>26850</v>
      </c>
      <c r="AA3643">
        <v>0.30293731323012069</v>
      </c>
      <c r="AB3643" t="str">
        <f>HYPERLINK("Melting_Curves/meltCurve_Q68CQ4_DIEXF.pdf", "Melting_Curves/meltCurve_Q68CQ4_DIEXF.pdf")</f>
        <v>Melting_Curves/meltCurve_Q68CQ4_DIEXF.pdf</v>
      </c>
    </row>
    <row r="3644" spans="1:28" x14ac:dyDescent="0.25">
      <c r="A3644" t="s">
        <v>3648</v>
      </c>
      <c r="B3644">
        <v>0.99334974765950101</v>
      </c>
      <c r="C3644">
        <v>0.52701554489679203</v>
      </c>
      <c r="D3644">
        <v>0.316992921245079</v>
      </c>
      <c r="E3644">
        <v>0.21554719234533601</v>
      </c>
      <c r="F3644">
        <v>0.127779549336663</v>
      </c>
      <c r="G3644">
        <v>9.3657054059857206E-2</v>
      </c>
      <c r="H3644">
        <v>8.7490762598072605E-2</v>
      </c>
      <c r="I3644">
        <v>7.9993957704673102E-2</v>
      </c>
      <c r="J3644">
        <v>8.6827081131314904E-2</v>
      </c>
      <c r="K3644">
        <v>7.9151685742342201E-2</v>
      </c>
      <c r="L3644">
        <v>1027.20442998364</v>
      </c>
      <c r="M3644">
        <v>23.7019706928975</v>
      </c>
      <c r="N3644">
        <v>43.762425300896197</v>
      </c>
      <c r="O3644">
        <v>43.033376937296303</v>
      </c>
      <c r="P3644">
        <v>-0.12356868020877999</v>
      </c>
      <c r="Q3644">
        <v>0.102607787532215</v>
      </c>
      <c r="R3644">
        <v>0.96755140629748804</v>
      </c>
      <c r="S3644" t="s">
        <v>9505</v>
      </c>
      <c r="T3644" t="s">
        <v>11720</v>
      </c>
      <c r="U3644" t="s">
        <v>11720</v>
      </c>
      <c r="V3644" t="s">
        <v>11720</v>
      </c>
      <c r="W3644" t="s">
        <v>15311</v>
      </c>
      <c r="X3644">
        <v>5</v>
      </c>
      <c r="Y3644" t="s">
        <v>21030</v>
      </c>
      <c r="Z3644" t="s">
        <v>26851</v>
      </c>
      <c r="AA3644">
        <v>0.21583931056441891</v>
      </c>
      <c r="AB3644" t="str">
        <f>HYPERLINK("Melting_Curves/meltCurve_Q68CQ7_GLT8D1.pdf", "Melting_Curves/meltCurve_Q68CQ7_GLT8D1.pdf")</f>
        <v>Melting_Curves/meltCurve_Q68CQ7_GLT8D1.pdf</v>
      </c>
    </row>
    <row r="3645" spans="1:28" x14ac:dyDescent="0.25">
      <c r="A3645" t="s">
        <v>3649</v>
      </c>
      <c r="B3645">
        <v>0.99334974765950101</v>
      </c>
      <c r="C3645">
        <v>0.90688502694998097</v>
      </c>
      <c r="D3645">
        <v>0.61054834458954699</v>
      </c>
      <c r="E3645">
        <v>0.22149138904521301</v>
      </c>
      <c r="F3645">
        <v>0.10141699105402301</v>
      </c>
      <c r="G3645">
        <v>5.9764819998327799E-2</v>
      </c>
      <c r="H3645">
        <v>4.84594042973839E-2</v>
      </c>
      <c r="I3645">
        <v>4.6239441079440002E-2</v>
      </c>
      <c r="J3645">
        <v>3.7558567377776103E-2</v>
      </c>
      <c r="K3645">
        <v>3.1958214730295899E-2</v>
      </c>
      <c r="L3645">
        <v>1097.10085262385</v>
      </c>
      <c r="M3645">
        <v>23.437018738893599</v>
      </c>
      <c r="N3645">
        <v>46.983052395806901</v>
      </c>
      <c r="O3645">
        <v>46.473799424007503</v>
      </c>
      <c r="P3645">
        <v>-0.120882321032019</v>
      </c>
      <c r="Q3645">
        <v>4.1215402627815201E-2</v>
      </c>
      <c r="R3645">
        <v>0.99968264043781196</v>
      </c>
      <c r="S3645" t="s">
        <v>9506</v>
      </c>
      <c r="T3645" t="s">
        <v>11720</v>
      </c>
      <c r="U3645" t="s">
        <v>11720</v>
      </c>
      <c r="V3645" t="s">
        <v>11720</v>
      </c>
      <c r="W3645" t="s">
        <v>15312</v>
      </c>
      <c r="X3645">
        <v>35</v>
      </c>
      <c r="Y3645" t="s">
        <v>21031</v>
      </c>
      <c r="Z3645" t="s">
        <v>26852</v>
      </c>
      <c r="AA3645">
        <v>0.26880562185707729</v>
      </c>
      <c r="AB3645" t="str">
        <f>HYPERLINK("Melting_Curves/meltCurve_Q68CZ2_TNS3.pdf", "Melting_Curves/meltCurve_Q68CZ2_TNS3.pdf")</f>
        <v>Melting_Curves/meltCurve_Q68CZ2_TNS3.pdf</v>
      </c>
    </row>
    <row r="3646" spans="1:28" x14ac:dyDescent="0.25">
      <c r="A3646" t="s">
        <v>3650</v>
      </c>
      <c r="B3646">
        <v>0.99334974765950101</v>
      </c>
      <c r="C3646">
        <v>0.89485853472924004</v>
      </c>
      <c r="D3646">
        <v>0.96328458220421997</v>
      </c>
      <c r="E3646">
        <v>0.77130368727772103</v>
      </c>
      <c r="F3646">
        <v>0.74340551038574598</v>
      </c>
      <c r="G3646">
        <v>0.54876893016675898</v>
      </c>
      <c r="H3646">
        <v>0.45028372711257703</v>
      </c>
      <c r="I3646">
        <v>0.50203740438149702</v>
      </c>
      <c r="J3646">
        <v>0.33448622383284399</v>
      </c>
      <c r="K3646">
        <v>0.195566045692813</v>
      </c>
      <c r="L3646">
        <v>429.36963537033103</v>
      </c>
      <c r="M3646">
        <v>7.1463800114593701</v>
      </c>
      <c r="N3646">
        <v>60.082116412781602</v>
      </c>
      <c r="O3646">
        <v>55.910961066920599</v>
      </c>
      <c r="P3646">
        <v>-3.2009196224062397E-2</v>
      </c>
      <c r="Q3646">
        <v>0</v>
      </c>
      <c r="R3646">
        <v>0.95733206519858005</v>
      </c>
      <c r="S3646" t="s">
        <v>9507</v>
      </c>
      <c r="T3646" t="s">
        <v>11720</v>
      </c>
      <c r="U3646" t="s">
        <v>11720</v>
      </c>
      <c r="V3646" t="s">
        <v>11720</v>
      </c>
      <c r="W3646" t="s">
        <v>15313</v>
      </c>
      <c r="X3646">
        <v>7</v>
      </c>
      <c r="Y3646" t="s">
        <v>21032</v>
      </c>
      <c r="Z3646" t="s">
        <v>26853</v>
      </c>
      <c r="AA3646">
        <v>0.64648252031545472</v>
      </c>
      <c r="AB3646" t="str">
        <f>HYPERLINK("Melting_Curves/meltCurve_Q68D91_MBLAC2.pdf", "Melting_Curves/meltCurve_Q68D91_MBLAC2.pdf")</f>
        <v>Melting_Curves/meltCurve_Q68D91_MBLAC2.pdf</v>
      </c>
    </row>
    <row r="3647" spans="1:28" x14ac:dyDescent="0.25">
      <c r="A3647" t="s">
        <v>3651</v>
      </c>
      <c r="B3647">
        <v>0.99334974765950101</v>
      </c>
      <c r="C3647">
        <v>0.91410140540309204</v>
      </c>
      <c r="D3647">
        <v>0.69637047931388896</v>
      </c>
      <c r="E3647">
        <v>0.44037826304175998</v>
      </c>
      <c r="F3647">
        <v>0.12735373384940499</v>
      </c>
      <c r="G3647">
        <v>9.0134557537209406E-2</v>
      </c>
      <c r="H3647">
        <v>7.2202110663716207E-2</v>
      </c>
      <c r="I3647">
        <v>4.17727418116789E-2</v>
      </c>
      <c r="J3647">
        <v>5.6489499329955901E-2</v>
      </c>
      <c r="K3647">
        <v>8.1130983400961004E-2</v>
      </c>
      <c r="L3647">
        <v>908.39975583927696</v>
      </c>
      <c r="M3647">
        <v>18.831792985734101</v>
      </c>
      <c r="N3647">
        <v>48.493475782747602</v>
      </c>
      <c r="O3647">
        <v>47.703493096965701</v>
      </c>
      <c r="P3647">
        <v>-9.4027688225194195E-2</v>
      </c>
      <c r="Q3647">
        <v>4.7299640577376199E-2</v>
      </c>
      <c r="R3647">
        <v>0.99091651809972503</v>
      </c>
      <c r="S3647" t="s">
        <v>9508</v>
      </c>
      <c r="T3647" t="s">
        <v>11720</v>
      </c>
      <c r="U3647" t="s">
        <v>11720</v>
      </c>
      <c r="V3647" t="s">
        <v>11720</v>
      </c>
      <c r="W3647" t="s">
        <v>15314</v>
      </c>
      <c r="X3647">
        <v>1</v>
      </c>
      <c r="Y3647" t="s">
        <v>21033</v>
      </c>
      <c r="Z3647" t="s">
        <v>26854</v>
      </c>
      <c r="AA3647">
        <v>0.3241836964992667</v>
      </c>
      <c r="AB3647" t="str">
        <f>HYPERLINK("Melting_Curves/meltCurve_Q68DM5_DKFZp781L1143.pdf", "Melting_Curves/meltCurve_Q68DM5_DKFZp781L1143.pdf")</f>
        <v>Melting_Curves/meltCurve_Q68DM5_DKFZp781L1143.pdf</v>
      </c>
    </row>
    <row r="3648" spans="1:28" x14ac:dyDescent="0.25">
      <c r="A3648" t="s">
        <v>3652</v>
      </c>
      <c r="B3648">
        <v>0.99334974765950101</v>
      </c>
      <c r="C3648">
        <v>0.98244554585060395</v>
      </c>
      <c r="D3648">
        <v>0.73147887189548</v>
      </c>
      <c r="E3648">
        <v>0.38669526126245501</v>
      </c>
      <c r="F3648">
        <v>0.32975641928119998</v>
      </c>
      <c r="G3648">
        <v>0.26000407261073699</v>
      </c>
      <c r="H3648">
        <v>0.241601395002949</v>
      </c>
      <c r="I3648">
        <v>0.19595989426275001</v>
      </c>
      <c r="J3648">
        <v>0.24767811921998301</v>
      </c>
      <c r="K3648">
        <v>0.16140240185639901</v>
      </c>
      <c r="L3648">
        <v>1090.4990708873099</v>
      </c>
      <c r="M3648">
        <v>22.971477585261098</v>
      </c>
      <c r="N3648">
        <v>48.708607103047697</v>
      </c>
      <c r="O3648">
        <v>47.116482333750099</v>
      </c>
      <c r="P3648">
        <v>-9.49565145231102E-2</v>
      </c>
      <c r="Q3648">
        <v>0.22095823708944101</v>
      </c>
      <c r="R3648">
        <v>0.98906676112216596</v>
      </c>
      <c r="S3648" t="s">
        <v>9509</v>
      </c>
      <c r="T3648" t="s">
        <v>11720</v>
      </c>
      <c r="U3648" t="s">
        <v>11720</v>
      </c>
      <c r="V3648" t="s">
        <v>11720</v>
      </c>
      <c r="W3648" t="s">
        <v>15315</v>
      </c>
      <c r="X3648">
        <v>8</v>
      </c>
      <c r="Y3648" t="s">
        <v>21034</v>
      </c>
      <c r="Z3648" t="s">
        <v>26855</v>
      </c>
      <c r="AA3648">
        <v>0.42328872273274742</v>
      </c>
      <c r="AB3648" t="str">
        <f>HYPERLINK("Melting_Curves/meltCurve_Q68EM7_6_ARHGAP17.pdf", "Melting_Curves/meltCurve_Q68EM7_6_ARHGAP17.pdf")</f>
        <v>Melting_Curves/meltCurve_Q68EM7_6_ARHGAP17.pdf</v>
      </c>
    </row>
    <row r="3649" spans="1:28" x14ac:dyDescent="0.25">
      <c r="A3649" t="s">
        <v>3653</v>
      </c>
      <c r="B3649">
        <v>0.99334974765950101</v>
      </c>
      <c r="C3649">
        <v>0.96727860956393097</v>
      </c>
      <c r="D3649">
        <v>0.94564041116776698</v>
      </c>
      <c r="E3649">
        <v>0.81407955325282</v>
      </c>
      <c r="F3649">
        <v>0.57707573339473095</v>
      </c>
      <c r="G3649">
        <v>0.60260118266274698</v>
      </c>
      <c r="H3649">
        <v>0.50223364206546495</v>
      </c>
      <c r="I3649">
        <v>0.41295629335958101</v>
      </c>
      <c r="J3649">
        <v>0.439434658228474</v>
      </c>
      <c r="K3649">
        <v>0.39080487738386999</v>
      </c>
      <c r="L3649">
        <v>726.90164198157299</v>
      </c>
      <c r="M3649">
        <v>13.948987770796901</v>
      </c>
      <c r="N3649">
        <v>58.940949248953203</v>
      </c>
      <c r="O3649">
        <v>51.075449831573998</v>
      </c>
      <c r="P3649">
        <v>-4.0924784498633501E-2</v>
      </c>
      <c r="Q3649">
        <v>0.40068160561942001</v>
      </c>
      <c r="R3649">
        <v>0.969605830060151</v>
      </c>
      <c r="S3649" t="s">
        <v>9510</v>
      </c>
      <c r="T3649" t="s">
        <v>11720</v>
      </c>
      <c r="U3649" t="s">
        <v>11720</v>
      </c>
      <c r="V3649" t="s">
        <v>11720</v>
      </c>
      <c r="W3649" t="s">
        <v>15316</v>
      </c>
      <c r="X3649">
        <v>1</v>
      </c>
      <c r="Z3649" t="s">
        <v>26856</v>
      </c>
      <c r="AA3649">
        <v>0.65748994529751359</v>
      </c>
      <c r="AB3649" t="str">
        <f>HYPERLINK("Melting_Curves/meltCurve_Q69YL0_.pdf", "Melting_Curves/meltCurve_Q69YL0_.pdf")</f>
        <v>Melting_Curves/meltCurve_Q69YL0_.pdf</v>
      </c>
    </row>
    <row r="3650" spans="1:28" x14ac:dyDescent="0.25">
      <c r="A3650" t="s">
        <v>3654</v>
      </c>
      <c r="B3650">
        <v>0.99334974765950101</v>
      </c>
      <c r="C3650">
        <v>0.89604741637381102</v>
      </c>
      <c r="D3650">
        <v>0.867072993076339</v>
      </c>
      <c r="E3650">
        <v>0.51137386064236001</v>
      </c>
      <c r="F3650">
        <v>0.26579100228820102</v>
      </c>
      <c r="G3650">
        <v>0.21175691009842501</v>
      </c>
      <c r="H3650">
        <v>0.186325091206129</v>
      </c>
      <c r="I3650">
        <v>0.17307300863311001</v>
      </c>
      <c r="J3650">
        <v>0.17419977286636801</v>
      </c>
      <c r="K3650">
        <v>0.14378956470516199</v>
      </c>
      <c r="L3650">
        <v>1086.5356428304799</v>
      </c>
      <c r="M3650">
        <v>22.136063890998699</v>
      </c>
      <c r="N3650">
        <v>49.9733683980526</v>
      </c>
      <c r="O3650">
        <v>48.689091319992798</v>
      </c>
      <c r="P3650">
        <v>-9.5164758901430099E-2</v>
      </c>
      <c r="Q3650">
        <v>0.16274458175457299</v>
      </c>
      <c r="R3650">
        <v>0.99291980047774597</v>
      </c>
      <c r="S3650" t="s">
        <v>9511</v>
      </c>
      <c r="T3650" t="s">
        <v>11720</v>
      </c>
      <c r="U3650" t="s">
        <v>11720</v>
      </c>
      <c r="V3650" t="s">
        <v>11720</v>
      </c>
      <c r="W3650" t="s">
        <v>15317</v>
      </c>
      <c r="X3650">
        <v>3</v>
      </c>
      <c r="Y3650" t="s">
        <v>21035</v>
      </c>
      <c r="Z3650" t="s">
        <v>26857</v>
      </c>
      <c r="AA3650">
        <v>0.42580683648332052</v>
      </c>
      <c r="AB3650" t="str">
        <f>HYPERLINK("Melting_Curves/meltCurve_Q69YN2_3_CWF19L1.pdf", "Melting_Curves/meltCurve_Q69YN2_3_CWF19L1.pdf")</f>
        <v>Melting_Curves/meltCurve_Q69YN2_3_CWF19L1.pdf</v>
      </c>
    </row>
    <row r="3651" spans="1:28" x14ac:dyDescent="0.25">
      <c r="A3651" t="s">
        <v>3655</v>
      </c>
      <c r="B3651">
        <v>0.99334974765950101</v>
      </c>
      <c r="C3651">
        <v>1.0208700364957</v>
      </c>
      <c r="D3651">
        <v>0.989380976685025</v>
      </c>
      <c r="E3651">
        <v>0.85312492356009795</v>
      </c>
      <c r="F3651">
        <v>0.59940047336466695</v>
      </c>
      <c r="G3651">
        <v>0.49055781313402602</v>
      </c>
      <c r="H3651">
        <v>0.44994472074605601</v>
      </c>
      <c r="I3651">
        <v>0.52575734852929601</v>
      </c>
      <c r="J3651">
        <v>0.44385787478703997</v>
      </c>
      <c r="K3651">
        <v>0.42217001068222298</v>
      </c>
      <c r="L3651">
        <v>1758.8178127368001</v>
      </c>
      <c r="M3651">
        <v>34.214747883491498</v>
      </c>
      <c r="N3651">
        <v>55.575337501186098</v>
      </c>
      <c r="O3651">
        <v>51.230576505264303</v>
      </c>
      <c r="P3651">
        <v>-8.9889206186653803E-2</v>
      </c>
      <c r="Q3651">
        <v>0.46162861797239302</v>
      </c>
      <c r="R3651">
        <v>0.98837573233464304</v>
      </c>
      <c r="S3651" t="s">
        <v>9512</v>
      </c>
      <c r="T3651" t="s">
        <v>11720</v>
      </c>
      <c r="U3651" t="s">
        <v>11720</v>
      </c>
      <c r="V3651" t="s">
        <v>11720</v>
      </c>
      <c r="W3651" t="s">
        <v>15318</v>
      </c>
      <c r="X3651">
        <v>19</v>
      </c>
      <c r="Y3651" t="s">
        <v>21036</v>
      </c>
      <c r="Z3651" t="s">
        <v>26858</v>
      </c>
      <c r="AA3651">
        <v>0.66892274670240337</v>
      </c>
      <c r="AB3651" t="str">
        <f>HYPERLINK("Melting_Curves/meltCurve_Q69YQ0_2_SPECC1L.pdf", "Melting_Curves/meltCurve_Q69YQ0_2_SPECC1L.pdf")</f>
        <v>Melting_Curves/meltCurve_Q69YQ0_2_SPECC1L.pdf</v>
      </c>
    </row>
    <row r="3652" spans="1:28" x14ac:dyDescent="0.25">
      <c r="A3652" t="s">
        <v>3656</v>
      </c>
      <c r="B3652">
        <v>0.99334974765950101</v>
      </c>
      <c r="C3652">
        <v>1.01903816898099</v>
      </c>
      <c r="D3652">
        <v>0.97687518542296103</v>
      </c>
      <c r="E3652">
        <v>0.99815569438949403</v>
      </c>
      <c r="F3652">
        <v>0.64324753982012595</v>
      </c>
      <c r="G3652">
        <v>0.51341175339571898</v>
      </c>
      <c r="H3652">
        <v>0.41780392113381998</v>
      </c>
      <c r="I3652">
        <v>0.61737870698624897</v>
      </c>
      <c r="J3652">
        <v>0.60943017779987696</v>
      </c>
      <c r="K3652">
        <v>0.63835220170636997</v>
      </c>
      <c r="L3652">
        <v>6645.7352710577798</v>
      </c>
      <c r="M3652">
        <v>126.838132001951</v>
      </c>
      <c r="O3652">
        <v>52.382382938125801</v>
      </c>
      <c r="P3652">
        <v>-0.266791151510403</v>
      </c>
      <c r="Q3652">
        <v>0.55927588172461495</v>
      </c>
      <c r="R3652">
        <v>0.92535751659697396</v>
      </c>
      <c r="S3652" t="s">
        <v>9513</v>
      </c>
      <c r="T3652" t="s">
        <v>11720</v>
      </c>
      <c r="U3652" t="s">
        <v>11720</v>
      </c>
      <c r="V3652" t="s">
        <v>11720</v>
      </c>
      <c r="W3652" t="s">
        <v>15319</v>
      </c>
      <c r="X3652">
        <v>4</v>
      </c>
      <c r="Y3652" t="s">
        <v>21037</v>
      </c>
      <c r="Z3652" t="s">
        <v>26859</v>
      </c>
      <c r="AA3652">
        <v>0.7415318836263558</v>
      </c>
      <c r="AB3652" t="str">
        <f>HYPERLINK("Melting_Curves/meltCurve_Q69YU5_C12orf73.pdf", "Melting_Curves/meltCurve_Q69YU5_C12orf73.pdf")</f>
        <v>Melting_Curves/meltCurve_Q69YU5_C12orf73.pdf</v>
      </c>
    </row>
    <row r="3653" spans="1:28" x14ac:dyDescent="0.25">
      <c r="A3653" t="s">
        <v>3657</v>
      </c>
      <c r="B3653">
        <v>0.99334974765950101</v>
      </c>
      <c r="C3653">
        <v>1.04710505365635</v>
      </c>
      <c r="D3653">
        <v>1.0644464377444101</v>
      </c>
      <c r="E3653">
        <v>0.75534924507701595</v>
      </c>
      <c r="F3653">
        <v>0.393884795555967</v>
      </c>
      <c r="G3653">
        <v>0.20469794312669801</v>
      </c>
      <c r="H3653">
        <v>0.122471308728048</v>
      </c>
      <c r="I3653">
        <v>0.17099850580103501</v>
      </c>
      <c r="J3653">
        <v>0.12578095972183401</v>
      </c>
      <c r="K3653">
        <v>0.12092756852703</v>
      </c>
      <c r="L3653">
        <v>1671.6062842707699</v>
      </c>
      <c r="M3653">
        <v>32.417985321757797</v>
      </c>
      <c r="N3653">
        <v>52.089536216437601</v>
      </c>
      <c r="O3653">
        <v>51.369140175259602</v>
      </c>
      <c r="P3653">
        <v>-0.13576953359359301</v>
      </c>
      <c r="Q3653">
        <v>0.139449245190961</v>
      </c>
      <c r="R3653">
        <v>0.99233624339117699</v>
      </c>
      <c r="S3653" t="s">
        <v>9514</v>
      </c>
      <c r="T3653" t="s">
        <v>11720</v>
      </c>
      <c r="U3653" t="s">
        <v>11720</v>
      </c>
      <c r="V3653" t="s">
        <v>11720</v>
      </c>
      <c r="W3653" t="s">
        <v>15320</v>
      </c>
      <c r="X3653">
        <v>2</v>
      </c>
      <c r="Y3653" t="s">
        <v>21038</v>
      </c>
      <c r="Z3653" t="s">
        <v>26860</v>
      </c>
      <c r="AA3653">
        <v>0.47584482609370771</v>
      </c>
      <c r="AB3653" t="str">
        <f>HYPERLINK("Melting_Curves/meltCurve_Q6AWC2_4_WWC2.pdf", "Melting_Curves/meltCurve_Q6AWC2_4_WWC2.pdf")</f>
        <v>Melting_Curves/meltCurve_Q6AWC2_4_WWC2.pdf</v>
      </c>
    </row>
    <row r="3654" spans="1:28" x14ac:dyDescent="0.25">
      <c r="A3654" t="s">
        <v>3658</v>
      </c>
      <c r="B3654">
        <v>0.99334974765950101</v>
      </c>
      <c r="C3654">
        <v>0.99033599436521202</v>
      </c>
      <c r="D3654">
        <v>0.95767172336740702</v>
      </c>
      <c r="E3654">
        <v>1.1904706368115601</v>
      </c>
      <c r="F3654">
        <v>1.20974843325265</v>
      </c>
      <c r="G3654">
        <v>0.85904651779883201</v>
      </c>
      <c r="H3654">
        <v>0.90465367727083701</v>
      </c>
      <c r="I3654">
        <v>1.6054161574403001</v>
      </c>
      <c r="J3654">
        <v>1.29041788517934</v>
      </c>
      <c r="K3654">
        <v>1.07821751059781</v>
      </c>
      <c r="L3654">
        <v>529.70399461072395</v>
      </c>
      <c r="M3654">
        <v>8.5838537022432995</v>
      </c>
      <c r="O3654">
        <v>58.634008299424003</v>
      </c>
      <c r="P3654">
        <v>1.2241977264368001E-2</v>
      </c>
      <c r="Q3654">
        <v>1.3341964349758699</v>
      </c>
      <c r="R3654">
        <v>0.16247062837932</v>
      </c>
      <c r="S3654" t="s">
        <v>9515</v>
      </c>
      <c r="T3654" t="s">
        <v>11720</v>
      </c>
      <c r="U3654" t="s">
        <v>11720</v>
      </c>
      <c r="V3654" t="s">
        <v>11720</v>
      </c>
      <c r="W3654" t="s">
        <v>15321</v>
      </c>
      <c r="X3654">
        <v>4</v>
      </c>
      <c r="Y3654" t="s">
        <v>21039</v>
      </c>
      <c r="Z3654" t="s">
        <v>26861</v>
      </c>
      <c r="AA3654">
        <v>1.101819423862624</v>
      </c>
      <c r="AB3654" t="str">
        <f>HYPERLINK("Melting_Curves/meltCurve_Q6AZY7_2_SCARA3.pdf", "Melting_Curves/meltCurve_Q6AZY7_2_SCARA3.pdf")</f>
        <v>Melting_Curves/meltCurve_Q6AZY7_2_SCARA3.pdf</v>
      </c>
    </row>
    <row r="3655" spans="1:28" x14ac:dyDescent="0.25">
      <c r="A3655" t="s">
        <v>3659</v>
      </c>
      <c r="B3655">
        <v>0.99334974765950101</v>
      </c>
      <c r="C3655">
        <v>0.94394892171753197</v>
      </c>
      <c r="D3655">
        <v>0.88418827902110297</v>
      </c>
      <c r="E3655">
        <v>0.78184648336765095</v>
      </c>
      <c r="F3655">
        <v>0.75654088618107296</v>
      </c>
      <c r="G3655">
        <v>0.58407010745932697</v>
      </c>
      <c r="H3655">
        <v>0.51087513435656895</v>
      </c>
      <c r="I3655">
        <v>0.487209406543474</v>
      </c>
      <c r="J3655">
        <v>0.20423698464149001</v>
      </c>
      <c r="K3655">
        <v>0.10836075605091</v>
      </c>
      <c r="L3655">
        <v>504.843325733342</v>
      </c>
      <c r="M3655">
        <v>8.4754011305617496</v>
      </c>
      <c r="N3655">
        <v>59.565714423108403</v>
      </c>
      <c r="O3655">
        <v>56.5270793949135</v>
      </c>
      <c r="P3655">
        <v>-3.7517955587540001E-2</v>
      </c>
      <c r="Q3655">
        <v>0</v>
      </c>
      <c r="R3655">
        <v>0.94633979424736803</v>
      </c>
      <c r="S3655" t="s">
        <v>9516</v>
      </c>
      <c r="T3655" t="s">
        <v>11720</v>
      </c>
      <c r="U3655" t="s">
        <v>11720</v>
      </c>
      <c r="V3655" t="s">
        <v>11720</v>
      </c>
      <c r="W3655" t="s">
        <v>15322</v>
      </c>
      <c r="X3655">
        <v>23</v>
      </c>
      <c r="Y3655" t="s">
        <v>21040</v>
      </c>
      <c r="Z3655" t="s">
        <v>26862</v>
      </c>
      <c r="AA3655">
        <v>0.64431333194230267</v>
      </c>
      <c r="AB3655" t="str">
        <f>HYPERLINK("Melting_Curves/meltCurve_Q6BCY4_CYB5R2.pdf", "Melting_Curves/meltCurve_Q6BCY4_CYB5R2.pdf")</f>
        <v>Melting_Curves/meltCurve_Q6BCY4_CYB5R2.pdf</v>
      </c>
    </row>
    <row r="3656" spans="1:28" x14ac:dyDescent="0.25">
      <c r="A3656" t="s">
        <v>3660</v>
      </c>
      <c r="B3656">
        <v>0.99334974765950101</v>
      </c>
      <c r="C3656">
        <v>1.0678968435133001</v>
      </c>
      <c r="D3656">
        <v>0.95696103558047996</v>
      </c>
      <c r="E3656">
        <v>0.82552366781928099</v>
      </c>
      <c r="F3656">
        <v>0.171500014086022</v>
      </c>
      <c r="G3656">
        <v>9.8062505343735604E-2</v>
      </c>
      <c r="H3656">
        <v>6.7337980357735694E-2</v>
      </c>
      <c r="I3656">
        <v>5.3363758013850002E-2</v>
      </c>
      <c r="J3656">
        <v>4.3905385330181401E-2</v>
      </c>
      <c r="K3656">
        <v>3.8158647422237298E-2</v>
      </c>
      <c r="L3656">
        <v>3041.4414470473698</v>
      </c>
      <c r="M3656">
        <v>59.359568914559198</v>
      </c>
      <c r="N3656">
        <v>51.346740300264003</v>
      </c>
      <c r="O3656">
        <v>51.1795370521655</v>
      </c>
      <c r="P3656">
        <v>-0.27277136338091201</v>
      </c>
      <c r="Q3656">
        <v>5.9271726825954898E-2</v>
      </c>
      <c r="R3656">
        <v>0.99553496106119599</v>
      </c>
      <c r="S3656" t="s">
        <v>9517</v>
      </c>
      <c r="T3656" t="s">
        <v>11720</v>
      </c>
      <c r="U3656" t="s">
        <v>11720</v>
      </c>
      <c r="V3656" t="s">
        <v>11720</v>
      </c>
      <c r="W3656" t="s">
        <v>15323</v>
      </c>
      <c r="X3656">
        <v>24</v>
      </c>
      <c r="Y3656" t="s">
        <v>21041</v>
      </c>
      <c r="Z3656" t="s">
        <v>26863</v>
      </c>
      <c r="AA3656">
        <v>0.41316184228757619</v>
      </c>
      <c r="AB3656" t="str">
        <f>HYPERLINK("Melting_Curves/meltCurve_Q6DD88_ATL3.pdf", "Melting_Curves/meltCurve_Q6DD88_ATL3.pdf")</f>
        <v>Melting_Curves/meltCurve_Q6DD88_ATL3.pdf</v>
      </c>
    </row>
    <row r="3657" spans="1:28" x14ac:dyDescent="0.25">
      <c r="A3657" t="s">
        <v>3661</v>
      </c>
      <c r="B3657">
        <v>0.99334974765950101</v>
      </c>
      <c r="C3657">
        <v>1.0302750097981701</v>
      </c>
      <c r="D3657">
        <v>0.89020367500444997</v>
      </c>
      <c r="E3657">
        <v>0.80351568762469405</v>
      </c>
      <c r="F3657">
        <v>0.69310616068431896</v>
      </c>
      <c r="G3657">
        <v>0.55474679620886602</v>
      </c>
      <c r="H3657">
        <v>0.49699932489468202</v>
      </c>
      <c r="I3657">
        <v>0.42764105379156397</v>
      </c>
      <c r="J3657">
        <v>0.213956153273901</v>
      </c>
      <c r="K3657">
        <v>0.111768524608042</v>
      </c>
      <c r="L3657">
        <v>513.33431710068601</v>
      </c>
      <c r="M3657">
        <v>8.7076389898741908</v>
      </c>
      <c r="N3657">
        <v>58.952181738607997</v>
      </c>
      <c r="O3657">
        <v>56.090635656844498</v>
      </c>
      <c r="P3657">
        <v>-3.8842505934666698E-2</v>
      </c>
      <c r="Q3657">
        <v>0</v>
      </c>
      <c r="R3657">
        <v>0.96521936663324004</v>
      </c>
      <c r="S3657" t="s">
        <v>9518</v>
      </c>
      <c r="T3657" t="s">
        <v>11720</v>
      </c>
      <c r="U3657" t="s">
        <v>11720</v>
      </c>
      <c r="V3657" t="s">
        <v>11720</v>
      </c>
      <c r="W3657" t="s">
        <v>15324</v>
      </c>
      <c r="X3657">
        <v>11</v>
      </c>
      <c r="Y3657" t="s">
        <v>21042</v>
      </c>
      <c r="Z3657" t="s">
        <v>26864</v>
      </c>
      <c r="AA3657">
        <v>0.63043958613395323</v>
      </c>
      <c r="AB3657" t="str">
        <f>HYPERLINK("Melting_Curves/meltCurve_Q6DHV7_ADAL.pdf", "Melting_Curves/meltCurve_Q6DHV7_ADAL.pdf")</f>
        <v>Melting_Curves/meltCurve_Q6DHV7_ADAL.pdf</v>
      </c>
    </row>
    <row r="3658" spans="1:28" x14ac:dyDescent="0.25">
      <c r="A3658" t="s">
        <v>3662</v>
      </c>
      <c r="B3658">
        <v>0.99334974765950101</v>
      </c>
      <c r="C3658">
        <v>0.98440597941655394</v>
      </c>
      <c r="D3658">
        <v>0.99214976749005801</v>
      </c>
      <c r="E3658">
        <v>0.69413769044223395</v>
      </c>
      <c r="F3658">
        <v>0.25653875857326103</v>
      </c>
      <c r="G3658">
        <v>0.17258053879667001</v>
      </c>
      <c r="H3658">
        <v>0.135602106255484</v>
      </c>
      <c r="I3658">
        <v>0.117182846361951</v>
      </c>
      <c r="J3658">
        <v>0.115884940728567</v>
      </c>
      <c r="K3658">
        <v>8.9063619651799E-2</v>
      </c>
      <c r="L3658">
        <v>1998.70672809301</v>
      </c>
      <c r="M3658">
        <v>39.357034401982702</v>
      </c>
      <c r="N3658">
        <v>51.148010884081899</v>
      </c>
      <c r="O3658">
        <v>50.6534031588589</v>
      </c>
      <c r="P3658">
        <v>-0.17051934740218899</v>
      </c>
      <c r="Q3658">
        <v>0.122152858018908</v>
      </c>
      <c r="R3658">
        <v>0.99788446776808604</v>
      </c>
      <c r="S3658" t="s">
        <v>9519</v>
      </c>
      <c r="T3658" t="s">
        <v>11720</v>
      </c>
      <c r="U3658" t="s">
        <v>11720</v>
      </c>
      <c r="V3658" t="s">
        <v>11720</v>
      </c>
      <c r="W3658" t="s">
        <v>15325</v>
      </c>
      <c r="X3658">
        <v>19</v>
      </c>
      <c r="Y3658" t="s">
        <v>21043</v>
      </c>
      <c r="Z3658" t="s">
        <v>26865</v>
      </c>
      <c r="AA3658">
        <v>0.44089285025504782</v>
      </c>
      <c r="AB3658" t="str">
        <f>HYPERLINK("Melting_Curves/meltCurve_Q6DKJ4_NXN.pdf", "Melting_Curves/meltCurve_Q6DKJ4_NXN.pdf")</f>
        <v>Melting_Curves/meltCurve_Q6DKJ4_NXN.pdf</v>
      </c>
    </row>
    <row r="3659" spans="1:28" x14ac:dyDescent="0.25">
      <c r="A3659" t="s">
        <v>3663</v>
      </c>
      <c r="B3659">
        <v>0.99334974765950101</v>
      </c>
      <c r="C3659">
        <v>0.96902489706071704</v>
      </c>
      <c r="D3659">
        <v>0.90413697389245196</v>
      </c>
      <c r="E3659">
        <v>0.67729382539473804</v>
      </c>
      <c r="F3659">
        <v>0.53320876975252796</v>
      </c>
      <c r="G3659">
        <v>0.31487140643831502</v>
      </c>
      <c r="H3659">
        <v>0.25490936575874001</v>
      </c>
      <c r="I3659">
        <v>0.21309095458796801</v>
      </c>
      <c r="J3659">
        <v>0.20040858019621399</v>
      </c>
      <c r="K3659">
        <v>9.5862705400085901E-2</v>
      </c>
      <c r="L3659">
        <v>723.29336003066499</v>
      </c>
      <c r="M3659">
        <v>13.832696176982701</v>
      </c>
      <c r="N3659">
        <v>53.420225639869102</v>
      </c>
      <c r="O3659">
        <v>51.232210208023801</v>
      </c>
      <c r="P3659">
        <v>-5.8936319017278298E-2</v>
      </c>
      <c r="Q3659">
        <v>0.12699040994277899</v>
      </c>
      <c r="R3659">
        <v>0.99376257172323501</v>
      </c>
      <c r="S3659" t="s">
        <v>9520</v>
      </c>
      <c r="T3659" t="s">
        <v>11720</v>
      </c>
      <c r="U3659" t="s">
        <v>11720</v>
      </c>
      <c r="V3659" t="s">
        <v>11720</v>
      </c>
      <c r="W3659" t="s">
        <v>15326</v>
      </c>
      <c r="X3659">
        <v>4</v>
      </c>
      <c r="Y3659" t="s">
        <v>21044</v>
      </c>
      <c r="Z3659" t="s">
        <v>26866</v>
      </c>
      <c r="AA3659">
        <v>0.50631163496094389</v>
      </c>
      <c r="AB3659" t="str">
        <f>HYPERLINK("Melting_Curves/meltCurve_Q6DKK2_TTC19.pdf", "Melting_Curves/meltCurve_Q6DKK2_TTC19.pdf")</f>
        <v>Melting_Curves/meltCurve_Q6DKK2_TTC19.pdf</v>
      </c>
    </row>
    <row r="3660" spans="1:28" x14ac:dyDescent="0.25">
      <c r="A3660" t="s">
        <v>3664</v>
      </c>
      <c r="B3660">
        <v>0.99334974765950101</v>
      </c>
      <c r="C3660">
        <v>0.97868715766263403</v>
      </c>
      <c r="D3660">
        <v>0.84119568818674495</v>
      </c>
      <c r="E3660">
        <v>0.77945916358625</v>
      </c>
      <c r="F3660">
        <v>0.87604621916132197</v>
      </c>
      <c r="G3660">
        <v>0.72788799555358497</v>
      </c>
      <c r="H3660">
        <v>0.76843898923930398</v>
      </c>
      <c r="I3660">
        <v>0.94209427439837001</v>
      </c>
      <c r="J3660">
        <v>1.1768633870412799</v>
      </c>
      <c r="K3660">
        <v>1.12248062995597</v>
      </c>
      <c r="L3660">
        <v>10778.618942700799</v>
      </c>
      <c r="M3660">
        <v>250</v>
      </c>
      <c r="O3660">
        <v>43.111716747444603</v>
      </c>
      <c r="P3660">
        <v>-0.13872636198066601</v>
      </c>
      <c r="Q3660">
        <v>0.90430829418033798</v>
      </c>
      <c r="R3660">
        <v>5.2660511197649598E-2</v>
      </c>
      <c r="S3660" t="s">
        <v>9521</v>
      </c>
      <c r="T3660" t="s">
        <v>11720</v>
      </c>
      <c r="U3660" t="s">
        <v>11720</v>
      </c>
      <c r="V3660" t="s">
        <v>11720</v>
      </c>
      <c r="W3660" t="s">
        <v>15327</v>
      </c>
      <c r="X3660">
        <v>4</v>
      </c>
      <c r="Y3660" t="s">
        <v>19323</v>
      </c>
      <c r="Z3660" t="s">
        <v>26867</v>
      </c>
      <c r="AA3660">
        <v>0.91424985135870651</v>
      </c>
      <c r="AB3660" t="str">
        <f>HYPERLINK("Melting_Curves/meltCurve_Q6EEV4_2_POLR2M.pdf", "Melting_Curves/meltCurve_Q6EEV4_2_POLR2M.pdf")</f>
        <v>Melting_Curves/meltCurve_Q6EEV4_2_POLR2M.pdf</v>
      </c>
    </row>
    <row r="3661" spans="1:28" x14ac:dyDescent="0.25">
      <c r="A3661" t="s">
        <v>3665</v>
      </c>
      <c r="B3661">
        <v>0.99334974765950101</v>
      </c>
      <c r="C3661">
        <v>0.93836918514841205</v>
      </c>
      <c r="D3661">
        <v>0.93591497035197402</v>
      </c>
      <c r="E3661">
        <v>0.88423768050490303</v>
      </c>
      <c r="F3661">
        <v>0.72966847247224398</v>
      </c>
      <c r="G3661">
        <v>0.67124590870788003</v>
      </c>
      <c r="H3661">
        <v>0.39981688319563702</v>
      </c>
      <c r="I3661">
        <v>0.237063120449168</v>
      </c>
      <c r="J3661">
        <v>0.15967208536661501</v>
      </c>
      <c r="K3661">
        <v>0.133270687033338</v>
      </c>
      <c r="L3661">
        <v>697.95455467682598</v>
      </c>
      <c r="M3661">
        <v>11.884409760695201</v>
      </c>
      <c r="N3661">
        <v>58.728583829369597</v>
      </c>
      <c r="O3661">
        <v>57.139839016806697</v>
      </c>
      <c r="P3661">
        <v>-5.2010071568001998E-2</v>
      </c>
      <c r="Q3661">
        <v>0</v>
      </c>
      <c r="R3661">
        <v>0.98592825069217904</v>
      </c>
      <c r="S3661" t="s">
        <v>9522</v>
      </c>
      <c r="T3661" t="s">
        <v>11720</v>
      </c>
      <c r="U3661" t="s">
        <v>11720</v>
      </c>
      <c r="V3661" t="s">
        <v>11720</v>
      </c>
      <c r="W3661" t="s">
        <v>15328</v>
      </c>
      <c r="X3661">
        <v>10</v>
      </c>
      <c r="Y3661" t="s">
        <v>21045</v>
      </c>
      <c r="Z3661" t="s">
        <v>26868</v>
      </c>
      <c r="AA3661">
        <v>0.63341053062288666</v>
      </c>
      <c r="AB3661" t="str">
        <f>HYPERLINK("Melting_Curves/meltCurve_Q6EMK4_VASN.pdf", "Melting_Curves/meltCurve_Q6EMK4_VASN.pdf")</f>
        <v>Melting_Curves/meltCurve_Q6EMK4_VASN.pdf</v>
      </c>
    </row>
    <row r="3662" spans="1:28" x14ac:dyDescent="0.25">
      <c r="A3662" t="s">
        <v>3666</v>
      </c>
      <c r="B3662">
        <v>0.99334974765950101</v>
      </c>
      <c r="C3662">
        <v>0.95086590888007605</v>
      </c>
      <c r="D3662">
        <v>0.79678174993516204</v>
      </c>
      <c r="E3662">
        <v>0.67878605063541597</v>
      </c>
      <c r="F3662">
        <v>0.28560458427929603</v>
      </c>
      <c r="G3662">
        <v>0.17297644318656699</v>
      </c>
      <c r="H3662">
        <v>0.13125354519252599</v>
      </c>
      <c r="I3662">
        <v>0.13072842477194499</v>
      </c>
      <c r="J3662">
        <v>0.142536175855172</v>
      </c>
      <c r="K3662">
        <v>0.12839503168792599</v>
      </c>
      <c r="L3662">
        <v>974.77818311507701</v>
      </c>
      <c r="M3662">
        <v>19.3891524939127</v>
      </c>
      <c r="N3662">
        <v>50.941321209661901</v>
      </c>
      <c r="O3662">
        <v>49.748785328463697</v>
      </c>
      <c r="P3662">
        <v>-8.6516893829181304E-2</v>
      </c>
      <c r="Q3662">
        <v>0.11209075050610801</v>
      </c>
      <c r="R3662">
        <v>0.9822129225042</v>
      </c>
      <c r="S3662" t="s">
        <v>9523</v>
      </c>
      <c r="T3662" t="s">
        <v>11720</v>
      </c>
      <c r="U3662" t="s">
        <v>11720</v>
      </c>
      <c r="V3662" t="s">
        <v>11720</v>
      </c>
      <c r="W3662" t="s">
        <v>15329</v>
      </c>
      <c r="X3662">
        <v>11</v>
      </c>
      <c r="Y3662" t="s">
        <v>21046</v>
      </c>
      <c r="Z3662" t="s">
        <v>26869</v>
      </c>
      <c r="AA3662">
        <v>0.42928978055594691</v>
      </c>
      <c r="AB3662" t="str">
        <f>HYPERLINK("Melting_Curves/meltCurve_Q6FI81_3_CIAPIN1.pdf", "Melting_Curves/meltCurve_Q6FI81_3_CIAPIN1.pdf")</f>
        <v>Melting_Curves/meltCurve_Q6FI81_3_CIAPIN1.pdf</v>
      </c>
    </row>
    <row r="3663" spans="1:28" x14ac:dyDescent="0.25">
      <c r="A3663" t="s">
        <v>3667</v>
      </c>
      <c r="B3663">
        <v>0.99334974765950101</v>
      </c>
      <c r="C3663">
        <v>1.0457763374662701</v>
      </c>
      <c r="D3663">
        <v>0.96582422805512202</v>
      </c>
      <c r="E3663">
        <v>0.859720566547717</v>
      </c>
      <c r="F3663">
        <v>0.722342369771105</v>
      </c>
      <c r="G3663">
        <v>0.72063505413331297</v>
      </c>
      <c r="H3663">
        <v>0.67303690409949901</v>
      </c>
      <c r="I3663">
        <v>0.82687298496244499</v>
      </c>
      <c r="J3663">
        <v>0.78853489673650001</v>
      </c>
      <c r="K3663">
        <v>0.66931460843122803</v>
      </c>
      <c r="S3663" t="s">
        <v>9524</v>
      </c>
      <c r="T3663" t="s">
        <v>11720</v>
      </c>
      <c r="U3663" t="s">
        <v>11721</v>
      </c>
      <c r="V3663" t="s">
        <v>11720</v>
      </c>
      <c r="W3663" t="s">
        <v>15330</v>
      </c>
      <c r="X3663">
        <v>5</v>
      </c>
      <c r="Y3663" t="s">
        <v>21047</v>
      </c>
      <c r="Z3663" t="s">
        <v>26870</v>
      </c>
      <c r="AB3663" t="str">
        <f>HYPERLINK("Melting_Curves/meltCurve_Q6FIF0_2_ZFAND6.pdf", "Melting_Curves/meltCurve_Q6FIF0_2_ZFAND6.pdf")</f>
        <v>Melting_Curves/meltCurve_Q6FIF0_2_ZFAND6.pdf</v>
      </c>
    </row>
    <row r="3664" spans="1:28" x14ac:dyDescent="0.25">
      <c r="A3664" t="s">
        <v>3668</v>
      </c>
      <c r="B3664">
        <v>0.99334974765950101</v>
      </c>
      <c r="C3664">
        <v>0.98529786103175099</v>
      </c>
      <c r="D3664">
        <v>0.90573004135164803</v>
      </c>
      <c r="E3664">
        <v>0.75958306124493502</v>
      </c>
      <c r="F3664">
        <v>0.36740825919461201</v>
      </c>
      <c r="G3664">
        <v>0.14065740518165801</v>
      </c>
      <c r="H3664">
        <v>0.100524667222394</v>
      </c>
      <c r="I3664">
        <v>8.5281755590809402E-2</v>
      </c>
      <c r="J3664">
        <v>7.9667721538130898E-2</v>
      </c>
      <c r="K3664">
        <v>6.2384665107850103E-2</v>
      </c>
      <c r="L3664">
        <v>1398.3154544164499</v>
      </c>
      <c r="M3664">
        <v>27.0715150469657</v>
      </c>
      <c r="N3664">
        <v>51.963295806842403</v>
      </c>
      <c r="O3664">
        <v>51.373267966965599</v>
      </c>
      <c r="P3664">
        <v>-0.121897646862257</v>
      </c>
      <c r="Q3664">
        <v>7.4714688880548594E-2</v>
      </c>
      <c r="R3664">
        <v>0.99644442300854497</v>
      </c>
      <c r="S3664" t="s">
        <v>9525</v>
      </c>
      <c r="T3664" t="s">
        <v>11720</v>
      </c>
      <c r="U3664" t="s">
        <v>11720</v>
      </c>
      <c r="V3664" t="s">
        <v>11720</v>
      </c>
      <c r="W3664" t="s">
        <v>15331</v>
      </c>
      <c r="X3664">
        <v>11</v>
      </c>
      <c r="Y3664" t="s">
        <v>21048</v>
      </c>
      <c r="Z3664" t="s">
        <v>26871</v>
      </c>
      <c r="AA3664">
        <v>0.4413204960198327</v>
      </c>
      <c r="AB3664" t="str">
        <f>HYPERLINK("Melting_Curves/meltCurve_Q6GMV2_SMYD5.pdf", "Melting_Curves/meltCurve_Q6GMV2_SMYD5.pdf")</f>
        <v>Melting_Curves/meltCurve_Q6GMV2_SMYD5.pdf</v>
      </c>
    </row>
    <row r="3665" spans="1:28" x14ac:dyDescent="0.25">
      <c r="A3665" t="s">
        <v>3669</v>
      </c>
      <c r="B3665">
        <v>0.99334974765950101</v>
      </c>
      <c r="C3665">
        <v>0.97458677597305599</v>
      </c>
      <c r="D3665">
        <v>0.79369614732815197</v>
      </c>
      <c r="E3665">
        <v>0.79335555084717202</v>
      </c>
      <c r="F3665">
        <v>0.57336708985750895</v>
      </c>
      <c r="G3665">
        <v>0.52615990191375295</v>
      </c>
      <c r="H3665">
        <v>0.41144230659373399</v>
      </c>
      <c r="I3665">
        <v>0.451586900490135</v>
      </c>
      <c r="J3665">
        <v>0.24668635738942701</v>
      </c>
      <c r="K3665">
        <v>0.243789755911937</v>
      </c>
      <c r="L3665">
        <v>426.38916574181002</v>
      </c>
      <c r="M3665">
        <v>7.6174050386545096</v>
      </c>
      <c r="N3665">
        <v>57.690784058991198</v>
      </c>
      <c r="O3665">
        <v>52.508829225904897</v>
      </c>
      <c r="P3665">
        <v>-3.26366861851023E-2</v>
      </c>
      <c r="Q3665">
        <v>0.101326101011597</v>
      </c>
      <c r="R3665">
        <v>0.957366508155018</v>
      </c>
      <c r="S3665" t="s">
        <v>9526</v>
      </c>
      <c r="T3665" t="s">
        <v>11720</v>
      </c>
      <c r="U3665" t="s">
        <v>11720</v>
      </c>
      <c r="V3665" t="s">
        <v>11720</v>
      </c>
      <c r="W3665" t="s">
        <v>15332</v>
      </c>
      <c r="X3665">
        <v>6</v>
      </c>
      <c r="Y3665" t="s">
        <v>21049</v>
      </c>
      <c r="Z3665" t="s">
        <v>26872</v>
      </c>
      <c r="AA3665">
        <v>0.59733941000520729</v>
      </c>
      <c r="AB3665" t="str">
        <f>HYPERLINK("Melting_Curves/meltCurve_Q6GMV3_PTRHD1.pdf", "Melting_Curves/meltCurve_Q6GMV3_PTRHD1.pdf")</f>
        <v>Melting_Curves/meltCurve_Q6GMV3_PTRHD1.pdf</v>
      </c>
    </row>
    <row r="3666" spans="1:28" x14ac:dyDescent="0.25">
      <c r="A3666" t="s">
        <v>3670</v>
      </c>
      <c r="B3666">
        <v>0.99334974765950101</v>
      </c>
      <c r="C3666">
        <v>1.0392158315182001</v>
      </c>
      <c r="D3666">
        <v>0.89945691122728</v>
      </c>
      <c r="E3666">
        <v>0.491952008623667</v>
      </c>
      <c r="F3666">
        <v>0.33728664851352902</v>
      </c>
      <c r="G3666">
        <v>0.19446200897756999</v>
      </c>
      <c r="H3666">
        <v>0.16024840851275099</v>
      </c>
      <c r="I3666">
        <v>0.14829177852198999</v>
      </c>
      <c r="J3666">
        <v>0.17315107374972</v>
      </c>
      <c r="K3666">
        <v>0.147158222905626</v>
      </c>
      <c r="L3666">
        <v>1225.9484297522299</v>
      </c>
      <c r="M3666">
        <v>24.779213031033201</v>
      </c>
      <c r="N3666">
        <v>50.255757431372501</v>
      </c>
      <c r="O3666">
        <v>49.156022956704199</v>
      </c>
      <c r="P3666">
        <v>-0.105888207345758</v>
      </c>
      <c r="Q3666">
        <v>0.159784351028185</v>
      </c>
      <c r="R3666">
        <v>0.99450793191086995</v>
      </c>
      <c r="S3666" t="s">
        <v>9527</v>
      </c>
      <c r="T3666" t="s">
        <v>11720</v>
      </c>
      <c r="U3666" t="s">
        <v>11720</v>
      </c>
      <c r="V3666" t="s">
        <v>11720</v>
      </c>
      <c r="W3666" t="s">
        <v>15333</v>
      </c>
      <c r="X3666">
        <v>13</v>
      </c>
      <c r="Y3666" t="s">
        <v>21050</v>
      </c>
      <c r="Z3666" t="s">
        <v>26873</v>
      </c>
      <c r="AA3666">
        <v>0.43275748797617619</v>
      </c>
      <c r="AB3666" t="str">
        <f>HYPERLINK("Melting_Curves/meltCurve_Q6GQQ9_OTUD7B.pdf", "Melting_Curves/meltCurve_Q6GQQ9_OTUD7B.pdf")</f>
        <v>Melting_Curves/meltCurve_Q6GQQ9_OTUD7B.pdf</v>
      </c>
    </row>
    <row r="3667" spans="1:28" x14ac:dyDescent="0.25">
      <c r="A3667" t="s">
        <v>3671</v>
      </c>
      <c r="B3667">
        <v>0.99334974765950101</v>
      </c>
      <c r="C3667">
        <v>0.95375681369002896</v>
      </c>
      <c r="D3667">
        <v>0.89854011083297602</v>
      </c>
      <c r="E3667">
        <v>0.83820581222724</v>
      </c>
      <c r="F3667">
        <v>0.933536160092305</v>
      </c>
      <c r="G3667">
        <v>0.63863116534943798</v>
      </c>
      <c r="H3667">
        <v>0.57183081830409999</v>
      </c>
      <c r="I3667">
        <v>0.59856705433676005</v>
      </c>
      <c r="J3667">
        <v>0.65617281987269604</v>
      </c>
      <c r="K3667">
        <v>0.53533314107611796</v>
      </c>
      <c r="L3667">
        <v>608.94291939260097</v>
      </c>
      <c r="M3667">
        <v>11.181719298096301</v>
      </c>
      <c r="O3667">
        <v>52.804080489991797</v>
      </c>
      <c r="P3667">
        <v>-2.52061265558065E-2</v>
      </c>
      <c r="Q3667">
        <v>0.52402134466556105</v>
      </c>
      <c r="R3667">
        <v>0.86864143180333997</v>
      </c>
      <c r="S3667" t="s">
        <v>9528</v>
      </c>
      <c r="T3667" t="s">
        <v>11720</v>
      </c>
      <c r="U3667" t="s">
        <v>11720</v>
      </c>
      <c r="V3667" t="s">
        <v>11720</v>
      </c>
      <c r="W3667" t="s">
        <v>15334</v>
      </c>
      <c r="X3667">
        <v>10</v>
      </c>
      <c r="Y3667" t="s">
        <v>21051</v>
      </c>
      <c r="Z3667" t="s">
        <v>26874</v>
      </c>
      <c r="AA3667">
        <v>0.76595693015767141</v>
      </c>
      <c r="AB3667" t="str">
        <f>HYPERLINK("Melting_Curves/meltCurve_Q6GYA4_SELS.pdf", "Melting_Curves/meltCurve_Q6GYA4_SELS.pdf")</f>
        <v>Melting_Curves/meltCurve_Q6GYA4_SELS.pdf</v>
      </c>
    </row>
    <row r="3668" spans="1:28" x14ac:dyDescent="0.25">
      <c r="A3668" t="s">
        <v>3672</v>
      </c>
      <c r="B3668">
        <v>0.99334974765950101</v>
      </c>
      <c r="C3668">
        <v>1.15419711836242</v>
      </c>
      <c r="D3668">
        <v>0.98629245902737495</v>
      </c>
      <c r="E3668">
        <v>0.840196165950995</v>
      </c>
      <c r="F3668">
        <v>0.68584763641155699</v>
      </c>
      <c r="G3668">
        <v>0.44868055486483199</v>
      </c>
      <c r="H3668">
        <v>0.52203339849932195</v>
      </c>
      <c r="I3668">
        <v>0.27955598188036201</v>
      </c>
      <c r="J3668">
        <v>0.64429643040195705</v>
      </c>
      <c r="K3668">
        <v>0.41495298301315803</v>
      </c>
      <c r="L3668">
        <v>1479.6137448054301</v>
      </c>
      <c r="M3668">
        <v>28.470210868594101</v>
      </c>
      <c r="N3668">
        <v>56.765657761708397</v>
      </c>
      <c r="O3668">
        <v>51.716228997713699</v>
      </c>
      <c r="P3668">
        <v>-7.5026184814544303E-2</v>
      </c>
      <c r="Q3668">
        <v>0.45486332541690599</v>
      </c>
      <c r="R3668">
        <v>0.86608088406802997</v>
      </c>
      <c r="S3668" t="s">
        <v>9529</v>
      </c>
      <c r="T3668" t="s">
        <v>11720</v>
      </c>
      <c r="U3668" t="s">
        <v>11720</v>
      </c>
      <c r="V3668" t="s">
        <v>11720</v>
      </c>
      <c r="W3668" t="s">
        <v>15335</v>
      </c>
      <c r="X3668">
        <v>1</v>
      </c>
      <c r="Y3668" t="s">
        <v>21052</v>
      </c>
      <c r="Z3668" t="s">
        <v>26875</v>
      </c>
      <c r="AA3668">
        <v>0.67624470774187584</v>
      </c>
      <c r="AB3668" t="str">
        <f>HYPERLINK("Melting_Curves/meltCurve_Q6I9Y2_THOC7.pdf", "Melting_Curves/meltCurve_Q6I9Y2_THOC7.pdf")</f>
        <v>Melting_Curves/meltCurve_Q6I9Y2_THOC7.pdf</v>
      </c>
    </row>
    <row r="3669" spans="1:28" x14ac:dyDescent="0.25">
      <c r="A3669" t="s">
        <v>3673</v>
      </c>
      <c r="B3669">
        <v>0.99334974765950101</v>
      </c>
      <c r="C3669">
        <v>0.89655167470206598</v>
      </c>
      <c r="D3669">
        <v>1.0838725712795201</v>
      </c>
      <c r="E3669">
        <v>1.17545104351181</v>
      </c>
      <c r="F3669">
        <v>1.2080253426181899</v>
      </c>
      <c r="G3669">
        <v>1.6564498269322401</v>
      </c>
      <c r="H3669">
        <v>0.71928781546583598</v>
      </c>
      <c r="I3669">
        <v>0.24095871148849499</v>
      </c>
      <c r="J3669">
        <v>0.21473191330980501</v>
      </c>
      <c r="K3669">
        <v>0.14675033806295501</v>
      </c>
      <c r="L3669">
        <v>5832.5097328910497</v>
      </c>
      <c r="M3669">
        <v>94.963841494730303</v>
      </c>
      <c r="N3669">
        <v>61.738340915515799</v>
      </c>
      <c r="O3669">
        <v>61.390994161865301</v>
      </c>
      <c r="P3669">
        <v>-0.311533686174711</v>
      </c>
      <c r="Q3669">
        <v>0.194415005844842</v>
      </c>
      <c r="R3669">
        <v>0.76528929470100904</v>
      </c>
      <c r="S3669" t="s">
        <v>9530</v>
      </c>
      <c r="T3669" t="s">
        <v>11720</v>
      </c>
      <c r="U3669" t="s">
        <v>11720</v>
      </c>
      <c r="V3669" t="s">
        <v>11720</v>
      </c>
      <c r="W3669" t="s">
        <v>15336</v>
      </c>
      <c r="X3669">
        <v>3</v>
      </c>
      <c r="Y3669" t="s">
        <v>21053</v>
      </c>
      <c r="Z3669" t="s">
        <v>26876</v>
      </c>
      <c r="AA3669">
        <v>0.77015716657303612</v>
      </c>
      <c r="AB3669" t="str">
        <f>HYPERLINK("Melting_Curves/meltCurve_Q6IA69_NADSYN1.pdf", "Melting_Curves/meltCurve_Q6IA69_NADSYN1.pdf")</f>
        <v>Melting_Curves/meltCurve_Q6IA69_NADSYN1.pdf</v>
      </c>
    </row>
    <row r="3670" spans="1:28" x14ac:dyDescent="0.25">
      <c r="A3670" t="s">
        <v>3674</v>
      </c>
      <c r="B3670">
        <v>0.99334974765950101</v>
      </c>
      <c r="C3670">
        <v>0.96305188172406597</v>
      </c>
      <c r="D3670">
        <v>0.92560561932254803</v>
      </c>
      <c r="E3670">
        <v>0.63199854203669004</v>
      </c>
      <c r="F3670">
        <v>0.39018019621787298</v>
      </c>
      <c r="G3670">
        <v>0.32758867229484101</v>
      </c>
      <c r="H3670">
        <v>0.243407100775857</v>
      </c>
      <c r="I3670">
        <v>0.17917499278613599</v>
      </c>
      <c r="J3670">
        <v>0.139807356192028</v>
      </c>
      <c r="K3670">
        <v>0.105288669717234</v>
      </c>
      <c r="L3670">
        <v>841.94934669589702</v>
      </c>
      <c r="M3670">
        <v>16.4999183045081</v>
      </c>
      <c r="N3670">
        <v>52.087519991670902</v>
      </c>
      <c r="O3670">
        <v>50.295624292712098</v>
      </c>
      <c r="P3670">
        <v>-7.0323240555420302E-2</v>
      </c>
      <c r="Q3670">
        <v>0.142612692297201</v>
      </c>
      <c r="R3670">
        <v>0.98861207489804703</v>
      </c>
      <c r="S3670" t="s">
        <v>9531</v>
      </c>
      <c r="T3670" t="s">
        <v>11720</v>
      </c>
      <c r="U3670" t="s">
        <v>11720</v>
      </c>
      <c r="V3670" t="s">
        <v>11720</v>
      </c>
      <c r="W3670" t="s">
        <v>15337</v>
      </c>
      <c r="X3670">
        <v>7</v>
      </c>
      <c r="Y3670" t="s">
        <v>21054</v>
      </c>
      <c r="Z3670" t="s">
        <v>26877</v>
      </c>
      <c r="AA3670">
        <v>0.47461730339194358</v>
      </c>
      <c r="AB3670" t="str">
        <f>HYPERLINK("Melting_Curves/meltCurve_Q6IA86_3_ELP2.pdf", "Melting_Curves/meltCurve_Q6IA86_3_ELP2.pdf")</f>
        <v>Melting_Curves/meltCurve_Q6IA86_3_ELP2.pdf</v>
      </c>
    </row>
    <row r="3671" spans="1:28" x14ac:dyDescent="0.25">
      <c r="A3671" t="s">
        <v>3675</v>
      </c>
      <c r="B3671">
        <v>0.99334974765950101</v>
      </c>
      <c r="C3671">
        <v>0.93066463517077302</v>
      </c>
      <c r="D3671">
        <v>0.94588082206923096</v>
      </c>
      <c r="E3671">
        <v>0.84475104824182901</v>
      </c>
      <c r="F3671">
        <v>1.0139821219176799</v>
      </c>
      <c r="G3671">
        <v>0.668156148107658</v>
      </c>
      <c r="H3671">
        <v>0.48536968637229699</v>
      </c>
      <c r="I3671">
        <v>0.29333643227398798</v>
      </c>
      <c r="J3671">
        <v>0.22215668580589701</v>
      </c>
      <c r="K3671">
        <v>0.158737595502459</v>
      </c>
      <c r="L3671">
        <v>976.81688849771501</v>
      </c>
      <c r="M3671">
        <v>16.355878151743202</v>
      </c>
      <c r="N3671">
        <v>60.382147713640101</v>
      </c>
      <c r="O3671">
        <v>58.851313002241397</v>
      </c>
      <c r="P3671">
        <v>-6.3801325866463296E-2</v>
      </c>
      <c r="Q3671">
        <v>8.1792664878692703E-2</v>
      </c>
      <c r="R3671">
        <v>0.963903259959628</v>
      </c>
      <c r="S3671" t="s">
        <v>9532</v>
      </c>
      <c r="T3671" t="s">
        <v>11720</v>
      </c>
      <c r="U3671" t="s">
        <v>11720</v>
      </c>
      <c r="V3671" t="s">
        <v>11720</v>
      </c>
      <c r="W3671" t="s">
        <v>15338</v>
      </c>
      <c r="X3671">
        <v>7</v>
      </c>
      <c r="Y3671" t="s">
        <v>21055</v>
      </c>
      <c r="Z3671" t="s">
        <v>26878</v>
      </c>
      <c r="AA3671">
        <v>0.6933814498623001</v>
      </c>
      <c r="AB3671" t="str">
        <f>HYPERLINK("Melting_Curves/meltCurve_Q6IAA8_LAMTOR1.pdf", "Melting_Curves/meltCurve_Q6IAA8_LAMTOR1.pdf")</f>
        <v>Melting_Curves/meltCurve_Q6IAA8_LAMTOR1.pdf</v>
      </c>
    </row>
    <row r="3672" spans="1:28" x14ac:dyDescent="0.25">
      <c r="A3672" t="s">
        <v>3676</v>
      </c>
      <c r="B3672">
        <v>0.99334974765950101</v>
      </c>
      <c r="C3672">
        <v>0.87326947492300599</v>
      </c>
      <c r="D3672">
        <v>0.95088259306616996</v>
      </c>
      <c r="E3672">
        <v>0.67609736681895405</v>
      </c>
      <c r="F3672">
        <v>0.214220137905028</v>
      </c>
      <c r="G3672">
        <v>0.137342973885968</v>
      </c>
      <c r="H3672">
        <v>0.123660086050376</v>
      </c>
      <c r="I3672">
        <v>0.107125099518585</v>
      </c>
      <c r="J3672">
        <v>0.17886065893490499</v>
      </c>
      <c r="K3672">
        <v>5.7607997165523499E-2</v>
      </c>
      <c r="L3672">
        <v>2206.5429646387202</v>
      </c>
      <c r="M3672">
        <v>43.6184787219035</v>
      </c>
      <c r="N3672">
        <v>50.901623375570601</v>
      </c>
      <c r="O3672">
        <v>50.481359470826497</v>
      </c>
      <c r="P3672">
        <v>-0.19051318841119</v>
      </c>
      <c r="Q3672">
        <v>0.118048054177654</v>
      </c>
      <c r="R3672">
        <v>0.98166667810796004</v>
      </c>
      <c r="S3672" t="s">
        <v>9533</v>
      </c>
      <c r="T3672" t="s">
        <v>11720</v>
      </c>
      <c r="U3672" t="s">
        <v>11720</v>
      </c>
      <c r="V3672" t="s">
        <v>11720</v>
      </c>
      <c r="W3672" t="s">
        <v>15339</v>
      </c>
      <c r="X3672">
        <v>3</v>
      </c>
      <c r="Y3672" t="s">
        <v>21056</v>
      </c>
      <c r="Z3672" t="s">
        <v>26879</v>
      </c>
      <c r="AA3672">
        <v>0.43188939253991088</v>
      </c>
      <c r="AB3672" t="str">
        <f>HYPERLINK("Melting_Curves/meltCurve_Q6IAN0_DHRS7B.pdf", "Melting_Curves/meltCurve_Q6IAN0_DHRS7B.pdf")</f>
        <v>Melting_Curves/meltCurve_Q6IAN0_DHRS7B.pdf</v>
      </c>
    </row>
    <row r="3673" spans="1:28" x14ac:dyDescent="0.25">
      <c r="A3673" t="s">
        <v>3677</v>
      </c>
      <c r="B3673">
        <v>0.99334974765950101</v>
      </c>
      <c r="C3673">
        <v>1.0804473592777399</v>
      </c>
      <c r="D3673">
        <v>1.02905485330625</v>
      </c>
      <c r="E3673">
        <v>1.0272363184045099</v>
      </c>
      <c r="F3673">
        <v>1.1980649447043801</v>
      </c>
      <c r="G3673">
        <v>0.50356632154557202</v>
      </c>
      <c r="H3673">
        <v>0.22010754279595299</v>
      </c>
      <c r="I3673">
        <v>0.14368780031004</v>
      </c>
      <c r="J3673">
        <v>0.101362173323961</v>
      </c>
      <c r="K3673">
        <v>9.2738813307837994E-2</v>
      </c>
      <c r="L3673">
        <v>9559.9104307358393</v>
      </c>
      <c r="M3673">
        <v>168.027723200146</v>
      </c>
      <c r="N3673">
        <v>57.005790959658697</v>
      </c>
      <c r="O3673">
        <v>56.886781681879697</v>
      </c>
      <c r="P3673">
        <v>-0.63544131264035897</v>
      </c>
      <c r="Q3673">
        <v>0.139470320157282</v>
      </c>
      <c r="R3673">
        <v>0.97070639472686104</v>
      </c>
      <c r="S3673" t="s">
        <v>9534</v>
      </c>
      <c r="T3673" t="s">
        <v>11720</v>
      </c>
      <c r="U3673" t="s">
        <v>11720</v>
      </c>
      <c r="V3673" t="s">
        <v>11720</v>
      </c>
      <c r="W3673" t="s">
        <v>15340</v>
      </c>
      <c r="X3673">
        <v>13</v>
      </c>
      <c r="Y3673" t="s">
        <v>21057</v>
      </c>
      <c r="Z3673" t="s">
        <v>26880</v>
      </c>
      <c r="AA3673">
        <v>0.62427762236431328</v>
      </c>
      <c r="AB3673" t="str">
        <f>HYPERLINK("Melting_Curves/meltCurve_Q6IBS0_TWF2.pdf", "Melting_Curves/meltCurve_Q6IBS0_TWF2.pdf")</f>
        <v>Melting_Curves/meltCurve_Q6IBS0_TWF2.pdf</v>
      </c>
    </row>
    <row r="3674" spans="1:28" x14ac:dyDescent="0.25">
      <c r="A3674" t="s">
        <v>3678</v>
      </c>
      <c r="B3674">
        <v>0.99334974765950101</v>
      </c>
      <c r="C3674">
        <v>0.87949295740813704</v>
      </c>
      <c r="D3674">
        <v>0.55253335001412196</v>
      </c>
      <c r="E3674">
        <v>0.31545677705223402</v>
      </c>
      <c r="F3674">
        <v>0.19096605627442301</v>
      </c>
      <c r="G3674">
        <v>0.13650923688264999</v>
      </c>
      <c r="H3674">
        <v>0.103924286539799</v>
      </c>
      <c r="I3674">
        <v>0.108892944074373</v>
      </c>
      <c r="J3674">
        <v>8.3902177139443604E-2</v>
      </c>
      <c r="K3674">
        <v>7.9444408803077002E-2</v>
      </c>
      <c r="L3674">
        <v>876.28371033436997</v>
      </c>
      <c r="M3674">
        <v>18.825927548209599</v>
      </c>
      <c r="N3674">
        <v>47.081761114716599</v>
      </c>
      <c r="O3674">
        <v>46.030991078061703</v>
      </c>
      <c r="P3674">
        <v>-9.2402065446824805E-2</v>
      </c>
      <c r="Q3674">
        <v>9.6313989265687003E-2</v>
      </c>
      <c r="R3674">
        <v>0.99460952949674897</v>
      </c>
      <c r="S3674" t="s">
        <v>9535</v>
      </c>
      <c r="T3674" t="s">
        <v>11720</v>
      </c>
      <c r="U3674" t="s">
        <v>11720</v>
      </c>
      <c r="V3674" t="s">
        <v>11720</v>
      </c>
      <c r="W3674" t="s">
        <v>15341</v>
      </c>
      <c r="X3674">
        <v>3</v>
      </c>
      <c r="Y3674" t="s">
        <v>21058</v>
      </c>
      <c r="Z3674" t="s">
        <v>26881</v>
      </c>
      <c r="AA3674">
        <v>0.30898805110157118</v>
      </c>
      <c r="AB3674" t="str">
        <f>HYPERLINK("Melting_Curves/meltCurve_Q6ICB0_DESI1.pdf", "Melting_Curves/meltCurve_Q6ICB0_DESI1.pdf")</f>
        <v>Melting_Curves/meltCurve_Q6ICB0_DESI1.pdf</v>
      </c>
    </row>
    <row r="3675" spans="1:28" x14ac:dyDescent="0.25">
      <c r="A3675" t="s">
        <v>3679</v>
      </c>
      <c r="B3675">
        <v>0.99334974765950101</v>
      </c>
      <c r="C3675">
        <v>1.1017857862017499</v>
      </c>
      <c r="D3675">
        <v>1.02254869715132</v>
      </c>
      <c r="E3675">
        <v>0.78160597305408097</v>
      </c>
      <c r="F3675">
        <v>0.90985228786893402</v>
      </c>
      <c r="G3675">
        <v>0.73614485598807</v>
      </c>
      <c r="H3675">
        <v>0.55303301868970201</v>
      </c>
      <c r="I3675">
        <v>0.414022084366649</v>
      </c>
      <c r="J3675">
        <v>0.329988084110726</v>
      </c>
      <c r="K3675">
        <v>0.27394580807025298</v>
      </c>
      <c r="L3675">
        <v>654.20239609887903</v>
      </c>
      <c r="M3675">
        <v>10.6401121640792</v>
      </c>
      <c r="N3675">
        <v>62.233238411806902</v>
      </c>
      <c r="O3675">
        <v>59.432001684408903</v>
      </c>
      <c r="P3675">
        <v>-4.2084801153123803E-2</v>
      </c>
      <c r="Q3675">
        <v>6.0075593451069699E-2</v>
      </c>
      <c r="R3675">
        <v>0.95250949088229597</v>
      </c>
      <c r="S3675" t="s">
        <v>9536</v>
      </c>
      <c r="T3675" t="s">
        <v>11720</v>
      </c>
      <c r="U3675" t="s">
        <v>11720</v>
      </c>
      <c r="V3675" t="s">
        <v>11720</v>
      </c>
      <c r="W3675" t="s">
        <v>15342</v>
      </c>
      <c r="X3675">
        <v>3</v>
      </c>
      <c r="Y3675" t="s">
        <v>21059</v>
      </c>
      <c r="Z3675" t="s">
        <v>26882</v>
      </c>
      <c r="AA3675">
        <v>0.72091526068000311</v>
      </c>
      <c r="AB3675" t="str">
        <f>HYPERLINK("Melting_Curves/meltCurve_Q6ICB4_FAM109B.pdf", "Melting_Curves/meltCurve_Q6ICB4_FAM109B.pdf")</f>
        <v>Melting_Curves/meltCurve_Q6ICB4_FAM109B.pdf</v>
      </c>
    </row>
    <row r="3676" spans="1:28" x14ac:dyDescent="0.25">
      <c r="A3676" t="s">
        <v>3680</v>
      </c>
      <c r="B3676">
        <v>0.99334974765950101</v>
      </c>
      <c r="C3676">
        <v>0.96593054692173796</v>
      </c>
      <c r="D3676">
        <v>1.00191079445672</v>
      </c>
      <c r="E3676">
        <v>0.85723043073088301</v>
      </c>
      <c r="F3676">
        <v>0.74115940220154597</v>
      </c>
      <c r="G3676">
        <v>0.53414929912129705</v>
      </c>
      <c r="H3676">
        <v>0.27802242822213002</v>
      </c>
      <c r="I3676">
        <v>0.24203292829603101</v>
      </c>
      <c r="J3676">
        <v>0.208096441496567</v>
      </c>
      <c r="K3676">
        <v>0.18375166892134501</v>
      </c>
      <c r="L3676">
        <v>890.97788620546396</v>
      </c>
      <c r="M3676">
        <v>15.971234437587499</v>
      </c>
      <c r="N3676">
        <v>57.001103557639702</v>
      </c>
      <c r="O3676">
        <v>54.933804543127799</v>
      </c>
      <c r="P3676">
        <v>-6.2205134812116397E-2</v>
      </c>
      <c r="Q3676">
        <v>0.14423776485251999</v>
      </c>
      <c r="R3676">
        <v>0.99523108575386698</v>
      </c>
      <c r="S3676" t="s">
        <v>9537</v>
      </c>
      <c r="T3676" t="s">
        <v>11720</v>
      </c>
      <c r="U3676" t="s">
        <v>11720</v>
      </c>
      <c r="V3676" t="s">
        <v>11720</v>
      </c>
      <c r="W3676" t="s">
        <v>15343</v>
      </c>
      <c r="X3676">
        <v>5</v>
      </c>
      <c r="Y3676" t="s">
        <v>21060</v>
      </c>
      <c r="Z3676" t="s">
        <v>26883</v>
      </c>
      <c r="AA3676">
        <v>0.609139274003905</v>
      </c>
      <c r="AB3676" t="str">
        <f>HYPERLINK("Melting_Curves/meltCurve_Q6ICG6_KIAA0930.pdf", "Melting_Curves/meltCurve_Q6ICG6_KIAA0930.pdf")</f>
        <v>Melting_Curves/meltCurve_Q6ICG6_KIAA0930.pdf</v>
      </c>
    </row>
    <row r="3677" spans="1:28" x14ac:dyDescent="0.25">
      <c r="A3677" t="s">
        <v>3681</v>
      </c>
      <c r="B3677">
        <v>0.99334974765950101</v>
      </c>
      <c r="C3677">
        <v>0.971425752293401</v>
      </c>
      <c r="D3677">
        <v>0.873397060270381</v>
      </c>
      <c r="E3677">
        <v>0.79146287536854598</v>
      </c>
      <c r="F3677">
        <v>0.66495549101580198</v>
      </c>
      <c r="G3677">
        <v>0.56167695756736002</v>
      </c>
      <c r="H3677">
        <v>0.43476372985170902</v>
      </c>
      <c r="I3677">
        <v>0.44395168391265799</v>
      </c>
      <c r="J3677">
        <v>0.29640411718001602</v>
      </c>
      <c r="K3677">
        <v>0.19527612842855099</v>
      </c>
      <c r="L3677">
        <v>428.44592180537501</v>
      </c>
      <c r="M3677">
        <v>7.2489007997814996</v>
      </c>
      <c r="N3677">
        <v>59.104951138744802</v>
      </c>
      <c r="O3677">
        <v>55.104339416197099</v>
      </c>
      <c r="P3677">
        <v>-3.2940792870407902E-2</v>
      </c>
      <c r="Q3677">
        <v>0</v>
      </c>
      <c r="R3677">
        <v>0.983644360146255</v>
      </c>
      <c r="S3677" t="s">
        <v>9538</v>
      </c>
      <c r="T3677" t="s">
        <v>11720</v>
      </c>
      <c r="U3677" t="s">
        <v>11720</v>
      </c>
      <c r="V3677" t="s">
        <v>11720</v>
      </c>
      <c r="W3677" t="s">
        <v>15344</v>
      </c>
      <c r="X3677">
        <v>7</v>
      </c>
      <c r="Y3677" t="s">
        <v>21061</v>
      </c>
      <c r="Z3677" t="s">
        <v>26884</v>
      </c>
      <c r="AA3677">
        <v>0.62543181166289752</v>
      </c>
      <c r="AB3677" t="str">
        <f>HYPERLINK("Melting_Curves/meltCurve_Q6ICJ4_Em_AP000351_3.pdf", "Melting_Curves/meltCurve_Q6ICJ4_Em_AP000351_3.pdf")</f>
        <v>Melting_Curves/meltCurve_Q6ICJ4_Em_AP000351_3.pdf</v>
      </c>
    </row>
    <row r="3678" spans="1:28" x14ac:dyDescent="0.25">
      <c r="A3678" t="s">
        <v>3682</v>
      </c>
      <c r="B3678">
        <v>0.99334974765950101</v>
      </c>
      <c r="C3678">
        <v>0.96744733971022501</v>
      </c>
      <c r="D3678">
        <v>0.94999129278864503</v>
      </c>
      <c r="E3678">
        <v>0.70948113724082995</v>
      </c>
      <c r="F3678">
        <v>0.47458357310668903</v>
      </c>
      <c r="G3678">
        <v>0.164515447291986</v>
      </c>
      <c r="H3678">
        <v>4.4543852354286699E-2</v>
      </c>
      <c r="I3678">
        <v>3.5933208385067202E-2</v>
      </c>
      <c r="J3678">
        <v>2.4459876386409E-2</v>
      </c>
      <c r="K3678">
        <v>2.04970105482381E-2</v>
      </c>
      <c r="L3678">
        <v>1036.7141275777001</v>
      </c>
      <c r="M3678">
        <v>19.762896763659299</v>
      </c>
      <c r="N3678">
        <v>52.482303231568302</v>
      </c>
      <c r="O3678">
        <v>51.929355217487497</v>
      </c>
      <c r="P3678">
        <v>-9.4706341732509705E-2</v>
      </c>
      <c r="Q3678">
        <v>4.6253935501188396E-3</v>
      </c>
      <c r="R3678">
        <v>0.99884456786089704</v>
      </c>
      <c r="S3678" t="s">
        <v>9539</v>
      </c>
      <c r="T3678" t="s">
        <v>11720</v>
      </c>
      <c r="U3678" t="s">
        <v>11720</v>
      </c>
      <c r="V3678" t="s">
        <v>11720</v>
      </c>
      <c r="W3678" t="s">
        <v>15345</v>
      </c>
      <c r="X3678">
        <v>4</v>
      </c>
      <c r="Y3678" t="s">
        <v>21062</v>
      </c>
      <c r="Z3678" t="s">
        <v>26885</v>
      </c>
      <c r="AA3678">
        <v>0.43199109667729257</v>
      </c>
      <c r="AB3678" t="str">
        <f>HYPERLINK("Melting_Curves/meltCurve_Q6ICL3_TANGO2.pdf", "Melting_Curves/meltCurve_Q6ICL3_TANGO2.pdf")</f>
        <v>Melting_Curves/meltCurve_Q6ICL3_TANGO2.pdf</v>
      </c>
    </row>
    <row r="3679" spans="1:28" x14ac:dyDescent="0.25">
      <c r="A3679" t="s">
        <v>3683</v>
      </c>
      <c r="B3679">
        <v>0.99334974765950101</v>
      </c>
      <c r="C3679">
        <v>0.97341814857337705</v>
      </c>
      <c r="D3679">
        <v>0.88115669631090898</v>
      </c>
      <c r="E3679">
        <v>0.784345263034113</v>
      </c>
      <c r="F3679">
        <v>0.67464354370859203</v>
      </c>
      <c r="G3679">
        <v>0.403833227903659</v>
      </c>
      <c r="H3679">
        <v>0.24580848409960801</v>
      </c>
      <c r="I3679">
        <v>0.178086556954062</v>
      </c>
      <c r="J3679">
        <v>0.159762225773316</v>
      </c>
      <c r="K3679">
        <v>0.13303116285661801</v>
      </c>
      <c r="L3679">
        <v>706.52461274524205</v>
      </c>
      <c r="M3679">
        <v>12.9043105629646</v>
      </c>
      <c r="N3679">
        <v>55.372822107841202</v>
      </c>
      <c r="O3679">
        <v>53.486220792047497</v>
      </c>
      <c r="P3679">
        <v>-5.6258242166985002E-2</v>
      </c>
      <c r="Q3679">
        <v>6.7445344789877099E-2</v>
      </c>
      <c r="R3679">
        <v>0.99566034928491398</v>
      </c>
      <c r="S3679" t="s">
        <v>9540</v>
      </c>
      <c r="T3679" t="s">
        <v>11720</v>
      </c>
      <c r="U3679" t="s">
        <v>11720</v>
      </c>
      <c r="V3679" t="s">
        <v>11720</v>
      </c>
      <c r="W3679" t="s">
        <v>15346</v>
      </c>
      <c r="X3679">
        <v>5</v>
      </c>
      <c r="Y3679" t="s">
        <v>21063</v>
      </c>
      <c r="Z3679" t="s">
        <v>26886</v>
      </c>
      <c r="AA3679">
        <v>0.54721580783255896</v>
      </c>
      <c r="AB3679" t="str">
        <f>HYPERLINK("Melting_Curves/meltCurve_Q6IN85_2_SMEK1.pdf", "Melting_Curves/meltCurve_Q6IN85_2_SMEK1.pdf")</f>
        <v>Melting_Curves/meltCurve_Q6IN85_2_SMEK1.pdf</v>
      </c>
    </row>
    <row r="3680" spans="1:28" x14ac:dyDescent="0.25">
      <c r="A3680" t="s">
        <v>3684</v>
      </c>
      <c r="B3680">
        <v>0.99334974765950101</v>
      </c>
      <c r="C3680">
        <v>0.96323922109293003</v>
      </c>
      <c r="D3680">
        <v>0.91716707873250802</v>
      </c>
      <c r="E3680">
        <v>0.75515307652322605</v>
      </c>
      <c r="F3680">
        <v>0.63476184433948801</v>
      </c>
      <c r="G3680">
        <v>0.27847316760537</v>
      </c>
      <c r="H3680">
        <v>0.11864662741507501</v>
      </c>
      <c r="I3680">
        <v>8.5219797547196996E-2</v>
      </c>
      <c r="J3680">
        <v>7.7803966706319796E-2</v>
      </c>
      <c r="K3680">
        <v>6.3767531708137606E-2</v>
      </c>
      <c r="L3680">
        <v>893.08325737821701</v>
      </c>
      <c r="M3680">
        <v>16.5950516221803</v>
      </c>
      <c r="N3680">
        <v>53.994424200406399</v>
      </c>
      <c r="O3680">
        <v>53.052996415101703</v>
      </c>
      <c r="P3680">
        <v>-7.61218290529002E-2</v>
      </c>
      <c r="Q3680">
        <v>2.6645666352468501E-2</v>
      </c>
      <c r="R3680">
        <v>0.99463133332471598</v>
      </c>
      <c r="S3680" t="s">
        <v>9541</v>
      </c>
      <c r="T3680" t="s">
        <v>11720</v>
      </c>
      <c r="U3680" t="s">
        <v>11720</v>
      </c>
      <c r="V3680" t="s">
        <v>11720</v>
      </c>
      <c r="W3680" t="s">
        <v>15347</v>
      </c>
      <c r="X3680">
        <v>11</v>
      </c>
      <c r="Y3680" t="s">
        <v>21064</v>
      </c>
      <c r="Z3680" t="s">
        <v>26887</v>
      </c>
      <c r="AA3680">
        <v>0.49253181700373722</v>
      </c>
      <c r="AB3680" t="str">
        <f>HYPERLINK("Melting_Curves/meltCurve_Q6IQ22_RAB12.pdf", "Melting_Curves/meltCurve_Q6IQ22_RAB12.pdf")</f>
        <v>Melting_Curves/meltCurve_Q6IQ22_RAB12.pdf</v>
      </c>
    </row>
    <row r="3681" spans="1:28" x14ac:dyDescent="0.25">
      <c r="A3681" t="s">
        <v>3685</v>
      </c>
      <c r="B3681">
        <v>0.99334974765950101</v>
      </c>
      <c r="C3681">
        <v>1.0806822377234999</v>
      </c>
      <c r="D3681">
        <v>0.76571732395636105</v>
      </c>
      <c r="E3681">
        <v>0.75616847359716799</v>
      </c>
      <c r="F3681">
        <v>0.57836165993904698</v>
      </c>
      <c r="G3681">
        <v>0.35156852464953398</v>
      </c>
      <c r="H3681">
        <v>0.28081227615015403</v>
      </c>
      <c r="I3681">
        <v>0.28394443509117001</v>
      </c>
      <c r="J3681">
        <v>0.333251705278857</v>
      </c>
      <c r="K3681">
        <v>0.21964485924539701</v>
      </c>
      <c r="L3681">
        <v>759.78733614592898</v>
      </c>
      <c r="M3681">
        <v>14.7011440346496</v>
      </c>
      <c r="N3681">
        <v>54.054631219416997</v>
      </c>
      <c r="O3681">
        <v>50.754173447030503</v>
      </c>
      <c r="P3681">
        <v>-5.5204769325295597E-2</v>
      </c>
      <c r="Q3681">
        <v>0.23772864243681899</v>
      </c>
      <c r="R3681">
        <v>0.95435828237057996</v>
      </c>
      <c r="S3681" t="s">
        <v>9542</v>
      </c>
      <c r="T3681" t="s">
        <v>11720</v>
      </c>
      <c r="U3681" t="s">
        <v>11720</v>
      </c>
      <c r="V3681" t="s">
        <v>11720</v>
      </c>
      <c r="W3681" t="s">
        <v>15348</v>
      </c>
      <c r="X3681">
        <v>1</v>
      </c>
      <c r="Y3681" t="s">
        <v>21065</v>
      </c>
      <c r="Z3681" t="s">
        <v>26888</v>
      </c>
      <c r="AA3681">
        <v>0.55233862222026686</v>
      </c>
      <c r="AB3681" t="str">
        <f>HYPERLINK("Melting_Curves/meltCurve_Q6IQ49_3_SDE2.pdf", "Melting_Curves/meltCurve_Q6IQ49_3_SDE2.pdf")</f>
        <v>Melting_Curves/meltCurve_Q6IQ49_3_SDE2.pdf</v>
      </c>
    </row>
    <row r="3682" spans="1:28" x14ac:dyDescent="0.25">
      <c r="A3682" t="s">
        <v>3686</v>
      </c>
      <c r="B3682">
        <v>0.99334974765950101</v>
      </c>
      <c r="C3682">
        <v>0.96772556938989596</v>
      </c>
      <c r="D3682">
        <v>0.91727836818009301</v>
      </c>
      <c r="E3682">
        <v>0.66531948654165796</v>
      </c>
      <c r="F3682">
        <v>0.692070953177499</v>
      </c>
      <c r="G3682">
        <v>0.42857248522920899</v>
      </c>
      <c r="H3682">
        <v>0.43502623947017399</v>
      </c>
      <c r="I3682">
        <v>0.329713351547751</v>
      </c>
      <c r="J3682">
        <v>0.34470589196645501</v>
      </c>
      <c r="K3682">
        <v>0.25477800494569097</v>
      </c>
      <c r="L3682">
        <v>595.77069327225104</v>
      </c>
      <c r="M3682">
        <v>11.243741720950201</v>
      </c>
      <c r="N3682">
        <v>56.400714933853799</v>
      </c>
      <c r="O3682">
        <v>51.393721054554803</v>
      </c>
      <c r="P3682">
        <v>-4.1206499085334303E-2</v>
      </c>
      <c r="Q3682">
        <v>0.246834698346523</v>
      </c>
      <c r="R3682">
        <v>0.97138441947876997</v>
      </c>
      <c r="S3682" t="s">
        <v>9543</v>
      </c>
      <c r="T3682" t="s">
        <v>11720</v>
      </c>
      <c r="U3682" t="s">
        <v>11720</v>
      </c>
      <c r="V3682" t="s">
        <v>11720</v>
      </c>
      <c r="W3682" t="s">
        <v>15349</v>
      </c>
      <c r="X3682">
        <v>1</v>
      </c>
      <c r="Y3682" t="s">
        <v>21066</v>
      </c>
      <c r="Z3682" t="s">
        <v>26889</v>
      </c>
      <c r="AA3682">
        <v>0.59590458264294577</v>
      </c>
      <c r="AB3682" t="str">
        <f>HYPERLINK("Melting_Curves/meltCurve_Q6JVM2_DNASE1L2.pdf", "Melting_Curves/meltCurve_Q6JVM2_DNASE1L2.pdf")</f>
        <v>Melting_Curves/meltCurve_Q6JVM2_DNASE1L2.pdf</v>
      </c>
    </row>
    <row r="3683" spans="1:28" x14ac:dyDescent="0.25">
      <c r="A3683" t="s">
        <v>3687</v>
      </c>
      <c r="B3683">
        <v>0.99334974765950101</v>
      </c>
      <c r="C3683">
        <v>0.93475616522400695</v>
      </c>
      <c r="D3683">
        <v>0.87605414091117895</v>
      </c>
      <c r="E3683">
        <v>0.92155295402035498</v>
      </c>
      <c r="F3683">
        <v>0.95389614012000301</v>
      </c>
      <c r="G3683">
        <v>0.80005958644591302</v>
      </c>
      <c r="H3683">
        <v>0.76292401591703596</v>
      </c>
      <c r="I3683">
        <v>0.92187547182016505</v>
      </c>
      <c r="J3683">
        <v>1.008160476514</v>
      </c>
      <c r="K3683">
        <v>0.80959259870119005</v>
      </c>
      <c r="L3683">
        <v>2625.4094236472101</v>
      </c>
      <c r="M3683">
        <v>61.424944629204298</v>
      </c>
      <c r="O3683">
        <v>42.696514261871002</v>
      </c>
      <c r="P3683">
        <v>-4.2576993307525499E-2</v>
      </c>
      <c r="Q3683">
        <v>0.88161887614326295</v>
      </c>
      <c r="R3683">
        <v>0.198666554255474</v>
      </c>
      <c r="S3683" t="s">
        <v>9544</v>
      </c>
      <c r="T3683" t="s">
        <v>11720</v>
      </c>
      <c r="U3683" t="s">
        <v>11720</v>
      </c>
      <c r="V3683" t="s">
        <v>11720</v>
      </c>
      <c r="W3683" t="s">
        <v>15350</v>
      </c>
      <c r="X3683">
        <v>15</v>
      </c>
      <c r="Y3683" t="s">
        <v>21067</v>
      </c>
      <c r="Z3683" t="s">
        <v>26890</v>
      </c>
      <c r="AA3683">
        <v>0.89261991054701728</v>
      </c>
      <c r="AB3683" t="str">
        <f>HYPERLINK("Melting_Curves/meltCurve_Q6N022_TENM4.pdf", "Melting_Curves/meltCurve_Q6N022_TENM4.pdf")</f>
        <v>Melting_Curves/meltCurve_Q6N022_TENM4.pdf</v>
      </c>
    </row>
    <row r="3684" spans="1:28" x14ac:dyDescent="0.25">
      <c r="A3684" t="s">
        <v>3688</v>
      </c>
      <c r="B3684">
        <v>0.99334974765950101</v>
      </c>
      <c r="C3684">
        <v>0.93862489027763196</v>
      </c>
      <c r="D3684">
        <v>0.72963948480047502</v>
      </c>
      <c r="E3684">
        <v>0.37562378887388598</v>
      </c>
      <c r="F3684">
        <v>0.36481932417635698</v>
      </c>
      <c r="G3684">
        <v>0.14917168002988801</v>
      </c>
      <c r="H3684">
        <v>0.114673200462204</v>
      </c>
      <c r="I3684">
        <v>0.111890460071843</v>
      </c>
      <c r="J3684">
        <v>0.12906074331532</v>
      </c>
      <c r="K3684">
        <v>9.4543340913783205E-2</v>
      </c>
      <c r="L3684">
        <v>806.30556834506501</v>
      </c>
      <c r="M3684">
        <v>16.650195024370699</v>
      </c>
      <c r="N3684">
        <v>49.103007959658598</v>
      </c>
      <c r="O3684">
        <v>47.743826372960903</v>
      </c>
      <c r="P3684">
        <v>-7.8250873045754898E-2</v>
      </c>
      <c r="Q3684">
        <v>0.102534103537279</v>
      </c>
      <c r="R3684">
        <v>0.98735858487012595</v>
      </c>
      <c r="S3684" t="s">
        <v>9545</v>
      </c>
      <c r="T3684" t="s">
        <v>11720</v>
      </c>
      <c r="U3684" t="s">
        <v>11720</v>
      </c>
      <c r="V3684" t="s">
        <v>11720</v>
      </c>
      <c r="W3684" t="s">
        <v>15351</v>
      </c>
      <c r="X3684">
        <v>3</v>
      </c>
      <c r="Y3684" t="s">
        <v>21068</v>
      </c>
      <c r="Z3684" t="s">
        <v>26891</v>
      </c>
      <c r="AA3684">
        <v>0.37304492587785509</v>
      </c>
      <c r="AB3684" t="str">
        <f>HYPERLINK("Melting_Curves/meltCurve_Q6N063_OGFOD2.pdf", "Melting_Curves/meltCurve_Q6N063_OGFOD2.pdf")</f>
        <v>Melting_Curves/meltCurve_Q6N063_OGFOD2.pdf</v>
      </c>
    </row>
    <row r="3685" spans="1:28" x14ac:dyDescent="0.25">
      <c r="A3685" t="s">
        <v>3689</v>
      </c>
      <c r="B3685">
        <v>0.99334974765950101</v>
      </c>
      <c r="C3685">
        <v>0.88368058764412405</v>
      </c>
      <c r="D3685">
        <v>0.90192952770780799</v>
      </c>
      <c r="E3685">
        <v>0.80887268906510401</v>
      </c>
      <c r="F3685">
        <v>0.79055869913219701</v>
      </c>
      <c r="G3685">
        <v>0.66130103905870596</v>
      </c>
      <c r="H3685">
        <v>0.42760613130510799</v>
      </c>
      <c r="I3685">
        <v>0.25494664727801197</v>
      </c>
      <c r="J3685">
        <v>0.18928647484637401</v>
      </c>
      <c r="K3685">
        <v>0.15362740137513101</v>
      </c>
      <c r="L3685">
        <v>620.04807330045196</v>
      </c>
      <c r="M3685">
        <v>10.5243266147273</v>
      </c>
      <c r="N3685">
        <v>58.915685912375899</v>
      </c>
      <c r="O3685">
        <v>56.907833932840397</v>
      </c>
      <c r="P3685">
        <v>-4.6252574480394E-2</v>
      </c>
      <c r="Q3685">
        <v>0</v>
      </c>
      <c r="R3685">
        <v>0.97325096006990097</v>
      </c>
      <c r="S3685" t="s">
        <v>9546</v>
      </c>
      <c r="T3685" t="s">
        <v>11720</v>
      </c>
      <c r="U3685" t="s">
        <v>11720</v>
      </c>
      <c r="V3685" t="s">
        <v>11720</v>
      </c>
      <c r="W3685" t="s">
        <v>15352</v>
      </c>
      <c r="X3685">
        <v>3</v>
      </c>
      <c r="Y3685" t="s">
        <v>21069</v>
      </c>
      <c r="Z3685" t="s">
        <v>26892</v>
      </c>
      <c r="AA3685">
        <v>0.63592108510248713</v>
      </c>
      <c r="AB3685" t="str">
        <f>HYPERLINK("Melting_Curves/meltCurve_Q6NSJ0_KIAA1161.pdf", "Melting_Curves/meltCurve_Q6NSJ0_KIAA1161.pdf")</f>
        <v>Melting_Curves/meltCurve_Q6NSJ0_KIAA1161.pdf</v>
      </c>
    </row>
    <row r="3686" spans="1:28" x14ac:dyDescent="0.25">
      <c r="A3686" t="s">
        <v>3690</v>
      </c>
      <c r="B3686">
        <v>0.99334974765950101</v>
      </c>
      <c r="C3686">
        <v>1.05384468394105</v>
      </c>
      <c r="D3686">
        <v>0.96764107921500397</v>
      </c>
      <c r="E3686">
        <v>1.03891235265607</v>
      </c>
      <c r="F3686">
        <v>1.2234679583941499</v>
      </c>
      <c r="G3686">
        <v>0.909305019245784</v>
      </c>
      <c r="H3686">
        <v>0.96208940540384502</v>
      </c>
      <c r="I3686">
        <v>1.7657434619458401</v>
      </c>
      <c r="J3686">
        <v>1.30465771493123</v>
      </c>
      <c r="K3686">
        <v>1.3965835518369001</v>
      </c>
      <c r="L3686">
        <v>15000</v>
      </c>
      <c r="M3686">
        <v>241.09071383061101</v>
      </c>
      <c r="O3686">
        <v>62.212963815861102</v>
      </c>
      <c r="P3686">
        <v>0.47371779357933902</v>
      </c>
      <c r="Q3686">
        <v>1.48896761613868</v>
      </c>
      <c r="R3686">
        <v>0.71140652141557603</v>
      </c>
      <c r="S3686" t="s">
        <v>9547</v>
      </c>
      <c r="T3686" t="s">
        <v>11720</v>
      </c>
      <c r="U3686" t="s">
        <v>11720</v>
      </c>
      <c r="V3686" t="s">
        <v>11720</v>
      </c>
      <c r="W3686" t="s">
        <v>15353</v>
      </c>
      <c r="X3686">
        <v>2</v>
      </c>
      <c r="Y3686" t="s">
        <v>21070</v>
      </c>
      <c r="Z3686" t="s">
        <v>26893</v>
      </c>
      <c r="AA3686">
        <v>1.1267930955812111</v>
      </c>
      <c r="AB3686" t="str">
        <f>HYPERLINK("Melting_Curves/meltCurve_Q6NT16_SLC18B1.pdf", "Melting_Curves/meltCurve_Q6NT16_SLC18B1.pdf")</f>
        <v>Melting_Curves/meltCurve_Q6NT16_SLC18B1.pdf</v>
      </c>
    </row>
    <row r="3687" spans="1:28" x14ac:dyDescent="0.25">
      <c r="A3687" t="s">
        <v>3691</v>
      </c>
      <c r="B3687">
        <v>0.99334974765950101</v>
      </c>
      <c r="C3687">
        <v>0.99412757150508702</v>
      </c>
      <c r="D3687">
        <v>0.78910993471036195</v>
      </c>
      <c r="E3687">
        <v>0.83594508911301302</v>
      </c>
      <c r="F3687">
        <v>0.99113971263252598</v>
      </c>
      <c r="G3687">
        <v>0.92317825237815698</v>
      </c>
      <c r="H3687">
        <v>0.96778863898413603</v>
      </c>
      <c r="I3687">
        <v>1.0932823502209299</v>
      </c>
      <c r="J3687">
        <v>1.3393505894795099</v>
      </c>
      <c r="K3687">
        <v>1.03243565122968</v>
      </c>
      <c r="L3687">
        <v>15000</v>
      </c>
      <c r="M3687">
        <v>234.38260004748699</v>
      </c>
      <c r="O3687">
        <v>63.9932756462917</v>
      </c>
      <c r="P3687">
        <v>0.17021034463836801</v>
      </c>
      <c r="Q3687">
        <v>1.1858894942799301</v>
      </c>
      <c r="R3687">
        <v>0.38207006972065599</v>
      </c>
      <c r="S3687" t="s">
        <v>9548</v>
      </c>
      <c r="T3687" t="s">
        <v>11720</v>
      </c>
      <c r="U3687" t="s">
        <v>11720</v>
      </c>
      <c r="V3687" t="s">
        <v>11720</v>
      </c>
      <c r="W3687" t="s">
        <v>15354</v>
      </c>
      <c r="X3687">
        <v>1</v>
      </c>
      <c r="Y3687" t="s">
        <v>21071</v>
      </c>
      <c r="Z3687" t="s">
        <v>26894</v>
      </c>
      <c r="AA3687">
        <v>1.0371670037927041</v>
      </c>
      <c r="AB3687" t="str">
        <f>HYPERLINK("Melting_Curves/meltCurve_Q6NT89_TRNP1.pdf", "Melting_Curves/meltCurve_Q6NT89_TRNP1.pdf")</f>
        <v>Melting_Curves/meltCurve_Q6NT89_TRNP1.pdf</v>
      </c>
    </row>
    <row r="3688" spans="1:28" x14ac:dyDescent="0.25">
      <c r="A3688" t="s">
        <v>3692</v>
      </c>
      <c r="B3688">
        <v>0.99334974765950101</v>
      </c>
      <c r="C3688">
        <v>0.85044131598448003</v>
      </c>
      <c r="D3688">
        <v>0.80271305873068999</v>
      </c>
      <c r="E3688">
        <v>0.98485187088974002</v>
      </c>
      <c r="F3688">
        <v>0.934424656694401</v>
      </c>
      <c r="G3688">
        <v>0.92685964109113295</v>
      </c>
      <c r="H3688">
        <v>0.855519825509794</v>
      </c>
      <c r="I3688">
        <v>0.61359296967309096</v>
      </c>
      <c r="J3688">
        <v>0.22230271699544399</v>
      </c>
      <c r="K3688">
        <v>0.13862110230087499</v>
      </c>
      <c r="L3688">
        <v>2108.2785403306498</v>
      </c>
      <c r="M3688">
        <v>32.714470657252697</v>
      </c>
      <c r="N3688">
        <v>64.660447571878905</v>
      </c>
      <c r="O3688">
        <v>64.205458952966495</v>
      </c>
      <c r="P3688">
        <v>-0.12079994712471</v>
      </c>
      <c r="Q3688">
        <v>5.1675898371961002E-2</v>
      </c>
      <c r="R3688">
        <v>0.91635253823254303</v>
      </c>
      <c r="S3688" t="s">
        <v>9549</v>
      </c>
      <c r="T3688" t="s">
        <v>11720</v>
      </c>
      <c r="U3688" t="s">
        <v>11720</v>
      </c>
      <c r="V3688" t="s">
        <v>11720</v>
      </c>
      <c r="W3688" t="s">
        <v>15355</v>
      </c>
      <c r="X3688">
        <v>23</v>
      </c>
      <c r="Y3688" t="s">
        <v>21072</v>
      </c>
      <c r="Z3688" t="s">
        <v>26895</v>
      </c>
      <c r="AA3688">
        <v>0.82506029581744778</v>
      </c>
      <c r="AB3688" t="str">
        <f>HYPERLINK("Melting_Curves/meltCurve_Q6NUK1_SLC25A24.pdf", "Melting_Curves/meltCurve_Q6NUK1_SLC25A24.pdf")</f>
        <v>Melting_Curves/meltCurve_Q6NUK1_SLC25A24.pdf</v>
      </c>
    </row>
    <row r="3689" spans="1:28" x14ac:dyDescent="0.25">
      <c r="A3689" t="s">
        <v>3693</v>
      </c>
      <c r="B3689">
        <v>0.99334974765950101</v>
      </c>
      <c r="C3689">
        <v>1.02321854508504</v>
      </c>
      <c r="D3689">
        <v>0.99400788684572305</v>
      </c>
      <c r="E3689">
        <v>0.81311346306566701</v>
      </c>
      <c r="F3689">
        <v>0.66889987847426502</v>
      </c>
      <c r="G3689">
        <v>0.56623995460798904</v>
      </c>
      <c r="H3689">
        <v>0.50500718269526401</v>
      </c>
      <c r="I3689">
        <v>0.575738666501869</v>
      </c>
      <c r="J3689">
        <v>0.55013535527776702</v>
      </c>
      <c r="K3689">
        <v>0.53167197463447502</v>
      </c>
      <c r="L3689">
        <v>1398.6045771205399</v>
      </c>
      <c r="M3689">
        <v>27.474571668861199</v>
      </c>
      <c r="O3689">
        <v>50.638027700668403</v>
      </c>
      <c r="P3689">
        <v>-6.2296031942646497E-2</v>
      </c>
      <c r="Q3689">
        <v>0.54073621013649897</v>
      </c>
      <c r="R3689">
        <v>0.98955181768795797</v>
      </c>
      <c r="S3689" t="s">
        <v>9550</v>
      </c>
      <c r="T3689" t="s">
        <v>11720</v>
      </c>
      <c r="U3689" t="s">
        <v>11720</v>
      </c>
      <c r="V3689" t="s">
        <v>11720</v>
      </c>
      <c r="W3689" t="s">
        <v>15356</v>
      </c>
      <c r="X3689">
        <v>5</v>
      </c>
      <c r="Y3689" t="s">
        <v>21073</v>
      </c>
      <c r="Z3689" t="s">
        <v>26896</v>
      </c>
      <c r="AA3689">
        <v>0.71112227772775449</v>
      </c>
      <c r="AB3689" t="str">
        <f>HYPERLINK("Melting_Curves/meltCurve_Q6NUK4_REEP3.pdf", "Melting_Curves/meltCurve_Q6NUK4_REEP3.pdf")</f>
        <v>Melting_Curves/meltCurve_Q6NUK4_REEP3.pdf</v>
      </c>
    </row>
    <row r="3690" spans="1:28" x14ac:dyDescent="0.25">
      <c r="A3690" t="s">
        <v>3694</v>
      </c>
      <c r="B3690">
        <v>0.99334974765950101</v>
      </c>
      <c r="C3690">
        <v>0.92835777194534397</v>
      </c>
      <c r="D3690">
        <v>0.83079918283466903</v>
      </c>
      <c r="E3690">
        <v>0.62101183877078503</v>
      </c>
      <c r="F3690">
        <v>0.41141926182444699</v>
      </c>
      <c r="G3690">
        <v>0.26489323258514302</v>
      </c>
      <c r="H3690">
        <v>0.187614760987805</v>
      </c>
      <c r="I3690">
        <v>0.17263113444898301</v>
      </c>
      <c r="J3690">
        <v>0.11689124042288</v>
      </c>
      <c r="K3690">
        <v>8.5577176121101106E-2</v>
      </c>
      <c r="L3690">
        <v>689.15862697362195</v>
      </c>
      <c r="M3690">
        <v>13.501054880721499</v>
      </c>
      <c r="N3690">
        <v>51.777620985311501</v>
      </c>
      <c r="O3690">
        <v>49.963977628016799</v>
      </c>
      <c r="P3690">
        <v>-6.1688305637545203E-2</v>
      </c>
      <c r="Q3690">
        <v>8.6968376574628706E-2</v>
      </c>
      <c r="R3690">
        <v>0.997784949042962</v>
      </c>
      <c r="S3690" t="s">
        <v>9551</v>
      </c>
      <c r="T3690" t="s">
        <v>11720</v>
      </c>
      <c r="U3690" t="s">
        <v>11720</v>
      </c>
      <c r="V3690" t="s">
        <v>11720</v>
      </c>
      <c r="W3690" t="s">
        <v>15357</v>
      </c>
      <c r="X3690">
        <v>25</v>
      </c>
      <c r="Y3690" t="s">
        <v>21074</v>
      </c>
      <c r="Z3690" t="s">
        <v>26897</v>
      </c>
      <c r="AA3690">
        <v>0.44803545548171431</v>
      </c>
      <c r="AB3690" t="str">
        <f>HYPERLINK("Melting_Curves/meltCurve_Q6NUM9_RETSAT.pdf", "Melting_Curves/meltCurve_Q6NUM9_RETSAT.pdf")</f>
        <v>Melting_Curves/meltCurve_Q6NUM9_RETSAT.pdf</v>
      </c>
    </row>
    <row r="3691" spans="1:28" x14ac:dyDescent="0.25">
      <c r="A3691" t="s">
        <v>3695</v>
      </c>
      <c r="B3691">
        <v>0.99334974765950101</v>
      </c>
      <c r="C3691">
        <v>0.82191040773158497</v>
      </c>
      <c r="D3691">
        <v>0.65403037485025195</v>
      </c>
      <c r="E3691">
        <v>0.24854209943513</v>
      </c>
      <c r="F3691">
        <v>0.148206592587452</v>
      </c>
      <c r="G3691">
        <v>0.13269754387862201</v>
      </c>
      <c r="H3691">
        <v>6.5960910461824299E-2</v>
      </c>
      <c r="I3691">
        <v>7.1391961507086196E-2</v>
      </c>
      <c r="J3691">
        <v>3.0459724005520099E-2</v>
      </c>
      <c r="K3691">
        <v>3.7135270941545201E-2</v>
      </c>
      <c r="L3691">
        <v>883.26090436580705</v>
      </c>
      <c r="M3691">
        <v>18.810357084576498</v>
      </c>
      <c r="N3691">
        <v>47.232992300565698</v>
      </c>
      <c r="O3691">
        <v>46.435051006513902</v>
      </c>
      <c r="P3691">
        <v>-9.5989189666351907E-2</v>
      </c>
      <c r="Q3691">
        <v>5.2207664049260701E-2</v>
      </c>
      <c r="R3691">
        <v>0.99303884094870498</v>
      </c>
      <c r="S3691" t="s">
        <v>9552</v>
      </c>
      <c r="T3691" t="s">
        <v>11720</v>
      </c>
      <c r="U3691" t="s">
        <v>11720</v>
      </c>
      <c r="V3691" t="s">
        <v>11720</v>
      </c>
      <c r="W3691" t="s">
        <v>15358</v>
      </c>
      <c r="X3691">
        <v>1</v>
      </c>
      <c r="Y3691" t="s">
        <v>21075</v>
      </c>
      <c r="Z3691" t="s">
        <v>26898</v>
      </c>
      <c r="AA3691">
        <v>0.28788622325383678</v>
      </c>
      <c r="AB3691" t="str">
        <f>HYPERLINK("Melting_Curves/meltCurve_Q6NUQ1_RINT1.pdf", "Melting_Curves/meltCurve_Q6NUQ1_RINT1.pdf")</f>
        <v>Melting_Curves/meltCurve_Q6NUQ1_RINT1.pdf</v>
      </c>
    </row>
    <row r="3692" spans="1:28" x14ac:dyDescent="0.25">
      <c r="A3692" t="s">
        <v>3696</v>
      </c>
      <c r="B3692">
        <v>0.99334974765950101</v>
      </c>
      <c r="C3692">
        <v>0.89470690989587098</v>
      </c>
      <c r="D3692">
        <v>0.86880367639203004</v>
      </c>
      <c r="E3692">
        <v>0.68623995853755204</v>
      </c>
      <c r="F3692">
        <v>0.12340651347094</v>
      </c>
      <c r="G3692">
        <v>8.5700884307669298E-2</v>
      </c>
      <c r="H3692">
        <v>5.5965595235105199E-2</v>
      </c>
      <c r="I3692">
        <v>4.7799459587739103E-2</v>
      </c>
      <c r="J3692">
        <v>3.9762052985571797E-2</v>
      </c>
      <c r="K3692">
        <v>3.0709676510465599E-2</v>
      </c>
      <c r="L3692">
        <v>2574.47212017641</v>
      </c>
      <c r="M3692">
        <v>50.823141809571901</v>
      </c>
      <c r="N3692">
        <v>50.758054753706197</v>
      </c>
      <c r="O3692">
        <v>50.577266141530401</v>
      </c>
      <c r="P3692">
        <v>-0.23895889239659601</v>
      </c>
      <c r="Q3692">
        <v>4.8789393293172299E-2</v>
      </c>
      <c r="R3692">
        <v>0.98174097749795597</v>
      </c>
      <c r="S3692" t="s">
        <v>9553</v>
      </c>
      <c r="T3692" t="s">
        <v>11720</v>
      </c>
      <c r="U3692" t="s">
        <v>11720</v>
      </c>
      <c r="V3692" t="s">
        <v>11720</v>
      </c>
      <c r="W3692" t="s">
        <v>15359</v>
      </c>
      <c r="X3692">
        <v>17</v>
      </c>
      <c r="Y3692" t="s">
        <v>21076</v>
      </c>
      <c r="Z3692" t="s">
        <v>26899</v>
      </c>
      <c r="AA3692">
        <v>0.38870056670403041</v>
      </c>
      <c r="AB3692" t="str">
        <f>HYPERLINK("Melting_Curves/meltCurve_Q6NUQ4_2_TMEM214.pdf", "Melting_Curves/meltCurve_Q6NUQ4_2_TMEM214.pdf")</f>
        <v>Melting_Curves/meltCurve_Q6NUQ4_2_TMEM214.pdf</v>
      </c>
    </row>
    <row r="3693" spans="1:28" x14ac:dyDescent="0.25">
      <c r="A3693" t="s">
        <v>3697</v>
      </c>
      <c r="B3693">
        <v>0.99334974765950101</v>
      </c>
      <c r="C3693">
        <v>1.10790935124163</v>
      </c>
      <c r="D3693">
        <v>0.99303014271455603</v>
      </c>
      <c r="E3693">
        <v>0.73245800903279601</v>
      </c>
      <c r="F3693">
        <v>0.61582680182167904</v>
      </c>
      <c r="G3693">
        <v>0.26272230048887402</v>
      </c>
      <c r="H3693">
        <v>0.24796279578326999</v>
      </c>
      <c r="I3693">
        <v>0.20949804488819501</v>
      </c>
      <c r="J3693">
        <v>0.183262700447474</v>
      </c>
      <c r="K3693">
        <v>0.210901932558681</v>
      </c>
      <c r="L3693">
        <v>1148.2681305783101</v>
      </c>
      <c r="M3693">
        <v>21.878683219279601</v>
      </c>
      <c r="N3693">
        <v>53.669205908082397</v>
      </c>
      <c r="O3693">
        <v>52.050842000234603</v>
      </c>
      <c r="P3693">
        <v>-8.4945209701188906E-2</v>
      </c>
      <c r="Q3693">
        <v>0.19165693802143799</v>
      </c>
      <c r="R3693">
        <v>0.98027583252226103</v>
      </c>
      <c r="S3693" t="s">
        <v>9554</v>
      </c>
      <c r="T3693" t="s">
        <v>11720</v>
      </c>
      <c r="U3693" t="s">
        <v>11720</v>
      </c>
      <c r="V3693" t="s">
        <v>11720</v>
      </c>
      <c r="W3693" t="s">
        <v>15360</v>
      </c>
      <c r="X3693">
        <v>2</v>
      </c>
      <c r="Y3693" t="s">
        <v>21077</v>
      </c>
      <c r="Z3693" t="s">
        <v>26900</v>
      </c>
      <c r="AA3693">
        <v>0.53752447535855863</v>
      </c>
      <c r="AB3693" t="str">
        <f>HYPERLINK("Melting_Curves/meltCurve_Q6NVU6_UFSP1.pdf", "Melting_Curves/meltCurve_Q6NVU6_UFSP1.pdf")</f>
        <v>Melting_Curves/meltCurve_Q6NVU6_UFSP1.pdf</v>
      </c>
    </row>
    <row r="3694" spans="1:28" x14ac:dyDescent="0.25">
      <c r="A3694" t="s">
        <v>3698</v>
      </c>
      <c r="B3694">
        <v>0.99334974765950101</v>
      </c>
      <c r="C3694">
        <v>1.0000797081756301</v>
      </c>
      <c r="D3694">
        <v>0.87283479113564599</v>
      </c>
      <c r="E3694">
        <v>0.490922042120571</v>
      </c>
      <c r="F3694">
        <v>0.15620417134963399</v>
      </c>
      <c r="G3694">
        <v>0.102667255624629</v>
      </c>
      <c r="H3694">
        <v>8.2502272064072499E-2</v>
      </c>
      <c r="I3694">
        <v>8.2325710459334997E-2</v>
      </c>
      <c r="J3694">
        <v>7.7528906398801098E-2</v>
      </c>
      <c r="K3694">
        <v>5.9480233107690801E-2</v>
      </c>
      <c r="L3694">
        <v>1394.92682444309</v>
      </c>
      <c r="M3694">
        <v>28.2069808379275</v>
      </c>
      <c r="N3694">
        <v>49.724021571080598</v>
      </c>
      <c r="O3694">
        <v>49.2066882882066</v>
      </c>
      <c r="P3694">
        <v>-0.133107379443722</v>
      </c>
      <c r="Q3694">
        <v>7.1191794349173304E-2</v>
      </c>
      <c r="R3694">
        <v>0.99773775155572597</v>
      </c>
      <c r="S3694" t="s">
        <v>9555</v>
      </c>
      <c r="T3694" t="s">
        <v>11720</v>
      </c>
      <c r="U3694" t="s">
        <v>11720</v>
      </c>
      <c r="V3694" t="s">
        <v>11720</v>
      </c>
      <c r="W3694" t="s">
        <v>15361</v>
      </c>
      <c r="X3694">
        <v>14</v>
      </c>
      <c r="Y3694" t="s">
        <v>21078</v>
      </c>
      <c r="Z3694" t="s">
        <v>26901</v>
      </c>
      <c r="AA3694">
        <v>0.37032435518050028</v>
      </c>
      <c r="AB3694" t="str">
        <f>HYPERLINK("Melting_Curves/meltCurve_Q6NVY1_HIBCH.pdf", "Melting_Curves/meltCurve_Q6NVY1_HIBCH.pdf")</f>
        <v>Melting_Curves/meltCurve_Q6NVY1_HIBCH.pdf</v>
      </c>
    </row>
    <row r="3695" spans="1:28" x14ac:dyDescent="0.25">
      <c r="A3695" t="s">
        <v>3699</v>
      </c>
      <c r="B3695">
        <v>0.99334974765950101</v>
      </c>
      <c r="C3695">
        <v>0.98053823448033395</v>
      </c>
      <c r="D3695">
        <v>0.86364862055050895</v>
      </c>
      <c r="E3695">
        <v>0.67100519825636495</v>
      </c>
      <c r="F3695">
        <v>0.61409771083687503</v>
      </c>
      <c r="G3695">
        <v>0.52335605700382104</v>
      </c>
      <c r="H3695">
        <v>0.41182310207195999</v>
      </c>
      <c r="I3695">
        <v>0.33352767514072301</v>
      </c>
      <c r="J3695">
        <v>0.46946277567092298</v>
      </c>
      <c r="K3695">
        <v>0.33530807458117501</v>
      </c>
      <c r="L3695">
        <v>649.88125209830696</v>
      </c>
      <c r="M3695">
        <v>12.7778585323163</v>
      </c>
      <c r="N3695">
        <v>56.310103303110303</v>
      </c>
      <c r="O3695">
        <v>49.6625411081613</v>
      </c>
      <c r="P3695">
        <v>-4.1506936641034303E-2</v>
      </c>
      <c r="Q3695">
        <v>0.35483691275533302</v>
      </c>
      <c r="R3695">
        <v>0.96792528385376098</v>
      </c>
      <c r="S3695" t="s">
        <v>9556</v>
      </c>
      <c r="T3695" t="s">
        <v>11720</v>
      </c>
      <c r="U3695" t="s">
        <v>11720</v>
      </c>
      <c r="V3695" t="s">
        <v>11720</v>
      </c>
      <c r="W3695" t="s">
        <v>15362</v>
      </c>
      <c r="X3695">
        <v>2</v>
      </c>
      <c r="Y3695" t="s">
        <v>21079</v>
      </c>
      <c r="Z3695" t="s">
        <v>26902</v>
      </c>
      <c r="AA3695">
        <v>0.60771888409864594</v>
      </c>
      <c r="AB3695" t="str">
        <f>HYPERLINK("Melting_Curves/meltCurve_Q6NXT1_ANKRD54.pdf", "Melting_Curves/meltCurve_Q6NXT1_ANKRD54.pdf")</f>
        <v>Melting_Curves/meltCurve_Q6NXT1_ANKRD54.pdf</v>
      </c>
    </row>
    <row r="3696" spans="1:28" x14ac:dyDescent="0.25">
      <c r="A3696" t="s">
        <v>3700</v>
      </c>
      <c r="B3696">
        <v>0.99334974765950101</v>
      </c>
      <c r="C3696">
        <v>1.10969253981465</v>
      </c>
      <c r="D3696">
        <v>1.1177676094001601</v>
      </c>
      <c r="E3696">
        <v>1.37801141658737</v>
      </c>
      <c r="F3696">
        <v>1.4814938088357701</v>
      </c>
      <c r="G3696">
        <v>1.45818759462643</v>
      </c>
      <c r="H3696">
        <v>1.2855168306523199</v>
      </c>
      <c r="I3696">
        <v>1.0904005330570801</v>
      </c>
      <c r="J3696">
        <v>0.42186412865504802</v>
      </c>
      <c r="K3696">
        <v>0.229764094353651</v>
      </c>
      <c r="L3696">
        <v>15000</v>
      </c>
      <c r="M3696">
        <v>224.98190196041099</v>
      </c>
      <c r="N3696">
        <v>66.854829262217507</v>
      </c>
      <c r="O3696">
        <v>66.666762908002497</v>
      </c>
      <c r="P3696">
        <v>-0.64986717841730601</v>
      </c>
      <c r="Q3696">
        <v>0.22972399706368199</v>
      </c>
      <c r="R3696">
        <v>0.56114221591005797</v>
      </c>
      <c r="S3696" t="s">
        <v>9557</v>
      </c>
      <c r="T3696" t="s">
        <v>11720</v>
      </c>
      <c r="U3696" t="s">
        <v>11720</v>
      </c>
      <c r="V3696" t="s">
        <v>11720</v>
      </c>
      <c r="W3696" t="s">
        <v>15363</v>
      </c>
      <c r="X3696">
        <v>5</v>
      </c>
      <c r="Y3696" t="s">
        <v>21080</v>
      </c>
      <c r="Z3696" t="s">
        <v>26903</v>
      </c>
      <c r="AA3696">
        <v>0.9146625744602207</v>
      </c>
      <c r="AB3696" t="str">
        <f>HYPERLINK("Melting_Curves/meltCurve_Q6NXT6_TAPT1.pdf", "Melting_Curves/meltCurve_Q6NXT6_TAPT1.pdf")</f>
        <v>Melting_Curves/meltCurve_Q6NXT6_TAPT1.pdf</v>
      </c>
    </row>
    <row r="3697" spans="1:28" x14ac:dyDescent="0.25">
      <c r="A3697" t="s">
        <v>3701</v>
      </c>
      <c r="B3697">
        <v>0.99334974765950101</v>
      </c>
      <c r="C3697">
        <v>0.99655207662035905</v>
      </c>
      <c r="D3697">
        <v>0.81654969429037705</v>
      </c>
      <c r="E3697">
        <v>0.72392465110081505</v>
      </c>
      <c r="F3697">
        <v>0.40756965618722801</v>
      </c>
      <c r="G3697">
        <v>0.26599672758147902</v>
      </c>
      <c r="H3697">
        <v>0.22776162322376201</v>
      </c>
      <c r="I3697">
        <v>0.27905421512219802</v>
      </c>
      <c r="J3697">
        <v>0.35023826468832697</v>
      </c>
      <c r="K3697">
        <v>0.33019343236239701</v>
      </c>
      <c r="L3697">
        <v>1125.1949359534001</v>
      </c>
      <c r="M3697">
        <v>22.4727149438826</v>
      </c>
      <c r="N3697">
        <v>51.954637384534301</v>
      </c>
      <c r="O3697">
        <v>49.677966825718698</v>
      </c>
      <c r="P3697">
        <v>-8.1565700043756406E-2</v>
      </c>
      <c r="Q3697">
        <v>0.27878140007143798</v>
      </c>
      <c r="R3697">
        <v>0.96358998952942998</v>
      </c>
      <c r="S3697" t="s">
        <v>9558</v>
      </c>
      <c r="T3697" t="s">
        <v>11720</v>
      </c>
      <c r="U3697" t="s">
        <v>11720</v>
      </c>
      <c r="V3697" t="s">
        <v>11720</v>
      </c>
      <c r="W3697" t="s">
        <v>15364</v>
      </c>
      <c r="X3697">
        <v>24</v>
      </c>
      <c r="Y3697" t="s">
        <v>21081</v>
      </c>
      <c r="Z3697" t="s">
        <v>26904</v>
      </c>
      <c r="AA3697">
        <v>0.52883665469693253</v>
      </c>
      <c r="AB3697" t="str">
        <f>HYPERLINK("Melting_Curves/meltCurve_Q6NYC8_PPP1R18.pdf", "Melting_Curves/meltCurve_Q6NYC8_PPP1R18.pdf")</f>
        <v>Melting_Curves/meltCurve_Q6NYC8_PPP1R18.pdf</v>
      </c>
    </row>
    <row r="3698" spans="1:28" x14ac:dyDescent="0.25">
      <c r="A3698" t="s">
        <v>3702</v>
      </c>
      <c r="B3698">
        <v>0.99334974765950101</v>
      </c>
      <c r="C3698">
        <v>1.09168611778569</v>
      </c>
      <c r="D3698">
        <v>1.0111080921134501</v>
      </c>
      <c r="E3698">
        <v>0.76135766355878098</v>
      </c>
      <c r="F3698">
        <v>0.45151355467420301</v>
      </c>
      <c r="G3698">
        <v>0.26353739968665302</v>
      </c>
      <c r="H3698">
        <v>0.171131872951342</v>
      </c>
      <c r="I3698">
        <v>0.14023961610209801</v>
      </c>
      <c r="J3698">
        <v>0.11335449715271501</v>
      </c>
      <c r="K3698">
        <v>0.10995966735295901</v>
      </c>
      <c r="L3698">
        <v>1268.27893032053</v>
      </c>
      <c r="M3698">
        <v>24.357124014336801</v>
      </c>
      <c r="N3698">
        <v>52.719592592424398</v>
      </c>
      <c r="O3698">
        <v>51.722962433252697</v>
      </c>
      <c r="P3698">
        <v>-0.102471365788637</v>
      </c>
      <c r="Q3698">
        <v>0.12961089232874701</v>
      </c>
      <c r="R3698">
        <v>0.99040636382148095</v>
      </c>
      <c r="S3698" t="s">
        <v>9559</v>
      </c>
      <c r="T3698" t="s">
        <v>11720</v>
      </c>
      <c r="U3698" t="s">
        <v>11720</v>
      </c>
      <c r="V3698" t="s">
        <v>11720</v>
      </c>
      <c r="W3698" t="s">
        <v>15365</v>
      </c>
      <c r="X3698">
        <v>4</v>
      </c>
      <c r="Y3698" t="s">
        <v>21082</v>
      </c>
      <c r="Z3698" t="s">
        <v>26905</v>
      </c>
      <c r="AA3698">
        <v>0.48815966361947571</v>
      </c>
      <c r="AB3698" t="str">
        <f>HYPERLINK("Melting_Curves/meltCurve_Q6NZ53_THOC3.pdf", "Melting_Curves/meltCurve_Q6NZ53_THOC3.pdf")</f>
        <v>Melting_Curves/meltCurve_Q6NZ53_THOC3.pdf</v>
      </c>
    </row>
    <row r="3699" spans="1:28" x14ac:dyDescent="0.25">
      <c r="A3699" t="s">
        <v>3703</v>
      </c>
      <c r="B3699">
        <v>0.99334974765950101</v>
      </c>
      <c r="C3699">
        <v>1.03174012135735</v>
      </c>
      <c r="D3699">
        <v>0.91297105160685399</v>
      </c>
      <c r="E3699">
        <v>0.95151291335072197</v>
      </c>
      <c r="F3699">
        <v>0.97564449949993204</v>
      </c>
      <c r="G3699">
        <v>0.94280288489487596</v>
      </c>
      <c r="H3699">
        <v>0.87180113752955202</v>
      </c>
      <c r="I3699">
        <v>0.86264712575798197</v>
      </c>
      <c r="J3699">
        <v>0.74029918259226501</v>
      </c>
      <c r="K3699">
        <v>0.68641776308937197</v>
      </c>
      <c r="L3699">
        <v>564.50646395027297</v>
      </c>
      <c r="M3699">
        <v>7.26673085010838</v>
      </c>
      <c r="Q3699">
        <v>0</v>
      </c>
      <c r="R3699">
        <v>0.90257187867433297</v>
      </c>
      <c r="S3699" t="s">
        <v>9560</v>
      </c>
      <c r="T3699" t="s">
        <v>11720</v>
      </c>
      <c r="U3699" t="s">
        <v>11720</v>
      </c>
      <c r="V3699" t="s">
        <v>11720</v>
      </c>
      <c r="W3699" t="s">
        <v>15366</v>
      </c>
      <c r="X3699">
        <v>15</v>
      </c>
      <c r="Y3699" t="s">
        <v>21083</v>
      </c>
      <c r="Z3699" t="s">
        <v>26906</v>
      </c>
      <c r="AA3699">
        <v>0.91400930079068954</v>
      </c>
      <c r="AB3699" t="str">
        <f>HYPERLINK("Melting_Curves/meltCurve_Q6NZI2_PTRF.pdf", "Melting_Curves/meltCurve_Q6NZI2_PTRF.pdf")</f>
        <v>Melting_Curves/meltCurve_Q6NZI2_PTRF.pdf</v>
      </c>
    </row>
    <row r="3700" spans="1:28" x14ac:dyDescent="0.25">
      <c r="A3700" t="s">
        <v>3704</v>
      </c>
      <c r="B3700">
        <v>0.99334974765950101</v>
      </c>
      <c r="C3700">
        <v>1.0741654927148201</v>
      </c>
      <c r="D3700">
        <v>0.90317252244782498</v>
      </c>
      <c r="E3700">
        <v>0.87226255768160099</v>
      </c>
      <c r="F3700">
        <v>0.81117974507114898</v>
      </c>
      <c r="G3700">
        <v>0.65828545061946098</v>
      </c>
      <c r="H3700">
        <v>0.64734509297998</v>
      </c>
      <c r="I3700">
        <v>0.73131540811743001</v>
      </c>
      <c r="J3700">
        <v>1.0011856328233</v>
      </c>
      <c r="K3700">
        <v>0.89763491485734603</v>
      </c>
      <c r="L3700">
        <v>1357.5212864564701</v>
      </c>
      <c r="M3700">
        <v>28.4953580853572</v>
      </c>
      <c r="O3700">
        <v>47.407305374953403</v>
      </c>
      <c r="P3700">
        <v>-3.1156830112480001E-2</v>
      </c>
      <c r="Q3700">
        <v>0.79266101142215195</v>
      </c>
      <c r="R3700">
        <v>0.43665832452113701</v>
      </c>
      <c r="S3700" t="s">
        <v>9561</v>
      </c>
      <c r="T3700" t="s">
        <v>11720</v>
      </c>
      <c r="U3700" t="s">
        <v>11720</v>
      </c>
      <c r="V3700" t="s">
        <v>11720</v>
      </c>
      <c r="W3700" t="s">
        <v>15367</v>
      </c>
      <c r="X3700">
        <v>5</v>
      </c>
      <c r="Y3700" t="s">
        <v>21084</v>
      </c>
      <c r="Z3700" t="s">
        <v>26907</v>
      </c>
      <c r="AA3700">
        <v>0.84685173672978975</v>
      </c>
      <c r="AB3700" t="str">
        <f>HYPERLINK("Melting_Curves/meltCurve_Q6NZY7_CDC42EP5.pdf", "Melting_Curves/meltCurve_Q6NZY7_CDC42EP5.pdf")</f>
        <v>Melting_Curves/meltCurve_Q6NZY7_CDC42EP5.pdf</v>
      </c>
    </row>
    <row r="3701" spans="1:28" x14ac:dyDescent="0.25">
      <c r="A3701" t="s">
        <v>3705</v>
      </c>
      <c r="B3701">
        <v>0.99334974765950101</v>
      </c>
      <c r="C3701">
        <v>1.0249130719158801</v>
      </c>
      <c r="D3701">
        <v>0.97931358796265799</v>
      </c>
      <c r="E3701">
        <v>0.83007948471870296</v>
      </c>
      <c r="F3701">
        <v>0.85932560564429605</v>
      </c>
      <c r="G3701">
        <v>0.49727243728647103</v>
      </c>
      <c r="H3701">
        <v>0.52643860127360698</v>
      </c>
      <c r="I3701">
        <v>0.60954510275098295</v>
      </c>
      <c r="J3701">
        <v>0.59915524153810595</v>
      </c>
      <c r="K3701">
        <v>0.58428519809766599</v>
      </c>
      <c r="L3701">
        <v>1425.2715885144501</v>
      </c>
      <c r="M3701">
        <v>27.091486170307402</v>
      </c>
      <c r="O3701">
        <v>52.325456250891897</v>
      </c>
      <c r="P3701">
        <v>-5.6843204432581201E-2</v>
      </c>
      <c r="Q3701">
        <v>0.56084857737843996</v>
      </c>
      <c r="R3701">
        <v>0.90615709726467297</v>
      </c>
      <c r="S3701" t="s">
        <v>9562</v>
      </c>
      <c r="T3701" t="s">
        <v>11720</v>
      </c>
      <c r="U3701" t="s">
        <v>11720</v>
      </c>
      <c r="V3701" t="s">
        <v>11720</v>
      </c>
      <c r="W3701" t="s">
        <v>15368</v>
      </c>
      <c r="X3701">
        <v>1</v>
      </c>
      <c r="Y3701" t="s">
        <v>21085</v>
      </c>
      <c r="Z3701" t="s">
        <v>26908</v>
      </c>
      <c r="AA3701">
        <v>0.74888833255428899</v>
      </c>
      <c r="AB3701" t="str">
        <f>HYPERLINK("Melting_Curves/meltCurve_Q6P161_MRPL54.pdf", "Melting_Curves/meltCurve_Q6P161_MRPL54.pdf")</f>
        <v>Melting_Curves/meltCurve_Q6P161_MRPL54.pdf</v>
      </c>
    </row>
    <row r="3702" spans="1:28" x14ac:dyDescent="0.25">
      <c r="A3702" t="s">
        <v>3706</v>
      </c>
      <c r="B3702">
        <v>0.99334974765950101</v>
      </c>
      <c r="C3702">
        <v>1.04299589344342</v>
      </c>
      <c r="D3702">
        <v>1.2614954212726499</v>
      </c>
      <c r="E3702">
        <v>1.17023465430747</v>
      </c>
      <c r="F3702">
        <v>0.930274243174815</v>
      </c>
      <c r="G3702">
        <v>0.45348106849462</v>
      </c>
      <c r="H3702">
        <v>0.205369161230117</v>
      </c>
      <c r="I3702">
        <v>0.17198130551825799</v>
      </c>
      <c r="J3702">
        <v>0.13555953073409299</v>
      </c>
      <c r="K3702">
        <v>0.100863554086959</v>
      </c>
      <c r="L3702">
        <v>2351.1958136509502</v>
      </c>
      <c r="M3702">
        <v>41.778660400501899</v>
      </c>
      <c r="N3702">
        <v>56.732246495052003</v>
      </c>
      <c r="O3702">
        <v>56.148967928695299</v>
      </c>
      <c r="P3702">
        <v>-0.159545895897722</v>
      </c>
      <c r="Q3702">
        <v>0.14230664563856099</v>
      </c>
      <c r="R3702">
        <v>0.94853035178454104</v>
      </c>
      <c r="S3702" t="s">
        <v>9563</v>
      </c>
      <c r="T3702" t="s">
        <v>11720</v>
      </c>
      <c r="U3702" t="s">
        <v>11720</v>
      </c>
      <c r="V3702" t="s">
        <v>11720</v>
      </c>
      <c r="W3702" t="s">
        <v>15369</v>
      </c>
      <c r="X3702">
        <v>24</v>
      </c>
      <c r="Y3702" t="s">
        <v>21086</v>
      </c>
      <c r="Z3702" t="s">
        <v>26909</v>
      </c>
      <c r="AA3702">
        <v>0.61071432405702164</v>
      </c>
      <c r="AB3702" t="str">
        <f>HYPERLINK("Melting_Curves/meltCurve_Q6P179_ERAP2.pdf", "Melting_Curves/meltCurve_Q6P179_ERAP2.pdf")</f>
        <v>Melting_Curves/meltCurve_Q6P179_ERAP2.pdf</v>
      </c>
    </row>
    <row r="3703" spans="1:28" x14ac:dyDescent="0.25">
      <c r="A3703" t="s">
        <v>3707</v>
      </c>
      <c r="B3703">
        <v>0.99334974765950101</v>
      </c>
      <c r="C3703">
        <v>1.1072158544345601</v>
      </c>
      <c r="D3703">
        <v>1.06860402956155</v>
      </c>
      <c r="E3703">
        <v>0.78565767763113104</v>
      </c>
      <c r="F3703">
        <v>0.92610500970279597</v>
      </c>
      <c r="G3703">
        <v>0.939601567530854</v>
      </c>
      <c r="H3703">
        <v>0.82000009764692094</v>
      </c>
      <c r="I3703">
        <v>0.96352163074728603</v>
      </c>
      <c r="J3703">
        <v>0.74036556946134102</v>
      </c>
      <c r="K3703">
        <v>0.50935476189145001</v>
      </c>
      <c r="L3703">
        <v>1282.89411458938</v>
      </c>
      <c r="M3703">
        <v>18.177519757164799</v>
      </c>
      <c r="O3703">
        <v>69.738342381675395</v>
      </c>
      <c r="P3703">
        <v>-6.5166390202809801E-2</v>
      </c>
      <c r="Q3703">
        <v>0</v>
      </c>
      <c r="R3703">
        <v>0.66091037303112998</v>
      </c>
      <c r="S3703" t="s">
        <v>9564</v>
      </c>
      <c r="T3703" t="s">
        <v>11720</v>
      </c>
      <c r="U3703" t="s">
        <v>11720</v>
      </c>
      <c r="V3703" t="s">
        <v>11720</v>
      </c>
      <c r="W3703" t="s">
        <v>15370</v>
      </c>
      <c r="X3703">
        <v>3</v>
      </c>
      <c r="Y3703" t="s">
        <v>21087</v>
      </c>
      <c r="Z3703" t="s">
        <v>26910</v>
      </c>
      <c r="AA3703">
        <v>0.9295113509806</v>
      </c>
      <c r="AB3703" t="str">
        <f>HYPERLINK("Melting_Curves/meltCurve_Q6P1J9_CDC73.pdf", "Melting_Curves/meltCurve_Q6P1J9_CDC73.pdf")</f>
        <v>Melting_Curves/meltCurve_Q6P1J9_CDC73.pdf</v>
      </c>
    </row>
    <row r="3704" spans="1:28" x14ac:dyDescent="0.25">
      <c r="A3704" t="s">
        <v>3708</v>
      </c>
      <c r="B3704">
        <v>0.99334974765950101</v>
      </c>
      <c r="C3704">
        <v>0.92225585251113795</v>
      </c>
      <c r="D3704">
        <v>0.68132522987246502</v>
      </c>
      <c r="E3704">
        <v>0.54701015475386205</v>
      </c>
      <c r="F3704">
        <v>0.398731374273053</v>
      </c>
      <c r="G3704">
        <v>0.35558867810310102</v>
      </c>
      <c r="H3704">
        <v>0.29616643036628498</v>
      </c>
      <c r="I3704">
        <v>0.27208232501454899</v>
      </c>
      <c r="J3704">
        <v>0.34582439348690602</v>
      </c>
      <c r="K3704">
        <v>0.31905958446384097</v>
      </c>
      <c r="L3704">
        <v>779.78671019000001</v>
      </c>
      <c r="M3704">
        <v>16.480656291492998</v>
      </c>
      <c r="N3704">
        <v>50.172601676558102</v>
      </c>
      <c r="O3704">
        <v>46.635077337857602</v>
      </c>
      <c r="P3704">
        <v>-6.1459205405731299E-2</v>
      </c>
      <c r="Q3704">
        <v>0.30440733107776602</v>
      </c>
      <c r="R3704">
        <v>0.98471151687985803</v>
      </c>
      <c r="S3704" t="s">
        <v>9565</v>
      </c>
      <c r="T3704" t="s">
        <v>11720</v>
      </c>
      <c r="U3704" t="s">
        <v>11720</v>
      </c>
      <c r="V3704" t="s">
        <v>11720</v>
      </c>
      <c r="W3704" t="s">
        <v>15371</v>
      </c>
      <c r="X3704">
        <v>1</v>
      </c>
      <c r="Y3704" t="s">
        <v>21088</v>
      </c>
      <c r="Z3704" t="s">
        <v>26911</v>
      </c>
      <c r="AA3704">
        <v>0.48928365595901019</v>
      </c>
      <c r="AB3704" t="str">
        <f>HYPERLINK("Melting_Curves/meltCurve_Q6P1K2_4_PMF1.pdf", "Melting_Curves/meltCurve_Q6P1K2_4_PMF1.pdf")</f>
        <v>Melting_Curves/meltCurve_Q6P1K2_4_PMF1.pdf</v>
      </c>
    </row>
    <row r="3705" spans="1:28" x14ac:dyDescent="0.25">
      <c r="A3705" t="s">
        <v>3709</v>
      </c>
      <c r="B3705">
        <v>0.99334974765950101</v>
      </c>
      <c r="C3705">
        <v>0.97185283287202695</v>
      </c>
      <c r="D3705">
        <v>0.85843793026783399</v>
      </c>
      <c r="E3705">
        <v>0.68139539752204503</v>
      </c>
      <c r="F3705">
        <v>0.33390059390605598</v>
      </c>
      <c r="G3705">
        <v>0.22770711933683499</v>
      </c>
      <c r="H3705">
        <v>0.184328515500672</v>
      </c>
      <c r="I3705">
        <v>0.134872374472186</v>
      </c>
      <c r="J3705">
        <v>0.13309929517312799</v>
      </c>
      <c r="K3705">
        <v>0.116171393674497</v>
      </c>
      <c r="L3705">
        <v>999.97567705145696</v>
      </c>
      <c r="M3705">
        <v>19.713113053613299</v>
      </c>
      <c r="N3705">
        <v>51.484390173698401</v>
      </c>
      <c r="O3705">
        <v>50.213069106149099</v>
      </c>
      <c r="P3705">
        <v>-8.5788588427091098E-2</v>
      </c>
      <c r="Q3705">
        <v>0.12595035545650801</v>
      </c>
      <c r="R3705">
        <v>0.99277908159374895</v>
      </c>
      <c r="S3705" t="s">
        <v>9566</v>
      </c>
      <c r="T3705" t="s">
        <v>11720</v>
      </c>
      <c r="U3705" t="s">
        <v>11720</v>
      </c>
      <c r="V3705" t="s">
        <v>11720</v>
      </c>
      <c r="W3705" t="s">
        <v>15372</v>
      </c>
      <c r="X3705">
        <v>3</v>
      </c>
      <c r="Y3705" t="s">
        <v>21089</v>
      </c>
      <c r="Z3705" t="s">
        <v>26912</v>
      </c>
      <c r="AA3705">
        <v>0.45094185551404059</v>
      </c>
      <c r="AB3705" t="str">
        <f>HYPERLINK("Melting_Curves/meltCurve_Q6P1L8_MRPL14.pdf", "Melting_Curves/meltCurve_Q6P1L8_MRPL14.pdf")</f>
        <v>Melting_Curves/meltCurve_Q6P1L8_MRPL14.pdf</v>
      </c>
    </row>
    <row r="3706" spans="1:28" x14ac:dyDescent="0.25">
      <c r="A3706" t="s">
        <v>3710</v>
      </c>
      <c r="B3706">
        <v>0.99334974765950101</v>
      </c>
      <c r="C3706">
        <v>0.88858138894265104</v>
      </c>
      <c r="D3706">
        <v>0.77533928990282297</v>
      </c>
      <c r="E3706">
        <v>0.47263038029126397</v>
      </c>
      <c r="F3706">
        <v>0.26915653947430801</v>
      </c>
      <c r="G3706">
        <v>0.148355993315088</v>
      </c>
      <c r="H3706">
        <v>0.11217955898519499</v>
      </c>
      <c r="I3706">
        <v>0.106247305584279</v>
      </c>
      <c r="J3706">
        <v>9.8637118802210003E-2</v>
      </c>
      <c r="K3706">
        <v>8.1773791577315902E-2</v>
      </c>
      <c r="L3706">
        <v>818.19503882710205</v>
      </c>
      <c r="M3706">
        <v>16.713896222403001</v>
      </c>
      <c r="N3706">
        <v>49.469354392627999</v>
      </c>
      <c r="O3706">
        <v>48.2683150325444</v>
      </c>
      <c r="P3706">
        <v>-7.9643470403710004E-2</v>
      </c>
      <c r="Q3706">
        <v>8.0046384807416507E-2</v>
      </c>
      <c r="R3706">
        <v>0.99838609774949105</v>
      </c>
      <c r="S3706" t="s">
        <v>9567</v>
      </c>
      <c r="T3706" t="s">
        <v>11720</v>
      </c>
      <c r="U3706" t="s">
        <v>11720</v>
      </c>
      <c r="V3706" t="s">
        <v>11720</v>
      </c>
      <c r="W3706" t="s">
        <v>15373</v>
      </c>
      <c r="X3706">
        <v>11</v>
      </c>
      <c r="Y3706" t="s">
        <v>21090</v>
      </c>
      <c r="Z3706" t="s">
        <v>26913</v>
      </c>
      <c r="AA3706">
        <v>0.37306047631139733</v>
      </c>
      <c r="AB3706" t="str">
        <f>HYPERLINK("Melting_Curves/meltCurve_Q6P1M0_SLC27A4.pdf", "Melting_Curves/meltCurve_Q6P1M0_SLC27A4.pdf")</f>
        <v>Melting_Curves/meltCurve_Q6P1M0_SLC27A4.pdf</v>
      </c>
    </row>
    <row r="3707" spans="1:28" x14ac:dyDescent="0.25">
      <c r="A3707" t="s">
        <v>3711</v>
      </c>
      <c r="B3707">
        <v>0.99334974765950101</v>
      </c>
      <c r="C3707">
        <v>1.00153267100044</v>
      </c>
      <c r="D3707">
        <v>0.81386027398373695</v>
      </c>
      <c r="E3707">
        <v>0.51660384106713897</v>
      </c>
      <c r="F3707">
        <v>0.32001210178724099</v>
      </c>
      <c r="G3707">
        <v>0.22184133942810799</v>
      </c>
      <c r="H3707">
        <v>0.182266965314061</v>
      </c>
      <c r="I3707">
        <v>0.19930656747182501</v>
      </c>
      <c r="J3707">
        <v>0.20169318165168701</v>
      </c>
      <c r="K3707">
        <v>0.16865211432362001</v>
      </c>
      <c r="L3707">
        <v>1037.29982984051</v>
      </c>
      <c r="M3707">
        <v>21.16193114887</v>
      </c>
      <c r="N3707">
        <v>50.093178379577402</v>
      </c>
      <c r="O3707">
        <v>48.585851275326903</v>
      </c>
      <c r="P3707">
        <v>-8.9005851311396003E-2</v>
      </c>
      <c r="Q3707">
        <v>0.182624368508017</v>
      </c>
      <c r="R3707">
        <v>0.99724621560136895</v>
      </c>
      <c r="S3707" t="s">
        <v>9568</v>
      </c>
      <c r="T3707" t="s">
        <v>11720</v>
      </c>
      <c r="U3707" t="s">
        <v>11720</v>
      </c>
      <c r="V3707" t="s">
        <v>11720</v>
      </c>
      <c r="W3707" t="s">
        <v>15374</v>
      </c>
      <c r="X3707">
        <v>14</v>
      </c>
      <c r="Y3707" t="s">
        <v>21091</v>
      </c>
      <c r="Z3707" t="s">
        <v>26914</v>
      </c>
      <c r="AA3707">
        <v>0.43851014705173769</v>
      </c>
      <c r="AB3707" t="str">
        <f>HYPERLINK("Melting_Curves/meltCurve_Q6P1N0_2_CC2D1A.pdf", "Melting_Curves/meltCurve_Q6P1N0_2_CC2D1A.pdf")</f>
        <v>Melting_Curves/meltCurve_Q6P1N0_2_CC2D1A.pdf</v>
      </c>
    </row>
    <row r="3708" spans="1:28" x14ac:dyDescent="0.25">
      <c r="A3708" t="s">
        <v>3712</v>
      </c>
      <c r="B3708">
        <v>0.99334974765950101</v>
      </c>
      <c r="C3708">
        <v>0.88147304408411697</v>
      </c>
      <c r="D3708">
        <v>0.45585858612711699</v>
      </c>
      <c r="E3708">
        <v>8.5864087993219901E-2</v>
      </c>
      <c r="F3708">
        <v>4.68673709338083E-2</v>
      </c>
      <c r="G3708">
        <v>3.52986286733738E-2</v>
      </c>
      <c r="H3708">
        <v>2.7105006483017099E-2</v>
      </c>
      <c r="I3708">
        <v>2.54574412150529E-2</v>
      </c>
      <c r="J3708">
        <v>2.7549888243568799E-2</v>
      </c>
      <c r="K3708">
        <v>2.42642963471018E-2</v>
      </c>
      <c r="L3708">
        <v>1419.9387241750001</v>
      </c>
      <c r="M3708">
        <v>31.111586043594301</v>
      </c>
      <c r="N3708">
        <v>45.725310577507997</v>
      </c>
      <c r="O3708">
        <v>45.452871786144101</v>
      </c>
      <c r="P3708">
        <v>-0.16630592900664601</v>
      </c>
      <c r="Q3708">
        <v>2.8138364696920298E-2</v>
      </c>
      <c r="R3708">
        <v>0.99990367460855001</v>
      </c>
      <c r="S3708" t="s">
        <v>9569</v>
      </c>
      <c r="T3708" t="s">
        <v>11720</v>
      </c>
      <c r="U3708" t="s">
        <v>11720</v>
      </c>
      <c r="V3708" t="s">
        <v>11720</v>
      </c>
      <c r="W3708" t="s">
        <v>15375</v>
      </c>
      <c r="X3708">
        <v>5</v>
      </c>
      <c r="Y3708" t="s">
        <v>21092</v>
      </c>
      <c r="Z3708" t="s">
        <v>26915</v>
      </c>
      <c r="AA3708">
        <v>0.21637931073154701</v>
      </c>
      <c r="AB3708" t="str">
        <f>HYPERLINK("Melting_Curves/meltCurve_Q6P1Q9_METTL2B.pdf", "Melting_Curves/meltCurve_Q6P1Q9_METTL2B.pdf")</f>
        <v>Melting_Curves/meltCurve_Q6P1Q9_METTL2B.pdf</v>
      </c>
    </row>
    <row r="3709" spans="1:28" x14ac:dyDescent="0.25">
      <c r="A3709" t="s">
        <v>3713</v>
      </c>
      <c r="B3709">
        <v>0.99334974765950101</v>
      </c>
      <c r="C3709">
        <v>0.75415827535436097</v>
      </c>
      <c r="D3709">
        <v>0.69985592107273997</v>
      </c>
      <c r="E3709">
        <v>0.46164708180560698</v>
      </c>
      <c r="F3709">
        <v>0.53024435980370299</v>
      </c>
      <c r="G3709">
        <v>0.34465318522532801</v>
      </c>
      <c r="H3709">
        <v>0.31848772135900699</v>
      </c>
      <c r="I3709">
        <v>0.27042246136957199</v>
      </c>
      <c r="J3709">
        <v>0.22220527231281401</v>
      </c>
      <c r="K3709">
        <v>0.131197801715183</v>
      </c>
      <c r="L3709">
        <v>388.59153462041002</v>
      </c>
      <c r="M3709">
        <v>7.7583310611449496</v>
      </c>
      <c r="N3709">
        <v>51.608372193237201</v>
      </c>
      <c r="O3709">
        <v>47.085744447634703</v>
      </c>
      <c r="P3709">
        <v>-3.7028758064349798E-2</v>
      </c>
      <c r="Q3709">
        <v>0.102220012951937</v>
      </c>
      <c r="R3709">
        <v>0.949444009656499</v>
      </c>
      <c r="S3709" t="s">
        <v>9570</v>
      </c>
      <c r="T3709" t="s">
        <v>11720</v>
      </c>
      <c r="U3709" t="s">
        <v>11720</v>
      </c>
      <c r="V3709" t="s">
        <v>11720</v>
      </c>
      <c r="W3709" t="s">
        <v>15376</v>
      </c>
      <c r="X3709">
        <v>3</v>
      </c>
      <c r="Y3709" t="s">
        <v>21093</v>
      </c>
      <c r="Z3709" t="s">
        <v>26916</v>
      </c>
      <c r="AA3709">
        <v>0.45894819751646793</v>
      </c>
      <c r="AB3709" t="str">
        <f>HYPERLINK("Melting_Curves/meltCurve_Q6P1R4_DUS1L.pdf", "Melting_Curves/meltCurve_Q6P1R4_DUS1L.pdf")</f>
        <v>Melting_Curves/meltCurve_Q6P1R4_DUS1L.pdf</v>
      </c>
    </row>
    <row r="3710" spans="1:28" x14ac:dyDescent="0.25">
      <c r="A3710" t="s">
        <v>3714</v>
      </c>
      <c r="B3710">
        <v>0.99334974765950101</v>
      </c>
      <c r="C3710">
        <v>1.00233736404053</v>
      </c>
      <c r="D3710">
        <v>0.85380188080116604</v>
      </c>
      <c r="E3710">
        <v>0.74397869037634001</v>
      </c>
      <c r="F3710">
        <v>0.53909602048926997</v>
      </c>
      <c r="G3710">
        <v>0.305707975268318</v>
      </c>
      <c r="H3710">
        <v>0.115550244890927</v>
      </c>
      <c r="I3710">
        <v>7.9081238265071893E-2</v>
      </c>
      <c r="J3710">
        <v>6.0002924204494497E-2</v>
      </c>
      <c r="K3710">
        <v>4.8312105447048101E-2</v>
      </c>
      <c r="L3710">
        <v>759.303702041836</v>
      </c>
      <c r="M3710">
        <v>14.2007984409064</v>
      </c>
      <c r="N3710">
        <v>53.469087577886903</v>
      </c>
      <c r="O3710">
        <v>52.442297955732002</v>
      </c>
      <c r="P3710">
        <v>-6.7705728378149796E-2</v>
      </c>
      <c r="Q3710">
        <v>0</v>
      </c>
      <c r="R3710">
        <v>0.99587579676594795</v>
      </c>
      <c r="S3710" t="s">
        <v>9571</v>
      </c>
      <c r="T3710" t="s">
        <v>11720</v>
      </c>
      <c r="U3710" t="s">
        <v>11720</v>
      </c>
      <c r="V3710" t="s">
        <v>11720</v>
      </c>
      <c r="W3710" t="s">
        <v>15377</v>
      </c>
      <c r="X3710">
        <v>9</v>
      </c>
      <c r="Y3710" t="s">
        <v>21094</v>
      </c>
      <c r="Z3710" t="s">
        <v>26917</v>
      </c>
      <c r="AA3710">
        <v>0.47158202480051042</v>
      </c>
      <c r="AB3710" t="str">
        <f>HYPERLINK("Melting_Curves/meltCurve_Q6P1X6_C8orf82.pdf", "Melting_Curves/meltCurve_Q6P1X6_C8orf82.pdf")</f>
        <v>Melting_Curves/meltCurve_Q6P1X6_C8orf82.pdf</v>
      </c>
    </row>
    <row r="3711" spans="1:28" x14ac:dyDescent="0.25">
      <c r="A3711" t="s">
        <v>3715</v>
      </c>
      <c r="B3711">
        <v>0.99334974765950101</v>
      </c>
      <c r="C3711">
        <v>0.95600207714071495</v>
      </c>
      <c r="D3711">
        <v>0.95407243649180296</v>
      </c>
      <c r="E3711">
        <v>0.74942842154630496</v>
      </c>
      <c r="F3711">
        <v>0.31374378454270901</v>
      </c>
      <c r="G3711">
        <v>0.187424155512563</v>
      </c>
      <c r="H3711">
        <v>0.14143317338815201</v>
      </c>
      <c r="I3711">
        <v>0.123551937259582</v>
      </c>
      <c r="J3711">
        <v>0.12251517839833299</v>
      </c>
      <c r="K3711">
        <v>0.106705644831595</v>
      </c>
      <c r="L3711">
        <v>1794.5544415367001</v>
      </c>
      <c r="M3711">
        <v>35.054689235183602</v>
      </c>
      <c r="N3711">
        <v>51.6306422093108</v>
      </c>
      <c r="O3711">
        <v>51.027252719838501</v>
      </c>
      <c r="P3711">
        <v>-0.14967043603886401</v>
      </c>
      <c r="Q3711">
        <v>0.128533802456375</v>
      </c>
      <c r="R3711">
        <v>0.99636980885917803</v>
      </c>
      <c r="S3711" t="s">
        <v>9572</v>
      </c>
      <c r="T3711" t="s">
        <v>11720</v>
      </c>
      <c r="U3711" t="s">
        <v>11720</v>
      </c>
      <c r="V3711" t="s">
        <v>11720</v>
      </c>
      <c r="W3711" t="s">
        <v>15378</v>
      </c>
      <c r="X3711">
        <v>25</v>
      </c>
      <c r="Y3711" t="s">
        <v>21095</v>
      </c>
      <c r="Z3711" t="s">
        <v>26918</v>
      </c>
      <c r="AA3711">
        <v>0.45769924122186689</v>
      </c>
      <c r="AB3711" t="str">
        <f>HYPERLINK("Melting_Curves/meltCurve_Q6P2E9_EDC4.pdf", "Melting_Curves/meltCurve_Q6P2E9_EDC4.pdf")</f>
        <v>Melting_Curves/meltCurve_Q6P2E9_EDC4.pdf</v>
      </c>
    </row>
    <row r="3712" spans="1:28" x14ac:dyDescent="0.25">
      <c r="A3712" t="s">
        <v>3716</v>
      </c>
      <c r="B3712">
        <v>0.99334974765950101</v>
      </c>
      <c r="C3712">
        <v>0.96422224233002796</v>
      </c>
      <c r="D3712">
        <v>0.88919958628783502</v>
      </c>
      <c r="E3712">
        <v>0.70476438827760302</v>
      </c>
      <c r="F3712">
        <v>0.40763227599010798</v>
      </c>
      <c r="G3712">
        <v>0.220011214113773</v>
      </c>
      <c r="H3712">
        <v>0.18188960308916499</v>
      </c>
      <c r="I3712">
        <v>0.19816913208174999</v>
      </c>
      <c r="J3712">
        <v>0.243786510858959</v>
      </c>
      <c r="K3712">
        <v>0.20778286475270499</v>
      </c>
      <c r="L3712">
        <v>1220.94205730471</v>
      </c>
      <c r="M3712">
        <v>24.031753493414101</v>
      </c>
      <c r="N3712">
        <v>51.879345993331597</v>
      </c>
      <c r="O3712">
        <v>50.457492349490799</v>
      </c>
      <c r="P3712">
        <v>-9.5736411856860396E-2</v>
      </c>
      <c r="Q3712">
        <v>0.195973227153143</v>
      </c>
      <c r="R3712">
        <v>0.99248733638381403</v>
      </c>
      <c r="S3712" t="s">
        <v>9573</v>
      </c>
      <c r="T3712" t="s">
        <v>11720</v>
      </c>
      <c r="U3712" t="s">
        <v>11720</v>
      </c>
      <c r="V3712" t="s">
        <v>11720</v>
      </c>
      <c r="W3712" t="s">
        <v>15379</v>
      </c>
      <c r="X3712">
        <v>8</v>
      </c>
      <c r="Y3712" t="s">
        <v>21096</v>
      </c>
      <c r="Z3712" t="s">
        <v>26919</v>
      </c>
      <c r="AA3712">
        <v>0.49340146155383108</v>
      </c>
      <c r="AB3712" t="str">
        <f>HYPERLINK("Melting_Curves/meltCurve_Q6P2P2_PRMT10.pdf", "Melting_Curves/meltCurve_Q6P2P2_PRMT10.pdf")</f>
        <v>Melting_Curves/meltCurve_Q6P2P2_PRMT10.pdf</v>
      </c>
    </row>
    <row r="3713" spans="1:28" x14ac:dyDescent="0.25">
      <c r="A3713" t="s">
        <v>3717</v>
      </c>
      <c r="B3713">
        <v>0.99334974765950101</v>
      </c>
      <c r="C3713">
        <v>1.2371578408745201</v>
      </c>
      <c r="D3713">
        <v>1.37186798423206</v>
      </c>
      <c r="E3713">
        <v>1.0578130656810101</v>
      </c>
      <c r="F3713">
        <v>0.89561503081242799</v>
      </c>
      <c r="G3713">
        <v>0.69614829422343505</v>
      </c>
      <c r="H3713">
        <v>1.3546398975085701</v>
      </c>
      <c r="I3713">
        <v>0.74316569756496198</v>
      </c>
      <c r="J3713">
        <v>5.7419055539445703</v>
      </c>
      <c r="K3713">
        <v>2.7358964809301698</v>
      </c>
      <c r="L3713">
        <v>3924.5731733239199</v>
      </c>
      <c r="M3713">
        <v>64.513817288817293</v>
      </c>
      <c r="O3713">
        <v>60.7746927925647</v>
      </c>
      <c r="P3713">
        <v>0.13269058688798099</v>
      </c>
      <c r="Q3713">
        <v>1.5</v>
      </c>
      <c r="R3713">
        <v>4.41828917963192E-2</v>
      </c>
      <c r="S3713" t="s">
        <v>9574</v>
      </c>
      <c r="T3713" t="s">
        <v>11720</v>
      </c>
      <c r="U3713" t="s">
        <v>11720</v>
      </c>
      <c r="V3713" t="s">
        <v>11720</v>
      </c>
      <c r="W3713" t="s">
        <v>15380</v>
      </c>
      <c r="X3713">
        <v>3</v>
      </c>
      <c r="Y3713" t="s">
        <v>21097</v>
      </c>
      <c r="Z3713" t="s">
        <v>26920</v>
      </c>
      <c r="AA3713">
        <v>1.151982789669588</v>
      </c>
      <c r="AB3713" t="str">
        <f>HYPERLINK("Melting_Curves/meltCurve_Q6P3S1_5_DENND1B.pdf", "Melting_Curves/meltCurve_Q6P3S1_5_DENND1B.pdf")</f>
        <v>Melting_Curves/meltCurve_Q6P3S1_5_DENND1B.pdf</v>
      </c>
    </row>
    <row r="3714" spans="1:28" x14ac:dyDescent="0.25">
      <c r="A3714" t="s">
        <v>3718</v>
      </c>
      <c r="B3714">
        <v>0.99334974765950101</v>
      </c>
      <c r="C3714">
        <v>0.95053385370977295</v>
      </c>
      <c r="D3714">
        <v>0.95092479083693104</v>
      </c>
      <c r="E3714">
        <v>0.91132290401046601</v>
      </c>
      <c r="F3714">
        <v>0.43993979708805298</v>
      </c>
      <c r="G3714">
        <v>0.21173489059444101</v>
      </c>
      <c r="H3714">
        <v>0.14426822926898</v>
      </c>
      <c r="I3714">
        <v>0.108325117081763</v>
      </c>
      <c r="J3714">
        <v>8.6958758915317305E-2</v>
      </c>
      <c r="K3714">
        <v>7.1862379973148094E-2</v>
      </c>
      <c r="L3714">
        <v>1997.2807101113599</v>
      </c>
      <c r="M3714">
        <v>38.0985045243809</v>
      </c>
      <c r="N3714">
        <v>52.778150704342004</v>
      </c>
      <c r="O3714">
        <v>52.280336377193997</v>
      </c>
      <c r="P3714">
        <v>-0.16164150557187301</v>
      </c>
      <c r="Q3714">
        <v>0.112758089452185</v>
      </c>
      <c r="R3714">
        <v>0.99166601756176898</v>
      </c>
      <c r="S3714" t="s">
        <v>9575</v>
      </c>
      <c r="T3714" t="s">
        <v>11720</v>
      </c>
      <c r="U3714" t="s">
        <v>11720</v>
      </c>
      <c r="V3714" t="s">
        <v>11720</v>
      </c>
      <c r="W3714" t="s">
        <v>15381</v>
      </c>
      <c r="X3714">
        <v>16</v>
      </c>
      <c r="Y3714" t="s">
        <v>21098</v>
      </c>
      <c r="Z3714" t="s">
        <v>26921</v>
      </c>
      <c r="AA3714">
        <v>0.48374118134403232</v>
      </c>
      <c r="AB3714" t="str">
        <f>HYPERLINK("Melting_Curves/meltCurve_Q6P3W7_SCYL2.pdf", "Melting_Curves/meltCurve_Q6P3W7_SCYL2.pdf")</f>
        <v>Melting_Curves/meltCurve_Q6P3W7_SCYL2.pdf</v>
      </c>
    </row>
    <row r="3715" spans="1:28" x14ac:dyDescent="0.25">
      <c r="A3715" t="s">
        <v>3719</v>
      </c>
      <c r="B3715">
        <v>0.99334974765950101</v>
      </c>
      <c r="C3715">
        <v>1.0145119688672799</v>
      </c>
      <c r="D3715">
        <v>0.77722706195897595</v>
      </c>
      <c r="E3715">
        <v>0.27313315147662598</v>
      </c>
      <c r="F3715">
        <v>0.20355085984020699</v>
      </c>
      <c r="G3715">
        <v>0.14513511668703699</v>
      </c>
      <c r="H3715">
        <v>0.111770794902465</v>
      </c>
      <c r="I3715">
        <v>9.8672704163256297E-2</v>
      </c>
      <c r="J3715">
        <v>8.1723805794454998E-2</v>
      </c>
      <c r="K3715">
        <v>6.15265915616083E-2</v>
      </c>
      <c r="L3715">
        <v>1403.18862465853</v>
      </c>
      <c r="M3715">
        <v>29.373869599664701</v>
      </c>
      <c r="N3715">
        <v>48.153767476622299</v>
      </c>
      <c r="O3715">
        <v>47.550194070999702</v>
      </c>
      <c r="P3715">
        <v>-0.138318716442419</v>
      </c>
      <c r="Q3715">
        <v>0.10436915601967101</v>
      </c>
      <c r="R3715">
        <v>0.99358075079247199</v>
      </c>
      <c r="S3715" t="s">
        <v>9576</v>
      </c>
      <c r="T3715" t="s">
        <v>11720</v>
      </c>
      <c r="U3715" t="s">
        <v>11720</v>
      </c>
      <c r="V3715" t="s">
        <v>11720</v>
      </c>
      <c r="W3715" t="s">
        <v>15382</v>
      </c>
      <c r="X3715">
        <v>7</v>
      </c>
      <c r="Y3715" t="s">
        <v>21099</v>
      </c>
      <c r="Z3715" t="s">
        <v>26922</v>
      </c>
      <c r="AA3715">
        <v>0.34196134120309901</v>
      </c>
      <c r="AB3715" t="str">
        <f>HYPERLINK("Melting_Curves/meltCurve_Q6P3X3_TTC27.pdf", "Melting_Curves/meltCurve_Q6P3X3_TTC27.pdf")</f>
        <v>Melting_Curves/meltCurve_Q6P3X3_TTC27.pdf</v>
      </c>
    </row>
    <row r="3716" spans="1:28" x14ac:dyDescent="0.25">
      <c r="A3716" t="s">
        <v>3720</v>
      </c>
      <c r="B3716">
        <v>0.99334974765950101</v>
      </c>
      <c r="C3716">
        <v>0.96942867577980496</v>
      </c>
      <c r="D3716">
        <v>0.87765882532032102</v>
      </c>
      <c r="E3716">
        <v>0.87200444738494498</v>
      </c>
      <c r="F3716">
        <v>0.749776342608651</v>
      </c>
      <c r="G3716">
        <v>0.75645770433215798</v>
      </c>
      <c r="H3716">
        <v>0.650651242032806</v>
      </c>
      <c r="I3716">
        <v>0.61543592736532204</v>
      </c>
      <c r="J3716">
        <v>0.472380957266682</v>
      </c>
      <c r="K3716">
        <v>0.37874464465557101</v>
      </c>
      <c r="L3716">
        <v>374.95060544464002</v>
      </c>
      <c r="M3716">
        <v>5.6346427856640497</v>
      </c>
      <c r="N3716">
        <v>66.543811152583601</v>
      </c>
      <c r="O3716">
        <v>59.581608065192903</v>
      </c>
      <c r="P3716">
        <v>-2.3738211605268001E-2</v>
      </c>
      <c r="Q3716">
        <v>0</v>
      </c>
      <c r="R3716">
        <v>0.96101242521654795</v>
      </c>
      <c r="S3716" t="s">
        <v>9577</v>
      </c>
      <c r="T3716" t="s">
        <v>11720</v>
      </c>
      <c r="U3716" t="s">
        <v>11720</v>
      </c>
      <c r="V3716" t="s">
        <v>11720</v>
      </c>
      <c r="W3716" t="s">
        <v>15383</v>
      </c>
      <c r="X3716">
        <v>1</v>
      </c>
      <c r="Y3716" t="s">
        <v>21100</v>
      </c>
      <c r="Z3716" t="s">
        <v>26923</v>
      </c>
      <c r="AA3716">
        <v>0.74332524465208427</v>
      </c>
      <c r="AB3716" t="str">
        <f>HYPERLINK("Melting_Curves/meltCurve_Q6P499_2_NIPAL3.pdf", "Melting_Curves/meltCurve_Q6P499_2_NIPAL3.pdf")</f>
        <v>Melting_Curves/meltCurve_Q6P499_2_NIPAL3.pdf</v>
      </c>
    </row>
    <row r="3717" spans="1:28" x14ac:dyDescent="0.25">
      <c r="A3717" t="s">
        <v>3721</v>
      </c>
      <c r="B3717">
        <v>0.99334974765950101</v>
      </c>
      <c r="C3717">
        <v>1.13280073948487</v>
      </c>
      <c r="D3717">
        <v>0.98138020828693895</v>
      </c>
      <c r="E3717">
        <v>0.80750905127837402</v>
      </c>
      <c r="F3717">
        <v>1.0586807127781599</v>
      </c>
      <c r="G3717">
        <v>0.66218883829471697</v>
      </c>
      <c r="H3717">
        <v>0.57541638319162902</v>
      </c>
      <c r="I3717">
        <v>0.63308054143219095</v>
      </c>
      <c r="J3717">
        <v>0.79304757434178796</v>
      </c>
      <c r="K3717">
        <v>0.79335260221235804</v>
      </c>
      <c r="L3717">
        <v>13752.9250830316</v>
      </c>
      <c r="M3717">
        <v>250</v>
      </c>
      <c r="O3717">
        <v>55.008179995188499</v>
      </c>
      <c r="P3717">
        <v>-0.35061948889614403</v>
      </c>
      <c r="Q3717">
        <v>0.69140896134504704</v>
      </c>
      <c r="R3717">
        <v>0.70333142874307597</v>
      </c>
      <c r="S3717" t="s">
        <v>9578</v>
      </c>
      <c r="T3717" t="s">
        <v>11720</v>
      </c>
      <c r="U3717" t="s">
        <v>11720</v>
      </c>
      <c r="V3717" t="s">
        <v>11720</v>
      </c>
      <c r="W3717" t="s">
        <v>15384</v>
      </c>
      <c r="X3717">
        <v>10</v>
      </c>
      <c r="Y3717" t="s">
        <v>21101</v>
      </c>
      <c r="Z3717" t="s">
        <v>26924</v>
      </c>
      <c r="AA3717">
        <v>0.84585462741640649</v>
      </c>
      <c r="AB3717" t="str">
        <f>HYPERLINK("Melting_Curves/meltCurve_Q6P4E1_CASC4.pdf", "Melting_Curves/meltCurve_Q6P4E1_CASC4.pdf")</f>
        <v>Melting_Curves/meltCurve_Q6P4E1_CASC4.pdf</v>
      </c>
    </row>
    <row r="3718" spans="1:28" x14ac:dyDescent="0.25">
      <c r="A3718" t="s">
        <v>3722</v>
      </c>
      <c r="B3718">
        <v>0.99334974765950101</v>
      </c>
      <c r="C3718">
        <v>1.02592457798493</v>
      </c>
      <c r="D3718">
        <v>0.95031504320133497</v>
      </c>
      <c r="E3718">
        <v>0.80072293837680897</v>
      </c>
      <c r="F3718">
        <v>0.63634854013057296</v>
      </c>
      <c r="G3718">
        <v>0.50163069199208499</v>
      </c>
      <c r="H3718">
        <v>0.44882264127420002</v>
      </c>
      <c r="I3718">
        <v>0.54475455221250202</v>
      </c>
      <c r="J3718">
        <v>0.66339214843748695</v>
      </c>
      <c r="K3718">
        <v>0.49912251737451901</v>
      </c>
      <c r="L3718">
        <v>1520.3583896063899</v>
      </c>
      <c r="M3718">
        <v>30.1176412634603</v>
      </c>
      <c r="O3718">
        <v>50.259674414749398</v>
      </c>
      <c r="P3718">
        <v>-7.0322138842765794E-2</v>
      </c>
      <c r="Q3718">
        <v>0.53059471421432203</v>
      </c>
      <c r="R3718">
        <v>0.93250739828075502</v>
      </c>
      <c r="S3718" t="s">
        <v>9579</v>
      </c>
      <c r="T3718" t="s">
        <v>11720</v>
      </c>
      <c r="U3718" t="s">
        <v>11720</v>
      </c>
      <c r="V3718" t="s">
        <v>11720</v>
      </c>
      <c r="W3718" t="s">
        <v>15385</v>
      </c>
      <c r="X3718">
        <v>4</v>
      </c>
      <c r="Y3718" t="s">
        <v>21102</v>
      </c>
      <c r="Z3718" t="s">
        <v>26925</v>
      </c>
      <c r="AA3718">
        <v>0.69748722245462591</v>
      </c>
      <c r="AB3718" t="str">
        <f>HYPERLINK("Melting_Curves/meltCurve_Q6P4F2_FDX1L.pdf", "Melting_Curves/meltCurve_Q6P4F2_FDX1L.pdf")</f>
        <v>Melting_Curves/meltCurve_Q6P4F2_FDX1L.pdf</v>
      </c>
    </row>
    <row r="3719" spans="1:28" x14ac:dyDescent="0.25">
      <c r="A3719" t="s">
        <v>3723</v>
      </c>
      <c r="B3719">
        <v>0.99334974765950101</v>
      </c>
      <c r="C3719">
        <v>0.971639191380121</v>
      </c>
      <c r="D3719">
        <v>0.91791293045179001</v>
      </c>
      <c r="E3719">
        <v>0.73149410695176798</v>
      </c>
      <c r="F3719">
        <v>0.67514422784093098</v>
      </c>
      <c r="G3719">
        <v>0.31391695381132101</v>
      </c>
      <c r="H3719">
        <v>0.245514338024831</v>
      </c>
      <c r="I3719">
        <v>0.27337346598684698</v>
      </c>
      <c r="J3719">
        <v>0.20853951691303499</v>
      </c>
      <c r="K3719">
        <v>0.17117157287346399</v>
      </c>
      <c r="L3719">
        <v>827.89867928093497</v>
      </c>
      <c r="M3719">
        <v>15.590198270719799</v>
      </c>
      <c r="N3719">
        <v>54.542245839666002</v>
      </c>
      <c r="O3719">
        <v>52.253083388924097</v>
      </c>
      <c r="P3719">
        <v>-6.2022421422514497E-2</v>
      </c>
      <c r="Q3719">
        <v>0.168559176368069</v>
      </c>
      <c r="R3719">
        <v>0.983877461958514</v>
      </c>
      <c r="S3719" t="s">
        <v>9580</v>
      </c>
      <c r="T3719" t="s">
        <v>11720</v>
      </c>
      <c r="U3719" t="s">
        <v>11720</v>
      </c>
      <c r="V3719" t="s">
        <v>11720</v>
      </c>
      <c r="W3719" t="s">
        <v>15386</v>
      </c>
      <c r="X3719">
        <v>1</v>
      </c>
      <c r="Y3719" t="s">
        <v>21103</v>
      </c>
      <c r="Z3719" t="s">
        <v>26926</v>
      </c>
      <c r="AA3719">
        <v>0.54860212948867848</v>
      </c>
      <c r="AB3719" t="str">
        <f>HYPERLINK("Melting_Curves/meltCurve_Q6P4I2_WDR73.pdf", "Melting_Curves/meltCurve_Q6P4I2_WDR73.pdf")</f>
        <v>Melting_Curves/meltCurve_Q6P4I2_WDR73.pdf</v>
      </c>
    </row>
    <row r="3720" spans="1:28" x14ac:dyDescent="0.25">
      <c r="A3720" t="s">
        <v>3724</v>
      </c>
      <c r="B3720">
        <v>0.99334974765950101</v>
      </c>
      <c r="C3720">
        <v>1.3880250573161801</v>
      </c>
      <c r="D3720">
        <v>1.6004776291843299</v>
      </c>
      <c r="E3720">
        <v>3.2175596803042001</v>
      </c>
      <c r="F3720">
        <v>4.8509495131217504</v>
      </c>
      <c r="G3720">
        <v>5.1094599755737597</v>
      </c>
      <c r="H3720">
        <v>5.0961584374763804</v>
      </c>
      <c r="I3720">
        <v>7.7245153933809796</v>
      </c>
      <c r="J3720">
        <v>9.4042811046725898</v>
      </c>
      <c r="K3720">
        <v>6.6035395189122097</v>
      </c>
      <c r="S3720" t="s">
        <v>9581</v>
      </c>
      <c r="T3720" t="s">
        <v>11720</v>
      </c>
      <c r="U3720" t="s">
        <v>11721</v>
      </c>
      <c r="V3720" t="s">
        <v>11720</v>
      </c>
      <c r="W3720" t="s">
        <v>15387</v>
      </c>
      <c r="X3720">
        <v>1</v>
      </c>
      <c r="Y3720" t="s">
        <v>21104</v>
      </c>
      <c r="Z3720" t="s">
        <v>26927</v>
      </c>
      <c r="AB3720" t="str">
        <f>HYPERLINK("Melting_Curves/meltCurve_Q6P4R8_3_NFRKB.pdf", "Melting_Curves/meltCurve_Q6P4R8_3_NFRKB.pdf")</f>
        <v>Melting_Curves/meltCurve_Q6P4R8_3_NFRKB.pdf</v>
      </c>
    </row>
    <row r="3721" spans="1:28" x14ac:dyDescent="0.25">
      <c r="A3721" t="s">
        <v>3725</v>
      </c>
      <c r="B3721">
        <v>0.99334974765950101</v>
      </c>
      <c r="C3721">
        <v>1.0519241145493301</v>
      </c>
      <c r="D3721">
        <v>1.01135147241021</v>
      </c>
      <c r="E3721">
        <v>0.933243087633298</v>
      </c>
      <c r="F3721">
        <v>1.0244269246433599</v>
      </c>
      <c r="G3721">
        <v>0.868947114022801</v>
      </c>
      <c r="H3721">
        <v>0.82084159374624099</v>
      </c>
      <c r="I3721">
        <v>0.88515117433948098</v>
      </c>
      <c r="J3721">
        <v>1.0777051337486501</v>
      </c>
      <c r="K3721">
        <v>0.93951171987050597</v>
      </c>
      <c r="L3721">
        <v>5542.4769174073699</v>
      </c>
      <c r="M3721">
        <v>101.248130386094</v>
      </c>
      <c r="O3721">
        <v>54.720161039098301</v>
      </c>
      <c r="P3721">
        <v>-3.7435759988690101E-2</v>
      </c>
      <c r="Q3721">
        <v>0.91907045331228099</v>
      </c>
      <c r="R3721">
        <v>0.27070880317589802</v>
      </c>
      <c r="S3721" t="s">
        <v>9582</v>
      </c>
      <c r="T3721" t="s">
        <v>11720</v>
      </c>
      <c r="U3721" t="s">
        <v>11720</v>
      </c>
      <c r="V3721" t="s">
        <v>11720</v>
      </c>
      <c r="W3721" t="s">
        <v>15388</v>
      </c>
      <c r="X3721">
        <v>3</v>
      </c>
      <c r="Y3721" t="s">
        <v>21105</v>
      </c>
      <c r="Z3721" t="s">
        <v>26928</v>
      </c>
      <c r="AA3721">
        <v>0.95888540366177266</v>
      </c>
      <c r="AB3721" t="str">
        <f>HYPERLINK("Melting_Curves/meltCurve_Q6P582_MZT2A.pdf", "Melting_Curves/meltCurve_Q6P582_MZT2A.pdf")</f>
        <v>Melting_Curves/meltCurve_Q6P582_MZT2A.pdf</v>
      </c>
    </row>
    <row r="3722" spans="1:28" x14ac:dyDescent="0.25">
      <c r="A3722" t="s">
        <v>3726</v>
      </c>
      <c r="B3722">
        <v>0.99334974765950101</v>
      </c>
      <c r="C3722">
        <v>0.984631586361019</v>
      </c>
      <c r="D3722">
        <v>1.01566580017486</v>
      </c>
      <c r="E3722">
        <v>0.85701140198912196</v>
      </c>
      <c r="F3722">
        <v>0.84196300908411503</v>
      </c>
      <c r="G3722">
        <v>0.69865005798826996</v>
      </c>
      <c r="H3722">
        <v>0.664594926417308</v>
      </c>
      <c r="I3722">
        <v>0.70378436317345106</v>
      </c>
      <c r="J3722">
        <v>0.821750250994561</v>
      </c>
      <c r="K3722">
        <v>0.59482411366851196</v>
      </c>
      <c r="L3722">
        <v>1123.48306131088</v>
      </c>
      <c r="M3722">
        <v>21.792481316152799</v>
      </c>
      <c r="O3722">
        <v>51.125485028539501</v>
      </c>
      <c r="P3722">
        <v>-3.3012549276158203E-2</v>
      </c>
      <c r="Q3722">
        <v>0.69021546974827097</v>
      </c>
      <c r="R3722">
        <v>0.83612533379861298</v>
      </c>
      <c r="S3722" t="s">
        <v>9583</v>
      </c>
      <c r="T3722" t="s">
        <v>11720</v>
      </c>
      <c r="U3722" t="s">
        <v>11720</v>
      </c>
      <c r="V3722" t="s">
        <v>11720</v>
      </c>
      <c r="W3722" t="s">
        <v>15389</v>
      </c>
      <c r="X3722">
        <v>13</v>
      </c>
      <c r="Y3722" t="s">
        <v>21106</v>
      </c>
      <c r="Z3722" t="s">
        <v>26929</v>
      </c>
      <c r="AA3722">
        <v>0.81318250414441262</v>
      </c>
      <c r="AB3722" t="str">
        <f>HYPERLINK("Melting_Curves/meltCurve_Q6P587_FAHD1.pdf", "Melting_Curves/meltCurve_Q6P587_FAHD1.pdf")</f>
        <v>Melting_Curves/meltCurve_Q6P587_FAHD1.pdf</v>
      </c>
    </row>
    <row r="3723" spans="1:28" x14ac:dyDescent="0.25">
      <c r="A3723" t="s">
        <v>3727</v>
      </c>
      <c r="B3723">
        <v>0.99334974765950101</v>
      </c>
      <c r="C3723">
        <v>0.915803063705249</v>
      </c>
      <c r="D3723">
        <v>0.73325476520053501</v>
      </c>
      <c r="E3723">
        <v>0.80124904575407097</v>
      </c>
      <c r="F3723">
        <v>0.69091481595647197</v>
      </c>
      <c r="G3723">
        <v>0.77757675481550703</v>
      </c>
      <c r="H3723">
        <v>0.66408221998936301</v>
      </c>
      <c r="I3723">
        <v>0.85148251235365002</v>
      </c>
      <c r="J3723">
        <v>0.53149782627681397</v>
      </c>
      <c r="K3723">
        <v>0.36935928827551001</v>
      </c>
      <c r="L3723">
        <v>227.78733257326601</v>
      </c>
      <c r="M3723">
        <v>3.11363782147663</v>
      </c>
      <c r="O3723">
        <v>54.740334903098002</v>
      </c>
      <c r="P3723">
        <v>-1.46143753522149E-2</v>
      </c>
      <c r="Q3723">
        <v>0</v>
      </c>
      <c r="R3723">
        <v>0.60367814471021797</v>
      </c>
      <c r="S3723" t="s">
        <v>9584</v>
      </c>
      <c r="T3723" t="s">
        <v>11720</v>
      </c>
      <c r="U3723" t="s">
        <v>11720</v>
      </c>
      <c r="V3723" t="s">
        <v>11720</v>
      </c>
      <c r="W3723" t="s">
        <v>15390</v>
      </c>
      <c r="X3723">
        <v>2</v>
      </c>
      <c r="Y3723" t="s">
        <v>21107</v>
      </c>
      <c r="Z3723" t="s">
        <v>26930</v>
      </c>
      <c r="AA3723">
        <v>0.7357798549791591</v>
      </c>
      <c r="AB3723" t="str">
        <f>HYPERLINK("Melting_Curves/meltCurve_Q6P6B1_C8orf47.pdf", "Melting_Curves/meltCurve_Q6P6B1_C8orf47.pdf")</f>
        <v>Melting_Curves/meltCurve_Q6P6B1_C8orf47.pdf</v>
      </c>
    </row>
    <row r="3724" spans="1:28" x14ac:dyDescent="0.25">
      <c r="A3724" t="s">
        <v>3728</v>
      </c>
      <c r="B3724">
        <v>0.99334974765950101</v>
      </c>
      <c r="C3724">
        <v>0.94087923265892903</v>
      </c>
      <c r="D3724">
        <v>0.80271416721765598</v>
      </c>
      <c r="E3724">
        <v>0.61077095871734199</v>
      </c>
      <c r="F3724">
        <v>0.46576013168548003</v>
      </c>
      <c r="G3724">
        <v>0.41401890310289702</v>
      </c>
      <c r="H3724">
        <v>0.33963370968176299</v>
      </c>
      <c r="I3724">
        <v>0.36431906294649402</v>
      </c>
      <c r="J3724">
        <v>0.21933605169461701</v>
      </c>
      <c r="K3724">
        <v>0.20146061699280099</v>
      </c>
      <c r="L3724">
        <v>589.43817088279195</v>
      </c>
      <c r="M3724">
        <v>11.707477333183601</v>
      </c>
      <c r="N3724">
        <v>53.061241733272603</v>
      </c>
      <c r="O3724">
        <v>48.945549307952</v>
      </c>
      <c r="P3724">
        <v>-4.6339562490045401E-2</v>
      </c>
      <c r="Q3724">
        <v>0.22527670306303599</v>
      </c>
      <c r="R3724">
        <v>0.978266569375982</v>
      </c>
      <c r="S3724" t="s">
        <v>9585</v>
      </c>
      <c r="T3724" t="s">
        <v>11720</v>
      </c>
      <c r="U3724" t="s">
        <v>11720</v>
      </c>
      <c r="V3724" t="s">
        <v>11720</v>
      </c>
      <c r="W3724" t="s">
        <v>15391</v>
      </c>
      <c r="X3724">
        <v>3</v>
      </c>
      <c r="Y3724" t="s">
        <v>21108</v>
      </c>
      <c r="Z3724" t="s">
        <v>26931</v>
      </c>
      <c r="AA3724">
        <v>0.5197515830581193</v>
      </c>
      <c r="AB3724" t="str">
        <f>HYPERLINK("Melting_Curves/meltCurve_Q6P6C2_3_ALKBH5.pdf", "Melting_Curves/meltCurve_Q6P6C2_3_ALKBH5.pdf")</f>
        <v>Melting_Curves/meltCurve_Q6P6C2_3_ALKBH5.pdf</v>
      </c>
    </row>
    <row r="3725" spans="1:28" x14ac:dyDescent="0.25">
      <c r="A3725" t="s">
        <v>3729</v>
      </c>
      <c r="B3725">
        <v>0.99334974765950101</v>
      </c>
      <c r="C3725">
        <v>1.0182177796344301</v>
      </c>
      <c r="D3725">
        <v>0.93428028435954902</v>
      </c>
      <c r="E3725">
        <v>0.873035531329443</v>
      </c>
      <c r="F3725">
        <v>0.421952699419467</v>
      </c>
      <c r="G3725">
        <v>0.27673124230639901</v>
      </c>
      <c r="H3725">
        <v>0.21243263858414899</v>
      </c>
      <c r="I3725">
        <v>0.15865846953618601</v>
      </c>
      <c r="J3725">
        <v>0.17707147690556399</v>
      </c>
      <c r="K3725">
        <v>0.12702808857230799</v>
      </c>
      <c r="L3725">
        <v>1925.1179698615699</v>
      </c>
      <c r="M3725">
        <v>37.037471352006598</v>
      </c>
      <c r="N3725">
        <v>52.6122196657792</v>
      </c>
      <c r="O3725">
        <v>51.826745041294302</v>
      </c>
      <c r="P3725">
        <v>-0.146473987312184</v>
      </c>
      <c r="Q3725">
        <v>0.18015476103837599</v>
      </c>
      <c r="R3725">
        <v>0.98955136380859399</v>
      </c>
      <c r="S3725" t="s">
        <v>9586</v>
      </c>
      <c r="T3725" t="s">
        <v>11720</v>
      </c>
      <c r="U3725" t="s">
        <v>11720</v>
      </c>
      <c r="V3725" t="s">
        <v>11720</v>
      </c>
      <c r="W3725" t="s">
        <v>15392</v>
      </c>
      <c r="X3725">
        <v>9</v>
      </c>
      <c r="Y3725" t="s">
        <v>21109</v>
      </c>
      <c r="Z3725" t="s">
        <v>26932</v>
      </c>
      <c r="AA3725">
        <v>0.51091667760895698</v>
      </c>
      <c r="AB3725" t="str">
        <f>HYPERLINK("Melting_Curves/meltCurve_Q6P9B6_KIAA1609.pdf", "Melting_Curves/meltCurve_Q6P9B6_KIAA1609.pdf")</f>
        <v>Melting_Curves/meltCurve_Q6P9B6_KIAA1609.pdf</v>
      </c>
    </row>
    <row r="3726" spans="1:28" x14ac:dyDescent="0.25">
      <c r="A3726" t="s">
        <v>3730</v>
      </c>
      <c r="B3726">
        <v>0.99334974765950101</v>
      </c>
      <c r="C3726">
        <v>1.3653489666629399</v>
      </c>
      <c r="D3726">
        <v>1.21939508964841</v>
      </c>
      <c r="E3726">
        <v>0.99574651214441601</v>
      </c>
      <c r="F3726">
        <v>0.50922893714352702</v>
      </c>
      <c r="G3726">
        <v>0.44622722211875199</v>
      </c>
      <c r="H3726">
        <v>0.26696252526034903</v>
      </c>
      <c r="I3726">
        <v>0.278090210769181</v>
      </c>
      <c r="J3726">
        <v>0.16021860195576401</v>
      </c>
      <c r="K3726">
        <v>0.111092760401729</v>
      </c>
      <c r="L3726">
        <v>1575.38634897682</v>
      </c>
      <c r="M3726">
        <v>29.6360895981922</v>
      </c>
      <c r="N3726">
        <v>54.202250374083</v>
      </c>
      <c r="O3726">
        <v>52.917427209247997</v>
      </c>
      <c r="P3726">
        <v>-0.10955153945172</v>
      </c>
      <c r="Q3726">
        <v>0.217555887238219</v>
      </c>
      <c r="R3726">
        <v>0.87339138378452597</v>
      </c>
      <c r="S3726" t="s">
        <v>9587</v>
      </c>
      <c r="T3726" t="s">
        <v>11720</v>
      </c>
      <c r="U3726" t="s">
        <v>11720</v>
      </c>
      <c r="V3726" t="s">
        <v>11720</v>
      </c>
      <c r="W3726" t="s">
        <v>15393</v>
      </c>
      <c r="X3726">
        <v>1</v>
      </c>
      <c r="Y3726" t="s">
        <v>21110</v>
      </c>
      <c r="Z3726" t="s">
        <v>26933</v>
      </c>
      <c r="AA3726">
        <v>0.56593591742125426</v>
      </c>
      <c r="AB3726" t="str">
        <f>HYPERLINK("Melting_Curves/meltCurve_Q6P9B9_INTS5.pdf", "Melting_Curves/meltCurve_Q6P9B9_INTS5.pdf")</f>
        <v>Melting_Curves/meltCurve_Q6P9B9_INTS5.pdf</v>
      </c>
    </row>
    <row r="3727" spans="1:28" x14ac:dyDescent="0.25">
      <c r="A3727" t="s">
        <v>3731</v>
      </c>
      <c r="B3727">
        <v>0.99334974765950101</v>
      </c>
      <c r="C3727">
        <v>0.97759072748716702</v>
      </c>
      <c r="D3727">
        <v>0.91495718150852001</v>
      </c>
      <c r="E3727">
        <v>0.83609300316189405</v>
      </c>
      <c r="F3727">
        <v>0.62270147081912697</v>
      </c>
      <c r="G3727">
        <v>0.191129100122235</v>
      </c>
      <c r="H3727">
        <v>0.118220186927677</v>
      </c>
      <c r="I3727">
        <v>9.7474389347323998E-2</v>
      </c>
      <c r="J3727">
        <v>0.15087308382211501</v>
      </c>
      <c r="K3727">
        <v>0.101721272782702</v>
      </c>
      <c r="L3727">
        <v>1431.4440264442501</v>
      </c>
      <c r="M3727">
        <v>26.874234483838698</v>
      </c>
      <c r="N3727">
        <v>53.7148579835007</v>
      </c>
      <c r="O3727">
        <v>52.972244792383997</v>
      </c>
      <c r="P3727">
        <v>-0.114040939435257</v>
      </c>
      <c r="Q3727">
        <v>0.100857240513409</v>
      </c>
      <c r="R3727">
        <v>0.99130027912223795</v>
      </c>
      <c r="S3727" t="s">
        <v>9588</v>
      </c>
      <c r="T3727" t="s">
        <v>11720</v>
      </c>
      <c r="U3727" t="s">
        <v>11720</v>
      </c>
      <c r="V3727" t="s">
        <v>11720</v>
      </c>
      <c r="W3727" t="s">
        <v>15394</v>
      </c>
      <c r="X3727">
        <v>15</v>
      </c>
      <c r="Y3727" t="s">
        <v>21111</v>
      </c>
      <c r="Z3727" t="s">
        <v>26934</v>
      </c>
      <c r="AA3727">
        <v>0.50565127489445583</v>
      </c>
      <c r="AB3727" t="str">
        <f>HYPERLINK("Melting_Curves/meltCurve_Q6PCE3_PGM2L1.pdf", "Melting_Curves/meltCurve_Q6PCE3_PGM2L1.pdf")</f>
        <v>Melting_Curves/meltCurve_Q6PCE3_PGM2L1.pdf</v>
      </c>
    </row>
    <row r="3728" spans="1:28" x14ac:dyDescent="0.25">
      <c r="A3728" t="s">
        <v>3732</v>
      </c>
      <c r="B3728">
        <v>0.99334974765950101</v>
      </c>
      <c r="C3728">
        <v>0.947077677351569</v>
      </c>
      <c r="D3728">
        <v>0.81083312422707798</v>
      </c>
      <c r="E3728">
        <v>0.42520483303164103</v>
      </c>
      <c r="F3728">
        <v>0.221891176680692</v>
      </c>
      <c r="G3728">
        <v>0.139999662830424</v>
      </c>
      <c r="H3728">
        <v>7.7794646108604801E-2</v>
      </c>
      <c r="I3728">
        <v>5.2638794620373498E-2</v>
      </c>
      <c r="J3728">
        <v>4.2607273146257098E-2</v>
      </c>
      <c r="K3728">
        <v>3.7946750511299802E-2</v>
      </c>
      <c r="L3728">
        <v>968.96087897492998</v>
      </c>
      <c r="M3728">
        <v>19.7479357712796</v>
      </c>
      <c r="N3728">
        <v>49.324976676147898</v>
      </c>
      <c r="O3728">
        <v>48.571610329815101</v>
      </c>
      <c r="P3728">
        <v>-9.6649309655857704E-2</v>
      </c>
      <c r="Q3728">
        <v>4.9166134454340898E-2</v>
      </c>
      <c r="R3728">
        <v>0.99862722967816298</v>
      </c>
      <c r="S3728" t="s">
        <v>9589</v>
      </c>
      <c r="T3728" t="s">
        <v>11720</v>
      </c>
      <c r="U3728" t="s">
        <v>11720</v>
      </c>
      <c r="V3728" t="s">
        <v>11720</v>
      </c>
      <c r="W3728" t="s">
        <v>15395</v>
      </c>
      <c r="X3728">
        <v>6</v>
      </c>
      <c r="Y3728" t="s">
        <v>21112</v>
      </c>
      <c r="Z3728" t="s">
        <v>26935</v>
      </c>
      <c r="AA3728">
        <v>0.35017938073730132</v>
      </c>
      <c r="AB3728" t="str">
        <f>HYPERLINK("Melting_Curves/meltCurve_Q6PD74_AAGAB.pdf", "Melting_Curves/meltCurve_Q6PD74_AAGAB.pdf")</f>
        <v>Melting_Curves/meltCurve_Q6PD74_AAGAB.pdf</v>
      </c>
    </row>
    <row r="3729" spans="1:28" x14ac:dyDescent="0.25">
      <c r="A3729" t="s">
        <v>3733</v>
      </c>
      <c r="B3729">
        <v>0.99334974765950101</v>
      </c>
      <c r="C3729">
        <v>0.94232882685385799</v>
      </c>
      <c r="D3729">
        <v>0.72319548168909797</v>
      </c>
      <c r="E3729">
        <v>0.23976056721657099</v>
      </c>
      <c r="F3729">
        <v>0.19056555422355301</v>
      </c>
      <c r="G3729">
        <v>0.19067165370634101</v>
      </c>
      <c r="H3729">
        <v>0.17287847108399301</v>
      </c>
      <c r="I3729">
        <v>0.16389168403238499</v>
      </c>
      <c r="J3729">
        <v>8.8432157300721695E-2</v>
      </c>
      <c r="K3729">
        <v>7.49480888922016E-2</v>
      </c>
      <c r="L3729">
        <v>1435.6233788397701</v>
      </c>
      <c r="M3729">
        <v>30.515053873005701</v>
      </c>
      <c r="N3729">
        <v>47.553001424402702</v>
      </c>
      <c r="O3729">
        <v>46.845737327329402</v>
      </c>
      <c r="P3729">
        <v>-0.14025197257191799</v>
      </c>
      <c r="Q3729">
        <v>0.13876382764049899</v>
      </c>
      <c r="R3729">
        <v>0.98973250721521799</v>
      </c>
      <c r="S3729" t="s">
        <v>9590</v>
      </c>
      <c r="T3729" t="s">
        <v>11720</v>
      </c>
      <c r="U3729" t="s">
        <v>11720</v>
      </c>
      <c r="V3729" t="s">
        <v>11720</v>
      </c>
      <c r="W3729" t="s">
        <v>15396</v>
      </c>
      <c r="X3729">
        <v>5</v>
      </c>
      <c r="Y3729" t="s">
        <v>21113</v>
      </c>
      <c r="Z3729" t="s">
        <v>26936</v>
      </c>
      <c r="AA3729">
        <v>0.34603121476295329</v>
      </c>
      <c r="AB3729" t="str">
        <f>HYPERLINK("Melting_Curves/meltCurve_Q6PGP7_TTC37.pdf", "Melting_Curves/meltCurve_Q6PGP7_TTC37.pdf")</f>
        <v>Melting_Curves/meltCurve_Q6PGP7_TTC37.pdf</v>
      </c>
    </row>
    <row r="3730" spans="1:28" x14ac:dyDescent="0.25">
      <c r="A3730" t="s">
        <v>3734</v>
      </c>
      <c r="B3730">
        <v>0.99334974765950101</v>
      </c>
      <c r="C3730">
        <v>1.1057615827914899</v>
      </c>
      <c r="D3730">
        <v>1.0970174401819199</v>
      </c>
      <c r="E3730">
        <v>0.92810631091517004</v>
      </c>
      <c r="F3730">
        <v>0.62161467675138704</v>
      </c>
      <c r="G3730">
        <v>0.42727514329794303</v>
      </c>
      <c r="H3730">
        <v>0.40366979051042501</v>
      </c>
      <c r="I3730">
        <v>0.187849965093353</v>
      </c>
      <c r="J3730">
        <v>0.20265839120596499</v>
      </c>
      <c r="K3730">
        <v>7.7523363049788394E-2</v>
      </c>
      <c r="L3730">
        <v>917.323065793963</v>
      </c>
      <c r="M3730">
        <v>16.593116724151798</v>
      </c>
      <c r="N3730">
        <v>56.286630071966897</v>
      </c>
      <c r="O3730">
        <v>54.4991133044538</v>
      </c>
      <c r="P3730">
        <v>-6.6376707694834294E-2</v>
      </c>
      <c r="Q3730">
        <v>0.12801770328981901</v>
      </c>
      <c r="R3730">
        <v>0.95548076795598602</v>
      </c>
      <c r="S3730" t="s">
        <v>9591</v>
      </c>
      <c r="T3730" t="s">
        <v>11720</v>
      </c>
      <c r="U3730" t="s">
        <v>11720</v>
      </c>
      <c r="V3730" t="s">
        <v>11720</v>
      </c>
      <c r="W3730" t="s">
        <v>15397</v>
      </c>
      <c r="X3730">
        <v>4</v>
      </c>
      <c r="Y3730" t="s">
        <v>21114</v>
      </c>
      <c r="Z3730" t="s">
        <v>26937</v>
      </c>
      <c r="AA3730">
        <v>0.58698955527082863</v>
      </c>
      <c r="AB3730" t="str">
        <f>HYPERLINK("Melting_Curves/meltCurve_Q6PHR2_3_ULK3.pdf", "Melting_Curves/meltCurve_Q6PHR2_3_ULK3.pdf")</f>
        <v>Melting_Curves/meltCurve_Q6PHR2_3_ULK3.pdf</v>
      </c>
    </row>
    <row r="3731" spans="1:28" x14ac:dyDescent="0.25">
      <c r="A3731" t="s">
        <v>3735</v>
      </c>
      <c r="B3731">
        <v>0.99334974765950101</v>
      </c>
      <c r="C3731">
        <v>0.91455077057312495</v>
      </c>
      <c r="D3731">
        <v>0.78093790931606599</v>
      </c>
      <c r="E3731">
        <v>0.86533484629554103</v>
      </c>
      <c r="F3731">
        <v>0.920103957709694</v>
      </c>
      <c r="G3731">
        <v>0.65117152868437</v>
      </c>
      <c r="H3731">
        <v>0.36237983594668499</v>
      </c>
      <c r="I3731">
        <v>0.29311057792489698</v>
      </c>
      <c r="J3731">
        <v>0.21373141465206999</v>
      </c>
      <c r="K3731">
        <v>0.20285100605453599</v>
      </c>
      <c r="L3731">
        <v>755.39205264128896</v>
      </c>
      <c r="M3731">
        <v>12.861338454999499</v>
      </c>
      <c r="N3731">
        <v>59.362178820903502</v>
      </c>
      <c r="O3731">
        <v>57.368002392805998</v>
      </c>
      <c r="P3731">
        <v>-5.2488939651315202E-2</v>
      </c>
      <c r="Q3731">
        <v>6.3665160057275696E-2</v>
      </c>
      <c r="R3731">
        <v>0.93171606715661304</v>
      </c>
      <c r="S3731" t="s">
        <v>9592</v>
      </c>
      <c r="T3731" t="s">
        <v>11720</v>
      </c>
      <c r="U3731" t="s">
        <v>11720</v>
      </c>
      <c r="V3731" t="s">
        <v>11720</v>
      </c>
      <c r="W3731" t="s">
        <v>15398</v>
      </c>
      <c r="X3731">
        <v>2</v>
      </c>
      <c r="Y3731" t="s">
        <v>21115</v>
      </c>
      <c r="Z3731" t="s">
        <v>26938</v>
      </c>
      <c r="AA3731">
        <v>0.65793706173420552</v>
      </c>
      <c r="AB3731" t="str">
        <f>HYPERLINK("Melting_Curves/meltCurve_Q6PI78_TMEM65.pdf", "Melting_Curves/meltCurve_Q6PI78_TMEM65.pdf")</f>
        <v>Melting_Curves/meltCurve_Q6PI78_TMEM65.pdf</v>
      </c>
    </row>
    <row r="3732" spans="1:28" x14ac:dyDescent="0.25">
      <c r="A3732" t="s">
        <v>3736</v>
      </c>
      <c r="B3732">
        <v>0.99334974765950101</v>
      </c>
      <c r="C3732">
        <v>1.0528332672866001</v>
      </c>
      <c r="D3732">
        <v>0.88727187374612804</v>
      </c>
      <c r="E3732">
        <v>0.46268187864614102</v>
      </c>
      <c r="F3732">
        <v>0.21015080566239699</v>
      </c>
      <c r="G3732">
        <v>2.60799329648271E-2</v>
      </c>
      <c r="H3732">
        <v>4.7085399486133397E-2</v>
      </c>
      <c r="I3732">
        <v>0</v>
      </c>
      <c r="J3732">
        <v>0</v>
      </c>
      <c r="K3732">
        <v>0</v>
      </c>
      <c r="L3732">
        <v>1257.2083774371499</v>
      </c>
      <c r="M3732">
        <v>25.241586990134</v>
      </c>
      <c r="N3732">
        <v>49.8324399890449</v>
      </c>
      <c r="O3732">
        <v>49.497574522907001</v>
      </c>
      <c r="P3732">
        <v>-0.126675354857327</v>
      </c>
      <c r="Q3732">
        <v>6.3951771340577503E-3</v>
      </c>
      <c r="R3732">
        <v>0.99588174491361803</v>
      </c>
      <c r="S3732" t="s">
        <v>9593</v>
      </c>
      <c r="T3732" t="s">
        <v>11720</v>
      </c>
      <c r="U3732" t="s">
        <v>11720</v>
      </c>
      <c r="V3732" t="s">
        <v>11720</v>
      </c>
      <c r="W3732" t="s">
        <v>15399</v>
      </c>
      <c r="X3732">
        <v>2</v>
      </c>
      <c r="Y3732" t="s">
        <v>21116</v>
      </c>
      <c r="Z3732" t="s">
        <v>26939</v>
      </c>
      <c r="AA3732">
        <v>0.33989851502406138</v>
      </c>
      <c r="AB3732" t="str">
        <f>HYPERLINK("Melting_Curves/meltCurve_Q6PID6_TTC33.pdf", "Melting_Curves/meltCurve_Q6PID6_TTC33.pdf")</f>
        <v>Melting_Curves/meltCurve_Q6PID6_TTC33.pdf</v>
      </c>
    </row>
    <row r="3733" spans="1:28" x14ac:dyDescent="0.25">
      <c r="A3733" t="s">
        <v>3737</v>
      </c>
      <c r="B3733">
        <v>0.99334974765950101</v>
      </c>
      <c r="C3733">
        <v>1.0088148421270899</v>
      </c>
      <c r="D3733">
        <v>0.80571553177923505</v>
      </c>
      <c r="E3733">
        <v>0.72665133791482694</v>
      </c>
      <c r="F3733">
        <v>0.45059323176195698</v>
      </c>
      <c r="G3733">
        <v>0.44830116708988899</v>
      </c>
      <c r="H3733">
        <v>0.37870211420809402</v>
      </c>
      <c r="I3733">
        <v>0.578395589902994</v>
      </c>
      <c r="J3733">
        <v>0.53019836292255096</v>
      </c>
      <c r="K3733">
        <v>0.58497339349699595</v>
      </c>
      <c r="L3733">
        <v>1141.3653315808001</v>
      </c>
      <c r="M3733">
        <v>23.821803535063601</v>
      </c>
      <c r="N3733">
        <v>59.885691980705097</v>
      </c>
      <c r="O3733">
        <v>47.578829935420899</v>
      </c>
      <c r="P3733">
        <v>-6.3120741352827206E-2</v>
      </c>
      <c r="Q3733">
        <v>0.49572889954066801</v>
      </c>
      <c r="R3733">
        <v>0.87745972805384898</v>
      </c>
      <c r="S3733" t="s">
        <v>9594</v>
      </c>
      <c r="T3733" t="s">
        <v>11720</v>
      </c>
      <c r="U3733" t="s">
        <v>11720</v>
      </c>
      <c r="V3733" t="s">
        <v>11720</v>
      </c>
      <c r="W3733" t="s">
        <v>15400</v>
      </c>
      <c r="X3733">
        <v>2</v>
      </c>
      <c r="Y3733" t="s">
        <v>21117</v>
      </c>
      <c r="Z3733" t="s">
        <v>26940</v>
      </c>
      <c r="AA3733">
        <v>0.63367435205453904</v>
      </c>
      <c r="AB3733" t="str">
        <f>HYPERLINK("Melting_Curves/meltCurve_Q6PII3_CCDC174.pdf", "Melting_Curves/meltCurve_Q6PII3_CCDC174.pdf")</f>
        <v>Melting_Curves/meltCurve_Q6PII3_CCDC174.pdf</v>
      </c>
    </row>
    <row r="3734" spans="1:28" x14ac:dyDescent="0.25">
      <c r="A3734" t="s">
        <v>3738</v>
      </c>
      <c r="B3734">
        <v>0.99334974765950101</v>
      </c>
      <c r="C3734">
        <v>0.96539659356433805</v>
      </c>
      <c r="D3734">
        <v>0.75948580768086305</v>
      </c>
      <c r="E3734">
        <v>0.49401469717688101</v>
      </c>
      <c r="F3734">
        <v>0.57936331389885498</v>
      </c>
      <c r="G3734">
        <v>0.48342316962780801</v>
      </c>
      <c r="H3734">
        <v>0.21730833799905999</v>
      </c>
      <c r="I3734">
        <v>0.23925653657707099</v>
      </c>
      <c r="J3734">
        <v>0.22827849039429501</v>
      </c>
      <c r="K3734">
        <v>0</v>
      </c>
      <c r="L3734">
        <v>441.56627159996702</v>
      </c>
      <c r="M3734">
        <v>8.24202753906137</v>
      </c>
      <c r="N3734">
        <v>53.574956760236198</v>
      </c>
      <c r="O3734">
        <v>50.698642158707003</v>
      </c>
      <c r="P3734">
        <v>-4.06833645233717E-2</v>
      </c>
      <c r="Q3734">
        <v>0</v>
      </c>
      <c r="R3734">
        <v>0.92960760942116505</v>
      </c>
      <c r="S3734" t="s">
        <v>9595</v>
      </c>
      <c r="T3734" t="s">
        <v>11720</v>
      </c>
      <c r="U3734" t="s">
        <v>11720</v>
      </c>
      <c r="V3734" t="s">
        <v>11720</v>
      </c>
      <c r="W3734" t="s">
        <v>15401</v>
      </c>
      <c r="X3734">
        <v>3</v>
      </c>
      <c r="Y3734" t="s">
        <v>21118</v>
      </c>
      <c r="Z3734" t="s">
        <v>26941</v>
      </c>
      <c r="AA3734">
        <v>0.48884847630294798</v>
      </c>
      <c r="AB3734" t="str">
        <f>HYPERLINK("Melting_Curves/meltCurve_Q6PII5_2_HAGHL.pdf", "Melting_Curves/meltCurve_Q6PII5_2_HAGHL.pdf")</f>
        <v>Melting_Curves/meltCurve_Q6PII5_2_HAGHL.pdf</v>
      </c>
    </row>
    <row r="3735" spans="1:28" x14ac:dyDescent="0.25">
      <c r="A3735" t="s">
        <v>3739</v>
      </c>
      <c r="B3735">
        <v>0.99334974765950101</v>
      </c>
      <c r="C3735">
        <v>0.92752697885075097</v>
      </c>
      <c r="D3735">
        <v>0.52234866298534399</v>
      </c>
      <c r="E3735">
        <v>0.332198388839543</v>
      </c>
      <c r="F3735">
        <v>0.27626338222840602</v>
      </c>
      <c r="G3735">
        <v>0.16684709246617599</v>
      </c>
      <c r="H3735">
        <v>0.150849069215824</v>
      </c>
      <c r="I3735">
        <v>0.139382656071011</v>
      </c>
      <c r="J3735">
        <v>0.152507479543247</v>
      </c>
      <c r="K3735">
        <v>0.122556647485404</v>
      </c>
      <c r="L3735">
        <v>953.96561747538794</v>
      </c>
      <c r="M3735">
        <v>20.635199398318601</v>
      </c>
      <c r="N3735">
        <v>47.067936317388202</v>
      </c>
      <c r="O3735">
        <v>45.802415953337402</v>
      </c>
      <c r="P3735">
        <v>-9.5320832776397593E-2</v>
      </c>
      <c r="Q3735">
        <v>0.15371806223514001</v>
      </c>
      <c r="R3735">
        <v>0.98164192809268103</v>
      </c>
      <c r="S3735" t="s">
        <v>9596</v>
      </c>
      <c r="T3735" t="s">
        <v>11720</v>
      </c>
      <c r="U3735" t="s">
        <v>11720</v>
      </c>
      <c r="V3735" t="s">
        <v>11720</v>
      </c>
      <c r="W3735" t="s">
        <v>15402</v>
      </c>
      <c r="X3735">
        <v>3</v>
      </c>
      <c r="Y3735" t="s">
        <v>21119</v>
      </c>
      <c r="Z3735" t="s">
        <v>26942</v>
      </c>
      <c r="AA3735">
        <v>0.34146117177631252</v>
      </c>
      <c r="AB3735" t="str">
        <f>HYPERLINK("Melting_Curves/meltCurve_Q6PJ69_TRIM65.pdf", "Melting_Curves/meltCurve_Q6PJ69_TRIM65.pdf")</f>
        <v>Melting_Curves/meltCurve_Q6PJ69_TRIM65.pdf</v>
      </c>
    </row>
    <row r="3736" spans="1:28" x14ac:dyDescent="0.25">
      <c r="A3736" t="s">
        <v>3740</v>
      </c>
      <c r="B3736">
        <v>0.99334974765950101</v>
      </c>
      <c r="C3736">
        <v>0.97026036122882398</v>
      </c>
      <c r="D3736">
        <v>0.72677565610256201</v>
      </c>
      <c r="E3736">
        <v>0.50957234104639404</v>
      </c>
      <c r="F3736">
        <v>0.32901639320694498</v>
      </c>
      <c r="G3736">
        <v>0.21811297996436699</v>
      </c>
      <c r="H3736">
        <v>0.17736579741639999</v>
      </c>
      <c r="I3736">
        <v>0.19728676553258001</v>
      </c>
      <c r="J3736">
        <v>0.20868746475081501</v>
      </c>
      <c r="K3736">
        <v>0.200878792570993</v>
      </c>
      <c r="L3736">
        <v>874.31922391561602</v>
      </c>
      <c r="M3736">
        <v>18.054759581693101</v>
      </c>
      <c r="N3736">
        <v>49.701770569621303</v>
      </c>
      <c r="O3736">
        <v>47.843612179610297</v>
      </c>
      <c r="P3736">
        <v>-7.6850939688196201E-2</v>
      </c>
      <c r="Q3736">
        <v>0.18544530674930401</v>
      </c>
      <c r="R3736">
        <v>0.99329332259009895</v>
      </c>
      <c r="S3736" t="s">
        <v>9597</v>
      </c>
      <c r="T3736" t="s">
        <v>11720</v>
      </c>
      <c r="U3736" t="s">
        <v>11720</v>
      </c>
      <c r="V3736" t="s">
        <v>11720</v>
      </c>
      <c r="W3736" t="s">
        <v>15403</v>
      </c>
      <c r="X3736">
        <v>11</v>
      </c>
      <c r="Y3736" t="s">
        <v>21120</v>
      </c>
      <c r="Z3736" t="s">
        <v>26943</v>
      </c>
      <c r="AA3736">
        <v>0.42842171719991862</v>
      </c>
      <c r="AB3736" t="str">
        <f>HYPERLINK("Melting_Curves/meltCurve_Q6PJT7_5_ZC3H14.pdf", "Melting_Curves/meltCurve_Q6PJT7_5_ZC3H14.pdf")</f>
        <v>Melting_Curves/meltCurve_Q6PJT7_5_ZC3H14.pdf</v>
      </c>
    </row>
    <row r="3737" spans="1:28" x14ac:dyDescent="0.25">
      <c r="A3737" t="s">
        <v>3741</v>
      </c>
      <c r="B3737">
        <v>0.99334974765950101</v>
      </c>
      <c r="C3737">
        <v>1.0040602967180701</v>
      </c>
      <c r="D3737">
        <v>0.85546086456711901</v>
      </c>
      <c r="E3737">
        <v>0.78506671855825105</v>
      </c>
      <c r="F3737">
        <v>0.70466087057040605</v>
      </c>
      <c r="G3737">
        <v>0.46866676299986898</v>
      </c>
      <c r="H3737">
        <v>0.41797639533667502</v>
      </c>
      <c r="I3737">
        <v>0.59193387610316295</v>
      </c>
      <c r="J3737">
        <v>0.52114820118749705</v>
      </c>
      <c r="K3737">
        <v>0.46118746479853301</v>
      </c>
      <c r="L3737">
        <v>843.97617810789995</v>
      </c>
      <c r="M3737">
        <v>16.664344086945999</v>
      </c>
      <c r="N3737">
        <v>62.060578290899798</v>
      </c>
      <c r="O3737">
        <v>49.933170865333601</v>
      </c>
      <c r="P3737">
        <v>-4.3665554965826997E-2</v>
      </c>
      <c r="Q3737">
        <v>0.476675743853122</v>
      </c>
      <c r="R3737">
        <v>0.92250329125353403</v>
      </c>
      <c r="S3737" t="s">
        <v>9598</v>
      </c>
      <c r="T3737" t="s">
        <v>11720</v>
      </c>
      <c r="U3737" t="s">
        <v>11720</v>
      </c>
      <c r="V3737" t="s">
        <v>11720</v>
      </c>
      <c r="W3737" t="s">
        <v>15404</v>
      </c>
      <c r="X3737">
        <v>10</v>
      </c>
      <c r="Y3737" t="s">
        <v>21121</v>
      </c>
      <c r="Z3737" t="s">
        <v>26944</v>
      </c>
      <c r="AA3737">
        <v>0.67256031524063087</v>
      </c>
      <c r="AB3737" t="str">
        <f>HYPERLINK("Melting_Curves/meltCurve_Q6PJW8_CNST.pdf", "Melting_Curves/meltCurve_Q6PJW8_CNST.pdf")</f>
        <v>Melting_Curves/meltCurve_Q6PJW8_CNST.pdf</v>
      </c>
    </row>
    <row r="3738" spans="1:28" x14ac:dyDescent="0.25">
      <c r="A3738" t="s">
        <v>3742</v>
      </c>
      <c r="B3738">
        <v>0.99334974765950101</v>
      </c>
      <c r="C3738">
        <v>1.0658666579438201</v>
      </c>
      <c r="D3738">
        <v>0.84847772703917601</v>
      </c>
      <c r="E3738">
        <v>0.649591128605849</v>
      </c>
      <c r="F3738">
        <v>0.42193539319874601</v>
      </c>
      <c r="G3738">
        <v>0.25560777258384099</v>
      </c>
      <c r="H3738">
        <v>0.16876251467074599</v>
      </c>
      <c r="I3738">
        <v>0.224412111910782</v>
      </c>
      <c r="J3738">
        <v>0.21438461159289801</v>
      </c>
      <c r="K3738">
        <v>0.10164317748383001</v>
      </c>
      <c r="L3738">
        <v>954.00668905238695</v>
      </c>
      <c r="M3738">
        <v>18.7971289909249</v>
      </c>
      <c r="N3738">
        <v>51.827555451106598</v>
      </c>
      <c r="O3738">
        <v>50.188835333773703</v>
      </c>
      <c r="P3738">
        <v>-7.8522392054823101E-2</v>
      </c>
      <c r="Q3738">
        <v>0.161407349129427</v>
      </c>
      <c r="R3738">
        <v>0.98358879961785095</v>
      </c>
      <c r="S3738" t="s">
        <v>9599</v>
      </c>
      <c r="T3738" t="s">
        <v>11720</v>
      </c>
      <c r="U3738" t="s">
        <v>11720</v>
      </c>
      <c r="V3738" t="s">
        <v>11720</v>
      </c>
      <c r="W3738" t="s">
        <v>15405</v>
      </c>
      <c r="X3738">
        <v>3</v>
      </c>
      <c r="Y3738" t="s">
        <v>21122</v>
      </c>
      <c r="Z3738" t="s">
        <v>26945</v>
      </c>
      <c r="AA3738">
        <v>0.47506460307890641</v>
      </c>
      <c r="AB3738" t="str">
        <f>HYPERLINK("Melting_Curves/meltCurve_Q6PK18_OGFOD3.pdf", "Melting_Curves/meltCurve_Q6PK18_OGFOD3.pdf")</f>
        <v>Melting_Curves/meltCurve_Q6PK18_OGFOD3.pdf</v>
      </c>
    </row>
    <row r="3739" spans="1:28" x14ac:dyDescent="0.25">
      <c r="A3739" t="s">
        <v>3743</v>
      </c>
      <c r="B3739">
        <v>0.99334974765950101</v>
      </c>
      <c r="C3739">
        <v>1.01016945752382</v>
      </c>
      <c r="D3739">
        <v>0.88838828972386397</v>
      </c>
      <c r="E3739">
        <v>0.72363432386128401</v>
      </c>
      <c r="F3739">
        <v>0.70364551448019297</v>
      </c>
      <c r="G3739">
        <v>0.46594707079079301</v>
      </c>
      <c r="H3739">
        <v>0.41635204791857</v>
      </c>
      <c r="I3739">
        <v>0.46300421291152499</v>
      </c>
      <c r="J3739">
        <v>0.37831549964608502</v>
      </c>
      <c r="K3739">
        <v>0.38717013363153702</v>
      </c>
      <c r="L3739">
        <v>725.81611271332702</v>
      </c>
      <c r="M3739">
        <v>14.0155086095429</v>
      </c>
      <c r="N3739">
        <v>57.350848253799803</v>
      </c>
      <c r="O3739">
        <v>50.766553501852002</v>
      </c>
      <c r="P3739">
        <v>-4.3374548645732203E-2</v>
      </c>
      <c r="Q3739">
        <v>0.371642843138277</v>
      </c>
      <c r="R3739">
        <v>0.97650849562559905</v>
      </c>
      <c r="S3739" t="s">
        <v>9600</v>
      </c>
      <c r="T3739" t="s">
        <v>11720</v>
      </c>
      <c r="U3739" t="s">
        <v>11720</v>
      </c>
      <c r="V3739" t="s">
        <v>11720</v>
      </c>
      <c r="W3739" t="s">
        <v>15406</v>
      </c>
      <c r="X3739">
        <v>7</v>
      </c>
      <c r="Y3739" t="s">
        <v>21123</v>
      </c>
      <c r="Z3739" t="s">
        <v>26946</v>
      </c>
      <c r="AA3739">
        <v>0.63420700332108737</v>
      </c>
      <c r="AB3739" t="str">
        <f>HYPERLINK("Melting_Curves/meltCurve_Q6PKG0_LARP1.pdf", "Melting_Curves/meltCurve_Q6PKG0_LARP1.pdf")</f>
        <v>Melting_Curves/meltCurve_Q6PKG0_LARP1.pdf</v>
      </c>
    </row>
    <row r="3740" spans="1:28" x14ac:dyDescent="0.25">
      <c r="A3740" t="s">
        <v>3744</v>
      </c>
      <c r="B3740">
        <v>0.99334974765950101</v>
      </c>
      <c r="C3740">
        <v>0.93291477771281495</v>
      </c>
      <c r="D3740">
        <v>0.69128815187864401</v>
      </c>
      <c r="E3740">
        <v>0.27322997436806801</v>
      </c>
      <c r="F3740">
        <v>0.14281782590296399</v>
      </c>
      <c r="G3740">
        <v>8.9423193748115595E-2</v>
      </c>
      <c r="H3740">
        <v>5.97990551302452E-2</v>
      </c>
      <c r="I3740">
        <v>5.6731065776223798E-2</v>
      </c>
      <c r="J3740">
        <v>4.59277173286168E-2</v>
      </c>
      <c r="K3740">
        <v>2.93946811681874E-2</v>
      </c>
      <c r="L3740">
        <v>1079.22884102173</v>
      </c>
      <c r="M3740">
        <v>22.720284155873401</v>
      </c>
      <c r="N3740">
        <v>47.724190108842798</v>
      </c>
      <c r="O3740">
        <v>47.137310408628998</v>
      </c>
      <c r="P3740">
        <v>-0.114420957600437</v>
      </c>
      <c r="Q3740">
        <v>5.0471801744439299E-2</v>
      </c>
      <c r="R3740">
        <v>0.99914540833631205</v>
      </c>
      <c r="S3740" t="s">
        <v>9601</v>
      </c>
      <c r="T3740" t="s">
        <v>11720</v>
      </c>
      <c r="U3740" t="s">
        <v>11720</v>
      </c>
      <c r="V3740" t="s">
        <v>11720</v>
      </c>
      <c r="W3740" t="s">
        <v>15407</v>
      </c>
      <c r="X3740">
        <v>3</v>
      </c>
      <c r="Y3740" t="s">
        <v>21124</v>
      </c>
      <c r="Z3740" t="s">
        <v>26947</v>
      </c>
      <c r="AA3740">
        <v>0.29823171970045459</v>
      </c>
      <c r="AB3740" t="str">
        <f>HYPERLINK("Melting_Curves/meltCurve_Q6PL24_TMED8.pdf", "Melting_Curves/meltCurve_Q6PL24_TMED8.pdf")</f>
        <v>Melting_Curves/meltCurve_Q6PL24_TMED8.pdf</v>
      </c>
    </row>
    <row r="3741" spans="1:28" x14ac:dyDescent="0.25">
      <c r="A3741" t="s">
        <v>3745</v>
      </c>
      <c r="B3741">
        <v>0.99334974765950101</v>
      </c>
      <c r="C3741">
        <v>0.887564216683559</v>
      </c>
      <c r="D3741">
        <v>0.86036503696463495</v>
      </c>
      <c r="E3741">
        <v>0.78389071471905702</v>
      </c>
      <c r="F3741">
        <v>0.22260475202074401</v>
      </c>
      <c r="G3741">
        <v>0.17242395673290201</v>
      </c>
      <c r="H3741">
        <v>0.13317526480833999</v>
      </c>
      <c r="I3741">
        <v>0.106273474980834</v>
      </c>
      <c r="J3741">
        <v>8.4172868483621599E-2</v>
      </c>
      <c r="K3741">
        <v>6.3882649874954803E-2</v>
      </c>
      <c r="L3741">
        <v>2540.4551311059099</v>
      </c>
      <c r="M3741">
        <v>49.728675668971803</v>
      </c>
      <c r="N3741">
        <v>51.340073085660698</v>
      </c>
      <c r="O3741">
        <v>51.003911500242303</v>
      </c>
      <c r="P3741">
        <v>-0.21719384504726499</v>
      </c>
      <c r="Q3741">
        <v>0.108946629489415</v>
      </c>
      <c r="R3741">
        <v>0.97267065424613197</v>
      </c>
      <c r="S3741" t="s">
        <v>9602</v>
      </c>
      <c r="T3741" t="s">
        <v>11720</v>
      </c>
      <c r="U3741" t="s">
        <v>11720</v>
      </c>
      <c r="V3741" t="s">
        <v>11720</v>
      </c>
      <c r="W3741" t="s">
        <v>15408</v>
      </c>
      <c r="X3741">
        <v>4</v>
      </c>
      <c r="Y3741" t="s">
        <v>21125</v>
      </c>
      <c r="Z3741" t="s">
        <v>26948</v>
      </c>
      <c r="AA3741">
        <v>0.44026007340101547</v>
      </c>
      <c r="AB3741" t="str">
        <f>HYPERLINK("Melting_Curves/meltCurve_Q6PML9_SLC30A9.pdf", "Melting_Curves/meltCurve_Q6PML9_SLC30A9.pdf")</f>
        <v>Melting_Curves/meltCurve_Q6PML9_SLC30A9.pdf</v>
      </c>
    </row>
    <row r="3742" spans="1:28" x14ac:dyDescent="0.25">
      <c r="A3742" t="s">
        <v>3746</v>
      </c>
      <c r="B3742">
        <v>0.99334974765950101</v>
      </c>
      <c r="C3742">
        <v>1.04060242373361</v>
      </c>
      <c r="D3742">
        <v>0.982133611801703</v>
      </c>
      <c r="E3742">
        <v>0.73575237802510796</v>
      </c>
      <c r="F3742">
        <v>0.60413589996143102</v>
      </c>
      <c r="G3742">
        <v>0.22157060422487801</v>
      </c>
      <c r="H3742">
        <v>0.14484170406042399</v>
      </c>
      <c r="I3742">
        <v>8.9283880858758297E-2</v>
      </c>
      <c r="J3742">
        <v>6.8227148264359605E-2</v>
      </c>
      <c r="K3742">
        <v>2.9382033237419398E-2</v>
      </c>
      <c r="L3742">
        <v>999.61882262793495</v>
      </c>
      <c r="M3742">
        <v>18.7216891808933</v>
      </c>
      <c r="N3742">
        <v>53.621460974680801</v>
      </c>
      <c r="O3742">
        <v>52.795616150291202</v>
      </c>
      <c r="P3742">
        <v>-8.5265929940856397E-2</v>
      </c>
      <c r="Q3742">
        <v>3.82325285575566E-2</v>
      </c>
      <c r="R3742">
        <v>0.99278633696473495</v>
      </c>
      <c r="S3742" t="s">
        <v>9603</v>
      </c>
      <c r="T3742" t="s">
        <v>11720</v>
      </c>
      <c r="U3742" t="s">
        <v>11720</v>
      </c>
      <c r="V3742" t="s">
        <v>11720</v>
      </c>
      <c r="W3742" t="s">
        <v>15409</v>
      </c>
      <c r="X3742">
        <v>3</v>
      </c>
      <c r="Y3742" t="s">
        <v>21126</v>
      </c>
      <c r="Z3742" t="s">
        <v>26949</v>
      </c>
      <c r="AA3742">
        <v>0.48229858064025932</v>
      </c>
      <c r="AB3742" t="str">
        <f>HYPERLINK("Melting_Curves/meltCurve_Q6QHF9_2_PAOX.pdf", "Melting_Curves/meltCurve_Q6QHF9_2_PAOX.pdf")</f>
        <v>Melting_Curves/meltCurve_Q6QHF9_2_PAOX.pdf</v>
      </c>
    </row>
    <row r="3743" spans="1:28" x14ac:dyDescent="0.25">
      <c r="A3743" t="s">
        <v>3747</v>
      </c>
      <c r="B3743">
        <v>0.99334974765950101</v>
      </c>
      <c r="C3743">
        <v>1.05519684738273</v>
      </c>
      <c r="D3743">
        <v>0.96647712077432701</v>
      </c>
      <c r="E3743">
        <v>0.88736629800702804</v>
      </c>
      <c r="F3743">
        <v>0.85084098874579905</v>
      </c>
      <c r="G3743">
        <v>0.60306969309199099</v>
      </c>
      <c r="H3743">
        <v>0.48255442556938599</v>
      </c>
      <c r="I3743">
        <v>0.41025101838009598</v>
      </c>
      <c r="J3743">
        <v>0.48553016768040702</v>
      </c>
      <c r="K3743">
        <v>0.48816856530200597</v>
      </c>
      <c r="L3743">
        <v>1235.5046296586299</v>
      </c>
      <c r="M3743">
        <v>22.620547916499699</v>
      </c>
      <c r="N3743">
        <v>60.748167384239302</v>
      </c>
      <c r="O3743">
        <v>54.197175480637299</v>
      </c>
      <c r="P3743">
        <v>-5.7496518936301103E-2</v>
      </c>
      <c r="Q3743">
        <v>0.44898097932733799</v>
      </c>
      <c r="R3743">
        <v>0.97640752605631098</v>
      </c>
      <c r="S3743" t="s">
        <v>9604</v>
      </c>
      <c r="T3743" t="s">
        <v>11720</v>
      </c>
      <c r="U3743" t="s">
        <v>11720</v>
      </c>
      <c r="V3743" t="s">
        <v>11720</v>
      </c>
      <c r="W3743" t="s">
        <v>15410</v>
      </c>
      <c r="X3743">
        <v>12</v>
      </c>
      <c r="Y3743" t="s">
        <v>21127</v>
      </c>
      <c r="Z3743" t="s">
        <v>26950</v>
      </c>
      <c r="AA3743">
        <v>0.7235548988777184</v>
      </c>
      <c r="AB3743" t="str">
        <f>HYPERLINK("Melting_Curves/meltCurve_Q6QNY0_BLOC1S3.pdf", "Melting_Curves/meltCurve_Q6QNY0_BLOC1S3.pdf")</f>
        <v>Melting_Curves/meltCurve_Q6QNY0_BLOC1S3.pdf</v>
      </c>
    </row>
    <row r="3744" spans="1:28" x14ac:dyDescent="0.25">
      <c r="A3744" t="s">
        <v>3748</v>
      </c>
      <c r="B3744">
        <v>0.99334974765950101</v>
      </c>
      <c r="C3744">
        <v>0.96450621392623004</v>
      </c>
      <c r="D3744">
        <v>0.95679495477292897</v>
      </c>
      <c r="E3744">
        <v>0.90726426928940596</v>
      </c>
      <c r="F3744">
        <v>0.97623084873785104</v>
      </c>
      <c r="G3744">
        <v>0.60301818155089004</v>
      </c>
      <c r="H3744">
        <v>0.518710252807561</v>
      </c>
      <c r="I3744">
        <v>0.45479974892281899</v>
      </c>
      <c r="J3744">
        <v>0.47034530535174501</v>
      </c>
      <c r="K3744">
        <v>0.44541863943305698</v>
      </c>
      <c r="L3744">
        <v>2612.1026335019201</v>
      </c>
      <c r="M3744">
        <v>46.826494582532597</v>
      </c>
      <c r="N3744">
        <v>59.267534238527098</v>
      </c>
      <c r="O3744">
        <v>55.6811277516166</v>
      </c>
      <c r="P3744">
        <v>-0.111819440610249</v>
      </c>
      <c r="Q3744">
        <v>0.46814505463303902</v>
      </c>
      <c r="R3744">
        <v>0.97439137631219497</v>
      </c>
      <c r="S3744" t="s">
        <v>9605</v>
      </c>
      <c r="T3744" t="s">
        <v>11720</v>
      </c>
      <c r="U3744" t="s">
        <v>11720</v>
      </c>
      <c r="V3744" t="s">
        <v>11720</v>
      </c>
      <c r="W3744" t="s">
        <v>15411</v>
      </c>
      <c r="X3744">
        <v>5</v>
      </c>
      <c r="Y3744" t="s">
        <v>21128</v>
      </c>
      <c r="Z3744" t="s">
        <v>26951</v>
      </c>
      <c r="AA3744">
        <v>0.74943712506608384</v>
      </c>
      <c r="AB3744" t="str">
        <f>HYPERLINK("Melting_Curves/meltCurve_Q6QNY1_BLOC1S2.pdf", "Melting_Curves/meltCurve_Q6QNY1_BLOC1S2.pdf")</f>
        <v>Melting_Curves/meltCurve_Q6QNY1_BLOC1S2.pdf</v>
      </c>
    </row>
    <row r="3745" spans="1:28" x14ac:dyDescent="0.25">
      <c r="A3745" t="s">
        <v>3749</v>
      </c>
      <c r="B3745">
        <v>0.99334974765950101</v>
      </c>
      <c r="C3745">
        <v>0.78455291862756404</v>
      </c>
      <c r="D3745">
        <v>0.81834216339375299</v>
      </c>
      <c r="E3745">
        <v>0.90783071459141995</v>
      </c>
      <c r="F3745">
        <v>0.79304158303969996</v>
      </c>
      <c r="G3745">
        <v>0.77823944181711202</v>
      </c>
      <c r="H3745">
        <v>0.70650037122389198</v>
      </c>
      <c r="I3745">
        <v>0.83252326342984295</v>
      </c>
      <c r="J3745">
        <v>0.71448967355049098</v>
      </c>
      <c r="K3745">
        <v>0.55095809540697105</v>
      </c>
      <c r="L3745">
        <v>165.18650773608601</v>
      </c>
      <c r="M3745">
        <v>1.6882697336672801</v>
      </c>
      <c r="O3745">
        <v>52.068367789991697</v>
      </c>
      <c r="P3745">
        <v>-9.1785780331538405E-3</v>
      </c>
      <c r="Q3745">
        <v>0</v>
      </c>
      <c r="R3745">
        <v>0.56596169169886401</v>
      </c>
      <c r="S3745" t="s">
        <v>9606</v>
      </c>
      <c r="T3745" t="s">
        <v>11720</v>
      </c>
      <c r="U3745" t="s">
        <v>11720</v>
      </c>
      <c r="V3745" t="s">
        <v>11720</v>
      </c>
      <c r="W3745" t="s">
        <v>15412</v>
      </c>
      <c r="X3745">
        <v>2</v>
      </c>
      <c r="Y3745" t="s">
        <v>21129</v>
      </c>
      <c r="Z3745" t="s">
        <v>26952</v>
      </c>
      <c r="AA3745">
        <v>0.78952853290567782</v>
      </c>
      <c r="AB3745" t="str">
        <f>HYPERLINK("Melting_Curves/meltCurve_Q6RW13_2_AGTRAP.pdf", "Melting_Curves/meltCurve_Q6RW13_2_AGTRAP.pdf")</f>
        <v>Melting_Curves/meltCurve_Q6RW13_2_AGTRAP.pdf</v>
      </c>
    </row>
    <row r="3746" spans="1:28" x14ac:dyDescent="0.25">
      <c r="A3746" t="s">
        <v>3750</v>
      </c>
      <c r="B3746">
        <v>0.99334974765950101</v>
      </c>
      <c r="C3746">
        <v>0.98537373598259503</v>
      </c>
      <c r="D3746">
        <v>1.2390743736401</v>
      </c>
      <c r="E3746">
        <v>1.5503202126492199</v>
      </c>
      <c r="F3746">
        <v>2.04747571574122</v>
      </c>
      <c r="G3746">
        <v>2.0148114810890401</v>
      </c>
      <c r="H3746">
        <v>1.5486307479650401</v>
      </c>
      <c r="I3746">
        <v>1.02979340572365</v>
      </c>
      <c r="J3746">
        <v>0.239359135401672</v>
      </c>
      <c r="K3746">
        <v>8.3251852112537397E-2</v>
      </c>
      <c r="L3746">
        <v>15000</v>
      </c>
      <c r="M3746">
        <v>225.46378653247601</v>
      </c>
      <c r="N3746">
        <v>66.583292189027702</v>
      </c>
      <c r="O3746">
        <v>66.524276190680197</v>
      </c>
      <c r="P3746">
        <v>-0.77678697517442097</v>
      </c>
      <c r="Q3746">
        <v>8.3219385341897795E-2</v>
      </c>
      <c r="R3746">
        <v>0.28635823052992398</v>
      </c>
      <c r="S3746" t="s">
        <v>9607</v>
      </c>
      <c r="T3746" t="s">
        <v>11720</v>
      </c>
      <c r="U3746" t="s">
        <v>11720</v>
      </c>
      <c r="V3746" t="s">
        <v>11720</v>
      </c>
      <c r="W3746" t="s">
        <v>15413</v>
      </c>
      <c r="X3746">
        <v>2</v>
      </c>
      <c r="Y3746" t="s">
        <v>21130</v>
      </c>
      <c r="Z3746" t="s">
        <v>26953</v>
      </c>
      <c r="AA3746">
        <v>0.89407618623274132</v>
      </c>
      <c r="AB3746" t="str">
        <f>HYPERLINK("Melting_Curves/meltCurve_Q6T4R5_4_NHS.pdf", "Melting_Curves/meltCurve_Q6T4R5_4_NHS.pdf")</f>
        <v>Melting_Curves/meltCurve_Q6T4R5_4_NHS.pdf</v>
      </c>
    </row>
    <row r="3747" spans="1:28" x14ac:dyDescent="0.25">
      <c r="A3747" t="s">
        <v>3751</v>
      </c>
      <c r="B3747">
        <v>0.99334974765950101</v>
      </c>
      <c r="C3747">
        <v>1.05317164215012</v>
      </c>
      <c r="D3747">
        <v>0.96816315273296705</v>
      </c>
      <c r="E3747">
        <v>0.91967556048815802</v>
      </c>
      <c r="F3747">
        <v>0.46206267447682398</v>
      </c>
      <c r="G3747">
        <v>0.18942002438681099</v>
      </c>
      <c r="H3747">
        <v>0.10852005820445</v>
      </c>
      <c r="I3747">
        <v>6.05907027500154E-2</v>
      </c>
      <c r="J3747">
        <v>5.1400472243359599E-2</v>
      </c>
      <c r="K3747">
        <v>4.0275528540727697E-2</v>
      </c>
      <c r="L3747">
        <v>1819.5054206273201</v>
      </c>
      <c r="M3747">
        <v>34.503507411492301</v>
      </c>
      <c r="N3747">
        <v>52.9702608841651</v>
      </c>
      <c r="O3747">
        <v>52.557728597712497</v>
      </c>
      <c r="P3747">
        <v>-0.15241416901707699</v>
      </c>
      <c r="Q3747">
        <v>7.13393237643134E-2</v>
      </c>
      <c r="R3747">
        <v>0.99353566663860304</v>
      </c>
      <c r="S3747" t="s">
        <v>9608</v>
      </c>
      <c r="T3747" t="s">
        <v>11720</v>
      </c>
      <c r="U3747" t="s">
        <v>11720</v>
      </c>
      <c r="V3747" t="s">
        <v>11720</v>
      </c>
      <c r="W3747" t="s">
        <v>15414</v>
      </c>
      <c r="X3747">
        <v>2</v>
      </c>
      <c r="Y3747" t="s">
        <v>21131</v>
      </c>
      <c r="Z3747" t="s">
        <v>26954</v>
      </c>
      <c r="AA3747">
        <v>0.47006959349313782</v>
      </c>
      <c r="AB3747" t="str">
        <f>HYPERLINK("Melting_Curves/meltCurve_Q6UB28_METAP1D.pdf", "Melting_Curves/meltCurve_Q6UB28_METAP1D.pdf")</f>
        <v>Melting_Curves/meltCurve_Q6UB28_METAP1D.pdf</v>
      </c>
    </row>
    <row r="3748" spans="1:28" x14ac:dyDescent="0.25">
      <c r="A3748" t="s">
        <v>3752</v>
      </c>
      <c r="B3748">
        <v>0.99334974765950101</v>
      </c>
      <c r="C3748">
        <v>1.0029287624910099</v>
      </c>
      <c r="D3748">
        <v>1.09475090647203</v>
      </c>
      <c r="E3748">
        <v>0.96751136468773002</v>
      </c>
      <c r="F3748">
        <v>0.201034279927188</v>
      </c>
      <c r="G3748">
        <v>0.17429289409597601</v>
      </c>
      <c r="H3748">
        <v>0.123423040533856</v>
      </c>
      <c r="I3748">
        <v>9.9984880099625903E-2</v>
      </c>
      <c r="J3748">
        <v>7.2778076976499601E-2</v>
      </c>
      <c r="K3748">
        <v>5.4112214036630399E-2</v>
      </c>
      <c r="L3748">
        <v>4750.4017909671202</v>
      </c>
      <c r="M3748">
        <v>91.743041183018093</v>
      </c>
      <c r="N3748">
        <v>51.912548632598302</v>
      </c>
      <c r="O3748">
        <v>51.754841387415397</v>
      </c>
      <c r="P3748">
        <v>-0.39671024172028102</v>
      </c>
      <c r="Q3748">
        <v>0.10481835171675701</v>
      </c>
      <c r="R3748">
        <v>0.99083772898754496</v>
      </c>
      <c r="S3748" t="s">
        <v>9609</v>
      </c>
      <c r="T3748" t="s">
        <v>11720</v>
      </c>
      <c r="U3748" t="s">
        <v>11720</v>
      </c>
      <c r="V3748" t="s">
        <v>11720</v>
      </c>
      <c r="W3748" t="s">
        <v>15415</v>
      </c>
      <c r="X3748">
        <v>27</v>
      </c>
      <c r="Y3748" t="s">
        <v>21132</v>
      </c>
      <c r="Z3748" t="s">
        <v>26955</v>
      </c>
      <c r="AA3748">
        <v>0.45691406097137383</v>
      </c>
      <c r="AB3748" t="str">
        <f>HYPERLINK("Melting_Curves/meltCurve_Q6UB35_MTHFD1L.pdf", "Melting_Curves/meltCurve_Q6UB35_MTHFD1L.pdf")</f>
        <v>Melting_Curves/meltCurve_Q6UB35_MTHFD1L.pdf</v>
      </c>
    </row>
    <row r="3749" spans="1:28" x14ac:dyDescent="0.25">
      <c r="A3749" t="s">
        <v>3753</v>
      </c>
      <c r="B3749">
        <v>0.99334974765950101</v>
      </c>
      <c r="C3749">
        <v>0.97107411823237499</v>
      </c>
      <c r="D3749">
        <v>1.0185813790974401</v>
      </c>
      <c r="E3749">
        <v>1.06126700336647</v>
      </c>
      <c r="F3749">
        <v>1.0279855108829501</v>
      </c>
      <c r="G3749">
        <v>0.61652495111903605</v>
      </c>
      <c r="H3749">
        <v>0.59675183926847897</v>
      </c>
      <c r="I3749">
        <v>0.63206773853690701</v>
      </c>
      <c r="J3749">
        <v>0.89366459738716997</v>
      </c>
      <c r="K3749">
        <v>1.0439309699152399</v>
      </c>
      <c r="L3749">
        <v>6164.5470437580398</v>
      </c>
      <c r="M3749">
        <v>112.899061067291</v>
      </c>
      <c r="O3749">
        <v>54.585163428572599</v>
      </c>
      <c r="P3749">
        <v>-0.12583608552978501</v>
      </c>
      <c r="Q3749">
        <v>0.75663985920324195</v>
      </c>
      <c r="R3749">
        <v>0.49283504196271999</v>
      </c>
      <c r="S3749" t="s">
        <v>9610</v>
      </c>
      <c r="T3749" t="s">
        <v>11720</v>
      </c>
      <c r="U3749" t="s">
        <v>11720</v>
      </c>
      <c r="V3749" t="s">
        <v>11720</v>
      </c>
      <c r="W3749" t="s">
        <v>15416</v>
      </c>
      <c r="X3749">
        <v>2</v>
      </c>
      <c r="Y3749" t="s">
        <v>21133</v>
      </c>
      <c r="Z3749" t="s">
        <v>26956</v>
      </c>
      <c r="AA3749">
        <v>0.87520813582781509</v>
      </c>
      <c r="AB3749" t="str">
        <f>HYPERLINK("Melting_Curves/meltCurve_Q6ULP2_3_AFTPH.pdf", "Melting_Curves/meltCurve_Q6ULP2_3_AFTPH.pdf")</f>
        <v>Melting_Curves/meltCurve_Q6ULP2_3_AFTPH.pdf</v>
      </c>
    </row>
    <row r="3750" spans="1:28" x14ac:dyDescent="0.25">
      <c r="A3750" t="s">
        <v>3754</v>
      </c>
      <c r="B3750">
        <v>0.99334974765950101</v>
      </c>
      <c r="C3750">
        <v>1.0491308788299301</v>
      </c>
      <c r="D3750">
        <v>0.88468866522667899</v>
      </c>
      <c r="E3750">
        <v>0.97823115477265399</v>
      </c>
      <c r="F3750">
        <v>1.27578218292416</v>
      </c>
      <c r="G3750">
        <v>1.35932905718616</v>
      </c>
      <c r="H3750">
        <v>1.3248207558755201</v>
      </c>
      <c r="I3750">
        <v>1.84652057901377</v>
      </c>
      <c r="J3750">
        <v>2.4010708937132201</v>
      </c>
      <c r="K3750">
        <v>2.7790695943925598</v>
      </c>
      <c r="L3750">
        <v>1823.5372913803999</v>
      </c>
      <c r="M3750">
        <v>34.155765255783002</v>
      </c>
      <c r="O3750">
        <v>53.206854711367598</v>
      </c>
      <c r="P3750">
        <v>8.0243200454931704E-2</v>
      </c>
      <c r="Q3750">
        <v>1.5</v>
      </c>
      <c r="R3750">
        <v>0.303772592134538</v>
      </c>
      <c r="S3750" t="s">
        <v>9611</v>
      </c>
      <c r="T3750" t="s">
        <v>11720</v>
      </c>
      <c r="U3750" t="s">
        <v>11720</v>
      </c>
      <c r="V3750" t="s">
        <v>11720</v>
      </c>
      <c r="W3750" t="s">
        <v>15417</v>
      </c>
      <c r="X3750">
        <v>8</v>
      </c>
      <c r="Y3750" t="s">
        <v>21134</v>
      </c>
      <c r="Z3750" t="s">
        <v>26957</v>
      </c>
      <c r="AA3750">
        <v>1.274327079690909</v>
      </c>
      <c r="AB3750" t="str">
        <f>HYPERLINK("Melting_Curves/meltCurve_Q6UN15_3_FIP1L1.pdf", "Melting_Curves/meltCurve_Q6UN15_3_FIP1L1.pdf")</f>
        <v>Melting_Curves/meltCurve_Q6UN15_3_FIP1L1.pdf</v>
      </c>
    </row>
    <row r="3751" spans="1:28" x14ac:dyDescent="0.25">
      <c r="A3751" t="s">
        <v>3755</v>
      </c>
      <c r="B3751">
        <v>0.99334974765950101</v>
      </c>
      <c r="C3751">
        <v>0.91616357470672805</v>
      </c>
      <c r="D3751">
        <v>0.65177448084360301</v>
      </c>
      <c r="E3751">
        <v>0.53082444179876498</v>
      </c>
      <c r="F3751">
        <v>0.34998396535078602</v>
      </c>
      <c r="G3751">
        <v>0.243819182186749</v>
      </c>
      <c r="H3751">
        <v>0.20963810827245499</v>
      </c>
      <c r="I3751">
        <v>0.15895682231778899</v>
      </c>
      <c r="J3751">
        <v>0.26302652783945202</v>
      </c>
      <c r="K3751">
        <v>0.19963178575812601</v>
      </c>
      <c r="L3751">
        <v>715.03706147871003</v>
      </c>
      <c r="M3751">
        <v>14.8990613453186</v>
      </c>
      <c r="N3751">
        <v>49.591074113461701</v>
      </c>
      <c r="O3751">
        <v>47.152397805024698</v>
      </c>
      <c r="P3751">
        <v>-6.3934324037279305E-2</v>
      </c>
      <c r="Q3751">
        <v>0.19072910465219201</v>
      </c>
      <c r="R3751">
        <v>0.98047744912381496</v>
      </c>
      <c r="S3751" t="s">
        <v>9612</v>
      </c>
      <c r="T3751" t="s">
        <v>11720</v>
      </c>
      <c r="U3751" t="s">
        <v>11720</v>
      </c>
      <c r="V3751" t="s">
        <v>11720</v>
      </c>
      <c r="W3751" t="s">
        <v>15418</v>
      </c>
      <c r="X3751">
        <v>3</v>
      </c>
      <c r="Y3751" t="s">
        <v>21135</v>
      </c>
      <c r="Z3751" t="s">
        <v>26958</v>
      </c>
      <c r="AA3751">
        <v>0.42743431890989952</v>
      </c>
      <c r="AB3751" t="str">
        <f>HYPERLINK("Melting_Curves/meltCurve_Q6UUV7_3_CRTC3.pdf", "Melting_Curves/meltCurve_Q6UUV7_3_CRTC3.pdf")</f>
        <v>Melting_Curves/meltCurve_Q6UUV7_3_CRTC3.pdf</v>
      </c>
    </row>
    <row r="3752" spans="1:28" x14ac:dyDescent="0.25">
      <c r="A3752" t="s">
        <v>3756</v>
      </c>
      <c r="B3752">
        <v>0.99334974765950101</v>
      </c>
      <c r="C3752">
        <v>1.0316473413707199</v>
      </c>
      <c r="D3752">
        <v>0.99107308082951395</v>
      </c>
      <c r="E3752">
        <v>0.83422880314326997</v>
      </c>
      <c r="F3752">
        <v>0.73185868451909497</v>
      </c>
      <c r="G3752">
        <v>0.61573849813571002</v>
      </c>
      <c r="H3752">
        <v>0.48418659749743298</v>
      </c>
      <c r="I3752">
        <v>0.37629655788449601</v>
      </c>
      <c r="J3752">
        <v>0.42001555038923399</v>
      </c>
      <c r="K3752">
        <v>0.40545642579014701</v>
      </c>
      <c r="L3752">
        <v>801.89343093924697</v>
      </c>
      <c r="M3752">
        <v>14.743971874211899</v>
      </c>
      <c r="N3752">
        <v>59.806814217914898</v>
      </c>
      <c r="O3752">
        <v>53.416762703746201</v>
      </c>
      <c r="P3752">
        <v>-4.3578201435646197E-2</v>
      </c>
      <c r="Q3752">
        <v>0.36854060344719403</v>
      </c>
      <c r="R3752">
        <v>0.986212779242707</v>
      </c>
      <c r="S3752" t="s">
        <v>9613</v>
      </c>
      <c r="T3752" t="s">
        <v>11720</v>
      </c>
      <c r="U3752" t="s">
        <v>11720</v>
      </c>
      <c r="V3752" t="s">
        <v>11720</v>
      </c>
      <c r="W3752" t="s">
        <v>15419</v>
      </c>
      <c r="X3752">
        <v>4</v>
      </c>
      <c r="Y3752" t="s">
        <v>21136</v>
      </c>
      <c r="Z3752" t="s">
        <v>26959</v>
      </c>
      <c r="AA3752">
        <v>0.6843155995283875</v>
      </c>
      <c r="AB3752" t="str">
        <f>HYPERLINK("Melting_Curves/meltCurve_Q6UUV9_3_CRTC1.pdf", "Melting_Curves/meltCurve_Q6UUV9_3_CRTC1.pdf")</f>
        <v>Melting_Curves/meltCurve_Q6UUV9_3_CRTC1.pdf</v>
      </c>
    </row>
    <row r="3753" spans="1:28" x14ac:dyDescent="0.25">
      <c r="A3753" t="s">
        <v>3757</v>
      </c>
      <c r="B3753">
        <v>0.99334974765950101</v>
      </c>
      <c r="C3753">
        <v>0.92034312317275302</v>
      </c>
      <c r="D3753">
        <v>0.85089054019619104</v>
      </c>
      <c r="E3753">
        <v>0.77813372539083003</v>
      </c>
      <c r="F3753">
        <v>0.70082231408931805</v>
      </c>
      <c r="G3753">
        <v>0.59852699404420795</v>
      </c>
      <c r="H3753">
        <v>0.52148777957454095</v>
      </c>
      <c r="I3753">
        <v>0.63329577156061301</v>
      </c>
      <c r="J3753">
        <v>0.59959043829749403</v>
      </c>
      <c r="K3753">
        <v>0.53543309112553195</v>
      </c>
      <c r="L3753">
        <v>595.79245549585005</v>
      </c>
      <c r="M3753">
        <v>12.081004201094199</v>
      </c>
      <c r="O3753">
        <v>48.023538675428497</v>
      </c>
      <c r="P3753">
        <v>-2.8427873263920898E-2</v>
      </c>
      <c r="Q3753">
        <v>0.54808841355462901</v>
      </c>
      <c r="R3753">
        <v>0.95144005649719599</v>
      </c>
      <c r="S3753" t="s">
        <v>9614</v>
      </c>
      <c r="T3753" t="s">
        <v>11720</v>
      </c>
      <c r="U3753" t="s">
        <v>11720</v>
      </c>
      <c r="V3753" t="s">
        <v>11720</v>
      </c>
      <c r="W3753" t="s">
        <v>15420</v>
      </c>
      <c r="X3753">
        <v>26</v>
      </c>
      <c r="Y3753" t="s">
        <v>21137</v>
      </c>
      <c r="Z3753" t="s">
        <v>26960</v>
      </c>
      <c r="AA3753">
        <v>0.70453898450082908</v>
      </c>
      <c r="AB3753" t="str">
        <f>HYPERLINK("Melting_Curves/meltCurve_Q6UVK1_CSPG4.pdf", "Melting_Curves/meltCurve_Q6UVK1_CSPG4.pdf")</f>
        <v>Melting_Curves/meltCurve_Q6UVK1_CSPG4.pdf</v>
      </c>
    </row>
    <row r="3754" spans="1:28" x14ac:dyDescent="0.25">
      <c r="A3754" t="s">
        <v>3758</v>
      </c>
      <c r="B3754">
        <v>0.99334974765950101</v>
      </c>
      <c r="C3754">
        <v>1.0790748518098801</v>
      </c>
      <c r="D3754">
        <v>0.98997845502038695</v>
      </c>
      <c r="E3754">
        <v>0.95451710883284502</v>
      </c>
      <c r="F3754">
        <v>0.82724215086917696</v>
      </c>
      <c r="G3754">
        <v>0.610314529210507</v>
      </c>
      <c r="H3754">
        <v>0.50129243846725502</v>
      </c>
      <c r="I3754">
        <v>0.55385256909828495</v>
      </c>
      <c r="J3754">
        <v>0.47518092418454499</v>
      </c>
      <c r="K3754">
        <v>0.34017533700625302</v>
      </c>
      <c r="L3754">
        <v>1013.07740661644</v>
      </c>
      <c r="M3754">
        <v>18.246500065609698</v>
      </c>
      <c r="N3754">
        <v>61.601402465538101</v>
      </c>
      <c r="O3754">
        <v>54.867736479923103</v>
      </c>
      <c r="P3754">
        <v>-4.8437323104872802E-2</v>
      </c>
      <c r="Q3754">
        <v>0.41741769739439899</v>
      </c>
      <c r="R3754">
        <v>0.95977700902101304</v>
      </c>
      <c r="S3754" t="s">
        <v>9615</v>
      </c>
      <c r="T3754" t="s">
        <v>11720</v>
      </c>
      <c r="U3754" t="s">
        <v>11720</v>
      </c>
      <c r="V3754" t="s">
        <v>11720</v>
      </c>
      <c r="W3754" t="s">
        <v>15421</v>
      </c>
      <c r="X3754">
        <v>10</v>
      </c>
      <c r="Y3754" t="s">
        <v>21138</v>
      </c>
      <c r="Z3754" t="s">
        <v>26961</v>
      </c>
      <c r="AA3754">
        <v>0.72749425576935922</v>
      </c>
      <c r="AB3754" t="str">
        <f>HYPERLINK("Melting_Curves/meltCurve_Q6UVY6_2_MOXD1.pdf", "Melting_Curves/meltCurve_Q6UVY6_2_MOXD1.pdf")</f>
        <v>Melting_Curves/meltCurve_Q6UVY6_2_MOXD1.pdf</v>
      </c>
    </row>
    <row r="3755" spans="1:28" x14ac:dyDescent="0.25">
      <c r="A3755" t="s">
        <v>3759</v>
      </c>
      <c r="B3755">
        <v>0.99334974765950101</v>
      </c>
      <c r="C3755">
        <v>1.22440944869214</v>
      </c>
      <c r="D3755">
        <v>1.14489710852131</v>
      </c>
      <c r="E3755">
        <v>0.77705522446688502</v>
      </c>
      <c r="F3755">
        <v>0.60296519727986198</v>
      </c>
      <c r="G3755">
        <v>0.45101036006489797</v>
      </c>
      <c r="H3755">
        <v>0.44235895734825498</v>
      </c>
      <c r="I3755">
        <v>0.47184887487615501</v>
      </c>
      <c r="J3755">
        <v>0.53142137419746605</v>
      </c>
      <c r="K3755">
        <v>0.27553030449912702</v>
      </c>
      <c r="L3755">
        <v>1710.5995975578601</v>
      </c>
      <c r="M3755">
        <v>33.418002991634097</v>
      </c>
      <c r="N3755">
        <v>54.462035616656799</v>
      </c>
      <c r="O3755">
        <v>51.005711038017203</v>
      </c>
      <c r="P3755">
        <v>-9.2882713641779496E-2</v>
      </c>
      <c r="Q3755">
        <v>0.43293696349819599</v>
      </c>
      <c r="R3755">
        <v>0.88067576989521001</v>
      </c>
      <c r="S3755" t="s">
        <v>9616</v>
      </c>
      <c r="T3755" t="s">
        <v>11720</v>
      </c>
      <c r="U3755" t="s">
        <v>11720</v>
      </c>
      <c r="V3755" t="s">
        <v>11720</v>
      </c>
      <c r="W3755" t="s">
        <v>15422</v>
      </c>
      <c r="X3755">
        <v>1</v>
      </c>
      <c r="Y3755" t="s">
        <v>21139</v>
      </c>
      <c r="Z3755" t="s">
        <v>26962</v>
      </c>
      <c r="AA3755">
        <v>0.64729369020351202</v>
      </c>
      <c r="AB3755" t="str">
        <f>HYPERLINK("Melting_Curves/meltCurve_Q6UW56_ATRAID.pdf", "Melting_Curves/meltCurve_Q6UW56_ATRAID.pdf")</f>
        <v>Melting_Curves/meltCurve_Q6UW56_ATRAID.pdf</v>
      </c>
    </row>
    <row r="3756" spans="1:28" x14ac:dyDescent="0.25">
      <c r="A3756" t="s">
        <v>3760</v>
      </c>
      <c r="B3756">
        <v>0.99334974765950101</v>
      </c>
      <c r="C3756">
        <v>0.98363216768951001</v>
      </c>
      <c r="D3756">
        <v>0.89373978482318295</v>
      </c>
      <c r="E3756">
        <v>0.49303779258389002</v>
      </c>
      <c r="F3756">
        <v>0.17084788671912701</v>
      </c>
      <c r="G3756">
        <v>0.15156835632712201</v>
      </c>
      <c r="H3756">
        <v>0.105037902923912</v>
      </c>
      <c r="I3756">
        <v>0.109878784465841</v>
      </c>
      <c r="J3756">
        <v>7.7129443667571601E-2</v>
      </c>
      <c r="K3756">
        <v>6.2944602309186207E-2</v>
      </c>
      <c r="L3756">
        <v>1424.19610203562</v>
      </c>
      <c r="M3756">
        <v>28.797096398218599</v>
      </c>
      <c r="N3756">
        <v>49.805747054170702</v>
      </c>
      <c r="O3756">
        <v>49.219587442585599</v>
      </c>
      <c r="P3756">
        <v>-0.13288864744725201</v>
      </c>
      <c r="Q3756">
        <v>9.1481421604997407E-2</v>
      </c>
      <c r="R3756">
        <v>0.99660425142509002</v>
      </c>
      <c r="S3756" t="s">
        <v>9617</v>
      </c>
      <c r="T3756" t="s">
        <v>11720</v>
      </c>
      <c r="U3756" t="s">
        <v>11720</v>
      </c>
      <c r="V3756" t="s">
        <v>11720</v>
      </c>
      <c r="W3756" t="s">
        <v>15423</v>
      </c>
      <c r="X3756">
        <v>10</v>
      </c>
      <c r="Y3756" t="s">
        <v>21140</v>
      </c>
      <c r="Z3756" t="s">
        <v>26963</v>
      </c>
      <c r="AA3756">
        <v>0.38390928648144451</v>
      </c>
      <c r="AB3756" t="str">
        <f>HYPERLINK("Melting_Curves/meltCurve_Q6UW63_KDELC1.pdf", "Melting_Curves/meltCurve_Q6UW63_KDELC1.pdf")</f>
        <v>Melting_Curves/meltCurve_Q6UW63_KDELC1.pdf</v>
      </c>
    </row>
    <row r="3757" spans="1:28" x14ac:dyDescent="0.25">
      <c r="A3757" t="s">
        <v>3761</v>
      </c>
      <c r="B3757">
        <v>0.99334974765950101</v>
      </c>
      <c r="C3757">
        <v>0.91712558131711397</v>
      </c>
      <c r="D3757">
        <v>0.88068432857391199</v>
      </c>
      <c r="E3757">
        <v>0.89149335521607798</v>
      </c>
      <c r="F3757">
        <v>0.83089405749370404</v>
      </c>
      <c r="G3757">
        <v>0.71723865563594702</v>
      </c>
      <c r="H3757">
        <v>0.66208816462959597</v>
      </c>
      <c r="I3757">
        <v>0.63477041969363701</v>
      </c>
      <c r="J3757">
        <v>0.616179514511351</v>
      </c>
      <c r="K3757">
        <v>0.48657109219719202</v>
      </c>
      <c r="L3757">
        <v>301.10925808705503</v>
      </c>
      <c r="M3757">
        <v>4.2068367572307501</v>
      </c>
      <c r="O3757">
        <v>59.678191313675804</v>
      </c>
      <c r="P3757">
        <v>-1.7815449580598601E-2</v>
      </c>
      <c r="Q3757">
        <v>0</v>
      </c>
      <c r="R3757">
        <v>0.96532215329388105</v>
      </c>
      <c r="S3757" t="s">
        <v>9618</v>
      </c>
      <c r="T3757" t="s">
        <v>11720</v>
      </c>
      <c r="U3757" t="s">
        <v>11720</v>
      </c>
      <c r="V3757" t="s">
        <v>11720</v>
      </c>
      <c r="W3757" t="s">
        <v>15424</v>
      </c>
      <c r="X3757">
        <v>3</v>
      </c>
      <c r="Y3757" t="s">
        <v>21141</v>
      </c>
      <c r="Z3757" t="s">
        <v>26964</v>
      </c>
      <c r="AA3757">
        <v>0.76814632773159031</v>
      </c>
      <c r="AB3757" t="str">
        <f>HYPERLINK("Melting_Curves/meltCurve_Q6UW78_C11orf83.pdf", "Melting_Curves/meltCurve_Q6UW78_C11orf83.pdf")</f>
        <v>Melting_Curves/meltCurve_Q6UW78_C11orf83.pdf</v>
      </c>
    </row>
    <row r="3758" spans="1:28" x14ac:dyDescent="0.25">
      <c r="A3758" t="s">
        <v>3762</v>
      </c>
      <c r="B3758">
        <v>0.99334974765950101</v>
      </c>
      <c r="C3758">
        <v>0.97328836952004905</v>
      </c>
      <c r="D3758">
        <v>0.97300451928680398</v>
      </c>
      <c r="E3758">
        <v>0.805137827178105</v>
      </c>
      <c r="F3758">
        <v>0.28050067152501801</v>
      </c>
      <c r="G3758">
        <v>0.17148257530856101</v>
      </c>
      <c r="H3758">
        <v>0.117381429533574</v>
      </c>
      <c r="I3758">
        <v>9.6378512497173899E-2</v>
      </c>
      <c r="J3758">
        <v>8.9184409885380095E-2</v>
      </c>
      <c r="K3758">
        <v>6.9768002092672907E-2</v>
      </c>
      <c r="L3758">
        <v>2272.7629244289801</v>
      </c>
      <c r="M3758">
        <v>44.219009275797802</v>
      </c>
      <c r="N3758">
        <v>51.672732441898198</v>
      </c>
      <c r="O3758">
        <v>51.293084343607298</v>
      </c>
      <c r="P3758">
        <v>-0.19293470753441899</v>
      </c>
      <c r="Q3758">
        <v>0.10480108568277099</v>
      </c>
      <c r="R3758">
        <v>0.99613568033408195</v>
      </c>
      <c r="S3758" t="s">
        <v>9619</v>
      </c>
      <c r="T3758" t="s">
        <v>11720</v>
      </c>
      <c r="U3758" t="s">
        <v>11720</v>
      </c>
      <c r="V3758" t="s">
        <v>11720</v>
      </c>
      <c r="W3758" t="s">
        <v>15425</v>
      </c>
      <c r="X3758">
        <v>35</v>
      </c>
      <c r="Y3758" t="s">
        <v>21142</v>
      </c>
      <c r="Z3758" t="s">
        <v>26965</v>
      </c>
      <c r="AA3758">
        <v>0.4475116994245672</v>
      </c>
      <c r="AB3758" t="str">
        <f>HYPERLINK("Melting_Curves/meltCurve_Q6UWE0_LRSAM1.pdf", "Melting_Curves/meltCurve_Q6UWE0_LRSAM1.pdf")</f>
        <v>Melting_Curves/meltCurve_Q6UWE0_LRSAM1.pdf</v>
      </c>
    </row>
    <row r="3759" spans="1:28" x14ac:dyDescent="0.25">
      <c r="A3759" t="s">
        <v>3763</v>
      </c>
      <c r="B3759">
        <v>0.99334974765950101</v>
      </c>
      <c r="C3759">
        <v>1.1506703897528301</v>
      </c>
      <c r="D3759">
        <v>0.989980389427909</v>
      </c>
      <c r="E3759">
        <v>0.76439428801729503</v>
      </c>
      <c r="F3759">
        <v>0.25858316131711301</v>
      </c>
      <c r="G3759">
        <v>0.13789082720006199</v>
      </c>
      <c r="H3759">
        <v>8.6308115046376602E-2</v>
      </c>
      <c r="I3759">
        <v>0.100308059490734</v>
      </c>
      <c r="J3759">
        <v>4.6148159237424498E-2</v>
      </c>
      <c r="K3759">
        <v>4.2013740586128501E-2</v>
      </c>
      <c r="L3759">
        <v>2121.9629054403899</v>
      </c>
      <c r="M3759">
        <v>41.390559926951198</v>
      </c>
      <c r="N3759">
        <v>51.477944432730901</v>
      </c>
      <c r="O3759">
        <v>51.147595916218499</v>
      </c>
      <c r="P3759">
        <v>-0.186517942542613</v>
      </c>
      <c r="Q3759">
        <v>7.8057681063846696E-2</v>
      </c>
      <c r="R3759">
        <v>0.98528683225728897</v>
      </c>
      <c r="S3759" t="s">
        <v>9620</v>
      </c>
      <c r="T3759" t="s">
        <v>11720</v>
      </c>
      <c r="U3759" t="s">
        <v>11720</v>
      </c>
      <c r="V3759" t="s">
        <v>11720</v>
      </c>
      <c r="W3759" t="s">
        <v>15426</v>
      </c>
      <c r="X3759">
        <v>2</v>
      </c>
      <c r="Y3759" t="s">
        <v>21143</v>
      </c>
      <c r="Z3759" t="s">
        <v>26966</v>
      </c>
      <c r="AA3759">
        <v>0.4273526998814669</v>
      </c>
      <c r="AB3759" t="str">
        <f>HYPERLINK("Melting_Curves/meltCurve_Q6UWH4_FAM198B.pdf", "Melting_Curves/meltCurve_Q6UWH4_FAM198B.pdf")</f>
        <v>Melting_Curves/meltCurve_Q6UWH4_FAM198B.pdf</v>
      </c>
    </row>
    <row r="3760" spans="1:28" x14ac:dyDescent="0.25">
      <c r="A3760" t="s">
        <v>3764</v>
      </c>
      <c r="B3760">
        <v>0.99334974765950101</v>
      </c>
      <c r="C3760">
        <v>0.94926576637249005</v>
      </c>
      <c r="D3760">
        <v>1.01811833461443</v>
      </c>
      <c r="E3760">
        <v>0.89562042309857304</v>
      </c>
      <c r="F3760">
        <v>0.35799792163234501</v>
      </c>
      <c r="G3760">
        <v>0.15827870529069199</v>
      </c>
      <c r="H3760">
        <v>0.120076403279155</v>
      </c>
      <c r="I3760">
        <v>8.87678007821254E-2</v>
      </c>
      <c r="J3760">
        <v>7.9637513531925497E-2</v>
      </c>
      <c r="K3760">
        <v>6.2488192535956499E-2</v>
      </c>
      <c r="L3760">
        <v>2493.9872716582699</v>
      </c>
      <c r="M3760">
        <v>47.9208693447844</v>
      </c>
      <c r="N3760">
        <v>52.281654825623299</v>
      </c>
      <c r="O3760">
        <v>51.953475084248502</v>
      </c>
      <c r="P3760">
        <v>-0.20801574663632399</v>
      </c>
      <c r="Q3760">
        <v>9.7918700558245197E-2</v>
      </c>
      <c r="R3760">
        <v>0.99559022814065601</v>
      </c>
      <c r="S3760" t="s">
        <v>9621</v>
      </c>
      <c r="T3760" t="s">
        <v>11720</v>
      </c>
      <c r="U3760" t="s">
        <v>11720</v>
      </c>
      <c r="V3760" t="s">
        <v>11720</v>
      </c>
      <c r="W3760" t="s">
        <v>15427</v>
      </c>
      <c r="X3760">
        <v>6</v>
      </c>
      <c r="Y3760" t="s">
        <v>21144</v>
      </c>
      <c r="Z3760" t="s">
        <v>26967</v>
      </c>
      <c r="AA3760">
        <v>0.46232555973818279</v>
      </c>
      <c r="AB3760" t="str">
        <f>HYPERLINK("Melting_Curves/meltCurve_Q6UWP2_DHRS11.pdf", "Melting_Curves/meltCurve_Q6UWP2_DHRS11.pdf")</f>
        <v>Melting_Curves/meltCurve_Q6UWP2_DHRS11.pdf</v>
      </c>
    </row>
    <row r="3761" spans="1:28" x14ac:dyDescent="0.25">
      <c r="A3761" t="s">
        <v>3765</v>
      </c>
      <c r="B3761">
        <v>0.99334974765950101</v>
      </c>
      <c r="C3761">
        <v>0.97395860309291105</v>
      </c>
      <c r="D3761">
        <v>1.0526496898487701</v>
      </c>
      <c r="E3761">
        <v>0.81253108544036501</v>
      </c>
      <c r="F3761">
        <v>0.75519863947150501</v>
      </c>
      <c r="G3761">
        <v>0.41126753975428998</v>
      </c>
      <c r="H3761">
        <v>0.22706423816538901</v>
      </c>
      <c r="I3761">
        <v>0.108169845003579</v>
      </c>
      <c r="J3761">
        <v>9.0620852741976093E-2</v>
      </c>
      <c r="K3761">
        <v>5.9137494687883603E-2</v>
      </c>
      <c r="L3761">
        <v>944.93838871788398</v>
      </c>
      <c r="M3761">
        <v>16.9429240672969</v>
      </c>
      <c r="N3761">
        <v>55.9635991639095</v>
      </c>
      <c r="O3761">
        <v>55.0123043602294</v>
      </c>
      <c r="P3761">
        <v>-7.4829617823275393E-2</v>
      </c>
      <c r="Q3761">
        <v>2.8198059250123701E-2</v>
      </c>
      <c r="R3761">
        <v>0.991078867344243</v>
      </c>
      <c r="S3761" t="s">
        <v>9622</v>
      </c>
      <c r="T3761" t="s">
        <v>11720</v>
      </c>
      <c r="U3761" t="s">
        <v>11720</v>
      </c>
      <c r="V3761" t="s">
        <v>11720</v>
      </c>
      <c r="W3761" t="s">
        <v>15428</v>
      </c>
      <c r="X3761">
        <v>9</v>
      </c>
      <c r="Y3761" t="s">
        <v>21145</v>
      </c>
      <c r="Z3761" t="s">
        <v>26968</v>
      </c>
      <c r="AA3761">
        <v>0.55467075993138104</v>
      </c>
      <c r="AB3761" t="str">
        <f>HYPERLINK("Melting_Curves/meltCurve_Q6UWP7_3_LCLAT1.pdf", "Melting_Curves/meltCurve_Q6UWP7_3_LCLAT1.pdf")</f>
        <v>Melting_Curves/meltCurve_Q6UWP7_3_LCLAT1.pdf</v>
      </c>
    </row>
    <row r="3762" spans="1:28" x14ac:dyDescent="0.25">
      <c r="A3762" t="s">
        <v>3766</v>
      </c>
      <c r="B3762">
        <v>0.99334974765950101</v>
      </c>
      <c r="C3762">
        <v>0.860346938160367</v>
      </c>
      <c r="D3762">
        <v>0.77772014356988195</v>
      </c>
      <c r="E3762">
        <v>0.58177190816678104</v>
      </c>
      <c r="F3762">
        <v>0.52553037794729596</v>
      </c>
      <c r="G3762">
        <v>0.31656804356146001</v>
      </c>
      <c r="H3762">
        <v>0.223022918139614</v>
      </c>
      <c r="I3762">
        <v>0.17826169212835399</v>
      </c>
      <c r="J3762">
        <v>0.22717831145256101</v>
      </c>
      <c r="K3762">
        <v>0.11813555608186301</v>
      </c>
      <c r="L3762">
        <v>508.72763714117002</v>
      </c>
      <c r="M3762">
        <v>9.8947528666699895</v>
      </c>
      <c r="N3762">
        <v>52.3782158491357</v>
      </c>
      <c r="O3762">
        <v>49.446021183089599</v>
      </c>
      <c r="P3762">
        <v>-4.5885389344347403E-2</v>
      </c>
      <c r="Q3762">
        <v>8.3271148331416203E-2</v>
      </c>
      <c r="R3762">
        <v>0.987103305470309</v>
      </c>
      <c r="S3762" t="s">
        <v>9623</v>
      </c>
      <c r="T3762" t="s">
        <v>11720</v>
      </c>
      <c r="U3762" t="s">
        <v>11720</v>
      </c>
      <c r="V3762" t="s">
        <v>11720</v>
      </c>
      <c r="W3762" t="s">
        <v>15429</v>
      </c>
      <c r="X3762">
        <v>1</v>
      </c>
      <c r="Y3762" t="s">
        <v>21146</v>
      </c>
      <c r="Z3762" t="s">
        <v>26969</v>
      </c>
      <c r="AA3762">
        <v>0.46927068375828679</v>
      </c>
      <c r="AB3762" t="str">
        <f>HYPERLINK("Melting_Curves/meltCurve_Q6UWS5_PET117.pdf", "Melting_Curves/meltCurve_Q6UWS5_PET117.pdf")</f>
        <v>Melting_Curves/meltCurve_Q6UWS5_PET117.pdf</v>
      </c>
    </row>
    <row r="3763" spans="1:28" x14ac:dyDescent="0.25">
      <c r="A3763" t="s">
        <v>3767</v>
      </c>
      <c r="B3763">
        <v>0.99334974765950101</v>
      </c>
      <c r="C3763">
        <v>0.946588028838101</v>
      </c>
      <c r="D3763">
        <v>0.88678136033509503</v>
      </c>
      <c r="E3763">
        <v>0.80473135938163698</v>
      </c>
      <c r="F3763">
        <v>0.543577071680169</v>
      </c>
      <c r="G3763">
        <v>0.49734414868818999</v>
      </c>
      <c r="H3763">
        <v>0.407122388104598</v>
      </c>
      <c r="I3763">
        <v>0.38127177813951801</v>
      </c>
      <c r="J3763">
        <v>0.24220897294809601</v>
      </c>
      <c r="K3763">
        <v>0.123713385395104</v>
      </c>
      <c r="L3763">
        <v>451.238712787579</v>
      </c>
      <c r="M3763">
        <v>7.8936171083268798</v>
      </c>
      <c r="N3763">
        <v>57.164989693792499</v>
      </c>
      <c r="O3763">
        <v>53.845123758816896</v>
      </c>
      <c r="P3763">
        <v>-3.6693224803534298E-2</v>
      </c>
      <c r="Q3763">
        <v>0</v>
      </c>
      <c r="R3763">
        <v>0.96860196667374299</v>
      </c>
      <c r="S3763" t="s">
        <v>9624</v>
      </c>
      <c r="T3763" t="s">
        <v>11720</v>
      </c>
      <c r="U3763" t="s">
        <v>11720</v>
      </c>
      <c r="V3763" t="s">
        <v>11720</v>
      </c>
      <c r="W3763" t="s">
        <v>15430</v>
      </c>
      <c r="X3763">
        <v>7</v>
      </c>
      <c r="Y3763" t="s">
        <v>21147</v>
      </c>
      <c r="Z3763" t="s">
        <v>26970</v>
      </c>
      <c r="AA3763">
        <v>0.58246094505520007</v>
      </c>
      <c r="AB3763" t="str">
        <f>HYPERLINK("Melting_Curves/meltCurve_Q6UWU4_C6orf89.pdf", "Melting_Curves/meltCurve_Q6UWU4_C6orf89.pdf")</f>
        <v>Melting_Curves/meltCurve_Q6UWU4_C6orf89.pdf</v>
      </c>
    </row>
    <row r="3764" spans="1:28" x14ac:dyDescent="0.25">
      <c r="A3764" t="s">
        <v>3768</v>
      </c>
      <c r="B3764">
        <v>0.99334974765950101</v>
      </c>
      <c r="C3764">
        <v>1.01845379532688</v>
      </c>
      <c r="D3764">
        <v>0.92349452076615102</v>
      </c>
      <c r="E3764">
        <v>0.88885018799032101</v>
      </c>
      <c r="F3764">
        <v>1.03903399483974</v>
      </c>
      <c r="G3764">
        <v>0.57042697634375295</v>
      </c>
      <c r="H3764">
        <v>0.30447157708082201</v>
      </c>
      <c r="I3764">
        <v>0.26876235152792899</v>
      </c>
      <c r="J3764">
        <v>0.31909488572064498</v>
      </c>
      <c r="K3764">
        <v>0.25169254224590998</v>
      </c>
      <c r="L3764">
        <v>9874.8969080327497</v>
      </c>
      <c r="M3764">
        <v>173.65612745639299</v>
      </c>
      <c r="N3764">
        <v>57.143932764679398</v>
      </c>
      <c r="O3764">
        <v>56.857111237599902</v>
      </c>
      <c r="P3764">
        <v>-0.545181568700153</v>
      </c>
      <c r="Q3764">
        <v>0.28600379476202697</v>
      </c>
      <c r="R3764">
        <v>0.97858911424865003</v>
      </c>
      <c r="S3764" t="s">
        <v>9625</v>
      </c>
      <c r="T3764" t="s">
        <v>11720</v>
      </c>
      <c r="U3764" t="s">
        <v>11720</v>
      </c>
      <c r="V3764" t="s">
        <v>11720</v>
      </c>
      <c r="W3764" t="s">
        <v>15431</v>
      </c>
      <c r="X3764">
        <v>3</v>
      </c>
      <c r="Y3764" t="s">
        <v>21148</v>
      </c>
      <c r="Z3764" t="s">
        <v>26971</v>
      </c>
      <c r="AA3764">
        <v>0.68752831717682017</v>
      </c>
      <c r="AB3764" t="str">
        <f>HYPERLINK("Melting_Curves/meltCurve_Q6UWY0_ARSK.pdf", "Melting_Curves/meltCurve_Q6UWY0_ARSK.pdf")</f>
        <v>Melting_Curves/meltCurve_Q6UWY0_ARSK.pdf</v>
      </c>
    </row>
    <row r="3765" spans="1:28" x14ac:dyDescent="0.25">
      <c r="A3765" t="s">
        <v>3769</v>
      </c>
      <c r="B3765">
        <v>0.99334974765950101</v>
      </c>
      <c r="C3765">
        <v>0.98149933115274501</v>
      </c>
      <c r="D3765">
        <v>0.92081436536127703</v>
      </c>
      <c r="E3765">
        <v>0.38829474830782301</v>
      </c>
      <c r="F3765">
        <v>0.225855444435383</v>
      </c>
      <c r="G3765">
        <v>0.15347069543035899</v>
      </c>
      <c r="H3765">
        <v>0.12343263349737101</v>
      </c>
      <c r="I3765">
        <v>9.8126718926581494E-2</v>
      </c>
      <c r="J3765">
        <v>8.8365960722686501E-2</v>
      </c>
      <c r="K3765">
        <v>8.1490242968928206E-2</v>
      </c>
      <c r="L3765">
        <v>1526.8431654921101</v>
      </c>
      <c r="M3765">
        <v>31.1869837128223</v>
      </c>
      <c r="N3765">
        <v>49.352981848107802</v>
      </c>
      <c r="O3765">
        <v>48.7577328425226</v>
      </c>
      <c r="P3765">
        <v>-0.14223631698317801</v>
      </c>
      <c r="Q3765">
        <v>0.11051588824657201</v>
      </c>
      <c r="R3765">
        <v>0.99591434285924196</v>
      </c>
      <c r="S3765" t="s">
        <v>9626</v>
      </c>
      <c r="T3765" t="s">
        <v>11720</v>
      </c>
      <c r="U3765" t="s">
        <v>11720</v>
      </c>
      <c r="V3765" t="s">
        <v>11720</v>
      </c>
      <c r="W3765" t="s">
        <v>15432</v>
      </c>
      <c r="X3765">
        <v>8</v>
      </c>
      <c r="Y3765" t="s">
        <v>21149</v>
      </c>
      <c r="Z3765" t="s">
        <v>26972</v>
      </c>
      <c r="AA3765">
        <v>0.38110755054220619</v>
      </c>
      <c r="AB3765" t="str">
        <f>HYPERLINK("Melting_Curves/meltCurve_Q6UX04_CWC27.pdf", "Melting_Curves/meltCurve_Q6UX04_CWC27.pdf")</f>
        <v>Melting_Curves/meltCurve_Q6UX04_CWC27.pdf</v>
      </c>
    </row>
    <row r="3766" spans="1:28" x14ac:dyDescent="0.25">
      <c r="A3766" t="s">
        <v>3770</v>
      </c>
      <c r="B3766">
        <v>0.99334974765950101</v>
      </c>
      <c r="C3766">
        <v>1.0195362369013901</v>
      </c>
      <c r="D3766">
        <v>0.89274523551459195</v>
      </c>
      <c r="E3766">
        <v>0.87032772352545795</v>
      </c>
      <c r="F3766">
        <v>0.83045276781073896</v>
      </c>
      <c r="G3766">
        <v>0.69653681788545796</v>
      </c>
      <c r="H3766">
        <v>0.71625199794878203</v>
      </c>
      <c r="I3766">
        <v>0.85441692355869103</v>
      </c>
      <c r="J3766">
        <v>0.82758174007812702</v>
      </c>
      <c r="K3766">
        <v>0.608456816147947</v>
      </c>
      <c r="L3766">
        <v>774.51910549987099</v>
      </c>
      <c r="M3766">
        <v>15.702995426055899</v>
      </c>
      <c r="O3766">
        <v>48.543894895310999</v>
      </c>
      <c r="P3766">
        <v>-2.1385871690838401E-2</v>
      </c>
      <c r="Q3766">
        <v>0.73557506424775698</v>
      </c>
      <c r="R3766">
        <v>0.68150048730163304</v>
      </c>
      <c r="S3766" t="s">
        <v>9627</v>
      </c>
      <c r="T3766" t="s">
        <v>11720</v>
      </c>
      <c r="U3766" t="s">
        <v>11720</v>
      </c>
      <c r="V3766" t="s">
        <v>11720</v>
      </c>
      <c r="W3766" t="s">
        <v>15433</v>
      </c>
      <c r="X3766">
        <v>4</v>
      </c>
      <c r="Y3766" t="s">
        <v>21150</v>
      </c>
      <c r="Z3766" t="s">
        <v>26973</v>
      </c>
      <c r="AA3766">
        <v>0.82367219404879033</v>
      </c>
      <c r="AB3766" t="str">
        <f>HYPERLINK("Melting_Curves/meltCurve_Q6UX15_2_LAYN.pdf", "Melting_Curves/meltCurve_Q6UX15_2_LAYN.pdf")</f>
        <v>Melting_Curves/meltCurve_Q6UX15_2_LAYN.pdf</v>
      </c>
    </row>
    <row r="3767" spans="1:28" x14ac:dyDescent="0.25">
      <c r="A3767" t="s">
        <v>3771</v>
      </c>
      <c r="B3767">
        <v>0.99334974765950101</v>
      </c>
      <c r="C3767">
        <v>0.96697127781083403</v>
      </c>
      <c r="D3767">
        <v>0.99088883161225105</v>
      </c>
      <c r="E3767">
        <v>0.78058557224915104</v>
      </c>
      <c r="F3767">
        <v>0.49642804311493399</v>
      </c>
      <c r="G3767">
        <v>0.36497512399244803</v>
      </c>
      <c r="H3767">
        <v>0.25535657631328201</v>
      </c>
      <c r="I3767">
        <v>0.14873431661647099</v>
      </c>
      <c r="J3767">
        <v>6.70533734054332E-2</v>
      </c>
      <c r="K3767">
        <v>8.5091580999528002E-2</v>
      </c>
      <c r="L3767">
        <v>791.10471011877996</v>
      </c>
      <c r="M3767">
        <v>14.751954670797801</v>
      </c>
      <c r="N3767">
        <v>54.1257982806206</v>
      </c>
      <c r="O3767">
        <v>52.670589804932803</v>
      </c>
      <c r="P3767">
        <v>-6.5577554705451693E-2</v>
      </c>
      <c r="Q3767">
        <v>6.3545026615568698E-2</v>
      </c>
      <c r="R3767">
        <v>0.98771722359324399</v>
      </c>
      <c r="S3767" t="s">
        <v>9628</v>
      </c>
      <c r="T3767" t="s">
        <v>11720</v>
      </c>
      <c r="U3767" t="s">
        <v>11720</v>
      </c>
      <c r="V3767" t="s">
        <v>11720</v>
      </c>
      <c r="W3767" t="s">
        <v>15434</v>
      </c>
      <c r="X3767">
        <v>1</v>
      </c>
      <c r="Y3767" t="s">
        <v>21151</v>
      </c>
      <c r="Z3767" t="s">
        <v>26974</v>
      </c>
      <c r="AA3767">
        <v>0.50892804988371765</v>
      </c>
      <c r="AB3767" t="str">
        <f>HYPERLINK("Melting_Curves/meltCurve_Q6UX53_METTL7B.pdf", "Melting_Curves/meltCurve_Q6UX53_METTL7B.pdf")</f>
        <v>Melting_Curves/meltCurve_Q6UX53_METTL7B.pdf</v>
      </c>
    </row>
    <row r="3768" spans="1:28" x14ac:dyDescent="0.25">
      <c r="A3768" t="s">
        <v>3772</v>
      </c>
      <c r="B3768">
        <v>0.99334974765950101</v>
      </c>
      <c r="C3768">
        <v>0.94909018885982099</v>
      </c>
      <c r="D3768">
        <v>0.851750126291142</v>
      </c>
      <c r="E3768">
        <v>0.72976112867792298</v>
      </c>
      <c r="F3768">
        <v>0.52890285339917198</v>
      </c>
      <c r="G3768">
        <v>0.36391427469904503</v>
      </c>
      <c r="H3768">
        <v>0.34685653011406598</v>
      </c>
      <c r="I3768">
        <v>0.20234785912033601</v>
      </c>
      <c r="J3768">
        <v>0.236995205178476</v>
      </c>
      <c r="K3768">
        <v>0.16719628636446901</v>
      </c>
      <c r="L3768">
        <v>627.99630870278497</v>
      </c>
      <c r="M3768">
        <v>11.9576798413073</v>
      </c>
      <c r="N3768">
        <v>54.134428778658197</v>
      </c>
      <c r="O3768">
        <v>51.1140779483326</v>
      </c>
      <c r="P3768">
        <v>-4.9718030428080498E-2</v>
      </c>
      <c r="Q3768">
        <v>0.150112619957953</v>
      </c>
      <c r="R3768">
        <v>0.99026540581214895</v>
      </c>
      <c r="S3768" t="s">
        <v>9629</v>
      </c>
      <c r="T3768" t="s">
        <v>11720</v>
      </c>
      <c r="U3768" t="s">
        <v>11720</v>
      </c>
      <c r="V3768" t="s">
        <v>11720</v>
      </c>
      <c r="W3768" t="s">
        <v>15435</v>
      </c>
      <c r="X3768">
        <v>4</v>
      </c>
      <c r="Y3768" t="s">
        <v>21152</v>
      </c>
      <c r="Z3768" t="s">
        <v>26975</v>
      </c>
      <c r="AA3768">
        <v>0.52994414114908439</v>
      </c>
      <c r="AB3768" t="str">
        <f>HYPERLINK("Melting_Curves/meltCurve_Q6UX71_PLXDC2.pdf", "Melting_Curves/meltCurve_Q6UX71_PLXDC2.pdf")</f>
        <v>Melting_Curves/meltCurve_Q6UX71_PLXDC2.pdf</v>
      </c>
    </row>
    <row r="3769" spans="1:28" x14ac:dyDescent="0.25">
      <c r="A3769" t="s">
        <v>3773</v>
      </c>
      <c r="B3769">
        <v>0.99334974765950101</v>
      </c>
      <c r="C3769">
        <v>0.95065931254132796</v>
      </c>
      <c r="D3769">
        <v>0.98080001402641304</v>
      </c>
      <c r="E3769">
        <v>0.80307470163277905</v>
      </c>
      <c r="F3769">
        <v>0.59220410602432505</v>
      </c>
      <c r="G3769">
        <v>0.45823973602232199</v>
      </c>
      <c r="H3769">
        <v>0.36940084103969001</v>
      </c>
      <c r="I3769">
        <v>0.37315195054225703</v>
      </c>
      <c r="J3769">
        <v>0.27235787824254198</v>
      </c>
      <c r="K3769">
        <v>0.26788917211492302</v>
      </c>
      <c r="L3769">
        <v>851.28214652615895</v>
      </c>
      <c r="M3769">
        <v>16.127419416751898</v>
      </c>
      <c r="N3769">
        <v>55.635044971901102</v>
      </c>
      <c r="O3769">
        <v>51.993218288388597</v>
      </c>
      <c r="P3769">
        <v>-5.5747832864781903E-2</v>
      </c>
      <c r="Q3769">
        <v>0.28115269476003701</v>
      </c>
      <c r="R3769">
        <v>0.98889220374840403</v>
      </c>
      <c r="S3769" t="s">
        <v>9630</v>
      </c>
      <c r="T3769" t="s">
        <v>11720</v>
      </c>
      <c r="U3769" t="s">
        <v>11720</v>
      </c>
      <c r="V3769" t="s">
        <v>11720</v>
      </c>
      <c r="W3769" t="s">
        <v>15436</v>
      </c>
      <c r="X3769">
        <v>6</v>
      </c>
      <c r="Y3769" t="s">
        <v>21153</v>
      </c>
      <c r="Z3769" t="s">
        <v>26976</v>
      </c>
      <c r="AA3769">
        <v>0.60153114444698563</v>
      </c>
      <c r="AB3769" t="str">
        <f>HYPERLINK("Melting_Curves/meltCurve_Q6UXD5_6_SEZ6L2.pdf", "Melting_Curves/meltCurve_Q6UXD5_6_SEZ6L2.pdf")</f>
        <v>Melting_Curves/meltCurve_Q6UXD5_6_SEZ6L2.pdf</v>
      </c>
    </row>
    <row r="3770" spans="1:28" x14ac:dyDescent="0.25">
      <c r="A3770" t="s">
        <v>3774</v>
      </c>
      <c r="B3770">
        <v>0.99334974765950101</v>
      </c>
      <c r="C3770">
        <v>0.98771571980733097</v>
      </c>
      <c r="D3770">
        <v>0.92002217597124003</v>
      </c>
      <c r="E3770">
        <v>0.83635688441327305</v>
      </c>
      <c r="F3770">
        <v>0.84191847201488701</v>
      </c>
      <c r="G3770">
        <v>0.751668800467725</v>
      </c>
      <c r="H3770">
        <v>0.74764308724079998</v>
      </c>
      <c r="I3770">
        <v>0.85588695166787598</v>
      </c>
      <c r="J3770">
        <v>0.86709641926546299</v>
      </c>
      <c r="K3770">
        <v>0.76798554035904698</v>
      </c>
      <c r="L3770">
        <v>1140.52192650599</v>
      </c>
      <c r="M3770">
        <v>24.320092271035399</v>
      </c>
      <c r="O3770">
        <v>46.5826677701289</v>
      </c>
      <c r="P3770">
        <v>-2.5805108436355102E-2</v>
      </c>
      <c r="Q3770">
        <v>0.80229473926916495</v>
      </c>
      <c r="R3770">
        <v>0.79017314065771904</v>
      </c>
      <c r="S3770" t="s">
        <v>9631</v>
      </c>
      <c r="T3770" t="s">
        <v>11720</v>
      </c>
      <c r="U3770" t="s">
        <v>11720</v>
      </c>
      <c r="V3770" t="s">
        <v>11720</v>
      </c>
      <c r="W3770" t="s">
        <v>15437</v>
      </c>
      <c r="X3770">
        <v>11</v>
      </c>
      <c r="Y3770" t="s">
        <v>21154</v>
      </c>
      <c r="Z3770" t="s">
        <v>26977</v>
      </c>
      <c r="AA3770">
        <v>0.84962306046695357</v>
      </c>
      <c r="AB3770" t="str">
        <f>HYPERLINK("Melting_Curves/meltCurve_Q6UXH1_4_CRELD2.pdf", "Melting_Curves/meltCurve_Q6UXH1_4_CRELD2.pdf")</f>
        <v>Melting_Curves/meltCurve_Q6UXH1_4_CRELD2.pdf</v>
      </c>
    </row>
    <row r="3771" spans="1:28" x14ac:dyDescent="0.25">
      <c r="A3771" t="s">
        <v>3775</v>
      </c>
      <c r="B3771">
        <v>0.99334974765950101</v>
      </c>
      <c r="C3771">
        <v>1.09767911772231</v>
      </c>
      <c r="D3771">
        <v>0.97079910653736501</v>
      </c>
      <c r="E3771">
        <v>0.97427491037757996</v>
      </c>
      <c r="F3771">
        <v>0.65213275912669999</v>
      </c>
      <c r="G3771">
        <v>1.0783994165502999</v>
      </c>
      <c r="H3771">
        <v>0.63216821519660804</v>
      </c>
      <c r="I3771">
        <v>0.74587091696887398</v>
      </c>
      <c r="J3771">
        <v>0.50642955472490203</v>
      </c>
      <c r="K3771">
        <v>0.46680134393924899</v>
      </c>
      <c r="L3771">
        <v>543.99521757560694</v>
      </c>
      <c r="M3771">
        <v>7.8811496366940696</v>
      </c>
      <c r="N3771">
        <v>69.024855845791194</v>
      </c>
      <c r="O3771">
        <v>65.004691712283503</v>
      </c>
      <c r="P3771">
        <v>-3.0346180448896101E-2</v>
      </c>
      <c r="Q3771">
        <v>0</v>
      </c>
      <c r="R3771">
        <v>0.685451660513959</v>
      </c>
      <c r="S3771" t="s">
        <v>9632</v>
      </c>
      <c r="T3771" t="s">
        <v>11720</v>
      </c>
      <c r="U3771" t="s">
        <v>11720</v>
      </c>
      <c r="V3771" t="s">
        <v>11720</v>
      </c>
      <c r="W3771" t="s">
        <v>15438</v>
      </c>
      <c r="X3771">
        <v>3</v>
      </c>
      <c r="Y3771" t="s">
        <v>21155</v>
      </c>
      <c r="Z3771" t="s">
        <v>26978</v>
      </c>
      <c r="AA3771">
        <v>0.8251631723904761</v>
      </c>
      <c r="AB3771" t="str">
        <f>HYPERLINK("Melting_Curves/meltCurve_Q6UXH8_CCBE1.pdf", "Melting_Curves/meltCurve_Q6UXH8_CCBE1.pdf")</f>
        <v>Melting_Curves/meltCurve_Q6UXH8_CCBE1.pdf</v>
      </c>
    </row>
    <row r="3772" spans="1:28" x14ac:dyDescent="0.25">
      <c r="A3772" t="s">
        <v>3776</v>
      </c>
      <c r="B3772">
        <v>0.99334974765950101</v>
      </c>
      <c r="C3772">
        <v>1.0050301443660601</v>
      </c>
      <c r="D3772">
        <v>0.90128512422567397</v>
      </c>
      <c r="E3772">
        <v>0.77853199493709502</v>
      </c>
      <c r="F3772">
        <v>0.50438273296237801</v>
      </c>
      <c r="G3772">
        <v>0.26181007412278101</v>
      </c>
      <c r="H3772">
        <v>0.12843098795914001</v>
      </c>
      <c r="I3772">
        <v>8.4527791231504307E-2</v>
      </c>
      <c r="J3772">
        <v>7.2443450614196603E-2</v>
      </c>
      <c r="K3772">
        <v>6.1025281225162598E-2</v>
      </c>
      <c r="L3772">
        <v>939.95174995989703</v>
      </c>
      <c r="M3772">
        <v>17.752725168408599</v>
      </c>
      <c r="N3772">
        <v>53.241097288968497</v>
      </c>
      <c r="O3772">
        <v>52.288785446996698</v>
      </c>
      <c r="P3772">
        <v>-8.0917009758889505E-2</v>
      </c>
      <c r="Q3772">
        <v>4.6719686858451598E-2</v>
      </c>
      <c r="R3772">
        <v>0.99811061917393795</v>
      </c>
      <c r="S3772" t="s">
        <v>9633</v>
      </c>
      <c r="T3772" t="s">
        <v>11720</v>
      </c>
      <c r="U3772" t="s">
        <v>11720</v>
      </c>
      <c r="V3772" t="s">
        <v>11720</v>
      </c>
      <c r="W3772" t="s">
        <v>15439</v>
      </c>
      <c r="X3772">
        <v>10</v>
      </c>
      <c r="Y3772" t="s">
        <v>21156</v>
      </c>
      <c r="Z3772" t="s">
        <v>26979</v>
      </c>
      <c r="AA3772">
        <v>0.47409466691631541</v>
      </c>
      <c r="AB3772" t="str">
        <f>HYPERLINK("Melting_Curves/meltCurve_Q6UXN9_WDR82.pdf", "Melting_Curves/meltCurve_Q6UXN9_WDR82.pdf")</f>
        <v>Melting_Curves/meltCurve_Q6UXN9_WDR82.pdf</v>
      </c>
    </row>
    <row r="3773" spans="1:28" x14ac:dyDescent="0.25">
      <c r="A3773" t="s">
        <v>3777</v>
      </c>
      <c r="B3773">
        <v>0.99334974765950101</v>
      </c>
      <c r="C3773">
        <v>0.92607784966680395</v>
      </c>
      <c r="D3773">
        <v>0.883139265899887</v>
      </c>
      <c r="E3773">
        <v>0.80153898138378699</v>
      </c>
      <c r="F3773">
        <v>0.96555033337749396</v>
      </c>
      <c r="G3773">
        <v>0.81215576240659004</v>
      </c>
      <c r="H3773">
        <v>0.73477410940884003</v>
      </c>
      <c r="I3773">
        <v>0.81482527194421905</v>
      </c>
      <c r="J3773">
        <v>0.82324852877301202</v>
      </c>
      <c r="K3773">
        <v>0.63708601094268802</v>
      </c>
      <c r="L3773">
        <v>195.10655144403501</v>
      </c>
      <c r="M3773">
        <v>1.8628236458552101</v>
      </c>
      <c r="O3773">
        <v>59.4849648532822</v>
      </c>
      <c r="P3773">
        <v>-8.6593008733875706E-3</v>
      </c>
      <c r="Q3773">
        <v>0</v>
      </c>
      <c r="R3773">
        <v>0.61885577504870404</v>
      </c>
      <c r="S3773" t="s">
        <v>9634</v>
      </c>
      <c r="T3773" t="s">
        <v>11720</v>
      </c>
      <c r="U3773" t="s">
        <v>11720</v>
      </c>
      <c r="V3773" t="s">
        <v>11720</v>
      </c>
      <c r="W3773" t="s">
        <v>15440</v>
      </c>
      <c r="X3773">
        <v>11</v>
      </c>
      <c r="Y3773" t="s">
        <v>21157</v>
      </c>
      <c r="Z3773" t="s">
        <v>26980</v>
      </c>
      <c r="AA3773">
        <v>0.84069586587922529</v>
      </c>
      <c r="AB3773" t="str">
        <f>HYPERLINK("Melting_Curves/meltCurve_Q6UXV4_APOOL.pdf", "Melting_Curves/meltCurve_Q6UXV4_APOOL.pdf")</f>
        <v>Melting_Curves/meltCurve_Q6UXV4_APOOL.pdf</v>
      </c>
    </row>
    <row r="3774" spans="1:28" x14ac:dyDescent="0.25">
      <c r="A3774" t="s">
        <v>3778</v>
      </c>
      <c r="B3774">
        <v>0.99334974765950101</v>
      </c>
      <c r="C3774">
        <v>0.93049101504768505</v>
      </c>
      <c r="D3774">
        <v>0.912102058359893</v>
      </c>
      <c r="E3774">
        <v>0.98849753944674301</v>
      </c>
      <c r="F3774">
        <v>0.89232852610855495</v>
      </c>
      <c r="G3774">
        <v>0.51560427841717105</v>
      </c>
      <c r="H3774">
        <v>0.39687773151300698</v>
      </c>
      <c r="I3774">
        <v>0.45422821616755599</v>
      </c>
      <c r="J3774">
        <v>0.38647326692782702</v>
      </c>
      <c r="K3774">
        <v>0.308516132691524</v>
      </c>
      <c r="L3774">
        <v>2065.5899174637102</v>
      </c>
      <c r="M3774">
        <v>37.461534910883302</v>
      </c>
      <c r="N3774">
        <v>57.326570548378498</v>
      </c>
      <c r="O3774">
        <v>54.982536394747697</v>
      </c>
      <c r="P3774">
        <v>-0.10555737090723601</v>
      </c>
      <c r="Q3774">
        <v>0.38029273065074198</v>
      </c>
      <c r="R3774">
        <v>0.96911990033041295</v>
      </c>
      <c r="S3774" t="s">
        <v>9635</v>
      </c>
      <c r="T3774" t="s">
        <v>11720</v>
      </c>
      <c r="U3774" t="s">
        <v>11720</v>
      </c>
      <c r="V3774" t="s">
        <v>11720</v>
      </c>
      <c r="W3774" t="s">
        <v>15441</v>
      </c>
      <c r="X3774">
        <v>6</v>
      </c>
      <c r="Y3774" t="s">
        <v>21158</v>
      </c>
      <c r="Z3774" t="s">
        <v>26981</v>
      </c>
      <c r="AA3774">
        <v>0.69569526554071603</v>
      </c>
      <c r="AB3774" t="str">
        <f>HYPERLINK("Melting_Curves/meltCurve_Q6V0I7_3_FAT4.pdf", "Melting_Curves/meltCurve_Q6V0I7_3_FAT4.pdf")</f>
        <v>Melting_Curves/meltCurve_Q6V0I7_3_FAT4.pdf</v>
      </c>
    </row>
    <row r="3775" spans="1:28" x14ac:dyDescent="0.25">
      <c r="A3775" t="s">
        <v>3779</v>
      </c>
      <c r="B3775">
        <v>0.99334974765950101</v>
      </c>
      <c r="C3775">
        <v>1.0359704000980501</v>
      </c>
      <c r="D3775">
        <v>1.13634665995615</v>
      </c>
      <c r="E3775">
        <v>1.2874486023708001</v>
      </c>
      <c r="F3775">
        <v>1.23486557754878</v>
      </c>
      <c r="G3775">
        <v>0.492880306438442</v>
      </c>
      <c r="H3775">
        <v>0.18970173116576899</v>
      </c>
      <c r="I3775">
        <v>0.19735028280389799</v>
      </c>
      <c r="J3775">
        <v>0.20054639684488301</v>
      </c>
      <c r="K3775">
        <v>0.16424954350961701</v>
      </c>
      <c r="L3775">
        <v>14221.0039275571</v>
      </c>
      <c r="M3775">
        <v>250</v>
      </c>
      <c r="N3775">
        <v>56.9914990990885</v>
      </c>
      <c r="O3775">
        <v>56.880376064935703</v>
      </c>
      <c r="P3775">
        <v>-0.89226514482621699</v>
      </c>
      <c r="Q3775">
        <v>0.18796197706795301</v>
      </c>
      <c r="R3775">
        <v>0.92495657017605803</v>
      </c>
      <c r="S3775" t="s">
        <v>9636</v>
      </c>
      <c r="T3775" t="s">
        <v>11720</v>
      </c>
      <c r="U3775" t="s">
        <v>11720</v>
      </c>
      <c r="V3775" t="s">
        <v>11720</v>
      </c>
      <c r="W3775" t="s">
        <v>15442</v>
      </c>
      <c r="X3775">
        <v>9</v>
      </c>
      <c r="Y3775" t="s">
        <v>21159</v>
      </c>
      <c r="Z3775" t="s">
        <v>26982</v>
      </c>
      <c r="AA3775">
        <v>0.64505846782994225</v>
      </c>
      <c r="AB3775" t="str">
        <f>HYPERLINK("Melting_Curves/meltCurve_Q6V1X1_2_DPP8.pdf", "Melting_Curves/meltCurve_Q6V1X1_2_DPP8.pdf")</f>
        <v>Melting_Curves/meltCurve_Q6V1X1_2_DPP8.pdf</v>
      </c>
    </row>
    <row r="3776" spans="1:28" x14ac:dyDescent="0.25">
      <c r="A3776" t="s">
        <v>3780</v>
      </c>
      <c r="B3776">
        <v>0.99334974765950101</v>
      </c>
      <c r="C3776">
        <v>1.0208007623811</v>
      </c>
      <c r="D3776">
        <v>0.855008342073454</v>
      </c>
      <c r="E3776">
        <v>0.58370688211019095</v>
      </c>
      <c r="F3776">
        <v>0.35418457181580698</v>
      </c>
      <c r="G3776">
        <v>0.20167459041741401</v>
      </c>
      <c r="H3776">
        <v>0.13524727540978099</v>
      </c>
      <c r="I3776">
        <v>0.12093195999970401</v>
      </c>
      <c r="J3776">
        <v>0.109348599925333</v>
      </c>
      <c r="K3776">
        <v>0.13612207707733301</v>
      </c>
      <c r="L3776">
        <v>985.615065301502</v>
      </c>
      <c r="M3776">
        <v>19.6000927939786</v>
      </c>
      <c r="N3776">
        <v>50.9633189111983</v>
      </c>
      <c r="O3776">
        <v>49.771561367830401</v>
      </c>
      <c r="P3776">
        <v>-8.7168315827962001E-2</v>
      </c>
      <c r="Q3776">
        <v>0.114626594656436</v>
      </c>
      <c r="R3776">
        <v>0.99720845800529401</v>
      </c>
      <c r="S3776" t="s">
        <v>9637</v>
      </c>
      <c r="T3776" t="s">
        <v>11720</v>
      </c>
      <c r="U3776" t="s">
        <v>11720</v>
      </c>
      <c r="V3776" t="s">
        <v>11720</v>
      </c>
      <c r="W3776" t="s">
        <v>15443</v>
      </c>
      <c r="X3776">
        <v>18</v>
      </c>
      <c r="Y3776" t="s">
        <v>21160</v>
      </c>
      <c r="Z3776" t="s">
        <v>26983</v>
      </c>
      <c r="AA3776">
        <v>0.43100002329456077</v>
      </c>
      <c r="AB3776" t="str">
        <f>HYPERLINK("Melting_Curves/meltCurve_Q6VY07_PACS1.pdf", "Melting_Curves/meltCurve_Q6VY07_PACS1.pdf")</f>
        <v>Melting_Curves/meltCurve_Q6VY07_PACS1.pdf</v>
      </c>
    </row>
    <row r="3777" spans="1:28" x14ac:dyDescent="0.25">
      <c r="A3777" t="s">
        <v>3781</v>
      </c>
      <c r="B3777">
        <v>0.99334974765950101</v>
      </c>
      <c r="C3777">
        <v>0.962779670907978</v>
      </c>
      <c r="D3777">
        <v>0.84978806304881704</v>
      </c>
      <c r="E3777">
        <v>0.64456019649764695</v>
      </c>
      <c r="F3777">
        <v>0.432164812325322</v>
      </c>
      <c r="G3777">
        <v>0.270862705987095</v>
      </c>
      <c r="H3777">
        <v>0.18386030243328699</v>
      </c>
      <c r="I3777">
        <v>0.17571888252972401</v>
      </c>
      <c r="J3777">
        <v>0.157181428931153</v>
      </c>
      <c r="K3777">
        <v>0.147681250781626</v>
      </c>
      <c r="L3777">
        <v>805.56098597940297</v>
      </c>
      <c r="M3777">
        <v>15.8193246147216</v>
      </c>
      <c r="N3777">
        <v>51.9626496399366</v>
      </c>
      <c r="O3777">
        <v>50.129685252538799</v>
      </c>
      <c r="P3777">
        <v>-6.8191941626495695E-2</v>
      </c>
      <c r="Q3777">
        <v>0.13570008065505901</v>
      </c>
      <c r="R3777">
        <v>0.99935251999549701</v>
      </c>
      <c r="S3777" t="s">
        <v>9638</v>
      </c>
      <c r="T3777" t="s">
        <v>11720</v>
      </c>
      <c r="U3777" t="s">
        <v>11720</v>
      </c>
      <c r="V3777" t="s">
        <v>11720</v>
      </c>
      <c r="W3777" t="s">
        <v>15444</v>
      </c>
      <c r="X3777">
        <v>28</v>
      </c>
      <c r="Y3777" t="s">
        <v>21161</v>
      </c>
      <c r="Z3777" t="s">
        <v>26984</v>
      </c>
      <c r="AA3777">
        <v>0.46868066007050291</v>
      </c>
      <c r="AB3777" t="str">
        <f>HYPERLINK("Melting_Curves/meltCurve_Q6WCQ1_MPRIP.pdf", "Melting_Curves/meltCurve_Q6WCQ1_MPRIP.pdf")</f>
        <v>Melting_Curves/meltCurve_Q6WCQ1_MPRIP.pdf</v>
      </c>
    </row>
    <row r="3778" spans="1:28" x14ac:dyDescent="0.25">
      <c r="A3778" t="s">
        <v>3782</v>
      </c>
      <c r="B3778">
        <v>0.99334974765950101</v>
      </c>
      <c r="C3778">
        <v>1.00035404840298</v>
      </c>
      <c r="D3778">
        <v>0.97137296334258505</v>
      </c>
      <c r="E3778">
        <v>0.85257183918170498</v>
      </c>
      <c r="F3778">
        <v>0.71604471447696105</v>
      </c>
      <c r="G3778">
        <v>0.45543636712880198</v>
      </c>
      <c r="H3778">
        <v>0.35362720821112198</v>
      </c>
      <c r="I3778">
        <v>0.33242391879766597</v>
      </c>
      <c r="J3778">
        <v>0.32083252158722603</v>
      </c>
      <c r="K3778">
        <v>0.21355275681324601</v>
      </c>
      <c r="L3778">
        <v>927.805897534785</v>
      </c>
      <c r="M3778">
        <v>17.1024711229242</v>
      </c>
      <c r="N3778">
        <v>56.5864075111324</v>
      </c>
      <c r="O3778">
        <v>53.524381579958998</v>
      </c>
      <c r="P3778">
        <v>-5.9655802298225202E-2</v>
      </c>
      <c r="Q3778">
        <v>0.25324279421658702</v>
      </c>
      <c r="R3778">
        <v>0.99288883388409699</v>
      </c>
      <c r="S3778" t="s">
        <v>9639</v>
      </c>
      <c r="T3778" t="s">
        <v>11720</v>
      </c>
      <c r="U3778" t="s">
        <v>11720</v>
      </c>
      <c r="V3778" t="s">
        <v>11720</v>
      </c>
      <c r="W3778" t="s">
        <v>15445</v>
      </c>
      <c r="X3778">
        <v>11</v>
      </c>
      <c r="Y3778" t="s">
        <v>21162</v>
      </c>
      <c r="Z3778" t="s">
        <v>26985</v>
      </c>
      <c r="AA3778">
        <v>0.62070198594630477</v>
      </c>
      <c r="AB3778" t="str">
        <f>HYPERLINK("Melting_Curves/meltCurve_Q6WKZ4_RAB11FIP1.pdf", "Melting_Curves/meltCurve_Q6WKZ4_RAB11FIP1.pdf")</f>
        <v>Melting_Curves/meltCurve_Q6WKZ4_RAB11FIP1.pdf</v>
      </c>
    </row>
    <row r="3779" spans="1:28" x14ac:dyDescent="0.25">
      <c r="A3779" t="s">
        <v>3783</v>
      </c>
      <c r="B3779">
        <v>0.99334974765950101</v>
      </c>
      <c r="C3779">
        <v>0.99966272586331995</v>
      </c>
      <c r="D3779">
        <v>1.02968530670255</v>
      </c>
      <c r="E3779">
        <v>0.91856771712001595</v>
      </c>
      <c r="F3779">
        <v>0.84815866666451201</v>
      </c>
      <c r="G3779">
        <v>0.71330341021778998</v>
      </c>
      <c r="H3779">
        <v>0.60210408501338997</v>
      </c>
      <c r="I3779">
        <v>0.56663670862434501</v>
      </c>
      <c r="J3779">
        <v>0.35736195228158002</v>
      </c>
      <c r="K3779">
        <v>0.22672476544478801</v>
      </c>
      <c r="L3779">
        <v>624.36564210430799</v>
      </c>
      <c r="M3779">
        <v>9.8487704533067806</v>
      </c>
      <c r="N3779">
        <v>63.395266938786698</v>
      </c>
      <c r="O3779">
        <v>60.947563082120404</v>
      </c>
      <c r="P3779">
        <v>-4.0419367892233701E-2</v>
      </c>
      <c r="Q3779">
        <v>0</v>
      </c>
      <c r="R3779">
        <v>0.97671754959318802</v>
      </c>
      <c r="S3779" t="s">
        <v>9640</v>
      </c>
      <c r="T3779" t="s">
        <v>11720</v>
      </c>
      <c r="U3779" t="s">
        <v>11720</v>
      </c>
      <c r="V3779" t="s">
        <v>11720</v>
      </c>
      <c r="W3779" t="s">
        <v>15446</v>
      </c>
      <c r="X3779">
        <v>23</v>
      </c>
      <c r="Y3779" t="s">
        <v>21163</v>
      </c>
      <c r="Z3779" t="s">
        <v>26986</v>
      </c>
      <c r="AA3779">
        <v>0.74323751564998841</v>
      </c>
      <c r="AB3779" t="str">
        <f>HYPERLINK("Melting_Curves/meltCurve_Q6XQN6_NAPRT1.pdf", "Melting_Curves/meltCurve_Q6XQN6_NAPRT1.pdf")</f>
        <v>Melting_Curves/meltCurve_Q6XQN6_NAPRT1.pdf</v>
      </c>
    </row>
    <row r="3780" spans="1:28" x14ac:dyDescent="0.25">
      <c r="A3780" t="s">
        <v>3784</v>
      </c>
      <c r="B3780">
        <v>0.99334974765950101</v>
      </c>
      <c r="C3780">
        <v>1.0235103761353701</v>
      </c>
      <c r="D3780">
        <v>1.09688257298141</v>
      </c>
      <c r="E3780">
        <v>1.13256733571538</v>
      </c>
      <c r="F3780">
        <v>0.43766037455922902</v>
      </c>
      <c r="G3780">
        <v>0.27412533312943399</v>
      </c>
      <c r="H3780">
        <v>0.16865790589222199</v>
      </c>
      <c r="I3780">
        <v>0.13304953460052299</v>
      </c>
      <c r="J3780">
        <v>7.8778644789011407E-2</v>
      </c>
      <c r="K3780">
        <v>6.5895326194337606E-2</v>
      </c>
      <c r="L3780">
        <v>13215.5486685213</v>
      </c>
      <c r="M3780">
        <v>250</v>
      </c>
      <c r="N3780">
        <v>52.934176887110901</v>
      </c>
      <c r="O3780">
        <v>52.858803651837697</v>
      </c>
      <c r="P3780">
        <v>-1.0120104137797701</v>
      </c>
      <c r="Q3780">
        <v>0.14410131193859399</v>
      </c>
      <c r="R3780">
        <v>0.97109726765973003</v>
      </c>
      <c r="S3780" t="s">
        <v>9641</v>
      </c>
      <c r="T3780" t="s">
        <v>11720</v>
      </c>
      <c r="U3780" t="s">
        <v>11720</v>
      </c>
      <c r="V3780" t="s">
        <v>11720</v>
      </c>
      <c r="W3780" t="s">
        <v>15447</v>
      </c>
      <c r="X3780">
        <v>6</v>
      </c>
      <c r="Y3780" t="s">
        <v>21164</v>
      </c>
      <c r="Z3780" t="s">
        <v>26987</v>
      </c>
      <c r="AA3780">
        <v>0.51113856722454676</v>
      </c>
      <c r="AB3780" t="str">
        <f>HYPERLINK("Melting_Curves/meltCurve_Q6Y288_B3GALTL.pdf", "Melting_Curves/meltCurve_Q6Y288_B3GALTL.pdf")</f>
        <v>Melting_Curves/meltCurve_Q6Y288_B3GALTL.pdf</v>
      </c>
    </row>
    <row r="3781" spans="1:28" x14ac:dyDescent="0.25">
      <c r="A3781" t="s">
        <v>3785</v>
      </c>
      <c r="B3781">
        <v>0.99334974765950101</v>
      </c>
      <c r="C3781">
        <v>0.956091519546025</v>
      </c>
      <c r="D3781">
        <v>0.807053167025651</v>
      </c>
      <c r="E3781">
        <v>0.55357501761880501</v>
      </c>
      <c r="F3781">
        <v>0.30543827957868303</v>
      </c>
      <c r="G3781">
        <v>0.20579319631728801</v>
      </c>
      <c r="H3781">
        <v>0.159989120164726</v>
      </c>
      <c r="I3781">
        <v>0.14637874789394101</v>
      </c>
      <c r="J3781">
        <v>0.12913697252546499</v>
      </c>
      <c r="K3781">
        <v>0.13573467485754601</v>
      </c>
      <c r="L3781">
        <v>899.28758315670905</v>
      </c>
      <c r="M3781">
        <v>18.160226370150198</v>
      </c>
      <c r="N3781">
        <v>50.340952181285303</v>
      </c>
      <c r="O3781">
        <v>48.930876213735502</v>
      </c>
      <c r="P3781">
        <v>-8.0892656614758293E-2</v>
      </c>
      <c r="Q3781">
        <v>0.12821351265091799</v>
      </c>
      <c r="R3781">
        <v>0.99831097873131802</v>
      </c>
      <c r="S3781" t="s">
        <v>9642</v>
      </c>
      <c r="T3781" t="s">
        <v>11720</v>
      </c>
      <c r="U3781" t="s">
        <v>11720</v>
      </c>
      <c r="V3781" t="s">
        <v>11720</v>
      </c>
      <c r="W3781" t="s">
        <v>15448</v>
      </c>
      <c r="X3781">
        <v>16</v>
      </c>
      <c r="Y3781" t="s">
        <v>21165</v>
      </c>
      <c r="Z3781" t="s">
        <v>26988</v>
      </c>
      <c r="AA3781">
        <v>0.4195613192435822</v>
      </c>
      <c r="AB3781" t="str">
        <f>HYPERLINK("Melting_Curves/meltCurve_Q6Y7W6_4_GIGYF2.pdf", "Melting_Curves/meltCurve_Q6Y7W6_4_GIGYF2.pdf")</f>
        <v>Melting_Curves/meltCurve_Q6Y7W6_4_GIGYF2.pdf</v>
      </c>
    </row>
    <row r="3782" spans="1:28" x14ac:dyDescent="0.25">
      <c r="A3782" t="s">
        <v>3786</v>
      </c>
      <c r="B3782">
        <v>0.99334974765950101</v>
      </c>
      <c r="C3782">
        <v>1.0259907192238999</v>
      </c>
      <c r="D3782">
        <v>1.07551009493699</v>
      </c>
      <c r="E3782">
        <v>1.19121395142638</v>
      </c>
      <c r="F3782">
        <v>1.3797773810960099</v>
      </c>
      <c r="G3782">
        <v>1.23545716959783</v>
      </c>
      <c r="H3782">
        <v>1.1265198406640899</v>
      </c>
      <c r="I3782">
        <v>1.6978561017423801</v>
      </c>
      <c r="J3782">
        <v>1.1490250335565999</v>
      </c>
      <c r="K3782">
        <v>1.0428135404827401</v>
      </c>
      <c r="L3782">
        <v>1594.1409950120899</v>
      </c>
      <c r="M3782">
        <v>33.619064827506001</v>
      </c>
      <c r="O3782">
        <v>47.250957287756201</v>
      </c>
      <c r="P3782">
        <v>4.7661882266492199E-2</v>
      </c>
      <c r="Q3782">
        <v>1.2679502517093799</v>
      </c>
      <c r="R3782">
        <v>0.28698616462866899</v>
      </c>
      <c r="S3782" t="s">
        <v>9643</v>
      </c>
      <c r="T3782" t="s">
        <v>11720</v>
      </c>
      <c r="U3782" t="s">
        <v>11720</v>
      </c>
      <c r="V3782" t="s">
        <v>11720</v>
      </c>
      <c r="W3782" t="s">
        <v>15449</v>
      </c>
      <c r="X3782">
        <v>31</v>
      </c>
      <c r="Y3782" t="s">
        <v>21166</v>
      </c>
      <c r="Z3782" t="s">
        <v>26989</v>
      </c>
      <c r="AA3782">
        <v>1.200432737818232</v>
      </c>
      <c r="AB3782" t="str">
        <f>HYPERLINK("Melting_Curves/meltCurve_Q6YHK3_CD109.pdf", "Melting_Curves/meltCurve_Q6YHK3_CD109.pdf")</f>
        <v>Melting_Curves/meltCurve_Q6YHK3_CD109.pdf</v>
      </c>
    </row>
    <row r="3783" spans="1:28" x14ac:dyDescent="0.25">
      <c r="A3783" t="s">
        <v>3787</v>
      </c>
      <c r="B3783">
        <v>0.99334974765950101</v>
      </c>
      <c r="C3783">
        <v>1.0028821289465299</v>
      </c>
      <c r="D3783">
        <v>1.07289922458772</v>
      </c>
      <c r="E3783">
        <v>0.90105245660031397</v>
      </c>
      <c r="F3783">
        <v>0.33981705407075302</v>
      </c>
      <c r="G3783">
        <v>0.17273838862062299</v>
      </c>
      <c r="H3783">
        <v>0.10052798896760499</v>
      </c>
      <c r="I3783">
        <v>9.5287448976932698E-2</v>
      </c>
      <c r="J3783">
        <v>7.0343664486275395E-2</v>
      </c>
      <c r="K3783">
        <v>9.2185670844255094E-2</v>
      </c>
      <c r="L3783">
        <v>2671.5147281894601</v>
      </c>
      <c r="M3783">
        <v>51.397204021735803</v>
      </c>
      <c r="N3783">
        <v>52.212924524293399</v>
      </c>
      <c r="O3783">
        <v>51.899315778636002</v>
      </c>
      <c r="P3783">
        <v>-0.22200644989911</v>
      </c>
      <c r="Q3783">
        <v>0.10329954411872</v>
      </c>
      <c r="R3783">
        <v>0.99415414698465099</v>
      </c>
      <c r="S3783" t="s">
        <v>9644</v>
      </c>
      <c r="T3783" t="s">
        <v>11720</v>
      </c>
      <c r="U3783" t="s">
        <v>11720</v>
      </c>
      <c r="V3783" t="s">
        <v>11720</v>
      </c>
      <c r="W3783" t="s">
        <v>15450</v>
      </c>
      <c r="X3783">
        <v>2</v>
      </c>
      <c r="Y3783" t="s">
        <v>21167</v>
      </c>
      <c r="Z3783" t="s">
        <v>26990</v>
      </c>
      <c r="AA3783">
        <v>0.46326180572412851</v>
      </c>
      <c r="AB3783" t="str">
        <f>HYPERLINK("Melting_Curves/meltCurve_Q6YHU6_3_THADA.pdf", "Melting_Curves/meltCurve_Q6YHU6_3_THADA.pdf")</f>
        <v>Melting_Curves/meltCurve_Q6YHU6_3_THADA.pdf</v>
      </c>
    </row>
    <row r="3784" spans="1:28" x14ac:dyDescent="0.25">
      <c r="A3784" t="s">
        <v>3788</v>
      </c>
      <c r="B3784">
        <v>0.99334974765950101</v>
      </c>
      <c r="C3784">
        <v>1.0369801673892201</v>
      </c>
      <c r="D3784">
        <v>0.93003808709265401</v>
      </c>
      <c r="E3784">
        <v>0.61739140754337296</v>
      </c>
      <c r="F3784">
        <v>0.203523977239077</v>
      </c>
      <c r="G3784">
        <v>0.131832493345131</v>
      </c>
      <c r="H3784">
        <v>9.2358356869397695E-2</v>
      </c>
      <c r="I3784">
        <v>8.6373526572984305E-2</v>
      </c>
      <c r="J3784">
        <v>8.2439516633453294E-2</v>
      </c>
      <c r="K3784">
        <v>7.30095982230482E-2</v>
      </c>
      <c r="L3784">
        <v>1752.0872299299201</v>
      </c>
      <c r="M3784">
        <v>34.7782466690498</v>
      </c>
      <c r="N3784">
        <v>50.656013133211196</v>
      </c>
      <c r="O3784">
        <v>50.213131554133199</v>
      </c>
      <c r="P3784">
        <v>-0.15815090342027999</v>
      </c>
      <c r="Q3784">
        <v>8.6644767818234394E-2</v>
      </c>
      <c r="R3784">
        <v>0.99700584119325497</v>
      </c>
      <c r="S3784" t="s">
        <v>9645</v>
      </c>
      <c r="T3784" t="s">
        <v>11720</v>
      </c>
      <c r="U3784" t="s">
        <v>11720</v>
      </c>
      <c r="V3784" t="s">
        <v>11720</v>
      </c>
      <c r="W3784" t="s">
        <v>15451</v>
      </c>
      <c r="X3784">
        <v>15</v>
      </c>
      <c r="Y3784" t="s">
        <v>21168</v>
      </c>
      <c r="Z3784" t="s">
        <v>26991</v>
      </c>
      <c r="AA3784">
        <v>0.40684852000117883</v>
      </c>
      <c r="AB3784" t="str">
        <f>HYPERLINK("Melting_Curves/meltCurve_Q6YN16_HSDL2.pdf", "Melting_Curves/meltCurve_Q6YN16_HSDL2.pdf")</f>
        <v>Melting_Curves/meltCurve_Q6YN16_HSDL2.pdf</v>
      </c>
    </row>
    <row r="3785" spans="1:28" x14ac:dyDescent="0.25">
      <c r="A3785" t="s">
        <v>3789</v>
      </c>
      <c r="B3785">
        <v>0.99334974765950101</v>
      </c>
      <c r="C3785">
        <v>1.00300601714242</v>
      </c>
      <c r="D3785">
        <v>0.99431237276173901</v>
      </c>
      <c r="E3785">
        <v>0.86528165536954704</v>
      </c>
      <c r="F3785">
        <v>0.69611971620478796</v>
      </c>
      <c r="G3785">
        <v>0.55891306891425496</v>
      </c>
      <c r="H3785">
        <v>0.44974398417109102</v>
      </c>
      <c r="I3785">
        <v>0.475393750342465</v>
      </c>
      <c r="J3785">
        <v>0.29383344512556597</v>
      </c>
      <c r="K3785">
        <v>0.17915272995200399</v>
      </c>
      <c r="L3785">
        <v>528.94524329255796</v>
      </c>
      <c r="M3785">
        <v>8.9256438108073208</v>
      </c>
      <c r="N3785">
        <v>59.8112612645171</v>
      </c>
      <c r="O3785">
        <v>56.513084632457598</v>
      </c>
      <c r="P3785">
        <v>-3.7957710748701599E-2</v>
      </c>
      <c r="Q3785">
        <v>3.9396738698771097E-2</v>
      </c>
      <c r="R3785">
        <v>0.96946796476070096</v>
      </c>
      <c r="S3785" t="s">
        <v>9646</v>
      </c>
      <c r="T3785" t="s">
        <v>11720</v>
      </c>
      <c r="U3785" t="s">
        <v>11720</v>
      </c>
      <c r="V3785" t="s">
        <v>11720</v>
      </c>
      <c r="W3785" t="s">
        <v>15452</v>
      </c>
      <c r="X3785">
        <v>24</v>
      </c>
      <c r="Y3785" t="s">
        <v>21169</v>
      </c>
      <c r="Z3785" t="s">
        <v>26992</v>
      </c>
      <c r="AA3785">
        <v>0.65340244146850768</v>
      </c>
      <c r="AB3785" t="str">
        <f>HYPERLINK("Melting_Curves/meltCurve_Q6YP21_3_CCBL2.pdf", "Melting_Curves/meltCurve_Q6YP21_3_CCBL2.pdf")</f>
        <v>Melting_Curves/meltCurve_Q6YP21_3_CCBL2.pdf</v>
      </c>
    </row>
    <row r="3786" spans="1:28" x14ac:dyDescent="0.25">
      <c r="A3786" t="s">
        <v>3790</v>
      </c>
      <c r="B3786">
        <v>0.99334974765950101</v>
      </c>
      <c r="C3786">
        <v>0.94863660526907401</v>
      </c>
      <c r="D3786">
        <v>0.89484825934957901</v>
      </c>
      <c r="E3786">
        <v>0.90740680971282195</v>
      </c>
      <c r="F3786">
        <v>0.84145490352958596</v>
      </c>
      <c r="G3786">
        <v>0.53460018374428098</v>
      </c>
      <c r="H3786">
        <v>0.31310665921519698</v>
      </c>
      <c r="I3786">
        <v>0.25605212153351498</v>
      </c>
      <c r="J3786">
        <v>0.18419353140068401</v>
      </c>
      <c r="K3786">
        <v>0.128213121687071</v>
      </c>
      <c r="L3786">
        <v>900.09374419213896</v>
      </c>
      <c r="M3786">
        <v>15.761125560828001</v>
      </c>
      <c r="N3786">
        <v>57.863184282743397</v>
      </c>
      <c r="O3786">
        <v>56.212835333647597</v>
      </c>
      <c r="P3786">
        <v>-6.35883877571332E-2</v>
      </c>
      <c r="Q3786">
        <v>9.29109200898348E-2</v>
      </c>
      <c r="R3786">
        <v>0.98795092394705097</v>
      </c>
      <c r="S3786" t="s">
        <v>9647</v>
      </c>
      <c r="T3786" t="s">
        <v>11720</v>
      </c>
      <c r="U3786" t="s">
        <v>11720</v>
      </c>
      <c r="V3786" t="s">
        <v>11720</v>
      </c>
      <c r="W3786" t="s">
        <v>15453</v>
      </c>
      <c r="X3786">
        <v>2</v>
      </c>
      <c r="Y3786" t="s">
        <v>21170</v>
      </c>
      <c r="Z3786" t="s">
        <v>26993</v>
      </c>
      <c r="AA3786">
        <v>0.62393415290331389</v>
      </c>
      <c r="AB3786" t="str">
        <f>HYPERLINK("Melting_Curves/meltCurve_Q6ZMG9_CERS6.pdf", "Melting_Curves/meltCurve_Q6ZMG9_CERS6.pdf")</f>
        <v>Melting_Curves/meltCurve_Q6ZMG9_CERS6.pdf</v>
      </c>
    </row>
    <row r="3787" spans="1:28" x14ac:dyDescent="0.25">
      <c r="A3787" t="s">
        <v>3791</v>
      </c>
      <c r="B3787">
        <v>0.99334974765950101</v>
      </c>
      <c r="C3787">
        <v>0.82809093865397099</v>
      </c>
      <c r="D3787">
        <v>0.69032633019369904</v>
      </c>
      <c r="E3787">
        <v>0.28309089077764399</v>
      </c>
      <c r="F3787">
        <v>6.8064331724194002E-2</v>
      </c>
      <c r="G3787">
        <v>5.4292237994664698E-2</v>
      </c>
      <c r="H3787">
        <v>1.90710009066185E-2</v>
      </c>
      <c r="I3787">
        <v>0</v>
      </c>
      <c r="J3787">
        <v>1.7440442127676599E-2</v>
      </c>
      <c r="K3787">
        <v>0</v>
      </c>
      <c r="L3787">
        <v>927.98908060288397</v>
      </c>
      <c r="M3787">
        <v>19.534883777783101</v>
      </c>
      <c r="N3787">
        <v>47.504204345066903</v>
      </c>
      <c r="O3787">
        <v>47.014775756808099</v>
      </c>
      <c r="P3787">
        <v>-0.10387996192830801</v>
      </c>
      <c r="Q3787">
        <v>0</v>
      </c>
      <c r="R3787">
        <v>0.99375066051453997</v>
      </c>
      <c r="S3787" t="s">
        <v>9648</v>
      </c>
      <c r="T3787" t="s">
        <v>11720</v>
      </c>
      <c r="U3787" t="s">
        <v>11720</v>
      </c>
      <c r="V3787" t="s">
        <v>11720</v>
      </c>
      <c r="W3787" t="s">
        <v>15454</v>
      </c>
      <c r="X3787">
        <v>1</v>
      </c>
      <c r="Y3787" t="s">
        <v>21171</v>
      </c>
      <c r="Z3787" t="s">
        <v>26994</v>
      </c>
      <c r="AA3787">
        <v>0.26527812180009092</v>
      </c>
      <c r="AB3787" t="str">
        <f>HYPERLINK("Melting_Curves/meltCurve_Q6ZMZ3_2_SYNE3.pdf", "Melting_Curves/meltCurve_Q6ZMZ3_2_SYNE3.pdf")</f>
        <v>Melting_Curves/meltCurve_Q6ZMZ3_2_SYNE3.pdf</v>
      </c>
    </row>
    <row r="3788" spans="1:28" x14ac:dyDescent="0.25">
      <c r="A3788" t="s">
        <v>3792</v>
      </c>
      <c r="B3788">
        <v>0.99334974765950101</v>
      </c>
      <c r="C3788">
        <v>1.07079499470551</v>
      </c>
      <c r="D3788">
        <v>1.6492385024168901</v>
      </c>
      <c r="E3788">
        <v>1.4684933381246299</v>
      </c>
      <c r="F3788">
        <v>1.32086923458239</v>
      </c>
      <c r="G3788">
        <v>1.05996862591313</v>
      </c>
      <c r="H3788">
        <v>0.69267046206909499</v>
      </c>
      <c r="I3788">
        <v>0.222662472968189</v>
      </c>
      <c r="J3788">
        <v>0</v>
      </c>
      <c r="K3788">
        <v>0</v>
      </c>
      <c r="L3788">
        <v>2965.7375415823099</v>
      </c>
      <c r="M3788">
        <v>47.721476668339399</v>
      </c>
      <c r="N3788">
        <v>62.146821447373597</v>
      </c>
      <c r="O3788">
        <v>62.037973105459798</v>
      </c>
      <c r="P3788">
        <v>-0.192307728383625</v>
      </c>
      <c r="Q3788">
        <v>0</v>
      </c>
      <c r="R3788">
        <v>0.76509949653308995</v>
      </c>
      <c r="S3788" t="s">
        <v>9649</v>
      </c>
      <c r="T3788" t="s">
        <v>11720</v>
      </c>
      <c r="U3788" t="s">
        <v>11720</v>
      </c>
      <c r="V3788" t="s">
        <v>11720</v>
      </c>
      <c r="W3788" t="s">
        <v>15455</v>
      </c>
      <c r="X3788">
        <v>1</v>
      </c>
      <c r="Y3788" t="s">
        <v>21172</v>
      </c>
      <c r="Z3788" t="s">
        <v>26995</v>
      </c>
      <c r="AA3788">
        <v>0.74096487061554128</v>
      </c>
      <c r="AB3788" t="str">
        <f>HYPERLINK("Melting_Curves/meltCurve_Q6ZN03_LINC00322.pdf", "Melting_Curves/meltCurve_Q6ZN03_LINC00322.pdf")</f>
        <v>Melting_Curves/meltCurve_Q6ZN03_LINC00322.pdf</v>
      </c>
    </row>
    <row r="3789" spans="1:28" x14ac:dyDescent="0.25">
      <c r="A3789" t="s">
        <v>3793</v>
      </c>
      <c r="B3789">
        <v>0.99334974765950101</v>
      </c>
      <c r="C3789">
        <v>0.85438439291430401</v>
      </c>
      <c r="D3789">
        <v>0.76229099665622602</v>
      </c>
      <c r="E3789">
        <v>0.75201832764574295</v>
      </c>
      <c r="F3789">
        <v>1.05429189269782</v>
      </c>
      <c r="G3789">
        <v>0.73361435647948403</v>
      </c>
      <c r="H3789">
        <v>0.85615742935829697</v>
      </c>
      <c r="I3789">
        <v>0.86391114952273895</v>
      </c>
      <c r="J3789">
        <v>1.6177786596946999</v>
      </c>
      <c r="K3789">
        <v>1.3917505384906199</v>
      </c>
      <c r="L3789">
        <v>15000</v>
      </c>
      <c r="M3789">
        <v>229.05760293436899</v>
      </c>
      <c r="O3789">
        <v>65.480719198957104</v>
      </c>
      <c r="P3789">
        <v>0.43726154466998102</v>
      </c>
      <c r="Q3789">
        <v>1.5</v>
      </c>
      <c r="R3789">
        <v>0.64467629395552095</v>
      </c>
      <c r="S3789" t="s">
        <v>9650</v>
      </c>
      <c r="T3789" t="s">
        <v>11720</v>
      </c>
      <c r="U3789" t="s">
        <v>11720</v>
      </c>
      <c r="V3789" t="s">
        <v>11720</v>
      </c>
      <c r="W3789" t="s">
        <v>15456</v>
      </c>
      <c r="X3789">
        <v>1</v>
      </c>
      <c r="Y3789" t="s">
        <v>21173</v>
      </c>
      <c r="Z3789" t="s">
        <v>26996</v>
      </c>
      <c r="AA3789">
        <v>1.0751696972533831</v>
      </c>
      <c r="AB3789" t="str">
        <f>HYPERLINK("Melting_Curves/meltCurve_Q6ZN18_2_AEBP2.pdf", "Melting_Curves/meltCurve_Q6ZN18_2_AEBP2.pdf")</f>
        <v>Melting_Curves/meltCurve_Q6ZN18_2_AEBP2.pdf</v>
      </c>
    </row>
    <row r="3790" spans="1:28" x14ac:dyDescent="0.25">
      <c r="A3790" t="s">
        <v>3794</v>
      </c>
      <c r="B3790">
        <v>0.99334974765950101</v>
      </c>
      <c r="C3790">
        <v>0.89034532921716603</v>
      </c>
      <c r="D3790">
        <v>0.63268296995659301</v>
      </c>
      <c r="E3790">
        <v>0.32102243100481398</v>
      </c>
      <c r="F3790">
        <v>0.15771316594229301</v>
      </c>
      <c r="G3790">
        <v>0.22433302064709401</v>
      </c>
      <c r="H3790">
        <v>0.179681736498776</v>
      </c>
      <c r="I3790">
        <v>8.5095226647567607E-2</v>
      </c>
      <c r="J3790">
        <v>3.8391842332138701E-2</v>
      </c>
      <c r="K3790">
        <v>3.9833566154929098E-2</v>
      </c>
      <c r="L3790">
        <v>877.72759930183202</v>
      </c>
      <c r="M3790">
        <v>18.639742844955599</v>
      </c>
      <c r="N3790">
        <v>47.6193617374323</v>
      </c>
      <c r="O3790">
        <v>46.557092099828502</v>
      </c>
      <c r="P3790">
        <v>-9.0713386865386797E-2</v>
      </c>
      <c r="Q3790">
        <v>9.3727851900637593E-2</v>
      </c>
      <c r="R3790">
        <v>0.97884687664571601</v>
      </c>
      <c r="S3790" t="s">
        <v>9651</v>
      </c>
      <c r="T3790" t="s">
        <v>11720</v>
      </c>
      <c r="U3790" t="s">
        <v>11720</v>
      </c>
      <c r="V3790" t="s">
        <v>11720</v>
      </c>
      <c r="W3790" t="s">
        <v>15457</v>
      </c>
      <c r="X3790">
        <v>2</v>
      </c>
      <c r="Y3790" t="s">
        <v>21174</v>
      </c>
      <c r="Z3790" t="s">
        <v>26997</v>
      </c>
      <c r="AA3790">
        <v>0.32331145848251402</v>
      </c>
      <c r="AB3790" t="str">
        <f>HYPERLINK("Melting_Curves/meltCurve_Q6ZNW5_GDPGP1.pdf", "Melting_Curves/meltCurve_Q6ZNW5_GDPGP1.pdf")</f>
        <v>Melting_Curves/meltCurve_Q6ZNW5_GDPGP1.pdf</v>
      </c>
    </row>
    <row r="3791" spans="1:28" x14ac:dyDescent="0.25">
      <c r="A3791" t="s">
        <v>3795</v>
      </c>
      <c r="B3791">
        <v>0.99334974765950101</v>
      </c>
      <c r="C3791">
        <v>1.06079441207577</v>
      </c>
      <c r="D3791">
        <v>0.83912074392194802</v>
      </c>
      <c r="E3791">
        <v>0.90295780556353</v>
      </c>
      <c r="F3791">
        <v>0.224096714169502</v>
      </c>
      <c r="G3791">
        <v>0.188742044652456</v>
      </c>
      <c r="H3791">
        <v>0.12821838767478499</v>
      </c>
      <c r="I3791">
        <v>0.13642495058311099</v>
      </c>
      <c r="J3791">
        <v>0.110431461765417</v>
      </c>
      <c r="K3791">
        <v>0.103950643348504</v>
      </c>
      <c r="L3791">
        <v>3690.3966160363202</v>
      </c>
      <c r="M3791">
        <v>71.753237364600395</v>
      </c>
      <c r="N3791">
        <v>51.654625803185802</v>
      </c>
      <c r="O3791">
        <v>51.391862447551802</v>
      </c>
      <c r="P3791">
        <v>-0.30258640809447301</v>
      </c>
      <c r="Q3791">
        <v>0.133113468276259</v>
      </c>
      <c r="R3791">
        <v>0.97846238876274505</v>
      </c>
      <c r="S3791" t="s">
        <v>9652</v>
      </c>
      <c r="T3791" t="s">
        <v>11720</v>
      </c>
      <c r="U3791" t="s">
        <v>11720</v>
      </c>
      <c r="V3791" t="s">
        <v>11720</v>
      </c>
      <c r="W3791" t="s">
        <v>15458</v>
      </c>
      <c r="X3791">
        <v>5</v>
      </c>
      <c r="Y3791" t="s">
        <v>21175</v>
      </c>
      <c r="Z3791" t="s">
        <v>26998</v>
      </c>
      <c r="AA3791">
        <v>0.46440085474485598</v>
      </c>
      <c r="AB3791" t="str">
        <f>HYPERLINK("Melting_Curves/meltCurve_Q6ZPD9_DPY19L3.pdf", "Melting_Curves/meltCurve_Q6ZPD9_DPY19L3.pdf")</f>
        <v>Melting_Curves/meltCurve_Q6ZPD9_DPY19L3.pdf</v>
      </c>
    </row>
    <row r="3792" spans="1:28" x14ac:dyDescent="0.25">
      <c r="A3792" t="s">
        <v>3796</v>
      </c>
      <c r="B3792">
        <v>0.99334974765950101</v>
      </c>
      <c r="C3792">
        <v>0.95225186281196195</v>
      </c>
      <c r="D3792">
        <v>1.0050144799132401</v>
      </c>
      <c r="E3792">
        <v>0.94930400691101202</v>
      </c>
      <c r="F3792">
        <v>0.910057366160412</v>
      </c>
      <c r="G3792">
        <v>0.37740285160194498</v>
      </c>
      <c r="H3792">
        <v>0.19702255757190501</v>
      </c>
      <c r="I3792">
        <v>0.155326725214988</v>
      </c>
      <c r="J3792">
        <v>0.150748745965924</v>
      </c>
      <c r="K3792">
        <v>0.10870007702252001</v>
      </c>
      <c r="L3792">
        <v>2178.7970203169102</v>
      </c>
      <c r="M3792">
        <v>39.142751951143197</v>
      </c>
      <c r="N3792">
        <v>56.145525460158098</v>
      </c>
      <c r="O3792">
        <v>55.518158449981897</v>
      </c>
      <c r="P3792">
        <v>-0.15107841001925901</v>
      </c>
      <c r="Q3792">
        <v>0.14287314323646799</v>
      </c>
      <c r="R3792">
        <v>0.99578977212117703</v>
      </c>
      <c r="S3792" t="s">
        <v>9653</v>
      </c>
      <c r="T3792" t="s">
        <v>11720</v>
      </c>
      <c r="U3792" t="s">
        <v>11720</v>
      </c>
      <c r="V3792" t="s">
        <v>11720</v>
      </c>
      <c r="W3792" t="s">
        <v>15459</v>
      </c>
      <c r="X3792">
        <v>8</v>
      </c>
      <c r="Y3792" t="s">
        <v>21176</v>
      </c>
      <c r="Z3792" t="s">
        <v>26999</v>
      </c>
      <c r="AA3792">
        <v>0.59379826033105798</v>
      </c>
      <c r="AB3792" t="str">
        <f>HYPERLINK("Melting_Curves/meltCurve_Q6ZRP7_QSOX2.pdf", "Melting_Curves/meltCurve_Q6ZRP7_QSOX2.pdf")</f>
        <v>Melting_Curves/meltCurve_Q6ZRP7_QSOX2.pdf</v>
      </c>
    </row>
    <row r="3793" spans="1:28" x14ac:dyDescent="0.25">
      <c r="A3793" t="s">
        <v>3797</v>
      </c>
      <c r="B3793">
        <v>0.99334974765950101</v>
      </c>
      <c r="C3793">
        <v>0.93132527828072997</v>
      </c>
      <c r="D3793">
        <v>0.84785344575298105</v>
      </c>
      <c r="E3793">
        <v>0.30648133266380501</v>
      </c>
      <c r="F3793">
        <v>0.17558733831947801</v>
      </c>
      <c r="G3793">
        <v>0.11776637551696199</v>
      </c>
      <c r="H3793">
        <v>8.2924647615621405E-2</v>
      </c>
      <c r="I3793">
        <v>7.6898129363387205E-2</v>
      </c>
      <c r="J3793">
        <v>7.6965328426862406E-2</v>
      </c>
      <c r="K3793">
        <v>6.5720091871536795E-2</v>
      </c>
      <c r="L3793">
        <v>1401.5202953944799</v>
      </c>
      <c r="M3793">
        <v>29.0309542850718</v>
      </c>
      <c r="N3793">
        <v>48.583105161680997</v>
      </c>
      <c r="O3793">
        <v>48.049430336492897</v>
      </c>
      <c r="P3793">
        <v>-0.13841466060931201</v>
      </c>
      <c r="Q3793">
        <v>8.3640795295761003E-2</v>
      </c>
      <c r="R3793">
        <v>0.99642711357710401</v>
      </c>
      <c r="S3793" t="s">
        <v>9654</v>
      </c>
      <c r="T3793" t="s">
        <v>11720</v>
      </c>
      <c r="U3793" t="s">
        <v>11720</v>
      </c>
      <c r="V3793" t="s">
        <v>11720</v>
      </c>
      <c r="W3793" t="s">
        <v>15460</v>
      </c>
      <c r="X3793">
        <v>17</v>
      </c>
      <c r="Y3793" t="s">
        <v>21177</v>
      </c>
      <c r="Z3793" t="s">
        <v>27000</v>
      </c>
      <c r="AA3793">
        <v>0.34237780700168519</v>
      </c>
      <c r="AB3793" t="str">
        <f>HYPERLINK("Melting_Curves/meltCurve_Q6ZS17_2_FAM65A.pdf", "Melting_Curves/meltCurve_Q6ZS17_2_FAM65A.pdf")</f>
        <v>Melting_Curves/meltCurve_Q6ZS17_2_FAM65A.pdf</v>
      </c>
    </row>
    <row r="3794" spans="1:28" x14ac:dyDescent="0.25">
      <c r="A3794" t="s">
        <v>3798</v>
      </c>
      <c r="B3794">
        <v>0.99334974765950101</v>
      </c>
      <c r="C3794">
        <v>0.95016495090423203</v>
      </c>
      <c r="D3794">
        <v>0.88704738576155495</v>
      </c>
      <c r="E3794">
        <v>0.70788570679188301</v>
      </c>
      <c r="F3794">
        <v>0.63766400591891403</v>
      </c>
      <c r="G3794">
        <v>0.46074729233228101</v>
      </c>
      <c r="H3794">
        <v>0.32617569786471901</v>
      </c>
      <c r="I3794">
        <v>0.32670268572380601</v>
      </c>
      <c r="J3794">
        <v>0.38698655306185897</v>
      </c>
      <c r="K3794">
        <v>0.33023474864375402</v>
      </c>
      <c r="L3794">
        <v>703.46858925555898</v>
      </c>
      <c r="M3794">
        <v>13.6133137503247</v>
      </c>
      <c r="N3794">
        <v>55.521212013892203</v>
      </c>
      <c r="O3794">
        <v>50.5982190399789</v>
      </c>
      <c r="P3794">
        <v>-4.67350873226028E-2</v>
      </c>
      <c r="Q3794">
        <v>0.30527915865190403</v>
      </c>
      <c r="R3794">
        <v>0.98616585812897395</v>
      </c>
      <c r="S3794" t="s">
        <v>9655</v>
      </c>
      <c r="T3794" t="s">
        <v>11720</v>
      </c>
      <c r="U3794" t="s">
        <v>11720</v>
      </c>
      <c r="V3794" t="s">
        <v>11720</v>
      </c>
      <c r="W3794" t="s">
        <v>15461</v>
      </c>
      <c r="X3794">
        <v>3</v>
      </c>
      <c r="Y3794" t="s">
        <v>21178</v>
      </c>
      <c r="Z3794" t="s">
        <v>27001</v>
      </c>
      <c r="AA3794">
        <v>0.59384243349274302</v>
      </c>
      <c r="AB3794" t="str">
        <f>HYPERLINK("Melting_Curves/meltCurve_Q6ZSJ8_C1orf122.pdf", "Melting_Curves/meltCurve_Q6ZSJ8_C1orf122.pdf")</f>
        <v>Melting_Curves/meltCurve_Q6ZSJ8_C1orf122.pdf</v>
      </c>
    </row>
    <row r="3795" spans="1:28" x14ac:dyDescent="0.25">
      <c r="A3795" t="s">
        <v>3799</v>
      </c>
      <c r="B3795">
        <v>0.99334974765950101</v>
      </c>
      <c r="C3795">
        <v>1.1452327387526999</v>
      </c>
      <c r="D3795">
        <v>1.0266665903497001</v>
      </c>
      <c r="E3795">
        <v>1.0630040658849</v>
      </c>
      <c r="F3795">
        <v>1.5683334116032499</v>
      </c>
      <c r="G3795">
        <v>1.1852932470180499</v>
      </c>
      <c r="H3795">
        <v>1.2331274083332</v>
      </c>
      <c r="I3795">
        <v>1.3713692407723601</v>
      </c>
      <c r="J3795">
        <v>2.39520073423349</v>
      </c>
      <c r="K3795">
        <v>1.7708490362635301</v>
      </c>
      <c r="L3795">
        <v>977.19362645875503</v>
      </c>
      <c r="M3795">
        <v>19.006795991686602</v>
      </c>
      <c r="O3795">
        <v>50.8538757876006</v>
      </c>
      <c r="P3795">
        <v>4.67210020753498E-2</v>
      </c>
      <c r="Q3795">
        <v>1.5</v>
      </c>
      <c r="R3795">
        <v>0.34644741476732899</v>
      </c>
      <c r="S3795" t="s">
        <v>9656</v>
      </c>
      <c r="T3795" t="s">
        <v>11720</v>
      </c>
      <c r="U3795" t="s">
        <v>11720</v>
      </c>
      <c r="V3795" t="s">
        <v>11720</v>
      </c>
      <c r="W3795" t="s">
        <v>15462</v>
      </c>
      <c r="X3795">
        <v>1</v>
      </c>
      <c r="Y3795" t="s">
        <v>21179</v>
      </c>
      <c r="Z3795" t="s">
        <v>27002</v>
      </c>
      <c r="AA3795">
        <v>1.3021781269005961</v>
      </c>
      <c r="AB3795" t="str">
        <f>HYPERLINK("Melting_Curves/meltCurve_Q6ZSS7_MFSD6.pdf", "Melting_Curves/meltCurve_Q6ZSS7_MFSD6.pdf")</f>
        <v>Melting_Curves/meltCurve_Q6ZSS7_MFSD6.pdf</v>
      </c>
    </row>
    <row r="3796" spans="1:28" x14ac:dyDescent="0.25">
      <c r="A3796" t="s">
        <v>3800</v>
      </c>
      <c r="B3796">
        <v>0.99334974765950101</v>
      </c>
      <c r="C3796">
        <v>1.0551659457579601</v>
      </c>
      <c r="D3796">
        <v>0.98676616898232095</v>
      </c>
      <c r="E3796">
        <v>1.1147641970278701</v>
      </c>
      <c r="F3796">
        <v>0.87627570296049995</v>
      </c>
      <c r="G3796">
        <v>0.92698500514434001</v>
      </c>
      <c r="H3796">
        <v>0.75990175479796795</v>
      </c>
      <c r="I3796">
        <v>0.90973022990318797</v>
      </c>
      <c r="J3796">
        <v>0.73767391301327301</v>
      </c>
      <c r="K3796">
        <v>0.66281154204112502</v>
      </c>
      <c r="L3796">
        <v>556.25737864317796</v>
      </c>
      <c r="M3796">
        <v>7.5407718698539901</v>
      </c>
      <c r="O3796">
        <v>69.114100805403396</v>
      </c>
      <c r="P3796">
        <v>-2.2020768392254302E-2</v>
      </c>
      <c r="Q3796">
        <v>0.193820516349928</v>
      </c>
      <c r="R3796">
        <v>0.73366353041262</v>
      </c>
      <c r="S3796" t="s">
        <v>9657</v>
      </c>
      <c r="T3796" t="s">
        <v>11720</v>
      </c>
      <c r="U3796" t="s">
        <v>11720</v>
      </c>
      <c r="V3796" t="s">
        <v>11720</v>
      </c>
      <c r="W3796" t="s">
        <v>15463</v>
      </c>
      <c r="X3796">
        <v>3</v>
      </c>
      <c r="Y3796" t="s">
        <v>21180</v>
      </c>
      <c r="Z3796" t="s">
        <v>27003</v>
      </c>
      <c r="AA3796">
        <v>0.90436691546872428</v>
      </c>
      <c r="AB3796" t="str">
        <f>HYPERLINK("Melting_Curves/meltCurve_Q6ZT21_2_TMPPE.pdf", "Melting_Curves/meltCurve_Q6ZT21_2_TMPPE.pdf")</f>
        <v>Melting_Curves/meltCurve_Q6ZT21_2_TMPPE.pdf</v>
      </c>
    </row>
    <row r="3797" spans="1:28" x14ac:dyDescent="0.25">
      <c r="A3797" t="s">
        <v>3801</v>
      </c>
      <c r="B3797">
        <v>0.99334974765950101</v>
      </c>
      <c r="C3797">
        <v>1.1573968921206399</v>
      </c>
      <c r="D3797">
        <v>0.81219627843376196</v>
      </c>
      <c r="E3797">
        <v>0.32590327426370402</v>
      </c>
      <c r="F3797">
        <v>0.29067037182792999</v>
      </c>
      <c r="G3797">
        <v>0.13177698031393001</v>
      </c>
      <c r="H3797">
        <v>0.15607460928174999</v>
      </c>
      <c r="I3797">
        <v>0.11976788905928901</v>
      </c>
      <c r="J3797">
        <v>0.17902024729052199</v>
      </c>
      <c r="K3797">
        <v>0.15199125658437301</v>
      </c>
      <c r="L3797">
        <v>1565.2001794937</v>
      </c>
      <c r="M3797">
        <v>32.5868490149766</v>
      </c>
      <c r="N3797">
        <v>48.6115521080891</v>
      </c>
      <c r="O3797">
        <v>47.851829608250199</v>
      </c>
      <c r="P3797">
        <v>-0.14283180641059801</v>
      </c>
      <c r="Q3797">
        <v>0.161043830039827</v>
      </c>
      <c r="R3797">
        <v>0.96969728390088605</v>
      </c>
      <c r="S3797" t="s">
        <v>9658</v>
      </c>
      <c r="T3797" t="s">
        <v>11720</v>
      </c>
      <c r="U3797" t="s">
        <v>11720</v>
      </c>
      <c r="V3797" t="s">
        <v>11720</v>
      </c>
      <c r="W3797" t="s">
        <v>15464</v>
      </c>
      <c r="X3797">
        <v>4</v>
      </c>
      <c r="Y3797" t="s">
        <v>21181</v>
      </c>
      <c r="Z3797" t="s">
        <v>27004</v>
      </c>
      <c r="AA3797">
        <v>0.38990353016109203</v>
      </c>
      <c r="AB3797" t="str">
        <f>HYPERLINK("Melting_Curves/meltCurve_Q6ZTN6_3_ANKRD13D.pdf", "Melting_Curves/meltCurve_Q6ZTN6_3_ANKRD13D.pdf")</f>
        <v>Melting_Curves/meltCurve_Q6ZTN6_3_ANKRD13D.pdf</v>
      </c>
    </row>
    <row r="3798" spans="1:28" x14ac:dyDescent="0.25">
      <c r="A3798" t="s">
        <v>3802</v>
      </c>
      <c r="B3798">
        <v>0.99334974765950101</v>
      </c>
      <c r="C3798">
        <v>1.17604300149653</v>
      </c>
      <c r="D3798">
        <v>0.91771738221284205</v>
      </c>
      <c r="E3798">
        <v>0.87498440396876898</v>
      </c>
      <c r="F3798">
        <v>0.96639125774915702</v>
      </c>
      <c r="G3798">
        <v>0.69069995151833097</v>
      </c>
      <c r="H3798">
        <v>0.78846788922328503</v>
      </c>
      <c r="I3798">
        <v>0.819597496702404</v>
      </c>
      <c r="J3798">
        <v>1.1888538445238701</v>
      </c>
      <c r="K3798">
        <v>0.94775488625488802</v>
      </c>
      <c r="L3798">
        <v>11437.265908842801</v>
      </c>
      <c r="M3798">
        <v>250</v>
      </c>
      <c r="O3798">
        <v>45.746136019641497</v>
      </c>
      <c r="P3798">
        <v>-0.141161476925136</v>
      </c>
      <c r="Q3798">
        <v>0.89667852618189003</v>
      </c>
      <c r="R3798">
        <v>0.18199316535913099</v>
      </c>
      <c r="S3798" t="s">
        <v>9659</v>
      </c>
      <c r="T3798" t="s">
        <v>11720</v>
      </c>
      <c r="U3798" t="s">
        <v>11720</v>
      </c>
      <c r="V3798" t="s">
        <v>11720</v>
      </c>
      <c r="W3798" t="s">
        <v>15465</v>
      </c>
      <c r="X3798">
        <v>8</v>
      </c>
      <c r="Y3798" t="s">
        <v>21182</v>
      </c>
      <c r="Z3798" t="s">
        <v>27005</v>
      </c>
      <c r="AA3798">
        <v>0.91648687934484074</v>
      </c>
      <c r="AB3798" t="str">
        <f>HYPERLINK("Melting_Curves/meltCurve_Q6ZUT6_C15orf52.pdf", "Melting_Curves/meltCurve_Q6ZUT6_C15orf52.pdf")</f>
        <v>Melting_Curves/meltCurve_Q6ZUT6_C15orf52.pdf</v>
      </c>
    </row>
    <row r="3799" spans="1:28" x14ac:dyDescent="0.25">
      <c r="A3799" t="s">
        <v>3803</v>
      </c>
      <c r="B3799">
        <v>0.99334974765950101</v>
      </c>
      <c r="C3799">
        <v>1.0875253911464</v>
      </c>
      <c r="D3799">
        <v>0.92565539977269895</v>
      </c>
      <c r="E3799">
        <v>1.0061207142222099</v>
      </c>
      <c r="F3799">
        <v>0.72479296432213902</v>
      </c>
      <c r="G3799">
        <v>0.44905878891294898</v>
      </c>
      <c r="H3799">
        <v>0.59299620793817298</v>
      </c>
      <c r="I3799">
        <v>0.91988215602695</v>
      </c>
      <c r="J3799">
        <v>1.0064543398093799</v>
      </c>
      <c r="K3799">
        <v>0.53354635573747</v>
      </c>
      <c r="L3799">
        <v>13121.5967924733</v>
      </c>
      <c r="M3799">
        <v>250</v>
      </c>
      <c r="O3799">
        <v>52.483053381143797</v>
      </c>
      <c r="P3799">
        <v>-0.35679687342924399</v>
      </c>
      <c r="Q3799">
        <v>0.70038751229224605</v>
      </c>
      <c r="R3799">
        <v>0.45441066309105999</v>
      </c>
      <c r="S3799" t="s">
        <v>9660</v>
      </c>
      <c r="T3799" t="s">
        <v>11720</v>
      </c>
      <c r="U3799" t="s">
        <v>11720</v>
      </c>
      <c r="V3799" t="s">
        <v>11720</v>
      </c>
      <c r="W3799" t="s">
        <v>15466</v>
      </c>
      <c r="X3799">
        <v>2</v>
      </c>
      <c r="Y3799" t="s">
        <v>21183</v>
      </c>
      <c r="Z3799" t="s">
        <v>27006</v>
      </c>
      <c r="AA3799">
        <v>0.82511769451698702</v>
      </c>
      <c r="AB3799" t="str">
        <f>HYPERLINK("Melting_Curves/meltCurve_Q6ZUX7_LHFPL2.pdf", "Melting_Curves/meltCurve_Q6ZUX7_LHFPL2.pdf")</f>
        <v>Melting_Curves/meltCurve_Q6ZUX7_LHFPL2.pdf</v>
      </c>
    </row>
    <row r="3800" spans="1:28" x14ac:dyDescent="0.25">
      <c r="A3800" t="s">
        <v>3804</v>
      </c>
      <c r="B3800">
        <v>0.99334974765950101</v>
      </c>
      <c r="C3800">
        <v>0.98544932370569804</v>
      </c>
      <c r="D3800">
        <v>0.85121591092263105</v>
      </c>
      <c r="E3800">
        <v>0.713916239990111</v>
      </c>
      <c r="F3800">
        <v>0.54584833229653995</v>
      </c>
      <c r="G3800">
        <v>0.31915097285150301</v>
      </c>
      <c r="H3800">
        <v>0.16264796558816599</v>
      </c>
      <c r="I3800">
        <v>0.119404860353635</v>
      </c>
      <c r="J3800">
        <v>0.108953852038706</v>
      </c>
      <c r="K3800">
        <v>7.5869458835873593E-2</v>
      </c>
      <c r="L3800">
        <v>695.51326775409905</v>
      </c>
      <c r="M3800">
        <v>13.065734009755699</v>
      </c>
      <c r="N3800">
        <v>53.492621822573398</v>
      </c>
      <c r="O3800">
        <v>52.031193387969601</v>
      </c>
      <c r="P3800">
        <v>-6.0852077606767203E-2</v>
      </c>
      <c r="Q3800">
        <v>3.0851900730280601E-2</v>
      </c>
      <c r="R3800">
        <v>0.99737860809855405</v>
      </c>
      <c r="S3800" t="s">
        <v>9661</v>
      </c>
      <c r="T3800" t="s">
        <v>11720</v>
      </c>
      <c r="U3800" t="s">
        <v>11720</v>
      </c>
      <c r="V3800" t="s">
        <v>11720</v>
      </c>
      <c r="W3800" t="s">
        <v>15467</v>
      </c>
      <c r="X3800">
        <v>7</v>
      </c>
      <c r="Y3800" t="s">
        <v>21184</v>
      </c>
      <c r="Z3800" t="s">
        <v>27007</v>
      </c>
      <c r="AA3800">
        <v>0.48291220002641788</v>
      </c>
      <c r="AB3800" t="str">
        <f>HYPERLINK("Melting_Curves/meltCurve_Q6ZVK8_NUDT18.pdf", "Melting_Curves/meltCurve_Q6ZVK8_NUDT18.pdf")</f>
        <v>Melting_Curves/meltCurve_Q6ZVK8_NUDT18.pdf</v>
      </c>
    </row>
    <row r="3801" spans="1:28" x14ac:dyDescent="0.25">
      <c r="A3801" t="s">
        <v>3805</v>
      </c>
      <c r="B3801">
        <v>0.99334974765950101</v>
      </c>
      <c r="C3801">
        <v>0.97401352884750503</v>
      </c>
      <c r="D3801">
        <v>0.91341111149735299</v>
      </c>
      <c r="E3801">
        <v>0.66861461509840103</v>
      </c>
      <c r="F3801">
        <v>0.222126774190298</v>
      </c>
      <c r="G3801">
        <v>0.13351188206018499</v>
      </c>
      <c r="H3801">
        <v>8.3522828105538502E-2</v>
      </c>
      <c r="I3801">
        <v>4.29084082873053E-2</v>
      </c>
      <c r="J3801">
        <v>3.4046620487329302E-2</v>
      </c>
      <c r="K3801">
        <v>1.64094418912713E-2</v>
      </c>
      <c r="L3801">
        <v>1498.96297776907</v>
      </c>
      <c r="M3801">
        <v>29.4974312659925</v>
      </c>
      <c r="N3801">
        <v>50.989465485190202</v>
      </c>
      <c r="O3801">
        <v>50.584913659767203</v>
      </c>
      <c r="P3801">
        <v>-0.13885127214715401</v>
      </c>
      <c r="Q3801">
        <v>4.7547252355982401E-2</v>
      </c>
      <c r="R3801">
        <v>0.99390401655155303</v>
      </c>
      <c r="S3801" t="s">
        <v>9662</v>
      </c>
      <c r="T3801" t="s">
        <v>11720</v>
      </c>
      <c r="U3801" t="s">
        <v>11720</v>
      </c>
      <c r="V3801" t="s">
        <v>11720</v>
      </c>
      <c r="W3801" t="s">
        <v>15468</v>
      </c>
      <c r="X3801">
        <v>15</v>
      </c>
      <c r="Y3801" t="s">
        <v>21185</v>
      </c>
      <c r="Z3801" t="s">
        <v>27008</v>
      </c>
      <c r="AA3801">
        <v>0.39713762826051568</v>
      </c>
      <c r="AB3801" t="str">
        <f>HYPERLINK("Melting_Curves/meltCurve_Q6ZVM7_TOM1L2.pdf", "Melting_Curves/meltCurve_Q6ZVM7_TOM1L2.pdf")</f>
        <v>Melting_Curves/meltCurve_Q6ZVM7_TOM1L2.pdf</v>
      </c>
    </row>
    <row r="3802" spans="1:28" x14ac:dyDescent="0.25">
      <c r="A3802" t="s">
        <v>3806</v>
      </c>
      <c r="B3802">
        <v>0.99334974765950101</v>
      </c>
      <c r="C3802">
        <v>0.79301097192474101</v>
      </c>
      <c r="D3802">
        <v>0.89368021792645802</v>
      </c>
      <c r="E3802">
        <v>0.78621904987116598</v>
      </c>
      <c r="F3802">
        <v>1.1637866430293</v>
      </c>
      <c r="G3802">
        <v>0.57375715151461903</v>
      </c>
      <c r="H3802">
        <v>0</v>
      </c>
      <c r="I3802">
        <v>0</v>
      </c>
      <c r="J3802">
        <v>0</v>
      </c>
      <c r="K3802">
        <v>0</v>
      </c>
      <c r="L3802">
        <v>14266.9402283613</v>
      </c>
      <c r="M3802">
        <v>250</v>
      </c>
      <c r="N3802">
        <v>57.067761337956803</v>
      </c>
      <c r="O3802">
        <v>57.064108858872203</v>
      </c>
      <c r="P3802">
        <v>-1.09525937086387</v>
      </c>
      <c r="Q3802">
        <v>0</v>
      </c>
      <c r="R3802">
        <v>0.93689366188551204</v>
      </c>
      <c r="S3802" t="s">
        <v>9663</v>
      </c>
      <c r="T3802" t="s">
        <v>11720</v>
      </c>
      <c r="U3802" t="s">
        <v>11720</v>
      </c>
      <c r="V3802" t="s">
        <v>11720</v>
      </c>
      <c r="W3802" t="s">
        <v>15469</v>
      </c>
      <c r="X3802">
        <v>3</v>
      </c>
      <c r="Y3802" t="s">
        <v>21186</v>
      </c>
      <c r="Z3802" t="s">
        <v>27009</v>
      </c>
      <c r="AA3802">
        <v>0.5690255168137387</v>
      </c>
      <c r="AB3802" t="str">
        <f>HYPERLINK("Melting_Curves/meltCurve_Q6ZWT7_MBOAT2.pdf", "Melting_Curves/meltCurve_Q6ZWT7_MBOAT2.pdf")</f>
        <v>Melting_Curves/meltCurve_Q6ZWT7_MBOAT2.pdf</v>
      </c>
    </row>
    <row r="3803" spans="1:28" x14ac:dyDescent="0.25">
      <c r="A3803" t="s">
        <v>3807</v>
      </c>
      <c r="B3803">
        <v>0.99334974765950101</v>
      </c>
      <c r="C3803">
        <v>0.93917191641807396</v>
      </c>
      <c r="D3803">
        <v>0.86498177061283599</v>
      </c>
      <c r="E3803">
        <v>0.70260932537872101</v>
      </c>
      <c r="F3803">
        <v>0.28425889408756</v>
      </c>
      <c r="G3803">
        <v>0.12900452399166701</v>
      </c>
      <c r="H3803">
        <v>8.5210508228843199E-2</v>
      </c>
      <c r="I3803">
        <v>6.4573642606758894E-2</v>
      </c>
      <c r="J3803">
        <v>6.5090577164506405E-2</v>
      </c>
      <c r="K3803">
        <v>5.18598022277287E-2</v>
      </c>
      <c r="L3803">
        <v>1222.22345410306</v>
      </c>
      <c r="M3803">
        <v>23.9503416789223</v>
      </c>
      <c r="N3803">
        <v>51.284467538482801</v>
      </c>
      <c r="O3803">
        <v>50.679809593362698</v>
      </c>
      <c r="P3803">
        <v>-0.111566571524933</v>
      </c>
      <c r="Q3803">
        <v>5.5699423322126101E-2</v>
      </c>
      <c r="R3803">
        <v>0.99077328364694695</v>
      </c>
      <c r="S3803" t="s">
        <v>9664</v>
      </c>
      <c r="T3803" t="s">
        <v>11720</v>
      </c>
      <c r="U3803" t="s">
        <v>11720</v>
      </c>
      <c r="V3803" t="s">
        <v>11720</v>
      </c>
      <c r="W3803" t="s">
        <v>15470</v>
      </c>
      <c r="X3803">
        <v>10</v>
      </c>
      <c r="Y3803" t="s">
        <v>21187</v>
      </c>
      <c r="Z3803" t="s">
        <v>27010</v>
      </c>
      <c r="AA3803">
        <v>0.41221856428662612</v>
      </c>
      <c r="AB3803" t="str">
        <f>HYPERLINK("Melting_Curves/meltCurve_Q6ZXV5_2_TMTC3.pdf", "Melting_Curves/meltCurve_Q6ZXV5_2_TMTC3.pdf")</f>
        <v>Melting_Curves/meltCurve_Q6ZXV5_2_TMTC3.pdf</v>
      </c>
    </row>
    <row r="3804" spans="1:28" x14ac:dyDescent="0.25">
      <c r="A3804" t="s">
        <v>3808</v>
      </c>
      <c r="B3804">
        <v>0.99334974765950101</v>
      </c>
      <c r="C3804">
        <v>1.0413119438223699</v>
      </c>
      <c r="D3804">
        <v>1.0084697225250701</v>
      </c>
      <c r="E3804">
        <v>0.81331086324982904</v>
      </c>
      <c r="F3804">
        <v>1.18556566654232</v>
      </c>
      <c r="G3804">
        <v>0.932098425695291</v>
      </c>
      <c r="H3804">
        <v>1.20484332401149</v>
      </c>
      <c r="I3804">
        <v>1.5595774181372299</v>
      </c>
      <c r="J3804">
        <v>1.2138680645790201</v>
      </c>
      <c r="K3804">
        <v>1.1198940727789799</v>
      </c>
      <c r="L3804">
        <v>15000</v>
      </c>
      <c r="M3804">
        <v>246.69206584995101</v>
      </c>
      <c r="O3804">
        <v>60.800573524570602</v>
      </c>
      <c r="P3804">
        <v>0.30205165802098699</v>
      </c>
      <c r="Q3804">
        <v>1.2977786575313499</v>
      </c>
      <c r="R3804">
        <v>0.51337209407460405</v>
      </c>
      <c r="S3804" t="s">
        <v>9665</v>
      </c>
      <c r="T3804" t="s">
        <v>11720</v>
      </c>
      <c r="U3804" t="s">
        <v>11720</v>
      </c>
      <c r="V3804" t="s">
        <v>11720</v>
      </c>
      <c r="W3804" t="s">
        <v>15471</v>
      </c>
      <c r="X3804">
        <v>2</v>
      </c>
      <c r="Y3804" t="s">
        <v>21188</v>
      </c>
      <c r="Z3804" t="s">
        <v>27011</v>
      </c>
      <c r="AA3804">
        <v>1.091240992964043</v>
      </c>
      <c r="AB3804" t="str">
        <f>HYPERLINK("Melting_Curves/meltCurve_Q6ZYL4_GTF2H5.pdf", "Melting_Curves/meltCurve_Q6ZYL4_GTF2H5.pdf")</f>
        <v>Melting_Curves/meltCurve_Q6ZYL4_GTF2H5.pdf</v>
      </c>
    </row>
    <row r="3805" spans="1:28" x14ac:dyDescent="0.25">
      <c r="A3805" t="s">
        <v>3809</v>
      </c>
      <c r="B3805">
        <v>0.99334974765950101</v>
      </c>
      <c r="C3805">
        <v>0.99431566270232297</v>
      </c>
      <c r="D3805">
        <v>0.74021073440723295</v>
      </c>
      <c r="E3805">
        <v>0.74978256274643496</v>
      </c>
      <c r="F3805">
        <v>0.44405753407353998</v>
      </c>
      <c r="G3805">
        <v>0.213665224660091</v>
      </c>
      <c r="H3805">
        <v>0.162963301391016</v>
      </c>
      <c r="I3805">
        <v>0.105479539199791</v>
      </c>
      <c r="J3805">
        <v>0.10051726501220699</v>
      </c>
      <c r="K3805">
        <v>0.11378088645324801</v>
      </c>
      <c r="L3805">
        <v>743.49401603916704</v>
      </c>
      <c r="M3805">
        <v>14.3586438512976</v>
      </c>
      <c r="N3805">
        <v>52.269417355888898</v>
      </c>
      <c r="O3805">
        <v>50.806949672575499</v>
      </c>
      <c r="P3805">
        <v>-6.6218881049194905E-2</v>
      </c>
      <c r="Q3805">
        <v>6.28707769454529E-2</v>
      </c>
      <c r="R3805">
        <v>0.97490154209147495</v>
      </c>
      <c r="S3805" t="s">
        <v>9666</v>
      </c>
      <c r="T3805" t="s">
        <v>11720</v>
      </c>
      <c r="U3805" t="s">
        <v>11720</v>
      </c>
      <c r="V3805" t="s">
        <v>11720</v>
      </c>
      <c r="W3805" t="s">
        <v>15472</v>
      </c>
      <c r="X3805">
        <v>4</v>
      </c>
      <c r="Y3805" t="s">
        <v>21189</v>
      </c>
      <c r="Z3805" t="s">
        <v>27012</v>
      </c>
      <c r="AA3805">
        <v>0.45343102176104028</v>
      </c>
      <c r="AB3805" t="str">
        <f>HYPERLINK("Melting_Curves/meltCurve_Q709C8_3_VPS13C.pdf", "Melting_Curves/meltCurve_Q709C8_3_VPS13C.pdf")</f>
        <v>Melting_Curves/meltCurve_Q709C8_3_VPS13C.pdf</v>
      </c>
    </row>
    <row r="3806" spans="1:28" x14ac:dyDescent="0.25">
      <c r="A3806" t="s">
        <v>3810</v>
      </c>
      <c r="B3806">
        <v>0.99334974765950101</v>
      </c>
      <c r="C3806">
        <v>1.08271513003158</v>
      </c>
      <c r="D3806">
        <v>1.3020524688459201</v>
      </c>
      <c r="E3806">
        <v>1.27400045285384</v>
      </c>
      <c r="F3806">
        <v>0.65086865503399405</v>
      </c>
      <c r="G3806">
        <v>0.41570275005371599</v>
      </c>
      <c r="H3806">
        <v>0.24336729468013901</v>
      </c>
      <c r="I3806">
        <v>0.22308761783686501</v>
      </c>
      <c r="J3806">
        <v>0.25166703074778601</v>
      </c>
      <c r="K3806">
        <v>0.34110596037072299</v>
      </c>
      <c r="L3806">
        <v>13251.015193465</v>
      </c>
      <c r="M3806">
        <v>250</v>
      </c>
      <c r="N3806">
        <v>53.193779266248299</v>
      </c>
      <c r="O3806">
        <v>53.000668748233601</v>
      </c>
      <c r="P3806">
        <v>-0.83137381590061099</v>
      </c>
      <c r="Q3806">
        <v>0.29498610770587003</v>
      </c>
      <c r="R3806">
        <v>0.88713408980374597</v>
      </c>
      <c r="S3806" t="s">
        <v>9667</v>
      </c>
      <c r="T3806" t="s">
        <v>11720</v>
      </c>
      <c r="U3806" t="s">
        <v>11720</v>
      </c>
      <c r="V3806" t="s">
        <v>11720</v>
      </c>
      <c r="W3806" t="s">
        <v>15473</v>
      </c>
      <c r="X3806">
        <v>2</v>
      </c>
      <c r="Y3806" t="s">
        <v>21190</v>
      </c>
      <c r="Z3806" t="s">
        <v>27013</v>
      </c>
      <c r="AA3806">
        <v>0.60065313907615259</v>
      </c>
      <c r="AB3806" t="str">
        <f>HYPERLINK("Melting_Curves/meltCurve_Q709F0_ACAD11.pdf", "Melting_Curves/meltCurve_Q709F0_ACAD11.pdf")</f>
        <v>Melting_Curves/meltCurve_Q709F0_ACAD11.pdf</v>
      </c>
    </row>
    <row r="3807" spans="1:28" x14ac:dyDescent="0.25">
      <c r="A3807" t="s">
        <v>3811</v>
      </c>
      <c r="B3807">
        <v>0.99334974765950101</v>
      </c>
      <c r="C3807">
        <v>0.92773580770405495</v>
      </c>
      <c r="D3807">
        <v>0.838214139727814</v>
      </c>
      <c r="E3807">
        <v>0.74634295329797395</v>
      </c>
      <c r="F3807">
        <v>0.88893785232026601</v>
      </c>
      <c r="G3807">
        <v>0.36337606645278903</v>
      </c>
      <c r="H3807">
        <v>0.45641434750152399</v>
      </c>
      <c r="I3807">
        <v>0.333232336248167</v>
      </c>
      <c r="J3807">
        <v>0.307245667567493</v>
      </c>
      <c r="K3807">
        <v>0.30370355211813299</v>
      </c>
      <c r="L3807">
        <v>556.81878086967595</v>
      </c>
      <c r="M3807">
        <v>10.094203903055</v>
      </c>
      <c r="N3807">
        <v>57.967556902079899</v>
      </c>
      <c r="O3807">
        <v>53.1285303804382</v>
      </c>
      <c r="P3807">
        <v>-3.8338760835475598E-2</v>
      </c>
      <c r="Q3807">
        <v>0.193229427937051</v>
      </c>
      <c r="R3807">
        <v>0.88879150190242695</v>
      </c>
      <c r="S3807" t="s">
        <v>9668</v>
      </c>
      <c r="T3807" t="s">
        <v>11720</v>
      </c>
      <c r="U3807" t="s">
        <v>11720</v>
      </c>
      <c r="V3807" t="s">
        <v>11720</v>
      </c>
      <c r="W3807" t="s">
        <v>15474</v>
      </c>
      <c r="X3807">
        <v>21</v>
      </c>
      <c r="Y3807" t="s">
        <v>17847</v>
      </c>
      <c r="Z3807" t="s">
        <v>27014</v>
      </c>
      <c r="AA3807">
        <v>0.6211857840467635</v>
      </c>
      <c r="AB3807" t="str">
        <f>HYPERLINK("Melting_Curves/meltCurve_Q70E73_7_RAPH1.pdf", "Melting_Curves/meltCurve_Q70E73_7_RAPH1.pdf")</f>
        <v>Melting_Curves/meltCurve_Q70E73_7_RAPH1.pdf</v>
      </c>
    </row>
    <row r="3808" spans="1:28" x14ac:dyDescent="0.25">
      <c r="A3808" t="s">
        <v>3812</v>
      </c>
      <c r="B3808">
        <v>0.99334974765950101</v>
      </c>
      <c r="C3808">
        <v>0.97399511237806602</v>
      </c>
      <c r="D3808">
        <v>0.82875962026657901</v>
      </c>
      <c r="E3808">
        <v>0.22690238785453601</v>
      </c>
      <c r="F3808">
        <v>6.6669257616156205E-2</v>
      </c>
      <c r="G3808">
        <v>5.7999845053225099E-2</v>
      </c>
      <c r="H3808">
        <v>3.63301203587518E-2</v>
      </c>
      <c r="I3808">
        <v>3.5987895434134401E-2</v>
      </c>
      <c r="J3808">
        <v>3.8253481009897602E-2</v>
      </c>
      <c r="K3808">
        <v>3.0726912795113401E-2</v>
      </c>
      <c r="L3808">
        <v>1680.84460667487</v>
      </c>
      <c r="M3808">
        <v>35.024959155247302</v>
      </c>
      <c r="N3808">
        <v>48.098343074319999</v>
      </c>
      <c r="O3808">
        <v>47.834275754122899</v>
      </c>
      <c r="P3808">
        <v>-0.176105062199857</v>
      </c>
      <c r="Q3808">
        <v>3.79627921854538E-2</v>
      </c>
      <c r="R3808">
        <v>0.99967903244608802</v>
      </c>
      <c r="S3808" t="s">
        <v>9669</v>
      </c>
      <c r="T3808" t="s">
        <v>11720</v>
      </c>
      <c r="U3808" t="s">
        <v>11720</v>
      </c>
      <c r="V3808" t="s">
        <v>11720</v>
      </c>
      <c r="W3808" t="s">
        <v>15475</v>
      </c>
      <c r="X3808">
        <v>4</v>
      </c>
      <c r="Y3808" t="s">
        <v>21191</v>
      </c>
      <c r="Z3808" t="s">
        <v>27015</v>
      </c>
      <c r="AA3808">
        <v>0.2983822679940149</v>
      </c>
      <c r="AB3808" t="str">
        <f>HYPERLINK("Melting_Curves/meltCurve_Q70IA6_MOB2.pdf", "Melting_Curves/meltCurve_Q70IA6_MOB2.pdf")</f>
        <v>Melting_Curves/meltCurve_Q70IA6_MOB2.pdf</v>
      </c>
    </row>
    <row r="3809" spans="1:28" x14ac:dyDescent="0.25">
      <c r="A3809" t="s">
        <v>3813</v>
      </c>
      <c r="B3809">
        <v>0.99334974765950101</v>
      </c>
      <c r="C3809">
        <v>0.96745002659244295</v>
      </c>
      <c r="D3809">
        <v>0.91523220610746203</v>
      </c>
      <c r="E3809">
        <v>0.88136850935942201</v>
      </c>
      <c r="F3809">
        <v>0.61577407393226202</v>
      </c>
      <c r="G3809">
        <v>0.32605742651044001</v>
      </c>
      <c r="H3809">
        <v>0.161087111815165</v>
      </c>
      <c r="I3809">
        <v>8.8858140515902198E-2</v>
      </c>
      <c r="J3809">
        <v>6.2140952127082899E-2</v>
      </c>
      <c r="K3809">
        <v>5.0120663059837402E-2</v>
      </c>
      <c r="L3809">
        <v>990.88257594255003</v>
      </c>
      <c r="M3809">
        <v>18.203947939788101</v>
      </c>
      <c r="N3809">
        <v>54.636582332777401</v>
      </c>
      <c r="O3809">
        <v>53.788178806624003</v>
      </c>
      <c r="P3809">
        <v>-8.1829573504025394E-2</v>
      </c>
      <c r="Q3809">
        <v>3.2900771248840999E-2</v>
      </c>
      <c r="R3809">
        <v>0.99634145985840405</v>
      </c>
      <c r="S3809" t="s">
        <v>9670</v>
      </c>
      <c r="T3809" t="s">
        <v>11720</v>
      </c>
      <c r="U3809" t="s">
        <v>11720</v>
      </c>
      <c r="V3809" t="s">
        <v>11720</v>
      </c>
      <c r="W3809" t="s">
        <v>15476</v>
      </c>
      <c r="X3809">
        <v>23</v>
      </c>
      <c r="Y3809" t="s">
        <v>21192</v>
      </c>
      <c r="Z3809" t="s">
        <v>27016</v>
      </c>
      <c r="AA3809">
        <v>0.51317755486338235</v>
      </c>
      <c r="AB3809" t="str">
        <f>HYPERLINK("Melting_Curves/meltCurve_Q70UQ0_IKBIP.pdf", "Melting_Curves/meltCurve_Q70UQ0_IKBIP.pdf")</f>
        <v>Melting_Curves/meltCurve_Q70UQ0_IKBIP.pdf</v>
      </c>
    </row>
    <row r="3810" spans="1:28" x14ac:dyDescent="0.25">
      <c r="A3810" t="s">
        <v>3814</v>
      </c>
      <c r="B3810">
        <v>0.99334974765950101</v>
      </c>
      <c r="C3810">
        <v>0.96613938893590601</v>
      </c>
      <c r="D3810">
        <v>0.94529182710337301</v>
      </c>
      <c r="E3810">
        <v>0.94009048314773203</v>
      </c>
      <c r="F3810">
        <v>0.85546540752340805</v>
      </c>
      <c r="G3810">
        <v>0.52640356401828103</v>
      </c>
      <c r="H3810">
        <v>0.31106828785261997</v>
      </c>
      <c r="I3810">
        <v>0.25083694847999</v>
      </c>
      <c r="J3810">
        <v>0.23138780233939399</v>
      </c>
      <c r="K3810">
        <v>0.225732724900019</v>
      </c>
      <c r="L3810">
        <v>1336.8897508318501</v>
      </c>
      <c r="M3810">
        <v>23.8553680756422</v>
      </c>
      <c r="N3810">
        <v>57.393258182883201</v>
      </c>
      <c r="O3810">
        <v>55.6521070505176</v>
      </c>
      <c r="P3810">
        <v>-8.413176100151E-2</v>
      </c>
      <c r="Q3810">
        <v>0.21492991859923899</v>
      </c>
      <c r="R3810">
        <v>0.99598980663289605</v>
      </c>
      <c r="S3810" t="s">
        <v>9671</v>
      </c>
      <c r="T3810" t="s">
        <v>11720</v>
      </c>
      <c r="U3810" t="s">
        <v>11720</v>
      </c>
      <c r="V3810" t="s">
        <v>11720</v>
      </c>
      <c r="W3810" t="s">
        <v>15477</v>
      </c>
      <c r="X3810">
        <v>26</v>
      </c>
      <c r="Y3810" t="s">
        <v>21192</v>
      </c>
      <c r="Z3810" t="s">
        <v>27017</v>
      </c>
      <c r="AA3810">
        <v>0.64249360427026236</v>
      </c>
      <c r="AB3810" t="str">
        <f>HYPERLINK("Melting_Curves/meltCurve_Q70UQ0_4_IKBIP.pdf", "Melting_Curves/meltCurve_Q70UQ0_4_IKBIP.pdf")</f>
        <v>Melting_Curves/meltCurve_Q70UQ0_4_IKBIP.pdf</v>
      </c>
    </row>
    <row r="3811" spans="1:28" x14ac:dyDescent="0.25">
      <c r="A3811" t="s">
        <v>3815</v>
      </c>
      <c r="B3811">
        <v>0.99334974765950101</v>
      </c>
      <c r="C3811">
        <v>1.0276488836272</v>
      </c>
      <c r="D3811">
        <v>0.95621094734132395</v>
      </c>
      <c r="E3811">
        <v>0.72441206845185302</v>
      </c>
      <c r="F3811">
        <v>0.48250880018209302</v>
      </c>
      <c r="G3811">
        <v>0.30875146380470297</v>
      </c>
      <c r="H3811">
        <v>0.19048654446305499</v>
      </c>
      <c r="I3811">
        <v>0.14301945043261</v>
      </c>
      <c r="J3811">
        <v>0.123528907393266</v>
      </c>
      <c r="K3811">
        <v>7.0839682239520599E-2</v>
      </c>
      <c r="L3811">
        <v>901.64431527311103</v>
      </c>
      <c r="M3811">
        <v>17.170103123165099</v>
      </c>
      <c r="N3811">
        <v>53.171710949213697</v>
      </c>
      <c r="O3811">
        <v>51.815677182465301</v>
      </c>
      <c r="P3811">
        <v>-7.4904163226495096E-2</v>
      </c>
      <c r="Q3811">
        <v>9.5875172077616796E-2</v>
      </c>
      <c r="R3811">
        <v>0.99521942901807203</v>
      </c>
      <c r="S3811" t="s">
        <v>9672</v>
      </c>
      <c r="T3811" t="s">
        <v>11720</v>
      </c>
      <c r="U3811" t="s">
        <v>11720</v>
      </c>
      <c r="V3811" t="s">
        <v>11720</v>
      </c>
      <c r="W3811" t="s">
        <v>15478</v>
      </c>
      <c r="X3811">
        <v>6</v>
      </c>
      <c r="Y3811" t="s">
        <v>21193</v>
      </c>
      <c r="Z3811" t="s">
        <v>27018</v>
      </c>
      <c r="AA3811">
        <v>0.48909446687788921</v>
      </c>
      <c r="AB3811" t="str">
        <f>HYPERLINK("Melting_Curves/meltCurve_Q712K3_UBE2R2.pdf", "Melting_Curves/meltCurve_Q712K3_UBE2R2.pdf")</f>
        <v>Melting_Curves/meltCurve_Q712K3_UBE2R2.pdf</v>
      </c>
    </row>
    <row r="3812" spans="1:28" x14ac:dyDescent="0.25">
      <c r="A3812" t="s">
        <v>3816</v>
      </c>
      <c r="B3812">
        <v>0.99334974765950101</v>
      </c>
      <c r="C3812">
        <v>0.96129470895968006</v>
      </c>
      <c r="D3812">
        <v>0.80850716297140701</v>
      </c>
      <c r="E3812">
        <v>0.55018965106970896</v>
      </c>
      <c r="F3812">
        <v>0.47716535763475998</v>
      </c>
      <c r="G3812">
        <v>0.397898944473075</v>
      </c>
      <c r="H3812">
        <v>0.31983352384496</v>
      </c>
      <c r="I3812">
        <v>0.27635534498676201</v>
      </c>
      <c r="J3812">
        <v>0.25846466988128303</v>
      </c>
      <c r="K3812">
        <v>0.20843980681934801</v>
      </c>
      <c r="L3812">
        <v>668.06656017843795</v>
      </c>
      <c r="M3812">
        <v>13.4396394192184</v>
      </c>
      <c r="N3812">
        <v>52.214514908756797</v>
      </c>
      <c r="O3812">
        <v>48.646822535313703</v>
      </c>
      <c r="P3812">
        <v>-5.2660570513083101E-2</v>
      </c>
      <c r="Q3812">
        <v>0.23766646883540499</v>
      </c>
      <c r="R3812">
        <v>0.98762211633743402</v>
      </c>
      <c r="S3812" t="s">
        <v>9673</v>
      </c>
      <c r="T3812" t="s">
        <v>11720</v>
      </c>
      <c r="U3812" t="s">
        <v>11720</v>
      </c>
      <c r="V3812" t="s">
        <v>11720</v>
      </c>
      <c r="W3812" t="s">
        <v>15479</v>
      </c>
      <c r="X3812">
        <v>4</v>
      </c>
      <c r="Y3812" t="s">
        <v>21194</v>
      </c>
      <c r="Z3812" t="s">
        <v>27019</v>
      </c>
      <c r="AA3812">
        <v>0.50663532281253298</v>
      </c>
      <c r="AB3812" t="str">
        <f>HYPERLINK("Melting_Curves/meltCurve_Q71RC2_6_LARP4.pdf", "Melting_Curves/meltCurve_Q71RC2_6_LARP4.pdf")</f>
        <v>Melting_Curves/meltCurve_Q71RC2_6_LARP4.pdf</v>
      </c>
    </row>
    <row r="3813" spans="1:28" x14ac:dyDescent="0.25">
      <c r="A3813" t="s">
        <v>3817</v>
      </c>
      <c r="B3813">
        <v>0.99334974765950101</v>
      </c>
      <c r="C3813">
        <v>1.4501655331476599</v>
      </c>
      <c r="D3813">
        <v>1.4464466895982799</v>
      </c>
      <c r="E3813">
        <v>1.66254403146805</v>
      </c>
      <c r="F3813">
        <v>0.76959191507643798</v>
      </c>
      <c r="G3813">
        <v>0.56984092746930803</v>
      </c>
      <c r="H3813">
        <v>0.18969647952499799</v>
      </c>
      <c r="I3813">
        <v>4.8434953576267703E-2</v>
      </c>
      <c r="J3813">
        <v>3.4701913298605003E-2</v>
      </c>
      <c r="K3813">
        <v>3.9742821017172497E-2</v>
      </c>
      <c r="L3813">
        <v>1811.83740037141</v>
      </c>
      <c r="M3813">
        <v>31.588831353137198</v>
      </c>
      <c r="N3813">
        <v>57.480686087314801</v>
      </c>
      <c r="O3813">
        <v>57.128501601596597</v>
      </c>
      <c r="P3813">
        <v>-0.13369098262864901</v>
      </c>
      <c r="Q3813">
        <v>3.2882858671708398E-2</v>
      </c>
      <c r="R3813">
        <v>0.76258969369806795</v>
      </c>
      <c r="S3813" t="s">
        <v>9674</v>
      </c>
      <c r="T3813" t="s">
        <v>11720</v>
      </c>
      <c r="U3813" t="s">
        <v>11720</v>
      </c>
      <c r="V3813" t="s">
        <v>11720</v>
      </c>
      <c r="W3813" t="s">
        <v>15480</v>
      </c>
      <c r="X3813">
        <v>38</v>
      </c>
      <c r="Y3813" t="s">
        <v>21195</v>
      </c>
      <c r="Z3813" t="s">
        <v>27020</v>
      </c>
      <c r="AA3813">
        <v>0.59828957427874707</v>
      </c>
      <c r="AB3813" t="str">
        <f>HYPERLINK("Melting_Curves/meltCurve_Q71U36_2_TUBA1A.pdf", "Melting_Curves/meltCurve_Q71U36_2_TUBA1A.pdf")</f>
        <v>Melting_Curves/meltCurve_Q71U36_2_TUBA1A.pdf</v>
      </c>
    </row>
    <row r="3814" spans="1:28" x14ac:dyDescent="0.25">
      <c r="A3814" t="s">
        <v>3818</v>
      </c>
      <c r="B3814">
        <v>0.99334974765950101</v>
      </c>
      <c r="C3814">
        <v>1.0129629999411001</v>
      </c>
      <c r="D3814">
        <v>0.93980697207576103</v>
      </c>
      <c r="E3814">
        <v>0.91781512578489499</v>
      </c>
      <c r="F3814">
        <v>0.69453362677637198</v>
      </c>
      <c r="G3814">
        <v>0.41831358823753501</v>
      </c>
      <c r="H3814">
        <v>0.31222029696216802</v>
      </c>
      <c r="I3814">
        <v>0.32091289188655697</v>
      </c>
      <c r="J3814">
        <v>0.29996705335713097</v>
      </c>
      <c r="K3814">
        <v>0.230851847371328</v>
      </c>
      <c r="L3814">
        <v>1279.51717972388</v>
      </c>
      <c r="M3814">
        <v>23.787208533043302</v>
      </c>
      <c r="N3814">
        <v>55.636900329452097</v>
      </c>
      <c r="O3814">
        <v>53.414297300162303</v>
      </c>
      <c r="P3814">
        <v>-8.0942967163565596E-2</v>
      </c>
      <c r="Q3814">
        <v>0.27298049300962002</v>
      </c>
      <c r="R3814">
        <v>0.99331826778072796</v>
      </c>
      <c r="S3814" t="s">
        <v>9675</v>
      </c>
      <c r="T3814" t="s">
        <v>11720</v>
      </c>
      <c r="U3814" t="s">
        <v>11720</v>
      </c>
      <c r="V3814" t="s">
        <v>11720</v>
      </c>
      <c r="W3814" t="s">
        <v>15481</v>
      </c>
      <c r="X3814">
        <v>7</v>
      </c>
      <c r="Y3814" t="s">
        <v>21196</v>
      </c>
      <c r="Z3814" t="s">
        <v>27021</v>
      </c>
      <c r="AA3814">
        <v>0.61452859724060238</v>
      </c>
      <c r="AB3814" t="str">
        <f>HYPERLINK("Melting_Curves/meltCurve_Q765P7_MTSS1L.pdf", "Melting_Curves/meltCurve_Q765P7_MTSS1L.pdf")</f>
        <v>Melting_Curves/meltCurve_Q765P7_MTSS1L.pdf</v>
      </c>
    </row>
    <row r="3815" spans="1:28" x14ac:dyDescent="0.25">
      <c r="A3815" t="s">
        <v>3819</v>
      </c>
      <c r="B3815">
        <v>0.99334974765950101</v>
      </c>
      <c r="C3815">
        <v>0.95855263181912398</v>
      </c>
      <c r="D3815">
        <v>0.87458310921076599</v>
      </c>
      <c r="E3815">
        <v>0.66647430504058303</v>
      </c>
      <c r="F3815">
        <v>0.46718567368659702</v>
      </c>
      <c r="G3815">
        <v>0.29795110572983702</v>
      </c>
      <c r="H3815">
        <v>0.219546730560849</v>
      </c>
      <c r="I3815">
        <v>0.21163795819317399</v>
      </c>
      <c r="J3815">
        <v>0.18438210508883601</v>
      </c>
      <c r="K3815">
        <v>0.15400541234624501</v>
      </c>
      <c r="L3815">
        <v>798.76121817063904</v>
      </c>
      <c r="M3815">
        <v>15.589468268757001</v>
      </c>
      <c r="N3815">
        <v>52.5144949578035</v>
      </c>
      <c r="O3815">
        <v>50.416357637002001</v>
      </c>
      <c r="P3815">
        <v>-6.5111940802340798E-2</v>
      </c>
      <c r="Q3815">
        <v>0.15778481198432401</v>
      </c>
      <c r="R3815">
        <v>0.99927650528390799</v>
      </c>
      <c r="S3815" t="s">
        <v>9676</v>
      </c>
      <c r="T3815" t="s">
        <v>11720</v>
      </c>
      <c r="U3815" t="s">
        <v>11720</v>
      </c>
      <c r="V3815" t="s">
        <v>11720</v>
      </c>
      <c r="W3815" t="s">
        <v>15482</v>
      </c>
      <c r="X3815">
        <v>7</v>
      </c>
      <c r="Y3815" t="s">
        <v>21197</v>
      </c>
      <c r="Z3815" t="s">
        <v>27022</v>
      </c>
      <c r="AA3815">
        <v>0.49138518599774372</v>
      </c>
      <c r="AB3815" t="str">
        <f>HYPERLINK("Melting_Curves/meltCurve_Q76M96_CCDC80.pdf", "Melting_Curves/meltCurve_Q76M96_CCDC80.pdf")</f>
        <v>Melting_Curves/meltCurve_Q76M96_CCDC80.pdf</v>
      </c>
    </row>
    <row r="3816" spans="1:28" x14ac:dyDescent="0.25">
      <c r="A3816" t="s">
        <v>3820</v>
      </c>
      <c r="B3816">
        <v>0.99334974765950101</v>
      </c>
      <c r="C3816">
        <v>0.91705223063579699</v>
      </c>
      <c r="D3816">
        <v>0.84229611810012806</v>
      </c>
      <c r="E3816">
        <v>0.93743304511671699</v>
      </c>
      <c r="F3816">
        <v>0.67307021461255601</v>
      </c>
      <c r="G3816">
        <v>0.27430641823232799</v>
      </c>
      <c r="H3816">
        <v>0.16145221064095999</v>
      </c>
      <c r="I3816">
        <v>0.151012034076181</v>
      </c>
      <c r="J3816">
        <v>0.141305363109996</v>
      </c>
      <c r="K3816">
        <v>0.103754993015064</v>
      </c>
      <c r="L3816">
        <v>1512.3153515373399</v>
      </c>
      <c r="M3816">
        <v>28.028552914017201</v>
      </c>
      <c r="N3816">
        <v>54.517414285323497</v>
      </c>
      <c r="O3816">
        <v>53.683825696441403</v>
      </c>
      <c r="P3816">
        <v>-0.11417071841999001</v>
      </c>
      <c r="Q3816">
        <v>0.125310769277134</v>
      </c>
      <c r="R3816">
        <v>0.97647441869261498</v>
      </c>
      <c r="S3816" t="s">
        <v>9677</v>
      </c>
      <c r="T3816" t="s">
        <v>11720</v>
      </c>
      <c r="U3816" t="s">
        <v>11720</v>
      </c>
      <c r="V3816" t="s">
        <v>11720</v>
      </c>
      <c r="W3816" t="s">
        <v>15483</v>
      </c>
      <c r="X3816">
        <v>5</v>
      </c>
      <c r="Y3816" t="s">
        <v>21198</v>
      </c>
      <c r="Z3816" t="s">
        <v>27023</v>
      </c>
      <c r="AA3816">
        <v>0.53876395800539334</v>
      </c>
      <c r="AB3816" t="str">
        <f>HYPERLINK("Melting_Curves/meltCurve_Q7KYR7_5_BTN2A1.pdf", "Melting_Curves/meltCurve_Q7KYR7_5_BTN2A1.pdf")</f>
        <v>Melting_Curves/meltCurve_Q7KYR7_5_BTN2A1.pdf</v>
      </c>
    </row>
    <row r="3817" spans="1:28" x14ac:dyDescent="0.25">
      <c r="A3817" t="s">
        <v>3821</v>
      </c>
      <c r="B3817">
        <v>0.99334974765950101</v>
      </c>
      <c r="C3817">
        <v>0.98243576516506403</v>
      </c>
      <c r="D3817">
        <v>1.08752777310013</v>
      </c>
      <c r="E3817">
        <v>0.61528823735896099</v>
      </c>
      <c r="F3817">
        <v>0.29129156565181002</v>
      </c>
      <c r="G3817">
        <v>0.21611529554591599</v>
      </c>
      <c r="H3817">
        <v>0.19992147331385801</v>
      </c>
      <c r="I3817">
        <v>0.22120322119354699</v>
      </c>
      <c r="J3817">
        <v>0.24185347963057599</v>
      </c>
      <c r="K3817">
        <v>0.248189135777072</v>
      </c>
      <c r="L3817">
        <v>2759.91752779944</v>
      </c>
      <c r="M3817">
        <v>55.1580318852956</v>
      </c>
      <c r="N3817">
        <v>50.601725421194701</v>
      </c>
      <c r="O3817">
        <v>49.970909033005398</v>
      </c>
      <c r="P3817">
        <v>-0.212491071800296</v>
      </c>
      <c r="Q3817">
        <v>0.22996778131696299</v>
      </c>
      <c r="R3817">
        <v>0.99076446072666202</v>
      </c>
      <c r="S3817" t="s">
        <v>9678</v>
      </c>
      <c r="T3817" t="s">
        <v>11720</v>
      </c>
      <c r="U3817" t="s">
        <v>11720</v>
      </c>
      <c r="V3817" t="s">
        <v>11720</v>
      </c>
      <c r="W3817" t="s">
        <v>15484</v>
      </c>
      <c r="X3817">
        <v>11</v>
      </c>
      <c r="Y3817" t="s">
        <v>21199</v>
      </c>
      <c r="Z3817" t="s">
        <v>27024</v>
      </c>
      <c r="AA3817">
        <v>0.48897846873676892</v>
      </c>
      <c r="AB3817" t="str">
        <f>HYPERLINK("Melting_Curves/meltCurve_Q7KZ85_SUPT6H.pdf", "Melting_Curves/meltCurve_Q7KZ85_SUPT6H.pdf")</f>
        <v>Melting_Curves/meltCurve_Q7KZ85_SUPT6H.pdf</v>
      </c>
    </row>
    <row r="3818" spans="1:28" x14ac:dyDescent="0.25">
      <c r="A3818" t="s">
        <v>3822</v>
      </c>
      <c r="B3818">
        <v>0.99334974765950101</v>
      </c>
      <c r="C3818">
        <v>0.99410035210918002</v>
      </c>
      <c r="D3818">
        <v>1.2280954088040801</v>
      </c>
      <c r="E3818">
        <v>1.02719932678413</v>
      </c>
      <c r="F3818">
        <v>1.7909987911852301</v>
      </c>
      <c r="G3818">
        <v>1.4779047729508601</v>
      </c>
      <c r="H3818">
        <v>1.46088144024647</v>
      </c>
      <c r="I3818">
        <v>1.79954404653846</v>
      </c>
      <c r="J3818">
        <v>2.62034879992735</v>
      </c>
      <c r="K3818">
        <v>1.77553067344085</v>
      </c>
      <c r="L3818">
        <v>12642.6649195964</v>
      </c>
      <c r="M3818">
        <v>250</v>
      </c>
      <c r="O3818">
        <v>50.567422848675797</v>
      </c>
      <c r="P3818">
        <v>0.61798679621758501</v>
      </c>
      <c r="Q3818">
        <v>1.5</v>
      </c>
      <c r="R3818">
        <v>0.32623532941525202</v>
      </c>
      <c r="S3818" t="s">
        <v>9679</v>
      </c>
      <c r="T3818" t="s">
        <v>11720</v>
      </c>
      <c r="U3818" t="s">
        <v>11720</v>
      </c>
      <c r="V3818" t="s">
        <v>11720</v>
      </c>
      <c r="W3818" t="s">
        <v>15485</v>
      </c>
      <c r="X3818">
        <v>5</v>
      </c>
      <c r="Y3818" t="s">
        <v>21199</v>
      </c>
      <c r="Z3818" t="s">
        <v>27025</v>
      </c>
      <c r="AA3818">
        <v>1.3237779633332321</v>
      </c>
      <c r="AB3818" t="str">
        <f>HYPERLINK("Melting_Curves/meltCurve_Q7KZ85_2_SUPT6H.pdf", "Melting_Curves/meltCurve_Q7KZ85_2_SUPT6H.pdf")</f>
        <v>Melting_Curves/meltCurve_Q7KZ85_2_SUPT6H.pdf</v>
      </c>
    </row>
    <row r="3819" spans="1:28" x14ac:dyDescent="0.25">
      <c r="A3819" t="s">
        <v>3823</v>
      </c>
      <c r="B3819">
        <v>0.99334974765950101</v>
      </c>
      <c r="C3819">
        <v>0.95655968707780503</v>
      </c>
      <c r="D3819">
        <v>0.42799755570119702</v>
      </c>
      <c r="E3819">
        <v>0.15144728233985399</v>
      </c>
      <c r="F3819">
        <v>0.106611521061208</v>
      </c>
      <c r="G3819">
        <v>6.9920790521579207E-2</v>
      </c>
      <c r="H3819">
        <v>5.4439654434800901E-2</v>
      </c>
      <c r="I3819">
        <v>4.9574929565679403E-2</v>
      </c>
      <c r="J3819">
        <v>4.6767172008094098E-2</v>
      </c>
      <c r="K3819">
        <v>4.2236084596716301E-2</v>
      </c>
      <c r="L3819">
        <v>1854.0806314844699</v>
      </c>
      <c r="M3819">
        <v>40.708999947221699</v>
      </c>
      <c r="N3819">
        <v>45.7123958046827</v>
      </c>
      <c r="O3819">
        <v>45.435245654226499</v>
      </c>
      <c r="P3819">
        <v>-0.20846130898280599</v>
      </c>
      <c r="Q3819">
        <v>6.9348552912546796E-2</v>
      </c>
      <c r="R3819">
        <v>0.99434548326927596</v>
      </c>
      <c r="S3819" t="s">
        <v>9680</v>
      </c>
      <c r="T3819" t="s">
        <v>11720</v>
      </c>
      <c r="U3819" t="s">
        <v>11720</v>
      </c>
      <c r="V3819" t="s">
        <v>11720</v>
      </c>
      <c r="W3819" t="s">
        <v>15486</v>
      </c>
      <c r="X3819">
        <v>54</v>
      </c>
      <c r="Y3819" t="s">
        <v>21200</v>
      </c>
      <c r="Z3819" t="s">
        <v>27026</v>
      </c>
      <c r="AA3819">
        <v>0.2442751493918375</v>
      </c>
      <c r="AB3819" t="str">
        <f>HYPERLINK("Melting_Curves/meltCurve_Q7KZF4_SND1.pdf", "Melting_Curves/meltCurve_Q7KZF4_SND1.pdf")</f>
        <v>Melting_Curves/meltCurve_Q7KZF4_SND1.pdf</v>
      </c>
    </row>
    <row r="3820" spans="1:28" x14ac:dyDescent="0.25">
      <c r="A3820" t="s">
        <v>3824</v>
      </c>
      <c r="B3820">
        <v>0.99334974765950101</v>
      </c>
      <c r="C3820">
        <v>0.97470679578390695</v>
      </c>
      <c r="D3820">
        <v>0.77155269694362405</v>
      </c>
      <c r="E3820">
        <v>0.26274736316925701</v>
      </c>
      <c r="F3820">
        <v>0.17755394968593699</v>
      </c>
      <c r="G3820">
        <v>0.124794176090865</v>
      </c>
      <c r="H3820">
        <v>0.109911236194471</v>
      </c>
      <c r="I3820">
        <v>0.11895421682019899</v>
      </c>
      <c r="J3820">
        <v>0.107916071270435</v>
      </c>
      <c r="K3820">
        <v>9.0589130373231394E-2</v>
      </c>
      <c r="L3820">
        <v>1461.6958831234399</v>
      </c>
      <c r="M3820">
        <v>30.731826375947801</v>
      </c>
      <c r="N3820">
        <v>47.9614975860353</v>
      </c>
      <c r="O3820">
        <v>47.362903452946497</v>
      </c>
      <c r="P3820">
        <v>-0.14393554720069601</v>
      </c>
      <c r="Q3820">
        <v>0.112689890009172</v>
      </c>
      <c r="R3820">
        <v>0.99875924320152698</v>
      </c>
      <c r="S3820" t="s">
        <v>9681</v>
      </c>
      <c r="T3820" t="s">
        <v>11720</v>
      </c>
      <c r="U3820" t="s">
        <v>11720</v>
      </c>
      <c r="V3820" t="s">
        <v>11720</v>
      </c>
      <c r="W3820" t="s">
        <v>15487</v>
      </c>
      <c r="X3820">
        <v>17</v>
      </c>
      <c r="Y3820" t="s">
        <v>21201</v>
      </c>
      <c r="Z3820" t="s">
        <v>27027</v>
      </c>
      <c r="AA3820">
        <v>0.34143952425912688</v>
      </c>
      <c r="AB3820" t="str">
        <f>HYPERLINK("Melting_Curves/meltCurve_Q7L014_DDX46.pdf", "Melting_Curves/meltCurve_Q7L014_DDX46.pdf")</f>
        <v>Melting_Curves/meltCurve_Q7L014_DDX46.pdf</v>
      </c>
    </row>
    <row r="3821" spans="1:28" x14ac:dyDescent="0.25">
      <c r="A3821" t="s">
        <v>3825</v>
      </c>
      <c r="B3821">
        <v>0.99334974765950101</v>
      </c>
      <c r="C3821">
        <v>1.0287587804495999</v>
      </c>
      <c r="D3821">
        <v>0.92659630808670701</v>
      </c>
      <c r="E3821">
        <v>0.71406301127814897</v>
      </c>
      <c r="F3821">
        <v>0.395082165698799</v>
      </c>
      <c r="G3821">
        <v>0.19536408883704801</v>
      </c>
      <c r="H3821">
        <v>0.14913455588696001</v>
      </c>
      <c r="I3821">
        <v>0.13094434775866901</v>
      </c>
      <c r="J3821">
        <v>0.14086786285584799</v>
      </c>
      <c r="K3821">
        <v>0.110689698826495</v>
      </c>
      <c r="L3821">
        <v>1261.7494392526701</v>
      </c>
      <c r="M3821">
        <v>24.572242287195401</v>
      </c>
      <c r="N3821">
        <v>51.957605251997798</v>
      </c>
      <c r="O3821">
        <v>51.012104118557303</v>
      </c>
      <c r="P3821">
        <v>-0.10535637738015401</v>
      </c>
      <c r="Q3821">
        <v>0.125131026742763</v>
      </c>
      <c r="R3821">
        <v>0.99811162203260995</v>
      </c>
      <c r="S3821" t="s">
        <v>9682</v>
      </c>
      <c r="T3821" t="s">
        <v>11720</v>
      </c>
      <c r="U3821" t="s">
        <v>11720</v>
      </c>
      <c r="V3821" t="s">
        <v>11720</v>
      </c>
      <c r="W3821" t="s">
        <v>15488</v>
      </c>
      <c r="X3821">
        <v>22</v>
      </c>
      <c r="Y3821" t="s">
        <v>21202</v>
      </c>
      <c r="Z3821" t="s">
        <v>27028</v>
      </c>
      <c r="AA3821">
        <v>0.46428623941913327</v>
      </c>
      <c r="AB3821" t="str">
        <f>HYPERLINK("Melting_Curves/meltCurve_Q7L099_3_RUFY3.pdf", "Melting_Curves/meltCurve_Q7L099_3_RUFY3.pdf")</f>
        <v>Melting_Curves/meltCurve_Q7L099_3_RUFY3.pdf</v>
      </c>
    </row>
    <row r="3822" spans="1:28" x14ac:dyDescent="0.25">
      <c r="A3822" t="s">
        <v>3826</v>
      </c>
      <c r="B3822">
        <v>0.99334974765950101</v>
      </c>
      <c r="C3822">
        <v>1.02668673611003</v>
      </c>
      <c r="D3822">
        <v>0.88656207915291696</v>
      </c>
      <c r="E3822">
        <v>0.98789114232027397</v>
      </c>
      <c r="F3822">
        <v>1.0890499708202099</v>
      </c>
      <c r="G3822">
        <v>1.0214355462788101</v>
      </c>
      <c r="H3822">
        <v>0.94493768616627305</v>
      </c>
      <c r="I3822">
        <v>0.87175450883679295</v>
      </c>
      <c r="J3822">
        <v>1.2013802558684801</v>
      </c>
      <c r="K3822">
        <v>0.732697495094771</v>
      </c>
      <c r="L3822">
        <v>15000</v>
      </c>
      <c r="M3822">
        <v>213.27723196828501</v>
      </c>
      <c r="Q3822">
        <v>0</v>
      </c>
      <c r="R3822">
        <v>0.44336065196882402</v>
      </c>
      <c r="S3822" t="s">
        <v>9683</v>
      </c>
      <c r="T3822" t="s">
        <v>11720</v>
      </c>
      <c r="U3822" t="s">
        <v>11720</v>
      </c>
      <c r="V3822" t="s">
        <v>11720</v>
      </c>
      <c r="W3822" t="s">
        <v>15489</v>
      </c>
      <c r="X3822">
        <v>3</v>
      </c>
      <c r="Y3822" t="s">
        <v>21203</v>
      </c>
      <c r="Z3822" t="s">
        <v>27029</v>
      </c>
      <c r="AA3822">
        <v>0.99664735091737411</v>
      </c>
      <c r="AB3822" t="str">
        <f>HYPERLINK("Melting_Curves/meltCurve_Q7L0J3_2_SV2A.pdf", "Melting_Curves/meltCurve_Q7L0J3_2_SV2A.pdf")</f>
        <v>Melting_Curves/meltCurve_Q7L0J3_2_SV2A.pdf</v>
      </c>
    </row>
    <row r="3823" spans="1:28" x14ac:dyDescent="0.25">
      <c r="A3823" t="s">
        <v>3827</v>
      </c>
      <c r="B3823">
        <v>0.99334974765950101</v>
      </c>
      <c r="C3823">
        <v>1.0788453830084701</v>
      </c>
      <c r="D3823">
        <v>1.1415807117880801</v>
      </c>
      <c r="E3823">
        <v>1.38379937898754</v>
      </c>
      <c r="F3823">
        <v>0.48654382497865101</v>
      </c>
      <c r="G3823">
        <v>0.22764049149764001</v>
      </c>
      <c r="H3823">
        <v>0.172930532981622</v>
      </c>
      <c r="I3823">
        <v>0.13156895539845601</v>
      </c>
      <c r="J3823">
        <v>0.15619992103542199</v>
      </c>
      <c r="K3823">
        <v>0.106672960847553</v>
      </c>
      <c r="L3823">
        <v>13226.174049806399</v>
      </c>
      <c r="M3823">
        <v>250</v>
      </c>
      <c r="N3823">
        <v>52.985795272803102</v>
      </c>
      <c r="O3823">
        <v>52.901314553845303</v>
      </c>
      <c r="P3823">
        <v>-0.993592461488218</v>
      </c>
      <c r="Q3823">
        <v>0.159002505486284</v>
      </c>
      <c r="R3823">
        <v>0.92030560855050503</v>
      </c>
      <c r="S3823" t="s">
        <v>9684</v>
      </c>
      <c r="T3823" t="s">
        <v>11720</v>
      </c>
      <c r="U3823" t="s">
        <v>11720</v>
      </c>
      <c r="V3823" t="s">
        <v>11720</v>
      </c>
      <c r="W3823" t="s">
        <v>15490</v>
      </c>
      <c r="X3823">
        <v>10</v>
      </c>
      <c r="Y3823" t="s">
        <v>21204</v>
      </c>
      <c r="Z3823" t="s">
        <v>27030</v>
      </c>
      <c r="AA3823">
        <v>0.5208411618790556</v>
      </c>
      <c r="AB3823" t="str">
        <f>HYPERLINK("Melting_Curves/meltCurve_Q7L0Y3_TRMT10C.pdf", "Melting_Curves/meltCurve_Q7L0Y3_TRMT10C.pdf")</f>
        <v>Melting_Curves/meltCurve_Q7L0Y3_TRMT10C.pdf</v>
      </c>
    </row>
    <row r="3824" spans="1:28" x14ac:dyDescent="0.25">
      <c r="A3824" t="s">
        <v>3828</v>
      </c>
      <c r="B3824">
        <v>0.99334974765950101</v>
      </c>
      <c r="C3824">
        <v>0.95301298521432798</v>
      </c>
      <c r="D3824">
        <v>0.86316995900737303</v>
      </c>
      <c r="E3824">
        <v>0.31228291671165997</v>
      </c>
      <c r="F3824">
        <v>0.143183919674295</v>
      </c>
      <c r="G3824">
        <v>0.108811612663319</v>
      </c>
      <c r="H3824">
        <v>9.6106863145115504E-2</v>
      </c>
      <c r="I3824">
        <v>8.2858701061529497E-2</v>
      </c>
      <c r="J3824">
        <v>7.6853916409906506E-2</v>
      </c>
      <c r="K3824">
        <v>7.0278554739125407E-2</v>
      </c>
      <c r="L3824">
        <v>1563.1418612141199</v>
      </c>
      <c r="M3824">
        <v>32.331219970880198</v>
      </c>
      <c r="N3824">
        <v>48.630721265845899</v>
      </c>
      <c r="O3824">
        <v>48.163935594846699</v>
      </c>
      <c r="P3824">
        <v>-0.15342985853934399</v>
      </c>
      <c r="Q3824">
        <v>8.5744720578174297E-2</v>
      </c>
      <c r="R3824">
        <v>0.99862755207116405</v>
      </c>
      <c r="S3824" t="s">
        <v>9685</v>
      </c>
      <c r="T3824" t="s">
        <v>11720</v>
      </c>
      <c r="U3824" t="s">
        <v>11720</v>
      </c>
      <c r="V3824" t="s">
        <v>11720</v>
      </c>
      <c r="W3824" t="s">
        <v>15491</v>
      </c>
      <c r="X3824">
        <v>21</v>
      </c>
      <c r="Y3824" t="s">
        <v>21205</v>
      </c>
      <c r="Z3824" t="s">
        <v>27031</v>
      </c>
      <c r="AA3824">
        <v>0.34487450302344658</v>
      </c>
      <c r="AB3824" t="str">
        <f>HYPERLINK("Melting_Curves/meltCurve_Q7L1Q6_BZW1.pdf", "Melting_Curves/meltCurve_Q7L1Q6_BZW1.pdf")</f>
        <v>Melting_Curves/meltCurve_Q7L1Q6_BZW1.pdf</v>
      </c>
    </row>
    <row r="3825" spans="1:28" x14ac:dyDescent="0.25">
      <c r="A3825" t="s">
        <v>3829</v>
      </c>
      <c r="B3825">
        <v>0.99334974765950101</v>
      </c>
      <c r="C3825">
        <v>0.97681058431909296</v>
      </c>
      <c r="D3825">
        <v>0.94043094889079004</v>
      </c>
      <c r="E3825">
        <v>0.82147624873524605</v>
      </c>
      <c r="F3825">
        <v>0.91846440159546405</v>
      </c>
      <c r="G3825">
        <v>0.63942869687229598</v>
      </c>
      <c r="H3825">
        <v>0.62839494003768503</v>
      </c>
      <c r="I3825">
        <v>0.56263128334918</v>
      </c>
      <c r="J3825">
        <v>0.42911512195615498</v>
      </c>
      <c r="K3825">
        <v>0.32556347272233199</v>
      </c>
      <c r="L3825">
        <v>462.25427252870003</v>
      </c>
      <c r="M3825">
        <v>7.1691256660459901</v>
      </c>
      <c r="N3825">
        <v>64.478472264925898</v>
      </c>
      <c r="O3825">
        <v>60.027312716208897</v>
      </c>
      <c r="P3825">
        <v>-2.99084739320482E-2</v>
      </c>
      <c r="Q3825">
        <v>0</v>
      </c>
      <c r="R3825">
        <v>0.95338663575620997</v>
      </c>
      <c r="S3825" t="s">
        <v>9686</v>
      </c>
      <c r="T3825" t="s">
        <v>11720</v>
      </c>
      <c r="U3825" t="s">
        <v>11720</v>
      </c>
      <c r="V3825" t="s">
        <v>11720</v>
      </c>
      <c r="W3825" t="s">
        <v>15492</v>
      </c>
      <c r="X3825">
        <v>1</v>
      </c>
      <c r="Y3825" t="s">
        <v>21206</v>
      </c>
      <c r="Z3825" t="s">
        <v>27032</v>
      </c>
      <c r="AA3825">
        <v>0.73654803928397761</v>
      </c>
      <c r="AB3825" t="str">
        <f>HYPERLINK("Melting_Curves/meltCurve_Q7L1T6_CYB5R4.pdf", "Melting_Curves/meltCurve_Q7L1T6_CYB5R4.pdf")</f>
        <v>Melting_Curves/meltCurve_Q7L1T6_CYB5R4.pdf</v>
      </c>
    </row>
    <row r="3826" spans="1:28" x14ac:dyDescent="0.25">
      <c r="A3826" t="s">
        <v>3830</v>
      </c>
      <c r="B3826">
        <v>0.99334974765950101</v>
      </c>
      <c r="C3826">
        <v>0.95755058669408799</v>
      </c>
      <c r="D3826">
        <v>0.89215148191785498</v>
      </c>
      <c r="E3826">
        <v>0.72468248357765797</v>
      </c>
      <c r="F3826">
        <v>0.49481701498151798</v>
      </c>
      <c r="G3826">
        <v>0.24054179829324701</v>
      </c>
      <c r="H3826">
        <v>8.0066527290019104E-2</v>
      </c>
      <c r="I3826">
        <v>3.6970564843013802E-2</v>
      </c>
      <c r="J3826">
        <v>3.4978971159163402E-2</v>
      </c>
      <c r="K3826">
        <v>2.7947358183210001E-2</v>
      </c>
      <c r="L3826">
        <v>857.93382176446801</v>
      </c>
      <c r="M3826">
        <v>16.238672631250399</v>
      </c>
      <c r="N3826">
        <v>52.832761493728398</v>
      </c>
      <c r="O3826">
        <v>52.051028701596202</v>
      </c>
      <c r="P3826">
        <v>-7.7999787558957506E-2</v>
      </c>
      <c r="Q3826">
        <v>0</v>
      </c>
      <c r="R3826">
        <v>0.99857397349308596</v>
      </c>
      <c r="S3826" t="s">
        <v>9687</v>
      </c>
      <c r="T3826" t="s">
        <v>11720</v>
      </c>
      <c r="U3826" t="s">
        <v>11720</v>
      </c>
      <c r="V3826" t="s">
        <v>11720</v>
      </c>
      <c r="W3826" t="s">
        <v>15493</v>
      </c>
      <c r="X3826">
        <v>3</v>
      </c>
      <c r="Y3826" t="s">
        <v>21207</v>
      </c>
      <c r="Z3826" t="s">
        <v>27033</v>
      </c>
      <c r="AA3826">
        <v>0.44705379532069067</v>
      </c>
      <c r="AB3826" t="str">
        <f>HYPERLINK("Melting_Curves/meltCurve_Q7L211_ABHD13.pdf", "Melting_Curves/meltCurve_Q7L211_ABHD13.pdf")</f>
        <v>Melting_Curves/meltCurve_Q7L211_ABHD13.pdf</v>
      </c>
    </row>
    <row r="3827" spans="1:28" x14ac:dyDescent="0.25">
      <c r="A3827" t="s">
        <v>3831</v>
      </c>
      <c r="B3827">
        <v>0.99334974765950101</v>
      </c>
      <c r="C3827">
        <v>1.08177040984704</v>
      </c>
      <c r="D3827">
        <v>1.18003901813972</v>
      </c>
      <c r="E3827">
        <v>1.1741377726020401</v>
      </c>
      <c r="F3827">
        <v>0.83917099278441298</v>
      </c>
      <c r="G3827">
        <v>0.35844070338471401</v>
      </c>
      <c r="H3827">
        <v>0.15317168701671299</v>
      </c>
      <c r="I3827">
        <v>0.114464629166792</v>
      </c>
      <c r="J3827">
        <v>0.138747070240097</v>
      </c>
      <c r="K3827">
        <v>0.112804160603366</v>
      </c>
      <c r="L3827">
        <v>2186.1316032852901</v>
      </c>
      <c r="M3827">
        <v>39.423189234737997</v>
      </c>
      <c r="N3827">
        <v>55.855752557865301</v>
      </c>
      <c r="O3827">
        <v>55.310841472991598</v>
      </c>
      <c r="P3827">
        <v>-0.15614133612806599</v>
      </c>
      <c r="Q3827">
        <v>0.12373528248586201</v>
      </c>
      <c r="R3827">
        <v>0.96296681422538399</v>
      </c>
      <c r="S3827" t="s">
        <v>9688</v>
      </c>
      <c r="T3827" t="s">
        <v>11720</v>
      </c>
      <c r="U3827" t="s">
        <v>11720</v>
      </c>
      <c r="V3827" t="s">
        <v>11720</v>
      </c>
      <c r="W3827" t="s">
        <v>15494</v>
      </c>
      <c r="X3827">
        <v>1</v>
      </c>
      <c r="Y3827" t="s">
        <v>21208</v>
      </c>
      <c r="Z3827" t="s">
        <v>27034</v>
      </c>
      <c r="AA3827">
        <v>0.57853767836447356</v>
      </c>
      <c r="AB3827" t="str">
        <f>HYPERLINK("Melting_Curves/meltCurve_Q7L273_KCTD9.pdf", "Melting_Curves/meltCurve_Q7L273_KCTD9.pdf")</f>
        <v>Melting_Curves/meltCurve_Q7L273_KCTD9.pdf</v>
      </c>
    </row>
    <row r="3828" spans="1:28" x14ac:dyDescent="0.25">
      <c r="A3828" t="s">
        <v>3832</v>
      </c>
      <c r="B3828">
        <v>0.99334974765950101</v>
      </c>
      <c r="C3828">
        <v>0.96200005316475601</v>
      </c>
      <c r="D3828">
        <v>1.0784171974921899</v>
      </c>
      <c r="E3828">
        <v>0.94256343304081502</v>
      </c>
      <c r="F3828">
        <v>0.50416391686622197</v>
      </c>
      <c r="G3828">
        <v>0.240834111196008</v>
      </c>
      <c r="H3828">
        <v>0.200909572623022</v>
      </c>
      <c r="I3828">
        <v>0.172508957986623</v>
      </c>
      <c r="J3828">
        <v>0.187639551348112</v>
      </c>
      <c r="K3828">
        <v>0.16424292108725999</v>
      </c>
      <c r="L3828">
        <v>2501.8980622844601</v>
      </c>
      <c r="M3828">
        <v>47.623255447335303</v>
      </c>
      <c r="N3828">
        <v>53.062085673419297</v>
      </c>
      <c r="O3828">
        <v>52.442833327485303</v>
      </c>
      <c r="P3828">
        <v>-0.184255043846038</v>
      </c>
      <c r="Q3828">
        <v>0.18839261349877101</v>
      </c>
      <c r="R3828">
        <v>0.99306328817846801</v>
      </c>
      <c r="S3828" t="s">
        <v>9689</v>
      </c>
      <c r="T3828" t="s">
        <v>11720</v>
      </c>
      <c r="U3828" t="s">
        <v>11720</v>
      </c>
      <c r="V3828" t="s">
        <v>11720</v>
      </c>
      <c r="W3828" t="s">
        <v>15495</v>
      </c>
      <c r="X3828">
        <v>11</v>
      </c>
      <c r="Y3828" t="s">
        <v>21209</v>
      </c>
      <c r="Z3828" t="s">
        <v>27035</v>
      </c>
      <c r="AA3828">
        <v>0.52958911325081948</v>
      </c>
      <c r="AB3828" t="str">
        <f>HYPERLINK("Melting_Curves/meltCurve_Q7L2H7_EIF3M.pdf", "Melting_Curves/meltCurve_Q7L2H7_EIF3M.pdf")</f>
        <v>Melting_Curves/meltCurve_Q7L2H7_EIF3M.pdf</v>
      </c>
    </row>
    <row r="3829" spans="1:28" x14ac:dyDescent="0.25">
      <c r="A3829" t="s">
        <v>3833</v>
      </c>
      <c r="B3829">
        <v>0.99334974765950101</v>
      </c>
      <c r="C3829">
        <v>0.96460586295005901</v>
      </c>
      <c r="D3829">
        <v>0.90841625369421997</v>
      </c>
      <c r="E3829">
        <v>0.74598243450907298</v>
      </c>
      <c r="F3829">
        <v>0.59920406780491697</v>
      </c>
      <c r="G3829">
        <v>0.38161858201201498</v>
      </c>
      <c r="H3829">
        <v>0.29806758275051598</v>
      </c>
      <c r="I3829">
        <v>0.33336715793217098</v>
      </c>
      <c r="J3829">
        <v>0.43826109438040101</v>
      </c>
      <c r="K3829">
        <v>0.54502618491654797</v>
      </c>
      <c r="L3829">
        <v>1171.49443193811</v>
      </c>
      <c r="M3829">
        <v>23.1216608191618</v>
      </c>
      <c r="N3829">
        <v>54.307745637867399</v>
      </c>
      <c r="O3829">
        <v>50.292104498697398</v>
      </c>
      <c r="P3829">
        <v>-6.9664122975105505E-2</v>
      </c>
      <c r="Q3829">
        <v>0.39390320500948001</v>
      </c>
      <c r="R3829">
        <v>0.92574084681978497</v>
      </c>
      <c r="S3829" t="s">
        <v>9690</v>
      </c>
      <c r="T3829" t="s">
        <v>11720</v>
      </c>
      <c r="U3829" t="s">
        <v>11720</v>
      </c>
      <c r="V3829" t="s">
        <v>11720</v>
      </c>
      <c r="W3829" t="s">
        <v>15496</v>
      </c>
      <c r="X3829">
        <v>6</v>
      </c>
      <c r="Y3829" t="s">
        <v>21210</v>
      </c>
      <c r="Z3829" t="s">
        <v>27036</v>
      </c>
      <c r="AA3829">
        <v>0.61576521491129932</v>
      </c>
      <c r="AB3829" t="str">
        <f>HYPERLINK("Melting_Curves/meltCurve_Q7L4I2_2_RSRC2.pdf", "Melting_Curves/meltCurve_Q7L4I2_2_RSRC2.pdf")</f>
        <v>Melting_Curves/meltCurve_Q7L4I2_2_RSRC2.pdf</v>
      </c>
    </row>
    <row r="3830" spans="1:28" x14ac:dyDescent="0.25">
      <c r="A3830" t="s">
        <v>3834</v>
      </c>
      <c r="B3830">
        <v>0.99334974765950101</v>
      </c>
      <c r="C3830">
        <v>0.91126412961870495</v>
      </c>
      <c r="D3830">
        <v>0.84112565819122498</v>
      </c>
      <c r="E3830">
        <v>0.67364656452618599</v>
      </c>
      <c r="F3830">
        <v>0.66216051672280296</v>
      </c>
      <c r="G3830">
        <v>0.50955593794042298</v>
      </c>
      <c r="H3830">
        <v>0.35972910171785399</v>
      </c>
      <c r="I3830">
        <v>0.38564712312880201</v>
      </c>
      <c r="J3830">
        <v>0.29623125264567801</v>
      </c>
      <c r="K3830">
        <v>0.20391024152894199</v>
      </c>
      <c r="L3830">
        <v>399.58723120238</v>
      </c>
      <c r="M3830">
        <v>7.0773759217952401</v>
      </c>
      <c r="N3830">
        <v>57.191768488263897</v>
      </c>
      <c r="O3830">
        <v>52.472051579333602</v>
      </c>
      <c r="P3830">
        <v>-3.2317152223719101E-2</v>
      </c>
      <c r="Q3830">
        <v>4.3299240083631098E-2</v>
      </c>
      <c r="R3830">
        <v>0.98332531660512001</v>
      </c>
      <c r="S3830" t="s">
        <v>9691</v>
      </c>
      <c r="T3830" t="s">
        <v>11720</v>
      </c>
      <c r="U3830" t="s">
        <v>11720</v>
      </c>
      <c r="V3830" t="s">
        <v>11720</v>
      </c>
      <c r="W3830" t="s">
        <v>15497</v>
      </c>
      <c r="X3830">
        <v>13</v>
      </c>
      <c r="Y3830" t="s">
        <v>21211</v>
      </c>
      <c r="Z3830" t="s">
        <v>27037</v>
      </c>
      <c r="AA3830">
        <v>0.58148096431924357</v>
      </c>
      <c r="AB3830" t="str">
        <f>HYPERLINK("Melting_Curves/meltCurve_Q7L523_RRAGA.pdf", "Melting_Curves/meltCurve_Q7L523_RRAGA.pdf")</f>
        <v>Melting_Curves/meltCurve_Q7L523_RRAGA.pdf</v>
      </c>
    </row>
    <row r="3831" spans="1:28" x14ac:dyDescent="0.25">
      <c r="A3831" t="s">
        <v>3835</v>
      </c>
      <c r="B3831">
        <v>0.99334974765950101</v>
      </c>
      <c r="C3831">
        <v>1.13366731983663</v>
      </c>
      <c r="D3831">
        <v>1.57466947541103</v>
      </c>
      <c r="E3831">
        <v>2.29700958296741</v>
      </c>
      <c r="F3831">
        <v>0.68271228275096396</v>
      </c>
      <c r="G3831">
        <v>0.27447627241947098</v>
      </c>
      <c r="H3831">
        <v>0.17864643565355201</v>
      </c>
      <c r="I3831">
        <v>0.14386939967134199</v>
      </c>
      <c r="J3831">
        <v>0.11619105566596299</v>
      </c>
      <c r="K3831">
        <v>7.9412931451959795E-2</v>
      </c>
      <c r="L3831">
        <v>13276.6089974271</v>
      </c>
      <c r="M3831">
        <v>250</v>
      </c>
      <c r="N3831">
        <v>53.187540523969503</v>
      </c>
      <c r="O3831">
        <v>53.103038070829797</v>
      </c>
      <c r="P3831">
        <v>-0.99038687366102796</v>
      </c>
      <c r="Q3831">
        <v>0.158519179844333</v>
      </c>
      <c r="R3831">
        <v>0.59401030361073204</v>
      </c>
      <c r="S3831" t="s">
        <v>9692</v>
      </c>
      <c r="T3831" t="s">
        <v>11720</v>
      </c>
      <c r="U3831" t="s">
        <v>11720</v>
      </c>
      <c r="V3831" t="s">
        <v>11720</v>
      </c>
      <c r="W3831" t="s">
        <v>15498</v>
      </c>
      <c r="X3831">
        <v>7</v>
      </c>
      <c r="Y3831" t="s">
        <v>21212</v>
      </c>
      <c r="Z3831" t="s">
        <v>27038</v>
      </c>
      <c r="AA3831">
        <v>0.52622475686978532</v>
      </c>
      <c r="AB3831" t="str">
        <f>HYPERLINK("Melting_Curves/meltCurve_Q7L576_CYFIP1.pdf", "Melting_Curves/meltCurve_Q7L576_CYFIP1.pdf")</f>
        <v>Melting_Curves/meltCurve_Q7L576_CYFIP1.pdf</v>
      </c>
    </row>
    <row r="3832" spans="1:28" x14ac:dyDescent="0.25">
      <c r="A3832" t="s">
        <v>3836</v>
      </c>
      <c r="B3832">
        <v>0.99334974765950101</v>
      </c>
      <c r="C3832">
        <v>1.0089577300562</v>
      </c>
      <c r="D3832">
        <v>0.839591605678213</v>
      </c>
      <c r="E3832">
        <v>0.33747526278683798</v>
      </c>
      <c r="F3832">
        <v>0.135186538508756</v>
      </c>
      <c r="G3832">
        <v>9.3288542754312004E-2</v>
      </c>
      <c r="H3832">
        <v>6.7089649312340502E-2</v>
      </c>
      <c r="I3832">
        <v>5.1514498565223103E-2</v>
      </c>
      <c r="J3832">
        <v>5.0821676873940402E-2</v>
      </c>
      <c r="K3832">
        <v>6.0493435005120798E-2</v>
      </c>
      <c r="L3832">
        <v>1429.1420163437399</v>
      </c>
      <c r="M3832">
        <v>29.4529927185833</v>
      </c>
      <c r="N3832">
        <v>48.740624737358601</v>
      </c>
      <c r="O3832">
        <v>48.300774233121103</v>
      </c>
      <c r="P3832">
        <v>-0.14304648260114999</v>
      </c>
      <c r="Q3832">
        <v>6.1663106128682497E-2</v>
      </c>
      <c r="R3832">
        <v>0.99902161121156197</v>
      </c>
      <c r="S3832" t="s">
        <v>9693</v>
      </c>
      <c r="T3832" t="s">
        <v>11720</v>
      </c>
      <c r="U3832" t="s">
        <v>11720</v>
      </c>
      <c r="V3832" t="s">
        <v>11720</v>
      </c>
      <c r="W3832" t="s">
        <v>15499</v>
      </c>
      <c r="X3832">
        <v>9</v>
      </c>
      <c r="Y3832" t="s">
        <v>21213</v>
      </c>
      <c r="Z3832" t="s">
        <v>27039</v>
      </c>
      <c r="AA3832">
        <v>0.33413789594039522</v>
      </c>
      <c r="AB3832" t="str">
        <f>HYPERLINK("Melting_Curves/meltCurve_Q7L592_NDUFAF7.pdf", "Melting_Curves/meltCurve_Q7L592_NDUFAF7.pdf")</f>
        <v>Melting_Curves/meltCurve_Q7L592_NDUFAF7.pdf</v>
      </c>
    </row>
    <row r="3833" spans="1:28" x14ac:dyDescent="0.25">
      <c r="A3833" t="s">
        <v>3837</v>
      </c>
      <c r="B3833">
        <v>0.99334974765950101</v>
      </c>
      <c r="C3833">
        <v>0.96986133842494104</v>
      </c>
      <c r="D3833">
        <v>1.0145219760198401</v>
      </c>
      <c r="E3833">
        <v>0.74077030446199599</v>
      </c>
      <c r="F3833">
        <v>0.37297884982843499</v>
      </c>
      <c r="G3833">
        <v>0.32015762686084598</v>
      </c>
      <c r="H3833">
        <v>0.18920696352042199</v>
      </c>
      <c r="I3833">
        <v>0.126175913497104</v>
      </c>
      <c r="J3833">
        <v>8.8664915727615395E-2</v>
      </c>
      <c r="K3833">
        <v>7.4921319359881999E-2</v>
      </c>
      <c r="L3833">
        <v>1108.79433108393</v>
      </c>
      <c r="M3833">
        <v>21.396319683576401</v>
      </c>
      <c r="N3833">
        <v>52.464201832685902</v>
      </c>
      <c r="O3833">
        <v>51.375429553291397</v>
      </c>
      <c r="P3833">
        <v>-9.2120130682881302E-2</v>
      </c>
      <c r="Q3833">
        <v>0.115250959469284</v>
      </c>
      <c r="R3833">
        <v>0.98185027042020601</v>
      </c>
      <c r="S3833" t="s">
        <v>9694</v>
      </c>
      <c r="T3833" t="s">
        <v>11720</v>
      </c>
      <c r="U3833" t="s">
        <v>11720</v>
      </c>
      <c r="V3833" t="s">
        <v>11720</v>
      </c>
      <c r="W3833" t="s">
        <v>15500</v>
      </c>
      <c r="X3833">
        <v>3</v>
      </c>
      <c r="Y3833" t="s">
        <v>21214</v>
      </c>
      <c r="Z3833" t="s">
        <v>27040</v>
      </c>
      <c r="AA3833">
        <v>0.47472216969007047</v>
      </c>
      <c r="AB3833" t="str">
        <f>HYPERLINK("Melting_Curves/meltCurve_Q7L5D6_GET4.pdf", "Melting_Curves/meltCurve_Q7L5D6_GET4.pdf")</f>
        <v>Melting_Curves/meltCurve_Q7L5D6_GET4.pdf</v>
      </c>
    </row>
    <row r="3834" spans="1:28" x14ac:dyDescent="0.25">
      <c r="A3834" t="s">
        <v>3838</v>
      </c>
      <c r="B3834">
        <v>0.99334974765950101</v>
      </c>
      <c r="C3834">
        <v>0.95647348103909602</v>
      </c>
      <c r="D3834">
        <v>0.85047330149362199</v>
      </c>
      <c r="E3834">
        <v>0.53463107408045696</v>
      </c>
      <c r="F3834">
        <v>0.18947575736253799</v>
      </c>
      <c r="G3834">
        <v>0.11312259438079</v>
      </c>
      <c r="H3834">
        <v>7.8855106825052604E-2</v>
      </c>
      <c r="I3834">
        <v>7.1555740879664806E-2</v>
      </c>
      <c r="J3834">
        <v>7.5790499594454899E-2</v>
      </c>
      <c r="K3834">
        <v>5.8639504566622598E-2</v>
      </c>
      <c r="L3834">
        <v>1172.3960189583399</v>
      </c>
      <c r="M3834">
        <v>23.607142328357799</v>
      </c>
      <c r="N3834">
        <v>49.9481490011419</v>
      </c>
      <c r="O3834">
        <v>49.310519512138399</v>
      </c>
      <c r="P3834">
        <v>-0.112137065511316</v>
      </c>
      <c r="Q3834">
        <v>6.3089722004855103E-2</v>
      </c>
      <c r="R3834">
        <v>0.99644459203499303</v>
      </c>
      <c r="S3834" t="s">
        <v>9695</v>
      </c>
      <c r="T3834" t="s">
        <v>11720</v>
      </c>
      <c r="U3834" t="s">
        <v>11720</v>
      </c>
      <c r="V3834" t="s">
        <v>11720</v>
      </c>
      <c r="W3834" t="s">
        <v>15501</v>
      </c>
      <c r="X3834">
        <v>5</v>
      </c>
      <c r="Y3834" t="s">
        <v>21215</v>
      </c>
      <c r="Z3834" t="s">
        <v>27041</v>
      </c>
      <c r="AA3834">
        <v>0.37423420822897091</v>
      </c>
      <c r="AB3834" t="str">
        <f>HYPERLINK("Melting_Curves/meltCurve_Q7L5N7_LPCAT2.pdf", "Melting_Curves/meltCurve_Q7L5N7_LPCAT2.pdf")</f>
        <v>Melting_Curves/meltCurve_Q7L5N7_LPCAT2.pdf</v>
      </c>
    </row>
    <row r="3835" spans="1:28" x14ac:dyDescent="0.25">
      <c r="A3835" t="s">
        <v>3839</v>
      </c>
      <c r="B3835">
        <v>0.99334974765950101</v>
      </c>
      <c r="C3835">
        <v>0.95691953358457904</v>
      </c>
      <c r="D3835">
        <v>0.91480057385562397</v>
      </c>
      <c r="E3835">
        <v>0.679179810679295</v>
      </c>
      <c r="F3835">
        <v>0.39520758199013301</v>
      </c>
      <c r="G3835">
        <v>0.27093527618489299</v>
      </c>
      <c r="H3835">
        <v>0.17234937113882401</v>
      </c>
      <c r="I3835">
        <v>0.12810029241336199</v>
      </c>
      <c r="J3835">
        <v>9.6122343068911695E-2</v>
      </c>
      <c r="K3835">
        <v>8.8511553175569593E-2</v>
      </c>
      <c r="L3835">
        <v>888.14061923682902</v>
      </c>
      <c r="M3835">
        <v>17.243444146697801</v>
      </c>
      <c r="N3835">
        <v>52.138580858442502</v>
      </c>
      <c r="O3835">
        <v>50.828234100791803</v>
      </c>
      <c r="P3835">
        <v>-7.68115753908266E-2</v>
      </c>
      <c r="Q3835">
        <v>9.4387739906822005E-2</v>
      </c>
      <c r="R3835">
        <v>0.99639295761654301</v>
      </c>
      <c r="S3835" t="s">
        <v>9696</v>
      </c>
      <c r="T3835" t="s">
        <v>11720</v>
      </c>
      <c r="U3835" t="s">
        <v>11720</v>
      </c>
      <c r="V3835" t="s">
        <v>11720</v>
      </c>
      <c r="W3835" t="s">
        <v>15502</v>
      </c>
      <c r="X3835">
        <v>16</v>
      </c>
      <c r="Y3835" t="s">
        <v>21216</v>
      </c>
      <c r="Z3835" t="s">
        <v>27042</v>
      </c>
      <c r="AA3835">
        <v>0.4580616854122791</v>
      </c>
      <c r="AB3835" t="str">
        <f>HYPERLINK("Melting_Curves/meltCurve_Q7L5Y1_ENOSF1.pdf", "Melting_Curves/meltCurve_Q7L5Y1_ENOSF1.pdf")</f>
        <v>Melting_Curves/meltCurve_Q7L5Y1_ENOSF1.pdf</v>
      </c>
    </row>
    <row r="3836" spans="1:28" x14ac:dyDescent="0.25">
      <c r="A3836" t="s">
        <v>3840</v>
      </c>
      <c r="B3836">
        <v>0.99334974765950101</v>
      </c>
      <c r="C3836">
        <v>0.94268203587284205</v>
      </c>
      <c r="D3836">
        <v>0.95834411119055396</v>
      </c>
      <c r="E3836">
        <v>0.72474083179427695</v>
      </c>
      <c r="F3836">
        <v>0.39100965085522799</v>
      </c>
      <c r="G3836">
        <v>0.25904051744698903</v>
      </c>
      <c r="H3836">
        <v>0.217337847675381</v>
      </c>
      <c r="I3836">
        <v>0.18843243593480299</v>
      </c>
      <c r="J3836">
        <v>0.15429770077841401</v>
      </c>
      <c r="K3836">
        <v>0.10239585327174699</v>
      </c>
      <c r="L3836">
        <v>1207.3885913635099</v>
      </c>
      <c r="M3836">
        <v>23.5379387727024</v>
      </c>
      <c r="N3836">
        <v>52.1443573517221</v>
      </c>
      <c r="O3836">
        <v>50.929480233916202</v>
      </c>
      <c r="P3836">
        <v>-9.7153331652273994E-2</v>
      </c>
      <c r="Q3836">
        <v>0.159164406577366</v>
      </c>
      <c r="R3836">
        <v>0.99143162657676498</v>
      </c>
      <c r="S3836" t="s">
        <v>9697</v>
      </c>
      <c r="T3836" t="s">
        <v>11720</v>
      </c>
      <c r="U3836" t="s">
        <v>11720</v>
      </c>
      <c r="V3836" t="s">
        <v>11720</v>
      </c>
      <c r="W3836" t="s">
        <v>15503</v>
      </c>
      <c r="X3836">
        <v>8</v>
      </c>
      <c r="Y3836" t="s">
        <v>21217</v>
      </c>
      <c r="Z3836" t="s">
        <v>27043</v>
      </c>
      <c r="AA3836">
        <v>0.48431866903243859</v>
      </c>
      <c r="AB3836" t="str">
        <f>HYPERLINK("Melting_Curves/meltCurve_Q7L775_EPM2AIP1.pdf", "Melting_Curves/meltCurve_Q7L775_EPM2AIP1.pdf")</f>
        <v>Melting_Curves/meltCurve_Q7L775_EPM2AIP1.pdf</v>
      </c>
    </row>
    <row r="3837" spans="1:28" x14ac:dyDescent="0.25">
      <c r="A3837" t="s">
        <v>3841</v>
      </c>
      <c r="B3837">
        <v>0.99334974765950101</v>
      </c>
      <c r="C3837">
        <v>1.1854607733207301</v>
      </c>
      <c r="D3837">
        <v>1.13909270010109</v>
      </c>
      <c r="E3837">
        <v>0.95341470569515396</v>
      </c>
      <c r="F3837">
        <v>0.234157800265762</v>
      </c>
      <c r="G3837">
        <v>0.15563449175674601</v>
      </c>
      <c r="H3837">
        <v>8.1098945328337599E-2</v>
      </c>
      <c r="I3837">
        <v>3.1799752233747001E-2</v>
      </c>
      <c r="J3837">
        <v>7.1095477481601999E-2</v>
      </c>
      <c r="K3837">
        <v>3.1666449275765299E-2</v>
      </c>
      <c r="L3837">
        <v>3932.9402491692999</v>
      </c>
      <c r="M3837">
        <v>75.760245596727003</v>
      </c>
      <c r="N3837">
        <v>52.022686225594299</v>
      </c>
      <c r="O3837">
        <v>51.876847320766601</v>
      </c>
      <c r="P3837">
        <v>-0.33814291193387103</v>
      </c>
      <c r="Q3837">
        <v>7.3826413072074701E-2</v>
      </c>
      <c r="R3837">
        <v>0.97236090043897605</v>
      </c>
      <c r="S3837" t="s">
        <v>9698</v>
      </c>
      <c r="T3837" t="s">
        <v>11720</v>
      </c>
      <c r="U3837" t="s">
        <v>11720</v>
      </c>
      <c r="V3837" t="s">
        <v>11720</v>
      </c>
      <c r="W3837" t="s">
        <v>15504</v>
      </c>
      <c r="X3837">
        <v>4</v>
      </c>
      <c r="Y3837" t="s">
        <v>21218</v>
      </c>
      <c r="Z3837" t="s">
        <v>27044</v>
      </c>
      <c r="AA3837">
        <v>0.44253024013502612</v>
      </c>
      <c r="AB3837" t="str">
        <f>HYPERLINK("Melting_Curves/meltCurve_Q7L7X3_TAOK1.pdf", "Melting_Curves/meltCurve_Q7L7X3_TAOK1.pdf")</f>
        <v>Melting_Curves/meltCurve_Q7L7X3_TAOK1.pdf</v>
      </c>
    </row>
    <row r="3838" spans="1:28" x14ac:dyDescent="0.25">
      <c r="A3838" t="s">
        <v>3842</v>
      </c>
      <c r="B3838">
        <v>0.99334974765950101</v>
      </c>
      <c r="C3838">
        <v>1.16326952274032</v>
      </c>
      <c r="D3838">
        <v>1.0909765844283801</v>
      </c>
      <c r="E3838">
        <v>1.5464663898884199</v>
      </c>
      <c r="F3838">
        <v>0.93863190625645399</v>
      </c>
      <c r="G3838">
        <v>0.63257677566758697</v>
      </c>
      <c r="H3838">
        <v>0.24056617737567801</v>
      </c>
      <c r="I3838">
        <v>0.205457183642243</v>
      </c>
      <c r="J3838">
        <v>0.14834089498783901</v>
      </c>
      <c r="K3838">
        <v>6.9288063778446707E-2</v>
      </c>
      <c r="L3838">
        <v>2148.21257807048</v>
      </c>
      <c r="M3838">
        <v>37.320492881985899</v>
      </c>
      <c r="N3838">
        <v>58.047609333905598</v>
      </c>
      <c r="O3838">
        <v>57.3966916380855</v>
      </c>
      <c r="P3838">
        <v>-0.14072798198424699</v>
      </c>
      <c r="Q3838">
        <v>0.134277509123718</v>
      </c>
      <c r="R3838">
        <v>0.85553212339659601</v>
      </c>
      <c r="S3838" t="s">
        <v>9699</v>
      </c>
      <c r="T3838" t="s">
        <v>11720</v>
      </c>
      <c r="U3838" t="s">
        <v>11720</v>
      </c>
      <c r="V3838" t="s">
        <v>11720</v>
      </c>
      <c r="W3838" t="s">
        <v>15505</v>
      </c>
      <c r="X3838">
        <v>3</v>
      </c>
      <c r="Y3838" t="s">
        <v>21219</v>
      </c>
      <c r="Z3838" t="s">
        <v>27045</v>
      </c>
      <c r="AA3838">
        <v>0.64491887430692529</v>
      </c>
      <c r="AB3838" t="str">
        <f>HYPERLINK("Melting_Curves/meltCurve_Q7L804_RAB11FIP2.pdf", "Melting_Curves/meltCurve_Q7L804_RAB11FIP2.pdf")</f>
        <v>Melting_Curves/meltCurve_Q7L804_RAB11FIP2.pdf</v>
      </c>
    </row>
    <row r="3839" spans="1:28" x14ac:dyDescent="0.25">
      <c r="A3839" t="s">
        <v>3843</v>
      </c>
      <c r="B3839">
        <v>0.99334974765950101</v>
      </c>
      <c r="C3839">
        <v>0.90079342037942201</v>
      </c>
      <c r="D3839">
        <v>0.79656437559158599</v>
      </c>
      <c r="E3839">
        <v>0.59095469005055001</v>
      </c>
      <c r="F3839">
        <v>0.36956727177464399</v>
      </c>
      <c r="G3839">
        <v>0.21207798273887399</v>
      </c>
      <c r="H3839">
        <v>0.102431217735377</v>
      </c>
      <c r="I3839">
        <v>8.1269115340795395E-2</v>
      </c>
      <c r="J3839">
        <v>7.0817904623765499E-2</v>
      </c>
      <c r="K3839">
        <v>6.4404536129520504E-2</v>
      </c>
      <c r="L3839">
        <v>683.01865049520904</v>
      </c>
      <c r="M3839">
        <v>13.452255062209099</v>
      </c>
      <c r="N3839">
        <v>50.997280490569501</v>
      </c>
      <c r="O3839">
        <v>49.690901101263698</v>
      </c>
      <c r="P3839">
        <v>-6.5750440145026498E-2</v>
      </c>
      <c r="Q3839">
        <v>2.8655252340929201E-2</v>
      </c>
      <c r="R3839">
        <v>0.99809374161128706</v>
      </c>
      <c r="S3839" t="s">
        <v>9700</v>
      </c>
      <c r="T3839" t="s">
        <v>11720</v>
      </c>
      <c r="U3839" t="s">
        <v>11720</v>
      </c>
      <c r="V3839" t="s">
        <v>11720</v>
      </c>
      <c r="W3839" t="s">
        <v>15506</v>
      </c>
      <c r="X3839">
        <v>4</v>
      </c>
      <c r="Y3839" t="s">
        <v>21220</v>
      </c>
      <c r="Z3839" t="s">
        <v>27046</v>
      </c>
      <c r="AA3839">
        <v>0.404477930676447</v>
      </c>
      <c r="AB3839" t="str">
        <f>HYPERLINK("Melting_Curves/meltCurve_Q7L8J4_SH3BP5L.pdf", "Melting_Curves/meltCurve_Q7L8J4_SH3BP5L.pdf")</f>
        <v>Melting_Curves/meltCurve_Q7L8J4_SH3BP5L.pdf</v>
      </c>
    </row>
    <row r="3840" spans="1:28" x14ac:dyDescent="0.25">
      <c r="A3840" t="s">
        <v>3844</v>
      </c>
      <c r="B3840">
        <v>0.99334974765950101</v>
      </c>
      <c r="C3840">
        <v>0.92784188212455498</v>
      </c>
      <c r="D3840">
        <v>0.90436088126208103</v>
      </c>
      <c r="E3840">
        <v>0.66772044701257605</v>
      </c>
      <c r="F3840">
        <v>0.58273586238399899</v>
      </c>
      <c r="G3840">
        <v>0.36794519505229301</v>
      </c>
      <c r="H3840">
        <v>0.38881278639896699</v>
      </c>
      <c r="I3840">
        <v>0.41412403229536898</v>
      </c>
      <c r="J3840">
        <v>0.42475379396798801</v>
      </c>
      <c r="K3840">
        <v>0.29369726147241398</v>
      </c>
      <c r="L3840">
        <v>840.01754148168902</v>
      </c>
      <c r="M3840">
        <v>16.7522968221115</v>
      </c>
      <c r="N3840">
        <v>54.164673702416103</v>
      </c>
      <c r="O3840">
        <v>49.445245850934597</v>
      </c>
      <c r="P3840">
        <v>-5.4564338757281602E-2</v>
      </c>
      <c r="Q3840">
        <v>0.35584458082020598</v>
      </c>
      <c r="R3840">
        <v>0.97135635528490105</v>
      </c>
      <c r="S3840" t="s">
        <v>9701</v>
      </c>
      <c r="T3840" t="s">
        <v>11720</v>
      </c>
      <c r="U3840" t="s">
        <v>11720</v>
      </c>
      <c r="V3840" t="s">
        <v>11720</v>
      </c>
      <c r="W3840" t="s">
        <v>15507</v>
      </c>
      <c r="X3840">
        <v>5</v>
      </c>
      <c r="Y3840" t="s">
        <v>21221</v>
      </c>
      <c r="Z3840" t="s">
        <v>27047</v>
      </c>
      <c r="AA3840">
        <v>0.5861776059388305</v>
      </c>
      <c r="AB3840" t="str">
        <f>HYPERLINK("Melting_Curves/meltCurve_Q7LBC6_KDM3B.pdf", "Melting_Curves/meltCurve_Q7LBC6_KDM3B.pdf")</f>
        <v>Melting_Curves/meltCurve_Q7LBC6_KDM3B.pdf</v>
      </c>
    </row>
    <row r="3841" spans="1:28" x14ac:dyDescent="0.25">
      <c r="A3841" t="s">
        <v>3845</v>
      </c>
      <c r="B3841">
        <v>0.99334974765950101</v>
      </c>
      <c r="C3841">
        <v>1.13569778324238</v>
      </c>
      <c r="D3841">
        <v>1.0724999913796001</v>
      </c>
      <c r="E3841">
        <v>0.96193669122015801</v>
      </c>
      <c r="F3841">
        <v>0.47877552529369999</v>
      </c>
      <c r="G3841">
        <v>0.258893098708043</v>
      </c>
      <c r="H3841">
        <v>0.206425712970535</v>
      </c>
      <c r="I3841">
        <v>0.17010827691636499</v>
      </c>
      <c r="J3841">
        <v>0.219601207354817</v>
      </c>
      <c r="K3841">
        <v>0.196478891057983</v>
      </c>
      <c r="L3841">
        <v>3029.4475142999099</v>
      </c>
      <c r="M3841">
        <v>57.794558631868199</v>
      </c>
      <c r="N3841">
        <v>52.910777581732802</v>
      </c>
      <c r="O3841">
        <v>52.354875454957799</v>
      </c>
      <c r="P3841">
        <v>-0.21849760068879101</v>
      </c>
      <c r="Q3841">
        <v>0.208270856834852</v>
      </c>
      <c r="R3841">
        <v>0.98248460580731001</v>
      </c>
      <c r="S3841" t="s">
        <v>9702</v>
      </c>
      <c r="T3841" t="s">
        <v>11720</v>
      </c>
      <c r="U3841" t="s">
        <v>11720</v>
      </c>
      <c r="V3841" t="s">
        <v>11720</v>
      </c>
      <c r="W3841" t="s">
        <v>15508</v>
      </c>
      <c r="X3841">
        <v>5</v>
      </c>
      <c r="Y3841" t="s">
        <v>21222</v>
      </c>
      <c r="Z3841" t="s">
        <v>27048</v>
      </c>
      <c r="AA3841">
        <v>0.5373494772703572</v>
      </c>
      <c r="AB3841" t="str">
        <f>HYPERLINK("Melting_Curves/meltCurve_Q7LBR1_CHMP1B.pdf", "Melting_Curves/meltCurve_Q7LBR1_CHMP1B.pdf")</f>
        <v>Melting_Curves/meltCurve_Q7LBR1_CHMP1B.pdf</v>
      </c>
    </row>
    <row r="3842" spans="1:28" x14ac:dyDescent="0.25">
      <c r="A3842" t="s">
        <v>3846</v>
      </c>
      <c r="B3842">
        <v>0.99334974765950101</v>
      </c>
      <c r="C3842">
        <v>0.98594550632212397</v>
      </c>
      <c r="D3842">
        <v>0.933436689015406</v>
      </c>
      <c r="E3842">
        <v>0.87542099332852497</v>
      </c>
      <c r="F3842">
        <v>1.04092006060326</v>
      </c>
      <c r="G3842">
        <v>0.77369309146589305</v>
      </c>
      <c r="H3842">
        <v>0.74990802478083196</v>
      </c>
      <c r="I3842">
        <v>0.94785994423166497</v>
      </c>
      <c r="J3842">
        <v>0.70606408031523604</v>
      </c>
      <c r="K3842">
        <v>0.44697734016885898</v>
      </c>
      <c r="L3842">
        <v>602.73969812627604</v>
      </c>
      <c r="M3842">
        <v>8.3491113299845807</v>
      </c>
      <c r="O3842">
        <v>68.406632722633404</v>
      </c>
      <c r="P3842">
        <v>-3.0542207073666498E-2</v>
      </c>
      <c r="Q3842">
        <v>0</v>
      </c>
      <c r="R3842">
        <v>0.65379852152873497</v>
      </c>
      <c r="S3842" t="s">
        <v>9703</v>
      </c>
      <c r="T3842" t="s">
        <v>11720</v>
      </c>
      <c r="U3842" t="s">
        <v>11720</v>
      </c>
      <c r="V3842" t="s">
        <v>11720</v>
      </c>
      <c r="W3842" t="s">
        <v>15509</v>
      </c>
      <c r="X3842">
        <v>11</v>
      </c>
      <c r="Y3842" t="s">
        <v>21223</v>
      </c>
      <c r="Z3842" t="s">
        <v>27049</v>
      </c>
      <c r="AA3842">
        <v>0.87605742477256987</v>
      </c>
      <c r="AB3842" t="str">
        <f>HYPERLINK("Melting_Curves/meltCurve_Q7LG56_RRM2B.pdf", "Melting_Curves/meltCurve_Q7LG56_RRM2B.pdf")</f>
        <v>Melting_Curves/meltCurve_Q7LG56_RRM2B.pdf</v>
      </c>
    </row>
    <row r="3843" spans="1:28" x14ac:dyDescent="0.25">
      <c r="A3843" t="s">
        <v>3847</v>
      </c>
      <c r="B3843">
        <v>0.99334974765950101</v>
      </c>
      <c r="C3843">
        <v>0.953037143786992</v>
      </c>
      <c r="D3843">
        <v>0.85141941113132602</v>
      </c>
      <c r="E3843">
        <v>0.79612430422071501</v>
      </c>
      <c r="F3843">
        <v>1.0658447924351699</v>
      </c>
      <c r="G3843">
        <v>1.01439972975027</v>
      </c>
      <c r="H3843">
        <v>0.92635898644347403</v>
      </c>
      <c r="I3843">
        <v>1.0664517424243301</v>
      </c>
      <c r="J3843">
        <v>0.83471234851754805</v>
      </c>
      <c r="K3843">
        <v>0.49722633774723202</v>
      </c>
      <c r="L3843">
        <v>15000</v>
      </c>
      <c r="M3843">
        <v>223.16651503354601</v>
      </c>
      <c r="N3843">
        <v>68.808241333999902</v>
      </c>
      <c r="O3843">
        <v>67.208992810224998</v>
      </c>
      <c r="P3843">
        <v>-0.41742164867560599</v>
      </c>
      <c r="Q3843">
        <v>0.49715599361477603</v>
      </c>
      <c r="R3843">
        <v>0.69144322445754802</v>
      </c>
      <c r="S3843" t="s">
        <v>9704</v>
      </c>
      <c r="T3843" t="s">
        <v>11720</v>
      </c>
      <c r="U3843" t="s">
        <v>11720</v>
      </c>
      <c r="V3843" t="s">
        <v>11720</v>
      </c>
      <c r="W3843" t="s">
        <v>15510</v>
      </c>
      <c r="X3843">
        <v>3</v>
      </c>
      <c r="Y3843" t="s">
        <v>21224</v>
      </c>
      <c r="Z3843" t="s">
        <v>27050</v>
      </c>
      <c r="AA3843">
        <v>0.95338267499302687</v>
      </c>
      <c r="AB3843" t="str">
        <f>HYPERLINK("Melting_Curves/meltCurve_Q7LGA3_HS2ST1.pdf", "Melting_Curves/meltCurve_Q7LGA3_HS2ST1.pdf")</f>
        <v>Melting_Curves/meltCurve_Q7LGA3_HS2ST1.pdf</v>
      </c>
    </row>
    <row r="3844" spans="1:28" x14ac:dyDescent="0.25">
      <c r="A3844" t="s">
        <v>3848</v>
      </c>
      <c r="B3844">
        <v>0.99334974765950101</v>
      </c>
      <c r="C3844">
        <v>0.92243285062219904</v>
      </c>
      <c r="D3844">
        <v>0.93527843163400104</v>
      </c>
      <c r="E3844">
        <v>1.0157703659327899</v>
      </c>
      <c r="F3844">
        <v>0.65530389516823095</v>
      </c>
      <c r="G3844">
        <v>0.36245053159153701</v>
      </c>
      <c r="H3844">
        <v>0.193919409711658</v>
      </c>
      <c r="I3844">
        <v>0.144946848125002</v>
      </c>
      <c r="J3844">
        <v>5.0964444131144399E-2</v>
      </c>
      <c r="K3844">
        <v>0</v>
      </c>
      <c r="L3844">
        <v>1109.33694591777</v>
      </c>
      <c r="M3844">
        <v>20.0606607268201</v>
      </c>
      <c r="N3844">
        <v>55.497353599759698</v>
      </c>
      <c r="O3844">
        <v>54.758410497131102</v>
      </c>
      <c r="P3844">
        <v>-8.8423402459263306E-2</v>
      </c>
      <c r="Q3844">
        <v>3.4574396219673099E-2</v>
      </c>
      <c r="R3844">
        <v>0.97987855835386195</v>
      </c>
      <c r="S3844" t="s">
        <v>9705</v>
      </c>
      <c r="T3844" t="s">
        <v>11720</v>
      </c>
      <c r="U3844" t="s">
        <v>11720</v>
      </c>
      <c r="V3844" t="s">
        <v>11720</v>
      </c>
      <c r="W3844" t="s">
        <v>15511</v>
      </c>
      <c r="X3844">
        <v>3</v>
      </c>
      <c r="Y3844" t="s">
        <v>21225</v>
      </c>
      <c r="Z3844" t="s">
        <v>27051</v>
      </c>
      <c r="AA3844">
        <v>0.53960402888676817</v>
      </c>
      <c r="AB3844" t="str">
        <f>HYPERLINK("Melting_Curves/meltCurve_Q7LGC8_CHST3.pdf", "Melting_Curves/meltCurve_Q7LGC8_CHST3.pdf")</f>
        <v>Melting_Curves/meltCurve_Q7LGC8_CHST3.pdf</v>
      </c>
    </row>
    <row r="3845" spans="1:28" x14ac:dyDescent="0.25">
      <c r="A3845" t="s">
        <v>3849</v>
      </c>
      <c r="B3845">
        <v>0.99334974765950101</v>
      </c>
      <c r="C3845">
        <v>0.99499301256688599</v>
      </c>
      <c r="D3845">
        <v>0.92299835574115496</v>
      </c>
      <c r="E3845">
        <v>0.65881960738807399</v>
      </c>
      <c r="F3845">
        <v>0.29222595595242801</v>
      </c>
      <c r="G3845">
        <v>0.18821157438915201</v>
      </c>
      <c r="H3845">
        <v>0.17957580217138799</v>
      </c>
      <c r="I3845">
        <v>0.17616043503279499</v>
      </c>
      <c r="J3845">
        <v>0.186249886782102</v>
      </c>
      <c r="K3845">
        <v>0.18497836784468899</v>
      </c>
      <c r="L3845">
        <v>1686.44294372683</v>
      </c>
      <c r="M3845">
        <v>33.469005222054903</v>
      </c>
      <c r="N3845">
        <v>51.055882440803899</v>
      </c>
      <c r="O3845">
        <v>50.209352455295999</v>
      </c>
      <c r="P3845">
        <v>-0.137112227733105</v>
      </c>
      <c r="Q3845">
        <v>0.17723462650538299</v>
      </c>
      <c r="R3845">
        <v>0.99772345645791705</v>
      </c>
      <c r="S3845" t="s">
        <v>9706</v>
      </c>
      <c r="T3845" t="s">
        <v>11720</v>
      </c>
      <c r="U3845" t="s">
        <v>11720</v>
      </c>
      <c r="V3845" t="s">
        <v>11720</v>
      </c>
      <c r="W3845" t="s">
        <v>15512</v>
      </c>
      <c r="X3845">
        <v>6</v>
      </c>
      <c r="Y3845" t="s">
        <v>21226</v>
      </c>
      <c r="Z3845" t="s">
        <v>27052</v>
      </c>
      <c r="AA3845">
        <v>0.46624326985919679</v>
      </c>
      <c r="AB3845" t="str">
        <f>HYPERLINK("Melting_Curves/meltCurve_Q7RTP6_MICAL3.pdf", "Melting_Curves/meltCurve_Q7RTP6_MICAL3.pdf")</f>
        <v>Melting_Curves/meltCurve_Q7RTP6_MICAL3.pdf</v>
      </c>
    </row>
    <row r="3846" spans="1:28" x14ac:dyDescent="0.25">
      <c r="A3846" t="s">
        <v>3850</v>
      </c>
      <c r="B3846">
        <v>0.99334974765950101</v>
      </c>
      <c r="C3846">
        <v>1.08849409155931</v>
      </c>
      <c r="D3846">
        <v>1.19585673584062</v>
      </c>
      <c r="E3846">
        <v>0.91545248495479403</v>
      </c>
      <c r="F3846">
        <v>0.418092666531169</v>
      </c>
      <c r="G3846">
        <v>0.30462984815017302</v>
      </c>
      <c r="H3846">
        <v>0.19719702432823799</v>
      </c>
      <c r="I3846">
        <v>0.192981970030975</v>
      </c>
      <c r="J3846">
        <v>0.18050799339534401</v>
      </c>
      <c r="K3846">
        <v>0.142512821708801</v>
      </c>
      <c r="L3846">
        <v>2624.3723599796599</v>
      </c>
      <c r="M3846">
        <v>50.4351197286203</v>
      </c>
      <c r="N3846">
        <v>52.567130974828402</v>
      </c>
      <c r="O3846">
        <v>51.953016526243502</v>
      </c>
      <c r="P3846">
        <v>-0.194150550567606</v>
      </c>
      <c r="Q3846">
        <v>0.200025910863592</v>
      </c>
      <c r="R3846">
        <v>0.96429252653381503</v>
      </c>
      <c r="S3846" t="s">
        <v>9707</v>
      </c>
      <c r="T3846" t="s">
        <v>11720</v>
      </c>
      <c r="U3846" t="s">
        <v>11720</v>
      </c>
      <c r="V3846" t="s">
        <v>11720</v>
      </c>
      <c r="W3846" t="s">
        <v>15513</v>
      </c>
      <c r="X3846">
        <v>2</v>
      </c>
      <c r="Y3846" t="s">
        <v>21227</v>
      </c>
      <c r="Z3846" t="s">
        <v>27053</v>
      </c>
      <c r="AA3846">
        <v>0.52274306844934204</v>
      </c>
      <c r="AB3846" t="str">
        <f>HYPERLINK("Melting_Curves/meltCurve_Q7RTS9_DYM.pdf", "Melting_Curves/meltCurve_Q7RTS9_DYM.pdf")</f>
        <v>Melting_Curves/meltCurve_Q7RTS9_DYM.pdf</v>
      </c>
    </row>
    <row r="3847" spans="1:28" x14ac:dyDescent="0.25">
      <c r="A3847" t="s">
        <v>3851</v>
      </c>
      <c r="B3847">
        <v>0.99334974765950101</v>
      </c>
      <c r="C3847">
        <v>0.96314662984139798</v>
      </c>
      <c r="D3847">
        <v>0.81537858715498002</v>
      </c>
      <c r="E3847">
        <v>0.81325188359298195</v>
      </c>
      <c r="F3847">
        <v>0.62479713757509903</v>
      </c>
      <c r="G3847">
        <v>0.77931311403554004</v>
      </c>
      <c r="H3847">
        <v>0.39900686564372301</v>
      </c>
      <c r="I3847">
        <v>0.36976569400522702</v>
      </c>
      <c r="J3847">
        <v>0.34392489407886101</v>
      </c>
      <c r="K3847">
        <v>0.329382054264239</v>
      </c>
      <c r="L3847">
        <v>387.63305190729199</v>
      </c>
      <c r="M3847">
        <v>6.4198401086452002</v>
      </c>
      <c r="N3847">
        <v>60.453491018139097</v>
      </c>
      <c r="O3847">
        <v>55.320791690274497</v>
      </c>
      <c r="P3847">
        <v>-2.8973259084788001E-2</v>
      </c>
      <c r="Q3847">
        <v>3.86146786060498E-3</v>
      </c>
      <c r="R3847">
        <v>0.90654149623658098</v>
      </c>
      <c r="S3847" t="s">
        <v>9708</v>
      </c>
      <c r="T3847" t="s">
        <v>11720</v>
      </c>
      <c r="U3847" t="s">
        <v>11720</v>
      </c>
      <c r="V3847" t="s">
        <v>11720</v>
      </c>
      <c r="W3847" t="s">
        <v>15514</v>
      </c>
      <c r="X3847">
        <v>3</v>
      </c>
      <c r="Y3847" t="s">
        <v>21228</v>
      </c>
      <c r="Z3847" t="s">
        <v>27054</v>
      </c>
      <c r="AA3847">
        <v>0.6467832255369278</v>
      </c>
      <c r="AB3847" t="str">
        <f>HYPERLINK("Melting_Curves/meltCurve_Q7RTV0_PHF5A.pdf", "Melting_Curves/meltCurve_Q7RTV0_PHF5A.pdf")</f>
        <v>Melting_Curves/meltCurve_Q7RTV0_PHF5A.pdf</v>
      </c>
    </row>
    <row r="3848" spans="1:28" x14ac:dyDescent="0.25">
      <c r="A3848" t="s">
        <v>3852</v>
      </c>
      <c r="B3848">
        <v>0.99334974765950101</v>
      </c>
      <c r="C3848">
        <v>0.97197291872830605</v>
      </c>
      <c r="D3848">
        <v>0.88906350608652096</v>
      </c>
      <c r="E3848">
        <v>0.49081118081191899</v>
      </c>
      <c r="F3848">
        <v>0.22462286883665999</v>
      </c>
      <c r="G3848">
        <v>0.19021502949330299</v>
      </c>
      <c r="H3848">
        <v>0.17314908222488201</v>
      </c>
      <c r="I3848">
        <v>0.130938600890489</v>
      </c>
      <c r="J3848">
        <v>0.124358315215454</v>
      </c>
      <c r="K3848">
        <v>0.125015835513134</v>
      </c>
      <c r="L3848">
        <v>1341.2759275293499</v>
      </c>
      <c r="M3848">
        <v>27.241024156229798</v>
      </c>
      <c r="N3848">
        <v>49.837813531768099</v>
      </c>
      <c r="O3848">
        <v>48.9743186937636</v>
      </c>
      <c r="P3848">
        <v>-0.119604971392025</v>
      </c>
      <c r="Q3848">
        <v>0.13989800436505201</v>
      </c>
      <c r="R3848">
        <v>0.99750488362690903</v>
      </c>
      <c r="S3848" t="s">
        <v>9709</v>
      </c>
      <c r="T3848" t="s">
        <v>11720</v>
      </c>
      <c r="U3848" t="s">
        <v>11720</v>
      </c>
      <c r="V3848" t="s">
        <v>11720</v>
      </c>
      <c r="W3848" t="s">
        <v>15515</v>
      </c>
      <c r="X3848">
        <v>2</v>
      </c>
      <c r="Y3848" t="s">
        <v>21229</v>
      </c>
      <c r="Z3848" t="s">
        <v>27055</v>
      </c>
      <c r="AA3848">
        <v>0.41113702020474557</v>
      </c>
      <c r="AB3848" t="str">
        <f>HYPERLINK("Melting_Curves/meltCurve_Q7RTV5_AAED1.pdf", "Melting_Curves/meltCurve_Q7RTV5_AAED1.pdf")</f>
        <v>Melting_Curves/meltCurve_Q7RTV5_AAED1.pdf</v>
      </c>
    </row>
    <row r="3849" spans="1:28" x14ac:dyDescent="0.25">
      <c r="A3849" t="s">
        <v>3853</v>
      </c>
      <c r="B3849">
        <v>0.99334974765950101</v>
      </c>
      <c r="C3849">
        <v>0.984752454213628</v>
      </c>
      <c r="D3849">
        <v>0.85746704747740998</v>
      </c>
      <c r="E3849">
        <v>0.83108716826407603</v>
      </c>
      <c r="F3849">
        <v>0.83611327682079695</v>
      </c>
      <c r="G3849">
        <v>0.69531400443254299</v>
      </c>
      <c r="H3849">
        <v>0.64717870835091895</v>
      </c>
      <c r="I3849">
        <v>0.78710100700838503</v>
      </c>
      <c r="J3849">
        <v>0.87948476450149704</v>
      </c>
      <c r="K3849">
        <v>0.76234451388858804</v>
      </c>
      <c r="L3849">
        <v>905.34197244607697</v>
      </c>
      <c r="M3849">
        <v>19.5227426078227</v>
      </c>
      <c r="O3849">
        <v>45.895389336807803</v>
      </c>
      <c r="P3849">
        <v>-2.51220038151528E-2</v>
      </c>
      <c r="Q3849">
        <v>0.76377452860183803</v>
      </c>
      <c r="R3849">
        <v>0.655674486755635</v>
      </c>
      <c r="S3849" t="s">
        <v>9710</v>
      </c>
      <c r="T3849" t="s">
        <v>11720</v>
      </c>
      <c r="U3849" t="s">
        <v>11720</v>
      </c>
      <c r="V3849" t="s">
        <v>11720</v>
      </c>
      <c r="W3849" t="s">
        <v>15516</v>
      </c>
      <c r="X3849">
        <v>23</v>
      </c>
      <c r="Y3849" t="s">
        <v>21230</v>
      </c>
      <c r="Z3849" t="s">
        <v>27056</v>
      </c>
      <c r="AA3849">
        <v>0.81772754921948498</v>
      </c>
      <c r="AB3849" t="str">
        <f>HYPERLINK("Melting_Curves/meltCurve_Q7Z2K8_GPRIN1.pdf", "Melting_Curves/meltCurve_Q7Z2K8_GPRIN1.pdf")</f>
        <v>Melting_Curves/meltCurve_Q7Z2K8_GPRIN1.pdf</v>
      </c>
    </row>
    <row r="3850" spans="1:28" x14ac:dyDescent="0.25">
      <c r="A3850" t="s">
        <v>3854</v>
      </c>
      <c r="B3850">
        <v>0.99334974765950101</v>
      </c>
      <c r="C3850">
        <v>0.99077640261098698</v>
      </c>
      <c r="D3850">
        <v>0.90327096162849296</v>
      </c>
      <c r="E3850">
        <v>0.88175412044538803</v>
      </c>
      <c r="F3850">
        <v>0.78440060755537899</v>
      </c>
      <c r="G3850">
        <v>0.3401064217782</v>
      </c>
      <c r="H3850">
        <v>0.20250738061457499</v>
      </c>
      <c r="I3850">
        <v>0.162439552553092</v>
      </c>
      <c r="J3850">
        <v>0.179313617927437</v>
      </c>
      <c r="K3850">
        <v>0.131960912461038</v>
      </c>
      <c r="L3850">
        <v>1415.96693822101</v>
      </c>
      <c r="M3850">
        <v>25.8861584642802</v>
      </c>
      <c r="N3850">
        <v>55.432445279315203</v>
      </c>
      <c r="O3850">
        <v>54.376466264970297</v>
      </c>
      <c r="P3850">
        <v>-0.101772281630093</v>
      </c>
      <c r="Q3850">
        <v>0.14487862850160299</v>
      </c>
      <c r="R3850">
        <v>0.98899081474018202</v>
      </c>
      <c r="S3850" t="s">
        <v>9711</v>
      </c>
      <c r="T3850" t="s">
        <v>11720</v>
      </c>
      <c r="U3850" t="s">
        <v>11720</v>
      </c>
      <c r="V3850" t="s">
        <v>11720</v>
      </c>
      <c r="W3850" t="s">
        <v>15517</v>
      </c>
      <c r="X3850">
        <v>5</v>
      </c>
      <c r="Y3850" t="s">
        <v>21231</v>
      </c>
      <c r="Z3850" t="s">
        <v>27057</v>
      </c>
      <c r="AA3850">
        <v>0.5713205902367553</v>
      </c>
      <c r="AB3850" t="str">
        <f>HYPERLINK("Melting_Curves/meltCurve_Q7Z2X4_4_PID1.pdf", "Melting_Curves/meltCurve_Q7Z2X4_4_PID1.pdf")</f>
        <v>Melting_Curves/meltCurve_Q7Z2X4_4_PID1.pdf</v>
      </c>
    </row>
    <row r="3851" spans="1:28" x14ac:dyDescent="0.25">
      <c r="A3851" t="s">
        <v>3855</v>
      </c>
      <c r="B3851">
        <v>0.99334974765950101</v>
      </c>
      <c r="C3851">
        <v>0.98845133571641197</v>
      </c>
      <c r="D3851">
        <v>0.95712098566133097</v>
      </c>
      <c r="E3851">
        <v>0.53442025401478199</v>
      </c>
      <c r="F3851">
        <v>0.18681450461322999</v>
      </c>
      <c r="G3851">
        <v>0.12260563044271899</v>
      </c>
      <c r="H3851">
        <v>9.7527209213895502E-2</v>
      </c>
      <c r="I3851">
        <v>8.6911882452071598E-2</v>
      </c>
      <c r="J3851">
        <v>8.1000390601047606E-2</v>
      </c>
      <c r="K3851">
        <v>6.2739231376547994E-2</v>
      </c>
      <c r="L3851">
        <v>1738.85580986123</v>
      </c>
      <c r="M3851">
        <v>34.8214280031629</v>
      </c>
      <c r="N3851">
        <v>50.209016628964001</v>
      </c>
      <c r="O3851">
        <v>49.772538615144398</v>
      </c>
      <c r="P3851">
        <v>-0.15983666411651101</v>
      </c>
      <c r="Q3851">
        <v>8.61434054942469E-2</v>
      </c>
      <c r="R3851">
        <v>0.999074905183161</v>
      </c>
      <c r="S3851" t="s">
        <v>9712</v>
      </c>
      <c r="T3851" t="s">
        <v>11720</v>
      </c>
      <c r="U3851" t="s">
        <v>11720</v>
      </c>
      <c r="V3851" t="s">
        <v>11720</v>
      </c>
      <c r="W3851" t="s">
        <v>15518</v>
      </c>
      <c r="X3851">
        <v>23</v>
      </c>
      <c r="Y3851" t="s">
        <v>21232</v>
      </c>
      <c r="Z3851" t="s">
        <v>27058</v>
      </c>
      <c r="AA3851">
        <v>0.39299996129292109</v>
      </c>
      <c r="AB3851" t="str">
        <f>HYPERLINK("Melting_Curves/meltCurve_Q7Z2Z2_EFTUD1.pdf", "Melting_Curves/meltCurve_Q7Z2Z2_EFTUD1.pdf")</f>
        <v>Melting_Curves/meltCurve_Q7Z2Z2_EFTUD1.pdf</v>
      </c>
    </row>
    <row r="3852" spans="1:28" x14ac:dyDescent="0.25">
      <c r="A3852" t="s">
        <v>3856</v>
      </c>
      <c r="B3852">
        <v>0.99334974765950101</v>
      </c>
      <c r="C3852">
        <v>1.0687214294851799</v>
      </c>
      <c r="D3852">
        <v>0.91033863819162897</v>
      </c>
      <c r="E3852">
        <v>0.93465695116381597</v>
      </c>
      <c r="F3852">
        <v>1.41832270728725</v>
      </c>
      <c r="G3852">
        <v>1.0576255850785801</v>
      </c>
      <c r="H3852">
        <v>0.61567365715290401</v>
      </c>
      <c r="I3852">
        <v>0.64748611049833305</v>
      </c>
      <c r="J3852">
        <v>0.10281683014941</v>
      </c>
      <c r="K3852">
        <v>0.116168200970569</v>
      </c>
      <c r="L3852">
        <v>1738.1359817865</v>
      </c>
      <c r="M3852">
        <v>27.219309741144201</v>
      </c>
      <c r="N3852">
        <v>63.856725011739698</v>
      </c>
      <c r="O3852">
        <v>63.515039095645399</v>
      </c>
      <c r="P3852">
        <v>-0.107138290431411</v>
      </c>
      <c r="Q3852">
        <v>0</v>
      </c>
      <c r="R3852">
        <v>0.82955099814664301</v>
      </c>
      <c r="S3852" t="s">
        <v>9713</v>
      </c>
      <c r="T3852" t="s">
        <v>11720</v>
      </c>
      <c r="U3852" t="s">
        <v>11720</v>
      </c>
      <c r="V3852" t="s">
        <v>11720</v>
      </c>
      <c r="W3852" t="s">
        <v>15519</v>
      </c>
      <c r="X3852">
        <v>2</v>
      </c>
      <c r="Y3852" t="s">
        <v>21233</v>
      </c>
      <c r="Z3852" t="s">
        <v>27059</v>
      </c>
      <c r="AA3852">
        <v>0.79583305660088643</v>
      </c>
      <c r="AB3852" t="str">
        <f>HYPERLINK("Melting_Curves/meltCurve_Q7Z388_DPY19L4.pdf", "Melting_Curves/meltCurve_Q7Z388_DPY19L4.pdf")</f>
        <v>Melting_Curves/meltCurve_Q7Z388_DPY19L4.pdf</v>
      </c>
    </row>
    <row r="3853" spans="1:28" x14ac:dyDescent="0.25">
      <c r="A3853" t="s">
        <v>3857</v>
      </c>
      <c r="B3853">
        <v>0.99334974765950101</v>
      </c>
      <c r="C3853">
        <v>0.98836072837384603</v>
      </c>
      <c r="D3853">
        <v>0.93829899367573799</v>
      </c>
      <c r="E3853">
        <v>0.87937702670825402</v>
      </c>
      <c r="F3853">
        <v>1.1418890399284101</v>
      </c>
      <c r="G3853">
        <v>0.84943620190568703</v>
      </c>
      <c r="H3853">
        <v>0.77888642142106801</v>
      </c>
      <c r="I3853">
        <v>0.87448184291243602</v>
      </c>
      <c r="J3853">
        <v>0.92284298705490297</v>
      </c>
      <c r="K3853">
        <v>0.80420597812041095</v>
      </c>
      <c r="L3853">
        <v>14047.7692419329</v>
      </c>
      <c r="M3853">
        <v>250</v>
      </c>
      <c r="O3853">
        <v>56.187481135872098</v>
      </c>
      <c r="P3853">
        <v>-0.17229825244156599</v>
      </c>
      <c r="Q3853">
        <v>0.84510392330784401</v>
      </c>
      <c r="R3853">
        <v>0.491653459922122</v>
      </c>
      <c r="S3853" t="s">
        <v>9714</v>
      </c>
      <c r="T3853" t="s">
        <v>11720</v>
      </c>
      <c r="U3853" t="s">
        <v>11720</v>
      </c>
      <c r="V3853" t="s">
        <v>11720</v>
      </c>
      <c r="W3853" t="s">
        <v>15520</v>
      </c>
      <c r="X3853">
        <v>9</v>
      </c>
      <c r="Y3853" t="s">
        <v>21234</v>
      </c>
      <c r="Z3853" t="s">
        <v>27060</v>
      </c>
      <c r="AA3853">
        <v>0.92871700829240855</v>
      </c>
      <c r="AB3853" t="str">
        <f>HYPERLINK("Melting_Curves/meltCurve_Q7Z3B1_NEGR1.pdf", "Melting_Curves/meltCurve_Q7Z3B1_NEGR1.pdf")</f>
        <v>Melting_Curves/meltCurve_Q7Z3B1_NEGR1.pdf</v>
      </c>
    </row>
    <row r="3854" spans="1:28" x14ac:dyDescent="0.25">
      <c r="A3854" t="s">
        <v>3858</v>
      </c>
      <c r="B3854">
        <v>0.99334974765950101</v>
      </c>
      <c r="C3854">
        <v>0.92354310879897195</v>
      </c>
      <c r="D3854">
        <v>0.94544245150008099</v>
      </c>
      <c r="E3854">
        <v>0.78091121265005903</v>
      </c>
      <c r="F3854">
        <v>0.68840012920246396</v>
      </c>
      <c r="G3854">
        <v>0.51475710020742604</v>
      </c>
      <c r="H3854">
        <v>0.40743926664575703</v>
      </c>
      <c r="I3854">
        <v>0.41693557085729699</v>
      </c>
      <c r="J3854">
        <v>0.34466590934531</v>
      </c>
      <c r="K3854">
        <v>0.25737385544988001</v>
      </c>
      <c r="L3854">
        <v>565.70827605911597</v>
      </c>
      <c r="M3854">
        <v>10.304445087523099</v>
      </c>
      <c r="N3854">
        <v>58.172717696552901</v>
      </c>
      <c r="O3854">
        <v>52.952435858949997</v>
      </c>
      <c r="P3854">
        <v>-3.7963169468676297E-2</v>
      </c>
      <c r="Q3854">
        <v>0.219998372631452</v>
      </c>
      <c r="R3854">
        <v>0.98770641270586501</v>
      </c>
      <c r="S3854" t="s">
        <v>9715</v>
      </c>
      <c r="T3854" t="s">
        <v>11720</v>
      </c>
      <c r="U3854" t="s">
        <v>11720</v>
      </c>
      <c r="V3854" t="s">
        <v>11720</v>
      </c>
      <c r="W3854" t="s">
        <v>15521</v>
      </c>
      <c r="X3854">
        <v>7</v>
      </c>
      <c r="Y3854" t="s">
        <v>21235</v>
      </c>
      <c r="Z3854" t="s">
        <v>27061</v>
      </c>
      <c r="AA3854">
        <v>0.62764587225420065</v>
      </c>
      <c r="AB3854" t="str">
        <f>HYPERLINK("Melting_Curves/meltCurve_Q7Z3D4_LYSMD3.pdf", "Melting_Curves/meltCurve_Q7Z3D4_LYSMD3.pdf")</f>
        <v>Melting_Curves/meltCurve_Q7Z3D4_LYSMD3.pdf</v>
      </c>
    </row>
    <row r="3855" spans="1:28" x14ac:dyDescent="0.25">
      <c r="A3855" t="s">
        <v>3859</v>
      </c>
      <c r="B3855">
        <v>0.99334974765950101</v>
      </c>
      <c r="C3855">
        <v>0.95191391406026105</v>
      </c>
      <c r="D3855">
        <v>0.95181460164384901</v>
      </c>
      <c r="E3855">
        <v>0.72396879553004301</v>
      </c>
      <c r="F3855">
        <v>0.36229820066869001</v>
      </c>
      <c r="G3855">
        <v>0.16519846839334501</v>
      </c>
      <c r="H3855">
        <v>0.12505232633455399</v>
      </c>
      <c r="I3855">
        <v>0.12666192785098099</v>
      </c>
      <c r="J3855">
        <v>8.6366686043884103E-2</v>
      </c>
      <c r="K3855">
        <v>5.7366343777403697E-2</v>
      </c>
      <c r="L3855">
        <v>1347.8824994644899</v>
      </c>
      <c r="M3855">
        <v>26.208297693422701</v>
      </c>
      <c r="N3855">
        <v>51.836554601912297</v>
      </c>
      <c r="O3855">
        <v>51.132990844631699</v>
      </c>
      <c r="P3855">
        <v>-0.116224750062358</v>
      </c>
      <c r="Q3855">
        <v>9.2981595693949495E-2</v>
      </c>
      <c r="R3855">
        <v>0.99654005806692303</v>
      </c>
      <c r="S3855" t="s">
        <v>9716</v>
      </c>
      <c r="T3855" t="s">
        <v>11720</v>
      </c>
      <c r="U3855" t="s">
        <v>11720</v>
      </c>
      <c r="V3855" t="s">
        <v>11720</v>
      </c>
      <c r="W3855" t="s">
        <v>15522</v>
      </c>
      <c r="X3855">
        <v>11</v>
      </c>
      <c r="Y3855" t="s">
        <v>21236</v>
      </c>
      <c r="Z3855" t="s">
        <v>27062</v>
      </c>
      <c r="AA3855">
        <v>0.4460493896236456</v>
      </c>
      <c r="AB3855" t="str">
        <f>HYPERLINK("Melting_Curves/meltCurve_Q7Z3D6_2_C14orf159.pdf", "Melting_Curves/meltCurve_Q7Z3D6_2_C14orf159.pdf")</f>
        <v>Melting_Curves/meltCurve_Q7Z3D6_2_C14orf159.pdf</v>
      </c>
    </row>
    <row r="3856" spans="1:28" x14ac:dyDescent="0.25">
      <c r="A3856" t="s">
        <v>3860</v>
      </c>
      <c r="B3856">
        <v>0.99334974765950101</v>
      </c>
      <c r="C3856">
        <v>0.96818921893147203</v>
      </c>
      <c r="D3856">
        <v>0.88858789447507502</v>
      </c>
      <c r="E3856">
        <v>0.66647360378935006</v>
      </c>
      <c r="F3856">
        <v>0.374163100712393</v>
      </c>
      <c r="G3856">
        <v>0.239308797270472</v>
      </c>
      <c r="H3856">
        <v>0.18040618707993</v>
      </c>
      <c r="I3856">
        <v>0.15203224313123201</v>
      </c>
      <c r="J3856">
        <v>0.16701061514826099</v>
      </c>
      <c r="K3856">
        <v>0.138238617542149</v>
      </c>
      <c r="L3856">
        <v>1027.6516068396099</v>
      </c>
      <c r="M3856">
        <v>20.243939684089298</v>
      </c>
      <c r="N3856">
        <v>51.648042814427498</v>
      </c>
      <c r="O3856">
        <v>50.275836773952399</v>
      </c>
      <c r="P3856">
        <v>-8.5919563177270702E-2</v>
      </c>
      <c r="Q3856">
        <v>0.146500971114011</v>
      </c>
      <c r="R3856">
        <v>0.99790923514288998</v>
      </c>
      <c r="S3856" t="s">
        <v>9717</v>
      </c>
      <c r="T3856" t="s">
        <v>11720</v>
      </c>
      <c r="U3856" t="s">
        <v>11720</v>
      </c>
      <c r="V3856" t="s">
        <v>11720</v>
      </c>
      <c r="W3856" t="s">
        <v>15523</v>
      </c>
      <c r="X3856">
        <v>9</v>
      </c>
      <c r="Y3856" t="s">
        <v>21237</v>
      </c>
      <c r="Z3856" t="s">
        <v>27063</v>
      </c>
      <c r="AA3856">
        <v>0.46430564628763132</v>
      </c>
      <c r="AB3856" t="str">
        <f>HYPERLINK("Melting_Curves/meltCurve_Q7Z3E2_C10orf118.pdf", "Melting_Curves/meltCurve_Q7Z3E2_C10orf118.pdf")</f>
        <v>Melting_Curves/meltCurve_Q7Z3E2_C10orf118.pdf</v>
      </c>
    </row>
    <row r="3857" spans="1:28" x14ac:dyDescent="0.25">
      <c r="A3857" t="s">
        <v>3861</v>
      </c>
      <c r="B3857">
        <v>0.99334974765950101</v>
      </c>
      <c r="C3857">
        <v>0.87630546386243702</v>
      </c>
      <c r="D3857">
        <v>0.488766505331998</v>
      </c>
      <c r="E3857">
        <v>0.176334044424342</v>
      </c>
      <c r="F3857">
        <v>0.198975538174061</v>
      </c>
      <c r="G3857">
        <v>8.7864788970482499E-2</v>
      </c>
      <c r="H3857">
        <v>6.3812964199918998E-2</v>
      </c>
      <c r="I3857">
        <v>5.1935166920165601E-2</v>
      </c>
      <c r="J3857">
        <v>5.1812470683626197E-2</v>
      </c>
      <c r="K3857">
        <v>4.3674231348452698E-2</v>
      </c>
      <c r="L3857">
        <v>1089.1801872844401</v>
      </c>
      <c r="M3857">
        <v>23.758503850378698</v>
      </c>
      <c r="N3857">
        <v>46.143200596651802</v>
      </c>
      <c r="O3857">
        <v>45.522713131666897</v>
      </c>
      <c r="P3857">
        <v>-0.121157766992398</v>
      </c>
      <c r="Q3857">
        <v>7.1432965278824603E-2</v>
      </c>
      <c r="R3857">
        <v>0.98945784914964396</v>
      </c>
      <c r="S3857" t="s">
        <v>9718</v>
      </c>
      <c r="T3857" t="s">
        <v>11720</v>
      </c>
      <c r="U3857" t="s">
        <v>11720</v>
      </c>
      <c r="V3857" t="s">
        <v>11720</v>
      </c>
      <c r="W3857" t="s">
        <v>15524</v>
      </c>
      <c r="X3857">
        <v>11</v>
      </c>
      <c r="Y3857" t="s">
        <v>21238</v>
      </c>
      <c r="Z3857" t="s">
        <v>27064</v>
      </c>
      <c r="AA3857">
        <v>0.26205121976052548</v>
      </c>
      <c r="AB3857" t="str">
        <f>HYPERLINK("Melting_Curves/meltCurve_Q7Z3E5_ARMC9.pdf", "Melting_Curves/meltCurve_Q7Z3E5_ARMC9.pdf")</f>
        <v>Melting_Curves/meltCurve_Q7Z3E5_ARMC9.pdf</v>
      </c>
    </row>
    <row r="3858" spans="1:28" x14ac:dyDescent="0.25">
      <c r="A3858" t="s">
        <v>3862</v>
      </c>
      <c r="B3858">
        <v>0.99334974765950101</v>
      </c>
      <c r="C3858">
        <v>0.98384039541581803</v>
      </c>
      <c r="D3858">
        <v>0.97757370021177004</v>
      </c>
      <c r="E3858">
        <v>0.930603588160693</v>
      </c>
      <c r="F3858">
        <v>0.57937017932453905</v>
      </c>
      <c r="G3858">
        <v>0.229964842346638</v>
      </c>
      <c r="H3858">
        <v>0.161996543366036</v>
      </c>
      <c r="I3858">
        <v>0.158236790762632</v>
      </c>
      <c r="J3858">
        <v>0.14513010535305801</v>
      </c>
      <c r="K3858">
        <v>0.126901118336958</v>
      </c>
      <c r="L3858">
        <v>1871.53063766996</v>
      </c>
      <c r="M3858">
        <v>35.2395681991229</v>
      </c>
      <c r="N3858">
        <v>53.639387465214199</v>
      </c>
      <c r="O3858">
        <v>52.938635171769697</v>
      </c>
      <c r="P3858">
        <v>-0.14192775627129101</v>
      </c>
      <c r="Q3858">
        <v>0.14715920979967301</v>
      </c>
      <c r="R3858">
        <v>0.99883293129217399</v>
      </c>
      <c r="S3858" t="s">
        <v>9719</v>
      </c>
      <c r="T3858" t="s">
        <v>11720</v>
      </c>
      <c r="U3858" t="s">
        <v>11720</v>
      </c>
      <c r="V3858" t="s">
        <v>11720</v>
      </c>
      <c r="W3858" t="s">
        <v>15525</v>
      </c>
      <c r="X3858">
        <v>23</v>
      </c>
      <c r="Y3858" t="s">
        <v>21239</v>
      </c>
      <c r="Z3858" t="s">
        <v>27065</v>
      </c>
      <c r="AA3858">
        <v>0.52384534462173316</v>
      </c>
      <c r="AB3858" t="str">
        <f>HYPERLINK("Melting_Curves/meltCurve_Q7Z3T8_ZFYVE16.pdf", "Melting_Curves/meltCurve_Q7Z3T8_ZFYVE16.pdf")</f>
        <v>Melting_Curves/meltCurve_Q7Z3T8_ZFYVE16.pdf</v>
      </c>
    </row>
    <row r="3859" spans="1:28" x14ac:dyDescent="0.25">
      <c r="A3859" t="s">
        <v>3863</v>
      </c>
      <c r="B3859">
        <v>0.99334974765950101</v>
      </c>
      <c r="C3859">
        <v>0.98836267993533999</v>
      </c>
      <c r="D3859">
        <v>1.05571009678137</v>
      </c>
      <c r="E3859">
        <v>0.52595006593719595</v>
      </c>
      <c r="F3859">
        <v>0.36032816626264502</v>
      </c>
      <c r="G3859">
        <v>0.19259536442674399</v>
      </c>
      <c r="H3859">
        <v>0.140146817058103</v>
      </c>
      <c r="I3859">
        <v>0.13494311135217299</v>
      </c>
      <c r="J3859">
        <v>0.16108452323320999</v>
      </c>
      <c r="K3859">
        <v>0.116524628089517</v>
      </c>
      <c r="L3859">
        <v>1481.96549107855</v>
      </c>
      <c r="M3859">
        <v>29.554515190549999</v>
      </c>
      <c r="N3859">
        <v>50.752000213633799</v>
      </c>
      <c r="O3859">
        <v>49.915556653160202</v>
      </c>
      <c r="P3859">
        <v>-0.125939309996738</v>
      </c>
      <c r="Q3859">
        <v>0.14919421777808101</v>
      </c>
      <c r="R3859">
        <v>0.98347333491809497</v>
      </c>
      <c r="S3859" t="s">
        <v>9720</v>
      </c>
      <c r="T3859" t="s">
        <v>11720</v>
      </c>
      <c r="U3859" t="s">
        <v>11720</v>
      </c>
      <c r="V3859" t="s">
        <v>11720</v>
      </c>
      <c r="W3859" t="s">
        <v>15526</v>
      </c>
      <c r="X3859">
        <v>2</v>
      </c>
      <c r="Y3859" t="s">
        <v>21240</v>
      </c>
      <c r="Z3859" t="s">
        <v>27066</v>
      </c>
      <c r="AA3859">
        <v>0.44230104545535109</v>
      </c>
      <c r="AB3859" t="str">
        <f>HYPERLINK("Melting_Curves/meltCurve_Q7Z3V4_UBE3B.pdf", "Melting_Curves/meltCurve_Q7Z3V4_UBE3B.pdf")</f>
        <v>Melting_Curves/meltCurve_Q7Z3V4_UBE3B.pdf</v>
      </c>
    </row>
    <row r="3860" spans="1:28" x14ac:dyDescent="0.25">
      <c r="A3860" t="s">
        <v>3864</v>
      </c>
      <c r="B3860">
        <v>0.99334974765950101</v>
      </c>
      <c r="C3860">
        <v>0.97913978589216799</v>
      </c>
      <c r="D3860">
        <v>0.93271314552797102</v>
      </c>
      <c r="E3860">
        <v>0.80574815495513297</v>
      </c>
      <c r="F3860">
        <v>0.56013016336147003</v>
      </c>
      <c r="G3860">
        <v>0.33162208212822403</v>
      </c>
      <c r="H3860">
        <v>0.29283771772421602</v>
      </c>
      <c r="I3860">
        <v>0.37947229003482102</v>
      </c>
      <c r="J3860">
        <v>0.37338758073032102</v>
      </c>
      <c r="K3860">
        <v>0.38892984962563298</v>
      </c>
      <c r="L3860">
        <v>1536.49411183544</v>
      </c>
      <c r="M3860">
        <v>29.8704491323656</v>
      </c>
      <c r="N3860">
        <v>53.574919810029797</v>
      </c>
      <c r="O3860">
        <v>51.209705836768201</v>
      </c>
      <c r="P3860">
        <v>-9.5069662135882402E-2</v>
      </c>
      <c r="Q3860">
        <v>0.34805705187216801</v>
      </c>
      <c r="R3860">
        <v>0.98350022703832796</v>
      </c>
      <c r="S3860" t="s">
        <v>9721</v>
      </c>
      <c r="T3860" t="s">
        <v>11720</v>
      </c>
      <c r="U3860" t="s">
        <v>11720</v>
      </c>
      <c r="V3860" t="s">
        <v>11720</v>
      </c>
      <c r="W3860" t="s">
        <v>15527</v>
      </c>
      <c r="X3860">
        <v>13</v>
      </c>
      <c r="Y3860" t="s">
        <v>21241</v>
      </c>
      <c r="Z3860" t="s">
        <v>27067</v>
      </c>
      <c r="AA3860">
        <v>0.60079846114081981</v>
      </c>
      <c r="AB3860" t="str">
        <f>HYPERLINK("Melting_Curves/meltCurve_Q7Z417_NUFIP2.pdf", "Melting_Curves/meltCurve_Q7Z417_NUFIP2.pdf")</f>
        <v>Melting_Curves/meltCurve_Q7Z417_NUFIP2.pdf</v>
      </c>
    </row>
    <row r="3861" spans="1:28" x14ac:dyDescent="0.25">
      <c r="A3861" t="s">
        <v>3865</v>
      </c>
      <c r="B3861">
        <v>0.99334974765950101</v>
      </c>
      <c r="C3861">
        <v>1.02288167097857</v>
      </c>
      <c r="D3861">
        <v>0.91319348980384596</v>
      </c>
      <c r="E3861">
        <v>0.88492517006696203</v>
      </c>
      <c r="F3861">
        <v>0.94189344236586803</v>
      </c>
      <c r="G3861">
        <v>0.82343987373373195</v>
      </c>
      <c r="H3861">
        <v>0.82776776034777699</v>
      </c>
      <c r="I3861">
        <v>0.81870310810191005</v>
      </c>
      <c r="J3861">
        <v>1.04287438276339</v>
      </c>
      <c r="K3861">
        <v>0.90630358791245302</v>
      </c>
      <c r="L3861">
        <v>11434.5453662787</v>
      </c>
      <c r="M3861">
        <v>250</v>
      </c>
      <c r="O3861">
        <v>45.735254534625597</v>
      </c>
      <c r="P3861">
        <v>-0.147216200029469</v>
      </c>
      <c r="Q3861">
        <v>0.89227247406974697</v>
      </c>
      <c r="R3861">
        <v>0.340189065217954</v>
      </c>
      <c r="S3861" t="s">
        <v>9722</v>
      </c>
      <c r="T3861" t="s">
        <v>11720</v>
      </c>
      <c r="U3861" t="s">
        <v>11720</v>
      </c>
      <c r="V3861" t="s">
        <v>11720</v>
      </c>
      <c r="W3861" t="s">
        <v>15528</v>
      </c>
      <c r="X3861">
        <v>5</v>
      </c>
      <c r="Y3861" t="s">
        <v>21242</v>
      </c>
      <c r="Z3861" t="s">
        <v>27068</v>
      </c>
      <c r="AA3861">
        <v>0.91288645775553345</v>
      </c>
      <c r="AB3861" t="str">
        <f>HYPERLINK("Melting_Curves/meltCurve_Q7Z422_2_SZRD1.pdf", "Melting_Curves/meltCurve_Q7Z422_2_SZRD1.pdf")</f>
        <v>Melting_Curves/meltCurve_Q7Z422_2_SZRD1.pdf</v>
      </c>
    </row>
    <row r="3862" spans="1:28" x14ac:dyDescent="0.25">
      <c r="A3862" t="s">
        <v>3866</v>
      </c>
      <c r="B3862">
        <v>0.99334974765950101</v>
      </c>
      <c r="C3862">
        <v>1.0335808771077299</v>
      </c>
      <c r="D3862">
        <v>0.88571463906653203</v>
      </c>
      <c r="E3862">
        <v>0.94637877695814299</v>
      </c>
      <c r="F3862">
        <v>0.73981160059206197</v>
      </c>
      <c r="G3862">
        <v>0.48252045085036399</v>
      </c>
      <c r="H3862">
        <v>0.36852974862246302</v>
      </c>
      <c r="I3862">
        <v>0.33068053170334799</v>
      </c>
      <c r="J3862">
        <v>0.34398874741569302</v>
      </c>
      <c r="K3862">
        <v>0.25155994612007199</v>
      </c>
      <c r="L3862">
        <v>1117.62062201193</v>
      </c>
      <c r="M3862">
        <v>20.497184092900898</v>
      </c>
      <c r="N3862">
        <v>56.924783731656902</v>
      </c>
      <c r="O3862">
        <v>54.014533119693397</v>
      </c>
      <c r="P3862">
        <v>-6.7430791013000493E-2</v>
      </c>
      <c r="Q3862">
        <v>0.289241851945436</v>
      </c>
      <c r="R3862">
        <v>0.98075530834615898</v>
      </c>
      <c r="S3862" t="s">
        <v>9723</v>
      </c>
      <c r="T3862" t="s">
        <v>11720</v>
      </c>
      <c r="U3862" t="s">
        <v>11720</v>
      </c>
      <c r="V3862" t="s">
        <v>11720</v>
      </c>
      <c r="W3862" t="s">
        <v>15529</v>
      </c>
      <c r="X3862">
        <v>6</v>
      </c>
      <c r="Y3862" t="s">
        <v>21243</v>
      </c>
      <c r="Z3862" t="s">
        <v>27069</v>
      </c>
      <c r="AA3862">
        <v>0.64258797077477003</v>
      </c>
      <c r="AB3862" t="str">
        <f>HYPERLINK("Melting_Curves/meltCurve_Q7Z434_MAVS.pdf", "Melting_Curves/meltCurve_Q7Z434_MAVS.pdf")</f>
        <v>Melting_Curves/meltCurve_Q7Z434_MAVS.pdf</v>
      </c>
    </row>
    <row r="3863" spans="1:28" x14ac:dyDescent="0.25">
      <c r="A3863" t="s">
        <v>3867</v>
      </c>
      <c r="B3863">
        <v>0.99334974765950101</v>
      </c>
      <c r="C3863">
        <v>1.00638912180614</v>
      </c>
      <c r="D3863">
        <v>1.0142689220868699</v>
      </c>
      <c r="E3863">
        <v>0.86651150587858194</v>
      </c>
      <c r="F3863">
        <v>0.73267044760477895</v>
      </c>
      <c r="G3863">
        <v>0.713605782631478</v>
      </c>
      <c r="H3863">
        <v>0.58251060035881397</v>
      </c>
      <c r="I3863">
        <v>0.43652002858588301</v>
      </c>
      <c r="J3863">
        <v>0.14725206213891401</v>
      </c>
      <c r="K3863">
        <v>9.9044631720129395E-2</v>
      </c>
      <c r="L3863">
        <v>708.79021192386597</v>
      </c>
      <c r="M3863">
        <v>11.667966932024701</v>
      </c>
      <c r="N3863">
        <v>60.746676481268103</v>
      </c>
      <c r="O3863">
        <v>59.044615250622201</v>
      </c>
      <c r="P3863">
        <v>-4.94164556507053E-2</v>
      </c>
      <c r="Q3863">
        <v>0</v>
      </c>
      <c r="R3863">
        <v>0.95083074019770997</v>
      </c>
      <c r="S3863" t="s">
        <v>9724</v>
      </c>
      <c r="T3863" t="s">
        <v>11720</v>
      </c>
      <c r="U3863" t="s">
        <v>11720</v>
      </c>
      <c r="V3863" t="s">
        <v>11720</v>
      </c>
      <c r="W3863" t="s">
        <v>15530</v>
      </c>
      <c r="X3863">
        <v>8</v>
      </c>
      <c r="Y3863" t="s">
        <v>21244</v>
      </c>
      <c r="Z3863" t="s">
        <v>27070</v>
      </c>
      <c r="AA3863">
        <v>0.68822631786940858</v>
      </c>
      <c r="AB3863" t="str">
        <f>HYPERLINK("Melting_Curves/meltCurve_Q7Z449_CYP2U1.pdf", "Melting_Curves/meltCurve_Q7Z449_CYP2U1.pdf")</f>
        <v>Melting_Curves/meltCurve_Q7Z449_CYP2U1.pdf</v>
      </c>
    </row>
    <row r="3864" spans="1:28" x14ac:dyDescent="0.25">
      <c r="A3864" t="s">
        <v>3868</v>
      </c>
      <c r="B3864">
        <v>0.99334974765950101</v>
      </c>
      <c r="C3864">
        <v>1.03245329612601</v>
      </c>
      <c r="D3864">
        <v>1.00055668401164</v>
      </c>
      <c r="E3864">
        <v>0.74107016883543797</v>
      </c>
      <c r="F3864">
        <v>0.44813808459569598</v>
      </c>
      <c r="G3864">
        <v>0.27340032617754401</v>
      </c>
      <c r="H3864">
        <v>0.240651850293534</v>
      </c>
      <c r="I3864">
        <v>0.24715754092994999</v>
      </c>
      <c r="J3864">
        <v>0.26756054274587099</v>
      </c>
      <c r="K3864">
        <v>0.24761691060896701</v>
      </c>
      <c r="L3864">
        <v>1589.70010176613</v>
      </c>
      <c r="M3864">
        <v>31.086086804501001</v>
      </c>
      <c r="N3864">
        <v>52.2981729739926</v>
      </c>
      <c r="O3864">
        <v>50.928408118353197</v>
      </c>
      <c r="P3864">
        <v>-0.114598436746311</v>
      </c>
      <c r="Q3864">
        <v>0.24901672487769</v>
      </c>
      <c r="R3864">
        <v>0.99772706266623101</v>
      </c>
      <c r="S3864" t="s">
        <v>9725</v>
      </c>
      <c r="T3864" t="s">
        <v>11720</v>
      </c>
      <c r="U3864" t="s">
        <v>11720</v>
      </c>
      <c r="V3864" t="s">
        <v>11720</v>
      </c>
      <c r="W3864" t="s">
        <v>15531</v>
      </c>
      <c r="X3864">
        <v>7</v>
      </c>
      <c r="Y3864" t="s">
        <v>21245</v>
      </c>
      <c r="Z3864" t="s">
        <v>27071</v>
      </c>
      <c r="AA3864">
        <v>0.5322549467114196</v>
      </c>
      <c r="AB3864" t="str">
        <f>HYPERLINK("Melting_Curves/meltCurve_Q7Z478_DHX29.pdf", "Melting_Curves/meltCurve_Q7Z478_DHX29.pdf")</f>
        <v>Melting_Curves/meltCurve_Q7Z478_DHX29.pdf</v>
      </c>
    </row>
    <row r="3865" spans="1:28" x14ac:dyDescent="0.25">
      <c r="A3865" t="s">
        <v>3869</v>
      </c>
      <c r="B3865">
        <v>0.99334974765950101</v>
      </c>
      <c r="C3865">
        <v>0.98070026164627999</v>
      </c>
      <c r="D3865">
        <v>0.92986477723696004</v>
      </c>
      <c r="E3865">
        <v>0.93612788344158004</v>
      </c>
      <c r="F3865">
        <v>0.88862229260391401</v>
      </c>
      <c r="G3865">
        <v>0.71763996637859095</v>
      </c>
      <c r="H3865">
        <v>0.541775390002182</v>
      </c>
      <c r="I3865">
        <v>0.66977078884484098</v>
      </c>
      <c r="J3865">
        <v>0.413370404925612</v>
      </c>
      <c r="K3865">
        <v>0.33990038851971399</v>
      </c>
      <c r="L3865">
        <v>508.16941768919997</v>
      </c>
      <c r="M3865">
        <v>7.8131770924639499</v>
      </c>
      <c r="N3865">
        <v>65.040047725643106</v>
      </c>
      <c r="O3865">
        <v>61.192096400626802</v>
      </c>
      <c r="P3865">
        <v>-3.1960122949861801E-2</v>
      </c>
      <c r="Q3865">
        <v>0</v>
      </c>
      <c r="R3865">
        <v>0.94047154325251603</v>
      </c>
      <c r="S3865" t="s">
        <v>9726</v>
      </c>
      <c r="T3865" t="s">
        <v>11720</v>
      </c>
      <c r="U3865" t="s">
        <v>11720</v>
      </c>
      <c r="V3865" t="s">
        <v>11720</v>
      </c>
      <c r="W3865" t="s">
        <v>15532</v>
      </c>
      <c r="X3865">
        <v>5</v>
      </c>
      <c r="Y3865" t="s">
        <v>21246</v>
      </c>
      <c r="Z3865" t="s">
        <v>27072</v>
      </c>
      <c r="AA3865">
        <v>0.75614128461209951</v>
      </c>
      <c r="AB3865" t="str">
        <f>HYPERLINK("Melting_Curves/meltCurve_Q7Z4F1_LRP10.pdf", "Melting_Curves/meltCurve_Q7Z4F1_LRP10.pdf")</f>
        <v>Melting_Curves/meltCurve_Q7Z4F1_LRP10.pdf</v>
      </c>
    </row>
    <row r="3866" spans="1:28" x14ac:dyDescent="0.25">
      <c r="A3866" t="s">
        <v>3870</v>
      </c>
      <c r="B3866">
        <v>0.99334974765950101</v>
      </c>
      <c r="C3866">
        <v>1.0267381913354501</v>
      </c>
      <c r="D3866">
        <v>1.03055014512212</v>
      </c>
      <c r="E3866">
        <v>0.82355625688992096</v>
      </c>
      <c r="F3866">
        <v>0.77893455630663899</v>
      </c>
      <c r="G3866">
        <v>0.38766004207587301</v>
      </c>
      <c r="H3866">
        <v>0.26497121601748502</v>
      </c>
      <c r="I3866">
        <v>0.21934307235421299</v>
      </c>
      <c r="J3866">
        <v>0.226212106477611</v>
      </c>
      <c r="K3866">
        <v>0.21638899706030101</v>
      </c>
      <c r="L3866">
        <v>1231.5101199148501</v>
      </c>
      <c r="M3866">
        <v>22.6220761931054</v>
      </c>
      <c r="N3866">
        <v>55.721299062689603</v>
      </c>
      <c r="O3866">
        <v>54.018381448694001</v>
      </c>
      <c r="P3866">
        <v>-8.3445715470375395E-2</v>
      </c>
      <c r="Q3866">
        <v>0.20298873242324</v>
      </c>
      <c r="R3866">
        <v>0.98831186695121898</v>
      </c>
      <c r="S3866" t="s">
        <v>9727</v>
      </c>
      <c r="T3866" t="s">
        <v>11720</v>
      </c>
      <c r="U3866" t="s">
        <v>11720</v>
      </c>
      <c r="V3866" t="s">
        <v>11720</v>
      </c>
      <c r="W3866" t="s">
        <v>15533</v>
      </c>
      <c r="X3866">
        <v>4</v>
      </c>
      <c r="Y3866" t="s">
        <v>21247</v>
      </c>
      <c r="Z3866" t="s">
        <v>27073</v>
      </c>
      <c r="AA3866">
        <v>0.59536404425717726</v>
      </c>
      <c r="AB3866" t="str">
        <f>HYPERLINK("Melting_Curves/meltCurve_Q7Z4G1_COMMD6.pdf", "Melting_Curves/meltCurve_Q7Z4G1_COMMD6.pdf")</f>
        <v>Melting_Curves/meltCurve_Q7Z4G1_COMMD6.pdf</v>
      </c>
    </row>
    <row r="3867" spans="1:28" x14ac:dyDescent="0.25">
      <c r="A3867" t="s">
        <v>3871</v>
      </c>
      <c r="B3867">
        <v>0.99334974765950101</v>
      </c>
      <c r="C3867">
        <v>0.97702483988194999</v>
      </c>
      <c r="D3867">
        <v>1.1144917235040701</v>
      </c>
      <c r="E3867">
        <v>1.0326579970219401</v>
      </c>
      <c r="F3867">
        <v>0.82708768807156696</v>
      </c>
      <c r="G3867">
        <v>0.33333754044805503</v>
      </c>
      <c r="H3867">
        <v>0.22084936519038101</v>
      </c>
      <c r="I3867">
        <v>0.14427345107185899</v>
      </c>
      <c r="J3867">
        <v>0.11928339712317999</v>
      </c>
      <c r="K3867">
        <v>7.2367518308901299E-2</v>
      </c>
      <c r="L3867">
        <v>1907.0473653756301</v>
      </c>
      <c r="M3867">
        <v>34.531589319876097</v>
      </c>
      <c r="N3867">
        <v>55.6917085130532</v>
      </c>
      <c r="O3867">
        <v>55.041921327428</v>
      </c>
      <c r="P3867">
        <v>-0.13717986349731101</v>
      </c>
      <c r="Q3867">
        <v>0.12536687706337599</v>
      </c>
      <c r="R3867">
        <v>0.98593546882716199</v>
      </c>
      <c r="S3867" t="s">
        <v>9728</v>
      </c>
      <c r="T3867" t="s">
        <v>11720</v>
      </c>
      <c r="U3867" t="s">
        <v>11720</v>
      </c>
      <c r="V3867" t="s">
        <v>11720</v>
      </c>
      <c r="W3867" t="s">
        <v>15534</v>
      </c>
      <c r="X3867">
        <v>4</v>
      </c>
      <c r="Y3867" t="s">
        <v>21248</v>
      </c>
      <c r="Z3867" t="s">
        <v>27074</v>
      </c>
      <c r="AA3867">
        <v>0.57371691118971635</v>
      </c>
      <c r="AB3867" t="str">
        <f>HYPERLINK("Melting_Curves/meltCurve_Q7Z4G4_2_TRMT11.pdf", "Melting_Curves/meltCurve_Q7Z4G4_2_TRMT11.pdf")</f>
        <v>Melting_Curves/meltCurve_Q7Z4G4_2_TRMT11.pdf</v>
      </c>
    </row>
    <row r="3868" spans="1:28" x14ac:dyDescent="0.25">
      <c r="A3868" t="s">
        <v>3872</v>
      </c>
      <c r="B3868">
        <v>0.99334974765950101</v>
      </c>
      <c r="C3868">
        <v>0.94649487821997602</v>
      </c>
      <c r="D3868">
        <v>0.84678611567731399</v>
      </c>
      <c r="E3868">
        <v>0.64566813056249805</v>
      </c>
      <c r="F3868">
        <v>0.52135859458017697</v>
      </c>
      <c r="G3868">
        <v>0.34134877009457598</v>
      </c>
      <c r="H3868">
        <v>0.246556349854127</v>
      </c>
      <c r="I3868">
        <v>0.24006464102320199</v>
      </c>
      <c r="J3868">
        <v>0.19071449621571401</v>
      </c>
      <c r="K3868">
        <v>0.162389781770891</v>
      </c>
      <c r="L3868">
        <v>645.21329441910996</v>
      </c>
      <c r="M3868">
        <v>12.4861594904398</v>
      </c>
      <c r="N3868">
        <v>53.1280028058288</v>
      </c>
      <c r="O3868">
        <v>50.402523012191999</v>
      </c>
      <c r="P3868">
        <v>-5.2981412104749603E-2</v>
      </c>
      <c r="Q3868">
        <v>0.14470254446085101</v>
      </c>
      <c r="R3868">
        <v>0.99825422267483799</v>
      </c>
      <c r="S3868" t="s">
        <v>9729</v>
      </c>
      <c r="T3868" t="s">
        <v>11720</v>
      </c>
      <c r="U3868" t="s">
        <v>11720</v>
      </c>
      <c r="V3868" t="s">
        <v>11720</v>
      </c>
      <c r="W3868" t="s">
        <v>15535</v>
      </c>
      <c r="X3868">
        <v>9</v>
      </c>
      <c r="Y3868" t="s">
        <v>21249</v>
      </c>
      <c r="Z3868" t="s">
        <v>27075</v>
      </c>
      <c r="AA3868">
        <v>0.50287633612819471</v>
      </c>
      <c r="AB3868" t="str">
        <f>HYPERLINK("Melting_Curves/meltCurve_Q7Z4H3_HDDC2.pdf", "Melting_Curves/meltCurve_Q7Z4H3_HDDC2.pdf")</f>
        <v>Melting_Curves/meltCurve_Q7Z4H3_HDDC2.pdf</v>
      </c>
    </row>
    <row r="3869" spans="1:28" x14ac:dyDescent="0.25">
      <c r="A3869" t="s">
        <v>3873</v>
      </c>
      <c r="B3869">
        <v>0.99334974765950101</v>
      </c>
      <c r="C3869">
        <v>0.94814042494474604</v>
      </c>
      <c r="D3869">
        <v>0.74215099126974204</v>
      </c>
      <c r="E3869">
        <v>0.45254831242611798</v>
      </c>
      <c r="F3869">
        <v>0.47699742003151502</v>
      </c>
      <c r="G3869">
        <v>0.35756849996438</v>
      </c>
      <c r="H3869">
        <v>0.25769410186208702</v>
      </c>
      <c r="I3869">
        <v>0.234043214252704</v>
      </c>
      <c r="J3869">
        <v>0.26216898548017598</v>
      </c>
      <c r="K3869">
        <v>0.26959504068733697</v>
      </c>
      <c r="L3869">
        <v>755.14112626743395</v>
      </c>
      <c r="M3869">
        <v>15.6920139889169</v>
      </c>
      <c r="N3869">
        <v>50.441788502129697</v>
      </c>
      <c r="O3869">
        <v>47.361446471628597</v>
      </c>
      <c r="P3869">
        <v>-6.1550352929254898E-2</v>
      </c>
      <c r="Q3869">
        <v>0.25698083388460002</v>
      </c>
      <c r="R3869">
        <v>0.97716436708437404</v>
      </c>
      <c r="S3869" t="s">
        <v>9730</v>
      </c>
      <c r="T3869" t="s">
        <v>11720</v>
      </c>
      <c r="U3869" t="s">
        <v>11720</v>
      </c>
      <c r="V3869" t="s">
        <v>11720</v>
      </c>
      <c r="W3869" t="s">
        <v>15536</v>
      </c>
      <c r="X3869">
        <v>1</v>
      </c>
      <c r="Y3869" t="s">
        <v>21250</v>
      </c>
      <c r="Z3869" t="s">
        <v>27076</v>
      </c>
      <c r="AA3869">
        <v>0.4755407103292395</v>
      </c>
      <c r="AB3869" t="str">
        <f>HYPERLINK("Melting_Curves/meltCurve_Q7Z4H7_3_HAUS6.pdf", "Melting_Curves/meltCurve_Q7Z4H7_3_HAUS6.pdf")</f>
        <v>Melting_Curves/meltCurve_Q7Z4H7_3_HAUS6.pdf</v>
      </c>
    </row>
    <row r="3870" spans="1:28" x14ac:dyDescent="0.25">
      <c r="A3870" t="s">
        <v>3874</v>
      </c>
      <c r="B3870">
        <v>0.99334974765950101</v>
      </c>
      <c r="C3870">
        <v>0.96787968121132395</v>
      </c>
      <c r="D3870">
        <v>0.93391878705756104</v>
      </c>
      <c r="E3870">
        <v>0.80998680548740398</v>
      </c>
      <c r="F3870">
        <v>0.219662278650504</v>
      </c>
      <c r="G3870">
        <v>0.13507866710854899</v>
      </c>
      <c r="H3870">
        <v>0.110152480779284</v>
      </c>
      <c r="I3870">
        <v>8.9377640867048996E-2</v>
      </c>
      <c r="J3870">
        <v>7.3263072764411602E-2</v>
      </c>
      <c r="K3870">
        <v>5.4622176160862297E-2</v>
      </c>
      <c r="L3870">
        <v>2702.4288202118901</v>
      </c>
      <c r="M3870">
        <v>52.742457224794201</v>
      </c>
      <c r="N3870">
        <v>51.433541384121298</v>
      </c>
      <c r="O3870">
        <v>51.164723183368103</v>
      </c>
      <c r="P3870">
        <v>-0.23431996364518401</v>
      </c>
      <c r="Q3870">
        <v>9.0758839728985394E-2</v>
      </c>
      <c r="R3870">
        <v>0.99459227805184602</v>
      </c>
      <c r="S3870" t="s">
        <v>9731</v>
      </c>
      <c r="T3870" t="s">
        <v>11720</v>
      </c>
      <c r="U3870" t="s">
        <v>11720</v>
      </c>
      <c r="V3870" t="s">
        <v>11720</v>
      </c>
      <c r="W3870" t="s">
        <v>15537</v>
      </c>
      <c r="X3870">
        <v>21</v>
      </c>
      <c r="Y3870" t="s">
        <v>21251</v>
      </c>
      <c r="Z3870" t="s">
        <v>27077</v>
      </c>
      <c r="AA3870">
        <v>0.43321255266680248</v>
      </c>
      <c r="AB3870" t="str">
        <f>HYPERLINK("Melting_Curves/meltCurve_Q7Z4H8_KDELC2.pdf", "Melting_Curves/meltCurve_Q7Z4H8_KDELC2.pdf")</f>
        <v>Melting_Curves/meltCurve_Q7Z4H8_KDELC2.pdf</v>
      </c>
    </row>
    <row r="3871" spans="1:28" x14ac:dyDescent="0.25">
      <c r="A3871" t="s">
        <v>3875</v>
      </c>
      <c r="B3871">
        <v>0.99334974765950101</v>
      </c>
      <c r="C3871">
        <v>0.95742184486968196</v>
      </c>
      <c r="D3871">
        <v>0.51215623463921101</v>
      </c>
      <c r="E3871">
        <v>0.38289824001489903</v>
      </c>
      <c r="F3871">
        <v>0.28600917251359198</v>
      </c>
      <c r="G3871">
        <v>0.13052431272297199</v>
      </c>
      <c r="H3871">
        <v>7.3357661501895405E-2</v>
      </c>
      <c r="I3871">
        <v>7.6867693349811403E-2</v>
      </c>
      <c r="J3871">
        <v>4.7297652175336803E-2</v>
      </c>
      <c r="K3871">
        <v>2.1253436636812902E-2</v>
      </c>
      <c r="L3871">
        <v>698.05017017342902</v>
      </c>
      <c r="M3871">
        <v>14.639125242993099</v>
      </c>
      <c r="N3871">
        <v>47.986521895969503</v>
      </c>
      <c r="O3871">
        <v>46.820580473287002</v>
      </c>
      <c r="P3871">
        <v>-7.4727724263196404E-2</v>
      </c>
      <c r="Q3871">
        <v>4.4094083258277801E-2</v>
      </c>
      <c r="R3871">
        <v>0.96785633730089204</v>
      </c>
      <c r="S3871" t="s">
        <v>9732</v>
      </c>
      <c r="T3871" t="s">
        <v>11720</v>
      </c>
      <c r="U3871" t="s">
        <v>11720</v>
      </c>
      <c r="V3871" t="s">
        <v>11720</v>
      </c>
      <c r="W3871" t="s">
        <v>15538</v>
      </c>
      <c r="X3871">
        <v>1</v>
      </c>
      <c r="Y3871" t="s">
        <v>21252</v>
      </c>
      <c r="Z3871" t="s">
        <v>27078</v>
      </c>
      <c r="AA3871">
        <v>0.31515872293546021</v>
      </c>
      <c r="AB3871" t="str">
        <f>HYPERLINK("Melting_Curves/meltCurve_Q7Z4L0_COX8C.pdf", "Melting_Curves/meltCurve_Q7Z4L0_COX8C.pdf")</f>
        <v>Melting_Curves/meltCurve_Q7Z4L0_COX8C.pdf</v>
      </c>
    </row>
    <row r="3872" spans="1:28" x14ac:dyDescent="0.25">
      <c r="A3872" t="s">
        <v>3876</v>
      </c>
      <c r="B3872">
        <v>0.99334974765950101</v>
      </c>
      <c r="C3872">
        <v>0.92742191958835296</v>
      </c>
      <c r="D3872">
        <v>0.86900231624727398</v>
      </c>
      <c r="E3872">
        <v>0.426410487417761</v>
      </c>
      <c r="F3872">
        <v>0.26696323747581702</v>
      </c>
      <c r="G3872">
        <v>0.193735321348211</v>
      </c>
      <c r="H3872">
        <v>0.14852888871372899</v>
      </c>
      <c r="I3872">
        <v>0.118035150157094</v>
      </c>
      <c r="J3872">
        <v>9.86634604510854E-2</v>
      </c>
      <c r="K3872">
        <v>4.5404808282961499E-2</v>
      </c>
      <c r="L3872">
        <v>1039.1297466624001</v>
      </c>
      <c r="M3872">
        <v>21.177750107302099</v>
      </c>
      <c r="N3872">
        <v>49.617196177058297</v>
      </c>
      <c r="O3872">
        <v>48.635834435688402</v>
      </c>
      <c r="P3872">
        <v>-9.7470225886253106E-2</v>
      </c>
      <c r="Q3872">
        <v>0.104640936567465</v>
      </c>
      <c r="R3872">
        <v>0.99114039925189201</v>
      </c>
      <c r="S3872" t="s">
        <v>9733</v>
      </c>
      <c r="T3872" t="s">
        <v>11720</v>
      </c>
      <c r="U3872" t="s">
        <v>11720</v>
      </c>
      <c r="V3872" t="s">
        <v>11720</v>
      </c>
      <c r="W3872" t="s">
        <v>15539</v>
      </c>
      <c r="X3872">
        <v>2</v>
      </c>
      <c r="Y3872" t="s">
        <v>21253</v>
      </c>
      <c r="Z3872" t="s">
        <v>27079</v>
      </c>
      <c r="AA3872">
        <v>0.38640664657524387</v>
      </c>
      <c r="AB3872" t="str">
        <f>HYPERLINK("Melting_Curves/meltCurve_Q7Z4N8_P4HA3.pdf", "Melting_Curves/meltCurve_Q7Z4N8_P4HA3.pdf")</f>
        <v>Melting_Curves/meltCurve_Q7Z4N8_P4HA3.pdf</v>
      </c>
    </row>
    <row r="3873" spans="1:28" x14ac:dyDescent="0.25">
      <c r="A3873" t="s">
        <v>3877</v>
      </c>
      <c r="B3873">
        <v>0.99334974765950101</v>
      </c>
      <c r="C3873">
        <v>1.0329978068152501</v>
      </c>
      <c r="D3873">
        <v>1.09790706432881</v>
      </c>
      <c r="E3873">
        <v>0.550578674716797</v>
      </c>
      <c r="F3873">
        <v>0.21961334251058301</v>
      </c>
      <c r="G3873">
        <v>0.19242279314125499</v>
      </c>
      <c r="H3873">
        <v>0.14244622750637001</v>
      </c>
      <c r="I3873">
        <v>0.140997808253912</v>
      </c>
      <c r="J3873">
        <v>0.10188101187639501</v>
      </c>
      <c r="K3873">
        <v>7.5010754278544006E-2</v>
      </c>
      <c r="L3873">
        <v>2511.5395830757302</v>
      </c>
      <c r="M3873">
        <v>50.249003780352197</v>
      </c>
      <c r="N3873">
        <v>50.299756554142199</v>
      </c>
      <c r="O3873">
        <v>49.902906357186701</v>
      </c>
      <c r="P3873">
        <v>-0.217488750006645</v>
      </c>
      <c r="Q3873">
        <v>0.136037666679069</v>
      </c>
      <c r="R3873">
        <v>0.98625472530363201</v>
      </c>
      <c r="S3873" t="s">
        <v>9734</v>
      </c>
      <c r="T3873" t="s">
        <v>11720</v>
      </c>
      <c r="U3873" t="s">
        <v>11720</v>
      </c>
      <c r="V3873" t="s">
        <v>11720</v>
      </c>
      <c r="W3873" t="s">
        <v>15540</v>
      </c>
      <c r="X3873">
        <v>6</v>
      </c>
      <c r="Y3873" t="s">
        <v>21254</v>
      </c>
      <c r="Z3873" t="s">
        <v>27080</v>
      </c>
      <c r="AA3873">
        <v>0.42538911472399421</v>
      </c>
      <c r="AB3873" t="str">
        <f>HYPERLINK("Melting_Curves/meltCurve_Q7Z4Q2_HEATR3.pdf", "Melting_Curves/meltCurve_Q7Z4Q2_HEATR3.pdf")</f>
        <v>Melting_Curves/meltCurve_Q7Z4Q2_HEATR3.pdf</v>
      </c>
    </row>
    <row r="3874" spans="1:28" x14ac:dyDescent="0.25">
      <c r="A3874" t="s">
        <v>3878</v>
      </c>
      <c r="B3874">
        <v>0.99334974765950101</v>
      </c>
      <c r="C3874">
        <v>0.97280165848889</v>
      </c>
      <c r="D3874">
        <v>1.0567674036288399</v>
      </c>
      <c r="E3874">
        <v>0.94042335289199097</v>
      </c>
      <c r="F3874">
        <v>0.74794909979426905</v>
      </c>
      <c r="G3874">
        <v>0.42046491012554998</v>
      </c>
      <c r="H3874">
        <v>0.18165318388056101</v>
      </c>
      <c r="I3874">
        <v>0.121809262975592</v>
      </c>
      <c r="J3874">
        <v>8.3758207029649701E-2</v>
      </c>
      <c r="K3874">
        <v>6.5547362775308607E-2</v>
      </c>
      <c r="L3874">
        <v>1218.16349340793</v>
      </c>
      <c r="M3874">
        <v>21.884077199498702</v>
      </c>
      <c r="N3874">
        <v>56.005009190179003</v>
      </c>
      <c r="O3874">
        <v>55.2058253588783</v>
      </c>
      <c r="P3874">
        <v>-9.2928989442209398E-2</v>
      </c>
      <c r="Q3874">
        <v>6.2312873034958E-2</v>
      </c>
      <c r="R3874">
        <v>0.99643759024080403</v>
      </c>
      <c r="S3874" t="s">
        <v>9735</v>
      </c>
      <c r="T3874" t="s">
        <v>11720</v>
      </c>
      <c r="U3874" t="s">
        <v>11720</v>
      </c>
      <c r="V3874" t="s">
        <v>11720</v>
      </c>
      <c r="W3874" t="s">
        <v>15541</v>
      </c>
      <c r="X3874">
        <v>11</v>
      </c>
      <c r="Y3874" t="s">
        <v>21255</v>
      </c>
      <c r="Z3874" t="s">
        <v>27081</v>
      </c>
      <c r="AA3874">
        <v>0.56263710494083985</v>
      </c>
      <c r="AB3874" t="str">
        <f>HYPERLINK("Melting_Curves/meltCurve_Q7Z4W1_DCXR.pdf", "Melting_Curves/meltCurve_Q7Z4W1_DCXR.pdf")</f>
        <v>Melting_Curves/meltCurve_Q7Z4W1_DCXR.pdf</v>
      </c>
    </row>
    <row r="3875" spans="1:28" x14ac:dyDescent="0.25">
      <c r="A3875" t="s">
        <v>3879</v>
      </c>
      <c r="B3875">
        <v>0.99334974765950101</v>
      </c>
      <c r="C3875">
        <v>1.02899213568506</v>
      </c>
      <c r="D3875">
        <v>0.88863312382211901</v>
      </c>
      <c r="E3875">
        <v>1.02636767483486</v>
      </c>
      <c r="F3875">
        <v>1.1151132124932499</v>
      </c>
      <c r="G3875">
        <v>0.87401566041171697</v>
      </c>
      <c r="H3875">
        <v>0.70067058419135697</v>
      </c>
      <c r="I3875">
        <v>0.50347059214553103</v>
      </c>
      <c r="J3875">
        <v>0.50257166897580996</v>
      </c>
      <c r="K3875">
        <v>0.38080451486101702</v>
      </c>
      <c r="L3875">
        <v>1612.93817093245</v>
      </c>
      <c r="M3875">
        <v>26.522455118332701</v>
      </c>
      <c r="N3875">
        <v>64.741796916940004</v>
      </c>
      <c r="O3875">
        <v>60.471504201689498</v>
      </c>
      <c r="P3875">
        <v>-6.5794031990444798E-2</v>
      </c>
      <c r="Q3875">
        <v>0.39996188267124599</v>
      </c>
      <c r="R3875">
        <v>0.94028162417044603</v>
      </c>
      <c r="S3875" t="s">
        <v>9736</v>
      </c>
      <c r="T3875" t="s">
        <v>11720</v>
      </c>
      <c r="U3875" t="s">
        <v>11720</v>
      </c>
      <c r="V3875" t="s">
        <v>11720</v>
      </c>
      <c r="W3875" t="s">
        <v>15542</v>
      </c>
      <c r="X3875">
        <v>6</v>
      </c>
      <c r="Y3875" t="s">
        <v>21256</v>
      </c>
      <c r="Z3875" t="s">
        <v>27082</v>
      </c>
      <c r="AA3875">
        <v>0.82004559469389193</v>
      </c>
      <c r="AB3875" t="str">
        <f>HYPERLINK("Melting_Curves/meltCurve_Q7Z5G4_3_GOLGA7.pdf", "Melting_Curves/meltCurve_Q7Z5G4_3_GOLGA7.pdf")</f>
        <v>Melting_Curves/meltCurve_Q7Z5G4_3_GOLGA7.pdf</v>
      </c>
    </row>
    <row r="3876" spans="1:28" x14ac:dyDescent="0.25">
      <c r="A3876" t="s">
        <v>3880</v>
      </c>
      <c r="B3876">
        <v>0.99334974765950101</v>
      </c>
      <c r="C3876">
        <v>0.81033935536803203</v>
      </c>
      <c r="D3876">
        <v>0.985264306804709</v>
      </c>
      <c r="E3876">
        <v>0.54557517722725302</v>
      </c>
      <c r="F3876">
        <v>0.26254630769965798</v>
      </c>
      <c r="G3876">
        <v>0.23546689046686201</v>
      </c>
      <c r="H3876">
        <v>0.15788880876313299</v>
      </c>
      <c r="I3876">
        <v>0.14862305992514099</v>
      </c>
      <c r="J3876">
        <v>0.103386347564992</v>
      </c>
      <c r="K3876">
        <v>0.165521754781461</v>
      </c>
      <c r="L3876">
        <v>1486.36046641239</v>
      </c>
      <c r="M3876">
        <v>29.839268257803401</v>
      </c>
      <c r="N3876">
        <v>50.437152961206699</v>
      </c>
      <c r="O3876">
        <v>49.590111166533099</v>
      </c>
      <c r="P3876">
        <v>-0.12718395419464201</v>
      </c>
      <c r="Q3876">
        <v>0.154533630900244</v>
      </c>
      <c r="R3876">
        <v>0.96357527335667004</v>
      </c>
      <c r="S3876" t="s">
        <v>9737</v>
      </c>
      <c r="T3876" t="s">
        <v>11720</v>
      </c>
      <c r="U3876" t="s">
        <v>11720</v>
      </c>
      <c r="V3876" t="s">
        <v>11720</v>
      </c>
      <c r="W3876" t="s">
        <v>15543</v>
      </c>
      <c r="X3876">
        <v>3</v>
      </c>
      <c r="Y3876" t="s">
        <v>21257</v>
      </c>
      <c r="Z3876" t="s">
        <v>27083</v>
      </c>
      <c r="AA3876">
        <v>0.43633462595570782</v>
      </c>
      <c r="AB3876" t="str">
        <f>HYPERLINK("Melting_Curves/meltCurve_Q7Z5H3_3_ARHGAP22.pdf", "Melting_Curves/meltCurve_Q7Z5H3_3_ARHGAP22.pdf")</f>
        <v>Melting_Curves/meltCurve_Q7Z5H3_3_ARHGAP22.pdf</v>
      </c>
    </row>
    <row r="3877" spans="1:28" x14ac:dyDescent="0.25">
      <c r="A3877" t="s">
        <v>3881</v>
      </c>
      <c r="B3877">
        <v>0.99334974765950101</v>
      </c>
      <c r="C3877">
        <v>0.98318259741666703</v>
      </c>
      <c r="D3877">
        <v>0.85850960074439597</v>
      </c>
      <c r="E3877">
        <v>0.39584822114037999</v>
      </c>
      <c r="F3877">
        <v>0.25691101357249202</v>
      </c>
      <c r="G3877">
        <v>0.17314669372130601</v>
      </c>
      <c r="H3877">
        <v>0.126800801820009</v>
      </c>
      <c r="I3877">
        <v>0.13195355824897501</v>
      </c>
      <c r="J3877">
        <v>0.153614190176843</v>
      </c>
      <c r="K3877">
        <v>0.155665383497161</v>
      </c>
      <c r="L3877">
        <v>1328.81402587564</v>
      </c>
      <c r="M3877">
        <v>27.355897928369998</v>
      </c>
      <c r="N3877">
        <v>49.203814468561298</v>
      </c>
      <c r="O3877">
        <v>48.317679759359102</v>
      </c>
      <c r="P3877">
        <v>-0.120664575861563</v>
      </c>
      <c r="Q3877">
        <v>0.14750675403442501</v>
      </c>
      <c r="R3877">
        <v>0.99794549159146695</v>
      </c>
      <c r="S3877" t="s">
        <v>9738</v>
      </c>
      <c r="T3877" t="s">
        <v>11720</v>
      </c>
      <c r="U3877" t="s">
        <v>11720</v>
      </c>
      <c r="V3877" t="s">
        <v>11720</v>
      </c>
      <c r="W3877" t="s">
        <v>15544</v>
      </c>
      <c r="X3877">
        <v>9</v>
      </c>
      <c r="Y3877" t="s">
        <v>21258</v>
      </c>
      <c r="Z3877" t="s">
        <v>27084</v>
      </c>
      <c r="AA3877">
        <v>0.39742872580061089</v>
      </c>
      <c r="AB3877" t="str">
        <f>HYPERLINK("Melting_Curves/meltCurve_Q7Z5K2_WAPAL.pdf", "Melting_Curves/meltCurve_Q7Z5K2_WAPAL.pdf")</f>
        <v>Melting_Curves/meltCurve_Q7Z5K2_WAPAL.pdf</v>
      </c>
    </row>
    <row r="3878" spans="1:28" x14ac:dyDescent="0.25">
      <c r="A3878" t="s">
        <v>3882</v>
      </c>
      <c r="B3878">
        <v>0.99334974765950101</v>
      </c>
      <c r="C3878">
        <v>0.92775410566709604</v>
      </c>
      <c r="D3878">
        <v>0.80164207914449503</v>
      </c>
      <c r="E3878">
        <v>0.526168333699501</v>
      </c>
      <c r="F3878">
        <v>0.29710368475570398</v>
      </c>
      <c r="G3878">
        <v>0.21624129680371901</v>
      </c>
      <c r="H3878">
        <v>0.125346097768716</v>
      </c>
      <c r="I3878">
        <v>0.121980765575392</v>
      </c>
      <c r="J3878">
        <v>0.109990695294158</v>
      </c>
      <c r="K3878">
        <v>0.1114243511047</v>
      </c>
      <c r="L3878">
        <v>832.10557118665099</v>
      </c>
      <c r="M3878">
        <v>16.818857566246901</v>
      </c>
      <c r="N3878">
        <v>50.154965689139203</v>
      </c>
      <c r="O3878">
        <v>48.791013953100403</v>
      </c>
      <c r="P3878">
        <v>-7.73925518219655E-2</v>
      </c>
      <c r="Q3878">
        <v>0.102003768753089</v>
      </c>
      <c r="R3878">
        <v>0.99833869490919103</v>
      </c>
      <c r="S3878" t="s">
        <v>9739</v>
      </c>
      <c r="T3878" t="s">
        <v>11720</v>
      </c>
      <c r="U3878" t="s">
        <v>11720</v>
      </c>
      <c r="V3878" t="s">
        <v>11720</v>
      </c>
      <c r="W3878" t="s">
        <v>15545</v>
      </c>
      <c r="X3878">
        <v>4</v>
      </c>
      <c r="Y3878" t="s">
        <v>21259</v>
      </c>
      <c r="Z3878" t="s">
        <v>27085</v>
      </c>
      <c r="AA3878">
        <v>0.4031959480319447</v>
      </c>
      <c r="AB3878" t="str">
        <f>HYPERLINK("Melting_Curves/meltCurve_Q7Z5L2_2_R3HCC1L.pdf", "Melting_Curves/meltCurve_Q7Z5L2_2_R3HCC1L.pdf")</f>
        <v>Melting_Curves/meltCurve_Q7Z5L2_2_R3HCC1L.pdf</v>
      </c>
    </row>
    <row r="3879" spans="1:28" x14ac:dyDescent="0.25">
      <c r="A3879" t="s">
        <v>3883</v>
      </c>
      <c r="B3879">
        <v>0.99334974765950101</v>
      </c>
      <c r="C3879">
        <v>0.94263826508867299</v>
      </c>
      <c r="D3879">
        <v>0.83477596685681299</v>
      </c>
      <c r="E3879">
        <v>0.73688880410410895</v>
      </c>
      <c r="F3879">
        <v>0.52112776937483496</v>
      </c>
      <c r="G3879">
        <v>0.46542947944973401</v>
      </c>
      <c r="H3879">
        <v>0.377069989831398</v>
      </c>
      <c r="I3879">
        <v>0.401302638367808</v>
      </c>
      <c r="J3879">
        <v>0.386300630948053</v>
      </c>
      <c r="K3879">
        <v>0.42059697802936302</v>
      </c>
      <c r="L3879">
        <v>768.73601691242504</v>
      </c>
      <c r="M3879">
        <v>15.4217665365274</v>
      </c>
      <c r="N3879">
        <v>54.896442996159998</v>
      </c>
      <c r="O3879">
        <v>49.031860230775301</v>
      </c>
      <c r="P3879">
        <v>-4.8838635411841802E-2</v>
      </c>
      <c r="Q3879">
        <v>0.37894729078372802</v>
      </c>
      <c r="R3879">
        <v>0.98512701214603304</v>
      </c>
      <c r="S3879" t="s">
        <v>9740</v>
      </c>
      <c r="T3879" t="s">
        <v>11720</v>
      </c>
      <c r="U3879" t="s">
        <v>11720</v>
      </c>
      <c r="V3879" t="s">
        <v>11720</v>
      </c>
      <c r="W3879" t="s">
        <v>15546</v>
      </c>
      <c r="X3879">
        <v>1</v>
      </c>
      <c r="Y3879" t="s">
        <v>21260</v>
      </c>
      <c r="Z3879" t="s">
        <v>27086</v>
      </c>
      <c r="AA3879">
        <v>0.59696606933374241</v>
      </c>
      <c r="AB3879" t="str">
        <f>HYPERLINK("Melting_Curves/meltCurve_Q7Z5L7_PODN.pdf", "Melting_Curves/meltCurve_Q7Z5L7_PODN.pdf")</f>
        <v>Melting_Curves/meltCurve_Q7Z5L7_PODN.pdf</v>
      </c>
    </row>
    <row r="3880" spans="1:28" x14ac:dyDescent="0.25">
      <c r="A3880" t="s">
        <v>3884</v>
      </c>
      <c r="B3880">
        <v>0.99334974765950101</v>
      </c>
      <c r="C3880">
        <v>0.939299490166283</v>
      </c>
      <c r="D3880">
        <v>0.96314841291433895</v>
      </c>
      <c r="E3880">
        <v>0.70803783040285695</v>
      </c>
      <c r="F3880">
        <v>0.293153579415323</v>
      </c>
      <c r="G3880">
        <v>0.101915040316449</v>
      </c>
      <c r="H3880">
        <v>6.90975888914033E-2</v>
      </c>
      <c r="I3880">
        <v>5.2828747881293298E-2</v>
      </c>
      <c r="J3880">
        <v>5.5027740888136098E-2</v>
      </c>
      <c r="K3880">
        <v>4.4863359063611601E-2</v>
      </c>
      <c r="L3880">
        <v>1590.97962447238</v>
      </c>
      <c r="M3880">
        <v>31.053002362693601</v>
      </c>
      <c r="N3880">
        <v>51.4238553169006</v>
      </c>
      <c r="O3880">
        <v>51.023256669047903</v>
      </c>
      <c r="P3880">
        <v>-0.14392493423286401</v>
      </c>
      <c r="Q3880">
        <v>5.4071874158557701E-2</v>
      </c>
      <c r="R3880">
        <v>0.99757033816134499</v>
      </c>
      <c r="S3880" t="s">
        <v>9741</v>
      </c>
      <c r="T3880" t="s">
        <v>11720</v>
      </c>
      <c r="U3880" t="s">
        <v>11720</v>
      </c>
      <c r="V3880" t="s">
        <v>11720</v>
      </c>
      <c r="W3880" t="s">
        <v>15547</v>
      </c>
      <c r="X3880">
        <v>12</v>
      </c>
      <c r="Y3880" t="s">
        <v>21261</v>
      </c>
      <c r="Z3880" t="s">
        <v>27087</v>
      </c>
      <c r="AA3880">
        <v>0.4138728520164312</v>
      </c>
      <c r="AB3880" t="str">
        <f>HYPERLINK("Melting_Curves/meltCurve_Q7Z5R6_APBB1IP.pdf", "Melting_Curves/meltCurve_Q7Z5R6_APBB1IP.pdf")</f>
        <v>Melting_Curves/meltCurve_Q7Z5R6_APBB1IP.pdf</v>
      </c>
    </row>
    <row r="3881" spans="1:28" x14ac:dyDescent="0.25">
      <c r="A3881" t="s">
        <v>3885</v>
      </c>
      <c r="B3881">
        <v>0.99334974765950101</v>
      </c>
      <c r="C3881">
        <v>0.953690573083945</v>
      </c>
      <c r="D3881">
        <v>0.56221721277452696</v>
      </c>
      <c r="E3881">
        <v>0.24198170015669401</v>
      </c>
      <c r="F3881">
        <v>0.136151119857369</v>
      </c>
      <c r="G3881">
        <v>6.2157341501330197E-2</v>
      </c>
      <c r="H3881">
        <v>7.44502211472758E-2</v>
      </c>
      <c r="I3881">
        <v>8.5691338057770197E-2</v>
      </c>
      <c r="J3881">
        <v>0.11546597425069099</v>
      </c>
      <c r="K3881">
        <v>9.8958547661909493E-2</v>
      </c>
      <c r="L3881">
        <v>1244.5794220852099</v>
      </c>
      <c r="M3881">
        <v>26.834982865869002</v>
      </c>
      <c r="N3881">
        <v>46.735003575280203</v>
      </c>
      <c r="O3881">
        <v>46.123747540084501</v>
      </c>
      <c r="P3881">
        <v>-0.132007520125623</v>
      </c>
      <c r="Q3881">
        <v>9.2435780385448099E-2</v>
      </c>
      <c r="R3881">
        <v>0.99421129863468805</v>
      </c>
      <c r="S3881" t="s">
        <v>9742</v>
      </c>
      <c r="T3881" t="s">
        <v>11720</v>
      </c>
      <c r="U3881" t="s">
        <v>11720</v>
      </c>
      <c r="V3881" t="s">
        <v>11720</v>
      </c>
      <c r="W3881" t="s">
        <v>15548</v>
      </c>
      <c r="X3881">
        <v>1</v>
      </c>
      <c r="Y3881" t="s">
        <v>21262</v>
      </c>
      <c r="Z3881" t="s">
        <v>27088</v>
      </c>
      <c r="AA3881">
        <v>0.29244021395863568</v>
      </c>
      <c r="AB3881" t="str">
        <f>HYPERLINK("Melting_Curves/meltCurve_Q7Z624_CAMKMT.pdf", "Melting_Curves/meltCurve_Q7Z624_CAMKMT.pdf")</f>
        <v>Melting_Curves/meltCurve_Q7Z624_CAMKMT.pdf</v>
      </c>
    </row>
    <row r="3882" spans="1:28" x14ac:dyDescent="0.25">
      <c r="A3882" t="s">
        <v>3886</v>
      </c>
      <c r="B3882">
        <v>0.99334974765950101</v>
      </c>
      <c r="C3882">
        <v>1.03053530117331</v>
      </c>
      <c r="D3882">
        <v>1.07179152457227</v>
      </c>
      <c r="E3882">
        <v>1.0947027982298301</v>
      </c>
      <c r="F3882">
        <v>0.59776385889880601</v>
      </c>
      <c r="G3882">
        <v>0.41555117710036898</v>
      </c>
      <c r="H3882">
        <v>0.32605766346238602</v>
      </c>
      <c r="I3882">
        <v>0.33192001639900498</v>
      </c>
      <c r="J3882">
        <v>0.369741895176257</v>
      </c>
      <c r="K3882">
        <v>0.36460953517136602</v>
      </c>
      <c r="L3882">
        <v>13221.782248515001</v>
      </c>
      <c r="M3882">
        <v>250</v>
      </c>
      <c r="N3882">
        <v>53.160220888140998</v>
      </c>
      <c r="O3882">
        <v>52.883744570357798</v>
      </c>
      <c r="P3882">
        <v>-0.75451347340727903</v>
      </c>
      <c r="Q3882">
        <v>0.36157603592855397</v>
      </c>
      <c r="R3882">
        <v>0.98093786078702605</v>
      </c>
      <c r="S3882" t="s">
        <v>9743</v>
      </c>
      <c r="T3882" t="s">
        <v>11720</v>
      </c>
      <c r="U3882" t="s">
        <v>11720</v>
      </c>
      <c r="V3882" t="s">
        <v>11720</v>
      </c>
      <c r="W3882" t="s">
        <v>15549</v>
      </c>
      <c r="X3882">
        <v>15</v>
      </c>
      <c r="Y3882" t="s">
        <v>21263</v>
      </c>
      <c r="Z3882" t="s">
        <v>27089</v>
      </c>
      <c r="AA3882">
        <v>0.63588369120649124</v>
      </c>
      <c r="AB3882" t="str">
        <f>HYPERLINK("Melting_Curves/meltCurve_Q7Z6B0_2_CCDC91.pdf", "Melting_Curves/meltCurve_Q7Z6B0_2_CCDC91.pdf")</f>
        <v>Melting_Curves/meltCurve_Q7Z6B0_2_CCDC91.pdf</v>
      </c>
    </row>
    <row r="3883" spans="1:28" x14ac:dyDescent="0.25">
      <c r="A3883" t="s">
        <v>3887</v>
      </c>
      <c r="B3883">
        <v>0.99334974765950101</v>
      </c>
      <c r="C3883">
        <v>0.94154217496209902</v>
      </c>
      <c r="D3883">
        <v>0.85643394589291</v>
      </c>
      <c r="E3883">
        <v>0.92405164461310896</v>
      </c>
      <c r="F3883">
        <v>0.73725963763616398</v>
      </c>
      <c r="G3883">
        <v>0.51641029203814703</v>
      </c>
      <c r="H3883">
        <v>0.330678362412831</v>
      </c>
      <c r="I3883">
        <v>0.22006306281146701</v>
      </c>
      <c r="J3883">
        <v>0.225355063776457</v>
      </c>
      <c r="K3883">
        <v>0.16610562550699901</v>
      </c>
      <c r="L3883">
        <v>767.598750302957</v>
      </c>
      <c r="M3883">
        <v>13.624366264239899</v>
      </c>
      <c r="N3883">
        <v>57.331922281567103</v>
      </c>
      <c r="O3883">
        <v>55.167964774814997</v>
      </c>
      <c r="P3883">
        <v>-5.52666740237256E-2</v>
      </c>
      <c r="Q3883">
        <v>0.10498582778827099</v>
      </c>
      <c r="R3883">
        <v>0.98198796771722296</v>
      </c>
      <c r="S3883" t="s">
        <v>9744</v>
      </c>
      <c r="T3883" t="s">
        <v>11720</v>
      </c>
      <c r="U3883" t="s">
        <v>11720</v>
      </c>
      <c r="V3883" t="s">
        <v>11720</v>
      </c>
      <c r="W3883" t="s">
        <v>15550</v>
      </c>
      <c r="X3883">
        <v>10</v>
      </c>
      <c r="Y3883" t="s">
        <v>21264</v>
      </c>
      <c r="Z3883" t="s">
        <v>27090</v>
      </c>
      <c r="AA3883">
        <v>0.60881537803618102</v>
      </c>
      <c r="AB3883" t="str">
        <f>HYPERLINK("Melting_Curves/meltCurve_Q7Z6B7_SRGAP1.pdf", "Melting_Curves/meltCurve_Q7Z6B7_SRGAP1.pdf")</f>
        <v>Melting_Curves/meltCurve_Q7Z6B7_SRGAP1.pdf</v>
      </c>
    </row>
    <row r="3884" spans="1:28" x14ac:dyDescent="0.25">
      <c r="A3884" t="s">
        <v>3888</v>
      </c>
      <c r="B3884">
        <v>0.99334974765950101</v>
      </c>
      <c r="C3884">
        <v>0.88202621513811397</v>
      </c>
      <c r="D3884">
        <v>0.78884358525736398</v>
      </c>
      <c r="E3884">
        <v>0.58053419990569999</v>
      </c>
      <c r="F3884">
        <v>0.41472682171014102</v>
      </c>
      <c r="G3884">
        <v>0.26342023535130199</v>
      </c>
      <c r="H3884">
        <v>0.20681721477586301</v>
      </c>
      <c r="I3884">
        <v>0.192000235186117</v>
      </c>
      <c r="J3884">
        <v>0.17688883915272499</v>
      </c>
      <c r="K3884">
        <v>0.13596354801987401</v>
      </c>
      <c r="L3884">
        <v>642.98188057520804</v>
      </c>
      <c r="M3884">
        <v>12.8460508385526</v>
      </c>
      <c r="N3884">
        <v>51.249471295421799</v>
      </c>
      <c r="O3884">
        <v>48.886475019716997</v>
      </c>
      <c r="P3884">
        <v>-5.7192233741543301E-2</v>
      </c>
      <c r="Q3884">
        <v>0.12956613167869599</v>
      </c>
      <c r="R3884">
        <v>0.99739895064122897</v>
      </c>
      <c r="S3884" t="s">
        <v>9745</v>
      </c>
      <c r="T3884" t="s">
        <v>11720</v>
      </c>
      <c r="U3884" t="s">
        <v>11720</v>
      </c>
      <c r="V3884" t="s">
        <v>11720</v>
      </c>
      <c r="W3884" t="s">
        <v>15551</v>
      </c>
      <c r="X3884">
        <v>3</v>
      </c>
      <c r="Y3884" t="s">
        <v>21265</v>
      </c>
      <c r="Z3884" t="s">
        <v>27091</v>
      </c>
      <c r="AA3884">
        <v>0.44819969170221019</v>
      </c>
      <c r="AB3884" t="str">
        <f>HYPERLINK("Melting_Curves/meltCurve_Q7Z6E9_4_RBBP6.pdf", "Melting_Curves/meltCurve_Q7Z6E9_4_RBBP6.pdf")</f>
        <v>Melting_Curves/meltCurve_Q7Z6E9_4_RBBP6.pdf</v>
      </c>
    </row>
    <row r="3885" spans="1:28" x14ac:dyDescent="0.25">
      <c r="A3885" t="s">
        <v>3889</v>
      </c>
      <c r="B3885">
        <v>0.99334974765950101</v>
      </c>
      <c r="C3885">
        <v>0.93013281628157995</v>
      </c>
      <c r="D3885">
        <v>0.71943524731920006</v>
      </c>
      <c r="E3885">
        <v>0.41557318730908099</v>
      </c>
      <c r="F3885">
        <v>0.33213553646530702</v>
      </c>
      <c r="G3885">
        <v>0.20170445421932101</v>
      </c>
      <c r="H3885">
        <v>0.16440129512085699</v>
      </c>
      <c r="I3885">
        <v>0.13779487926751199</v>
      </c>
      <c r="J3885">
        <v>0.14819300932774701</v>
      </c>
      <c r="K3885">
        <v>0.107152458916695</v>
      </c>
      <c r="L3885">
        <v>793.03874234801299</v>
      </c>
      <c r="M3885">
        <v>16.4233044225338</v>
      </c>
      <c r="N3885">
        <v>49.186503123366201</v>
      </c>
      <c r="O3885">
        <v>47.5885162966634</v>
      </c>
      <c r="P3885">
        <v>-7.5095541847311695E-2</v>
      </c>
      <c r="Q3885">
        <v>0.129667847350321</v>
      </c>
      <c r="R3885">
        <v>0.99538759719410197</v>
      </c>
      <c r="S3885" t="s">
        <v>9746</v>
      </c>
      <c r="T3885" t="s">
        <v>11720</v>
      </c>
      <c r="U3885" t="s">
        <v>11720</v>
      </c>
      <c r="V3885" t="s">
        <v>11720</v>
      </c>
      <c r="W3885" t="s">
        <v>15552</v>
      </c>
      <c r="X3885">
        <v>13</v>
      </c>
      <c r="Y3885" t="s">
        <v>21266</v>
      </c>
      <c r="Z3885" t="s">
        <v>27092</v>
      </c>
      <c r="AA3885">
        <v>0.38856011213409392</v>
      </c>
      <c r="AB3885" t="str">
        <f>HYPERLINK("Melting_Curves/meltCurve_Q7Z6J0_SH3RF1.pdf", "Melting_Curves/meltCurve_Q7Z6J0_SH3RF1.pdf")</f>
        <v>Melting_Curves/meltCurve_Q7Z6J0_SH3RF1.pdf</v>
      </c>
    </row>
    <row r="3886" spans="1:28" x14ac:dyDescent="0.25">
      <c r="A3886" t="s">
        <v>3890</v>
      </c>
      <c r="B3886">
        <v>0.99334974765950101</v>
      </c>
      <c r="C3886">
        <v>0.98768574230438599</v>
      </c>
      <c r="D3886">
        <v>0.99909834286000698</v>
      </c>
      <c r="E3886">
        <v>0.93641970620697101</v>
      </c>
      <c r="F3886">
        <v>0.79236233444861703</v>
      </c>
      <c r="G3886">
        <v>0.57648969108252301</v>
      </c>
      <c r="H3886">
        <v>0.338907708762334</v>
      </c>
      <c r="I3886">
        <v>0.28944952345335001</v>
      </c>
      <c r="J3886">
        <v>0.25626154905034598</v>
      </c>
      <c r="K3886">
        <v>0.20811856831518399</v>
      </c>
      <c r="L3886">
        <v>1021.70767530232</v>
      </c>
      <c r="M3886">
        <v>18.120181003362202</v>
      </c>
      <c r="N3886">
        <v>57.994223478690401</v>
      </c>
      <c r="O3886">
        <v>55.711790066626399</v>
      </c>
      <c r="P3886">
        <v>-6.5250085449331793E-2</v>
      </c>
      <c r="Q3886">
        <v>0.19757438353644499</v>
      </c>
      <c r="R3886">
        <v>0.99825795664238104</v>
      </c>
      <c r="S3886" t="s">
        <v>9747</v>
      </c>
      <c r="T3886" t="s">
        <v>11720</v>
      </c>
      <c r="U3886" t="s">
        <v>11720</v>
      </c>
      <c r="V3886" t="s">
        <v>11720</v>
      </c>
      <c r="W3886" t="s">
        <v>15553</v>
      </c>
      <c r="X3886">
        <v>10</v>
      </c>
      <c r="Y3886" t="s">
        <v>21267</v>
      </c>
      <c r="Z3886" t="s">
        <v>27093</v>
      </c>
      <c r="AA3886">
        <v>0.64728643219907156</v>
      </c>
      <c r="AB3886" t="str">
        <f>HYPERLINK("Melting_Curves/meltCurve_Q7Z6K3_PTAR1.pdf", "Melting_Curves/meltCurve_Q7Z6K3_PTAR1.pdf")</f>
        <v>Melting_Curves/meltCurve_Q7Z6K3_PTAR1.pdf</v>
      </c>
    </row>
    <row r="3887" spans="1:28" x14ac:dyDescent="0.25">
      <c r="A3887" t="s">
        <v>3891</v>
      </c>
      <c r="B3887">
        <v>0.99334974765950101</v>
      </c>
      <c r="C3887">
        <v>1.0058962096153601</v>
      </c>
      <c r="D3887">
        <v>0.881615771510326</v>
      </c>
      <c r="E3887">
        <v>0.81167712128099101</v>
      </c>
      <c r="F3887">
        <v>0.52842221568612102</v>
      </c>
      <c r="G3887">
        <v>0.40349697582266397</v>
      </c>
      <c r="H3887">
        <v>0.15168200871871801</v>
      </c>
      <c r="I3887">
        <v>0.10569488595681401</v>
      </c>
      <c r="J3887">
        <v>0.13591548201749401</v>
      </c>
      <c r="K3887">
        <v>0.105139544326336</v>
      </c>
      <c r="L3887">
        <v>805.11749732022599</v>
      </c>
      <c r="M3887">
        <v>14.992854667169199</v>
      </c>
      <c r="N3887">
        <v>54.187869044136598</v>
      </c>
      <c r="O3887">
        <v>52.771917863712602</v>
      </c>
      <c r="P3887">
        <v>-6.6550008668895502E-2</v>
      </c>
      <c r="Q3887">
        <v>6.3122911957985195E-2</v>
      </c>
      <c r="R3887">
        <v>0.98816396697820497</v>
      </c>
      <c r="S3887" t="s">
        <v>9748</v>
      </c>
      <c r="T3887" t="s">
        <v>11720</v>
      </c>
      <c r="U3887" t="s">
        <v>11720</v>
      </c>
      <c r="V3887" t="s">
        <v>11720</v>
      </c>
      <c r="W3887" t="s">
        <v>15554</v>
      </c>
      <c r="X3887">
        <v>10</v>
      </c>
      <c r="Y3887" t="s">
        <v>21268</v>
      </c>
      <c r="Z3887" t="s">
        <v>27094</v>
      </c>
      <c r="AA3887">
        <v>0.51050166683012799</v>
      </c>
      <c r="AB3887" t="str">
        <f>HYPERLINK("Melting_Curves/meltCurve_Q7Z6K5_C15orf38.pdf", "Melting_Curves/meltCurve_Q7Z6K5_C15orf38.pdf")</f>
        <v>Melting_Curves/meltCurve_Q7Z6K5_C15orf38.pdf</v>
      </c>
    </row>
    <row r="3888" spans="1:28" x14ac:dyDescent="0.25">
      <c r="A3888" t="s">
        <v>3892</v>
      </c>
      <c r="B3888">
        <v>0.99334974765950101</v>
      </c>
      <c r="C3888">
        <v>0.92227026017452496</v>
      </c>
      <c r="D3888">
        <v>1.0644658690056099</v>
      </c>
      <c r="E3888">
        <v>0.78032495940648305</v>
      </c>
      <c r="F3888">
        <v>0.325767277896305</v>
      </c>
      <c r="G3888">
        <v>0.17067933593048201</v>
      </c>
      <c r="H3888">
        <v>0.116662131542808</v>
      </c>
      <c r="I3888">
        <v>8.6509690865393604E-2</v>
      </c>
      <c r="J3888">
        <v>7.7367239569183205E-2</v>
      </c>
      <c r="K3888">
        <v>5.1180895452573399E-2</v>
      </c>
      <c r="L3888">
        <v>1896.2664253026501</v>
      </c>
      <c r="M3888">
        <v>36.778259344695996</v>
      </c>
      <c r="N3888">
        <v>51.8482351803802</v>
      </c>
      <c r="O3888">
        <v>51.407716442971797</v>
      </c>
      <c r="P3888">
        <v>-0.16229097968741499</v>
      </c>
      <c r="Q3888">
        <v>9.2617804515705601E-2</v>
      </c>
      <c r="R3888">
        <v>0.98970554640872899</v>
      </c>
      <c r="S3888" t="s">
        <v>9749</v>
      </c>
      <c r="T3888" t="s">
        <v>11720</v>
      </c>
      <c r="U3888" t="s">
        <v>11720</v>
      </c>
      <c r="V3888" t="s">
        <v>11720</v>
      </c>
      <c r="W3888" t="s">
        <v>15555</v>
      </c>
      <c r="X3888">
        <v>7</v>
      </c>
      <c r="Y3888" t="s">
        <v>21269</v>
      </c>
      <c r="Z3888" t="s">
        <v>27095</v>
      </c>
      <c r="AA3888">
        <v>0.44607338939419211</v>
      </c>
      <c r="AB3888" t="str">
        <f>HYPERLINK("Melting_Curves/meltCurve_Q7Z6L1_TECPR1.pdf", "Melting_Curves/meltCurve_Q7Z6L1_TECPR1.pdf")</f>
        <v>Melting_Curves/meltCurve_Q7Z6L1_TECPR1.pdf</v>
      </c>
    </row>
    <row r="3889" spans="1:28" x14ac:dyDescent="0.25">
      <c r="A3889" t="s">
        <v>3893</v>
      </c>
      <c r="B3889">
        <v>0.99334974765950101</v>
      </c>
      <c r="C3889">
        <v>0.96283604019215197</v>
      </c>
      <c r="D3889">
        <v>0.87171777220559399</v>
      </c>
      <c r="E3889">
        <v>0.754667583014486</v>
      </c>
      <c r="F3889">
        <v>0.61498179881239001</v>
      </c>
      <c r="G3889">
        <v>0.473769474823591</v>
      </c>
      <c r="H3889">
        <v>0.329352049292783</v>
      </c>
      <c r="I3889">
        <v>0.21676033767880201</v>
      </c>
      <c r="J3889">
        <v>0.144547750370082</v>
      </c>
      <c r="K3889">
        <v>9.9753228717602699E-2</v>
      </c>
      <c r="L3889">
        <v>548.960098559117</v>
      </c>
      <c r="M3889">
        <v>9.8285292769630193</v>
      </c>
      <c r="N3889">
        <v>55.853737937895197</v>
      </c>
      <c r="O3889">
        <v>53.688871146266301</v>
      </c>
      <c r="P3889">
        <v>-4.5789922062368801E-2</v>
      </c>
      <c r="Q3889">
        <v>0</v>
      </c>
      <c r="R3889">
        <v>0.99720746301234597</v>
      </c>
      <c r="S3889" t="s">
        <v>9750</v>
      </c>
      <c r="T3889" t="s">
        <v>11720</v>
      </c>
      <c r="U3889" t="s">
        <v>11720</v>
      </c>
      <c r="V3889" t="s">
        <v>11720</v>
      </c>
      <c r="W3889" t="s">
        <v>15556</v>
      </c>
      <c r="X3889">
        <v>16</v>
      </c>
      <c r="Y3889" t="s">
        <v>21270</v>
      </c>
      <c r="Z3889" t="s">
        <v>27096</v>
      </c>
      <c r="AA3889">
        <v>0.5502989102407525</v>
      </c>
      <c r="AB3889" t="str">
        <f>HYPERLINK("Melting_Curves/meltCurve_Q7Z6M1_RABEPK.pdf", "Melting_Curves/meltCurve_Q7Z6M1_RABEPK.pdf")</f>
        <v>Melting_Curves/meltCurve_Q7Z6M1_RABEPK.pdf</v>
      </c>
    </row>
    <row r="3890" spans="1:28" x14ac:dyDescent="0.25">
      <c r="A3890" t="s">
        <v>3894</v>
      </c>
      <c r="B3890">
        <v>0.99334974765950101</v>
      </c>
      <c r="C3890">
        <v>0.87567730509731001</v>
      </c>
      <c r="D3890">
        <v>0.84306654751197996</v>
      </c>
      <c r="E3890">
        <v>0.77936804072934995</v>
      </c>
      <c r="F3890">
        <v>0.79982070431994701</v>
      </c>
      <c r="G3890">
        <v>0.62830162247413501</v>
      </c>
      <c r="H3890">
        <v>0.54661912006650304</v>
      </c>
      <c r="I3890">
        <v>0.56902136488475097</v>
      </c>
      <c r="J3890">
        <v>0.53449918046623202</v>
      </c>
      <c r="K3890">
        <v>0.46593900905895003</v>
      </c>
      <c r="L3890">
        <v>331.36471867426798</v>
      </c>
      <c r="M3890">
        <v>5.7683283435427697</v>
      </c>
      <c r="N3890">
        <v>67.980177642551794</v>
      </c>
      <c r="O3890">
        <v>51.666768856186103</v>
      </c>
      <c r="P3890">
        <v>-1.9737516298139999E-2</v>
      </c>
      <c r="Q3890">
        <v>0.29547044489961899</v>
      </c>
      <c r="R3890">
        <v>0.955261323643667</v>
      </c>
      <c r="S3890" t="s">
        <v>9751</v>
      </c>
      <c r="T3890" t="s">
        <v>11720</v>
      </c>
      <c r="U3890" t="s">
        <v>11720</v>
      </c>
      <c r="V3890" t="s">
        <v>11720</v>
      </c>
      <c r="W3890" t="s">
        <v>15557</v>
      </c>
      <c r="X3890">
        <v>7</v>
      </c>
      <c r="Y3890" t="s">
        <v>21271</v>
      </c>
      <c r="Z3890" t="s">
        <v>27097</v>
      </c>
      <c r="AA3890">
        <v>0.70270041466001243</v>
      </c>
      <c r="AB3890" t="str">
        <f>HYPERLINK("Melting_Curves/meltCurve_Q7Z6M3_MILR1.pdf", "Melting_Curves/meltCurve_Q7Z6M3_MILR1.pdf")</f>
        <v>Melting_Curves/meltCurve_Q7Z6M3_MILR1.pdf</v>
      </c>
    </row>
    <row r="3891" spans="1:28" x14ac:dyDescent="0.25">
      <c r="A3891" t="s">
        <v>3895</v>
      </c>
      <c r="B3891">
        <v>0.99334974765950101</v>
      </c>
      <c r="C3891">
        <v>0.93750078206772003</v>
      </c>
      <c r="D3891">
        <v>0.94028996081237803</v>
      </c>
      <c r="E3891">
        <v>0.715524269963008</v>
      </c>
      <c r="F3891">
        <v>0.90544272391704494</v>
      </c>
      <c r="G3891">
        <v>0.52930702080479697</v>
      </c>
      <c r="H3891">
        <v>0.52779210517015196</v>
      </c>
      <c r="I3891">
        <v>0.61587846769125199</v>
      </c>
      <c r="J3891">
        <v>0.958698220449407</v>
      </c>
      <c r="K3891">
        <v>0.87364920560553505</v>
      </c>
      <c r="L3891">
        <v>1199.68591069478</v>
      </c>
      <c r="M3891">
        <v>25.358390992979999</v>
      </c>
      <c r="O3891">
        <v>47.017973183903798</v>
      </c>
      <c r="P3891">
        <v>-3.7354393151846098E-2</v>
      </c>
      <c r="Q3891">
        <v>0.72296268729798796</v>
      </c>
      <c r="R3891">
        <v>0.342037682961506</v>
      </c>
      <c r="S3891" t="s">
        <v>9752</v>
      </c>
      <c r="T3891" t="s">
        <v>11720</v>
      </c>
      <c r="U3891" t="s">
        <v>11720</v>
      </c>
      <c r="V3891" t="s">
        <v>11720</v>
      </c>
      <c r="W3891" t="s">
        <v>15558</v>
      </c>
      <c r="X3891">
        <v>2</v>
      </c>
      <c r="Y3891" t="s">
        <v>21272</v>
      </c>
      <c r="Z3891" t="s">
        <v>27098</v>
      </c>
      <c r="AA3891">
        <v>0.79284626504626143</v>
      </c>
      <c r="AB3891" t="str">
        <f>HYPERLINK("Melting_Curves/meltCurve_Q7Z6M4_MTERFD2.pdf", "Melting_Curves/meltCurve_Q7Z6M4_MTERFD2.pdf")</f>
        <v>Melting_Curves/meltCurve_Q7Z6M4_MTERFD2.pdf</v>
      </c>
    </row>
    <row r="3892" spans="1:28" x14ac:dyDescent="0.25">
      <c r="A3892" t="s">
        <v>3896</v>
      </c>
      <c r="B3892">
        <v>0.99334974765950101</v>
      </c>
      <c r="C3892">
        <v>1.0290829976962099</v>
      </c>
      <c r="D3892">
        <v>0.93306778719582195</v>
      </c>
      <c r="E3892">
        <v>0.91695301167413501</v>
      </c>
      <c r="F3892">
        <v>0.71175873807518497</v>
      </c>
      <c r="G3892">
        <v>0.48021248357019197</v>
      </c>
      <c r="H3892">
        <v>0.44719561396247698</v>
      </c>
      <c r="I3892">
        <v>0.34585223261896703</v>
      </c>
      <c r="J3892">
        <v>0.25675507172698903</v>
      </c>
      <c r="K3892">
        <v>0.25453376331262501</v>
      </c>
      <c r="L3892">
        <v>827.25980632815697</v>
      </c>
      <c r="M3892">
        <v>14.9956167622347</v>
      </c>
      <c r="N3892">
        <v>57.6437359907397</v>
      </c>
      <c r="O3892">
        <v>54.213595935878701</v>
      </c>
      <c r="P3892">
        <v>-5.2732603845543999E-2</v>
      </c>
      <c r="Q3892">
        <v>0.23750124470653999</v>
      </c>
      <c r="R3892">
        <v>0.98488802520569196</v>
      </c>
      <c r="S3892" t="s">
        <v>9753</v>
      </c>
      <c r="T3892" t="s">
        <v>11720</v>
      </c>
      <c r="U3892" t="s">
        <v>11720</v>
      </c>
      <c r="V3892" t="s">
        <v>11720</v>
      </c>
      <c r="W3892" t="s">
        <v>15559</v>
      </c>
      <c r="X3892">
        <v>2</v>
      </c>
      <c r="Y3892" t="s">
        <v>21273</v>
      </c>
      <c r="Z3892" t="s">
        <v>27099</v>
      </c>
      <c r="AA3892">
        <v>0.63751860589627707</v>
      </c>
      <c r="AB3892" t="str">
        <f>HYPERLINK("Melting_Curves/meltCurve_Q7Z6V5_2_ADAT2.pdf", "Melting_Curves/meltCurve_Q7Z6V5_2_ADAT2.pdf")</f>
        <v>Melting_Curves/meltCurve_Q7Z6V5_2_ADAT2.pdf</v>
      </c>
    </row>
    <row r="3893" spans="1:28" x14ac:dyDescent="0.25">
      <c r="A3893" t="s">
        <v>3897</v>
      </c>
      <c r="B3893">
        <v>0.99334974765950101</v>
      </c>
      <c r="C3893">
        <v>1.0754901742477101</v>
      </c>
      <c r="D3893">
        <v>1.1726842649892399</v>
      </c>
      <c r="E3893">
        <v>1.64960532845123</v>
      </c>
      <c r="F3893">
        <v>0.51976497643088304</v>
      </c>
      <c r="G3893">
        <v>0.34219930211327598</v>
      </c>
      <c r="H3893">
        <v>0.208582839085761</v>
      </c>
      <c r="I3893">
        <v>0.18702075059335699</v>
      </c>
      <c r="J3893">
        <v>0.17163724404625499</v>
      </c>
      <c r="K3893">
        <v>0.134176995139699</v>
      </c>
      <c r="L3893">
        <v>13226.9799116054</v>
      </c>
      <c r="M3893">
        <v>250</v>
      </c>
      <c r="N3893">
        <v>53.022503729607998</v>
      </c>
      <c r="O3893">
        <v>52.9045428443847</v>
      </c>
      <c r="P3893">
        <v>-0.93479309514091302</v>
      </c>
      <c r="Q3893">
        <v>0.20872331285437401</v>
      </c>
      <c r="R3893">
        <v>0.81338185376560701</v>
      </c>
      <c r="S3893" t="s">
        <v>9754</v>
      </c>
      <c r="T3893" t="s">
        <v>11720</v>
      </c>
      <c r="U3893" t="s">
        <v>11720</v>
      </c>
      <c r="V3893" t="s">
        <v>11720</v>
      </c>
      <c r="W3893" t="s">
        <v>15560</v>
      </c>
      <c r="X3893">
        <v>27</v>
      </c>
      <c r="Y3893" t="s">
        <v>21274</v>
      </c>
      <c r="Z3893" t="s">
        <v>27100</v>
      </c>
      <c r="AA3893">
        <v>0.54925464812483049</v>
      </c>
      <c r="AB3893" t="str">
        <f>HYPERLINK("Melting_Curves/meltCurve_Q7Z6Z7_2_HUWE1.pdf", "Melting_Curves/meltCurve_Q7Z6Z7_2_HUWE1.pdf")</f>
        <v>Melting_Curves/meltCurve_Q7Z6Z7_2_HUWE1.pdf</v>
      </c>
    </row>
    <row r="3894" spans="1:28" x14ac:dyDescent="0.25">
      <c r="A3894" t="s">
        <v>3898</v>
      </c>
      <c r="B3894">
        <v>0.99334974765950101</v>
      </c>
      <c r="C3894">
        <v>1.1256895734555701</v>
      </c>
      <c r="D3894">
        <v>1.3125092606501301</v>
      </c>
      <c r="E3894">
        <v>1.1922672056021799</v>
      </c>
      <c r="F3894">
        <v>0.69939193187659698</v>
      </c>
      <c r="G3894">
        <v>0.34866861896822599</v>
      </c>
      <c r="H3894">
        <v>0.24463203231637101</v>
      </c>
      <c r="I3894">
        <v>0.175988349885245</v>
      </c>
      <c r="J3894">
        <v>0.203431833507664</v>
      </c>
      <c r="K3894">
        <v>0</v>
      </c>
      <c r="L3894">
        <v>1859.8645353121599</v>
      </c>
      <c r="M3894">
        <v>34.019866444157302</v>
      </c>
      <c r="N3894">
        <v>55.250516003544099</v>
      </c>
      <c r="O3894">
        <v>54.4820864221007</v>
      </c>
      <c r="P3894">
        <v>-0.13264659002430701</v>
      </c>
      <c r="Q3894">
        <v>0.15028067505252099</v>
      </c>
      <c r="R3894">
        <v>0.90621619506196405</v>
      </c>
      <c r="S3894" t="s">
        <v>9755</v>
      </c>
      <c r="T3894" t="s">
        <v>11720</v>
      </c>
      <c r="U3894" t="s">
        <v>11720</v>
      </c>
      <c r="V3894" t="s">
        <v>11720</v>
      </c>
      <c r="W3894" t="s">
        <v>15561</v>
      </c>
      <c r="X3894">
        <v>2</v>
      </c>
      <c r="Y3894" t="s">
        <v>21275</v>
      </c>
      <c r="Z3894" t="s">
        <v>27101</v>
      </c>
      <c r="AA3894">
        <v>0.57020085188534897</v>
      </c>
      <c r="AB3894" t="str">
        <f>HYPERLINK("Melting_Curves/meltCurve_Q7Z7A3_CTU1.pdf", "Melting_Curves/meltCurve_Q7Z7A3_CTU1.pdf")</f>
        <v>Melting_Curves/meltCurve_Q7Z7A3_CTU1.pdf</v>
      </c>
    </row>
    <row r="3895" spans="1:28" x14ac:dyDescent="0.25">
      <c r="A3895" t="s">
        <v>3899</v>
      </c>
      <c r="B3895">
        <v>0.99334974765950101</v>
      </c>
      <c r="C3895">
        <v>0.86670569177615597</v>
      </c>
      <c r="D3895">
        <v>0.94175185178813403</v>
      </c>
      <c r="E3895">
        <v>0.54261739856567004</v>
      </c>
      <c r="F3895">
        <v>0.27807922666472901</v>
      </c>
      <c r="G3895">
        <v>0.13779418391414799</v>
      </c>
      <c r="H3895">
        <v>8.2708828541947194E-2</v>
      </c>
      <c r="I3895">
        <v>8.0677432450336095E-2</v>
      </c>
      <c r="J3895">
        <v>4.4657102469836403E-2</v>
      </c>
      <c r="K3895">
        <v>5.52115523871064E-2</v>
      </c>
      <c r="L3895">
        <v>1102.2451651495101</v>
      </c>
      <c r="M3895">
        <v>21.945567284837701</v>
      </c>
      <c r="N3895">
        <v>50.5155636909262</v>
      </c>
      <c r="O3895">
        <v>49.814851715919403</v>
      </c>
      <c r="P3895">
        <v>-0.10363553712475899</v>
      </c>
      <c r="Q3895">
        <v>5.90404841161166E-2</v>
      </c>
      <c r="R3895">
        <v>0.98859773693713104</v>
      </c>
      <c r="S3895" t="s">
        <v>9756</v>
      </c>
      <c r="T3895" t="s">
        <v>11720</v>
      </c>
      <c r="U3895" t="s">
        <v>11720</v>
      </c>
      <c r="V3895" t="s">
        <v>11720</v>
      </c>
      <c r="W3895" t="s">
        <v>15562</v>
      </c>
      <c r="X3895">
        <v>4</v>
      </c>
      <c r="Y3895" t="s">
        <v>21276</v>
      </c>
      <c r="Z3895" t="s">
        <v>27102</v>
      </c>
      <c r="AA3895">
        <v>0.39071239091494281</v>
      </c>
      <c r="AB3895" t="str">
        <f>HYPERLINK("Melting_Curves/meltCurve_Q7Z7A4_PXK.pdf", "Melting_Curves/meltCurve_Q7Z7A4_PXK.pdf")</f>
        <v>Melting_Curves/meltCurve_Q7Z7A4_PXK.pdf</v>
      </c>
    </row>
    <row r="3896" spans="1:28" x14ac:dyDescent="0.25">
      <c r="A3896" t="s">
        <v>3900</v>
      </c>
      <c r="B3896">
        <v>0.99334974765950101</v>
      </c>
      <c r="C3896">
        <v>0.97222006914433501</v>
      </c>
      <c r="D3896">
        <v>0.90663773242408596</v>
      </c>
      <c r="E3896">
        <v>0.71938642570844202</v>
      </c>
      <c r="F3896">
        <v>0.374952977675376</v>
      </c>
      <c r="G3896">
        <v>0.257171728876672</v>
      </c>
      <c r="H3896">
        <v>0.15269111162176099</v>
      </c>
      <c r="I3896">
        <v>0.130998360518742</v>
      </c>
      <c r="J3896">
        <v>0.110413896482794</v>
      </c>
      <c r="K3896">
        <v>8.7614303176456895E-2</v>
      </c>
      <c r="L3896">
        <v>1015.2426262005901</v>
      </c>
      <c r="M3896">
        <v>19.7246301730538</v>
      </c>
      <c r="N3896">
        <v>52.094405805429901</v>
      </c>
      <c r="O3896">
        <v>50.950517921436102</v>
      </c>
      <c r="P3896">
        <v>-8.6608820174312401E-2</v>
      </c>
      <c r="Q3896">
        <v>0.105156832855612</v>
      </c>
      <c r="R3896">
        <v>0.994806186670667</v>
      </c>
      <c r="S3896" t="s">
        <v>9757</v>
      </c>
      <c r="T3896" t="s">
        <v>11720</v>
      </c>
      <c r="U3896" t="s">
        <v>11720</v>
      </c>
      <c r="V3896" t="s">
        <v>11720</v>
      </c>
      <c r="W3896" t="s">
        <v>15563</v>
      </c>
      <c r="X3896">
        <v>8</v>
      </c>
      <c r="Y3896" t="s">
        <v>21277</v>
      </c>
      <c r="Z3896" t="s">
        <v>27103</v>
      </c>
      <c r="AA3896">
        <v>0.4600344653920363</v>
      </c>
      <c r="AB3896" t="str">
        <f>HYPERLINK("Melting_Curves/meltCurve_Q7Z7E8_UBE2Q1.pdf", "Melting_Curves/meltCurve_Q7Z7E8_UBE2Q1.pdf")</f>
        <v>Melting_Curves/meltCurve_Q7Z7E8_UBE2Q1.pdf</v>
      </c>
    </row>
    <row r="3897" spans="1:28" x14ac:dyDescent="0.25">
      <c r="A3897" t="s">
        <v>3901</v>
      </c>
      <c r="B3897">
        <v>0.99334974765950101</v>
      </c>
      <c r="C3897">
        <v>0.92958502890833905</v>
      </c>
      <c r="D3897">
        <v>0.97668028941686202</v>
      </c>
      <c r="E3897">
        <v>1.0645970700445599</v>
      </c>
      <c r="F3897">
        <v>1.00789919699526</v>
      </c>
      <c r="G3897">
        <v>0.82986161658873903</v>
      </c>
      <c r="H3897">
        <v>0.426387889565157</v>
      </c>
      <c r="I3897">
        <v>0.27388072502733901</v>
      </c>
      <c r="J3897">
        <v>0.16307127592248599</v>
      </c>
      <c r="K3897">
        <v>0.11157205038543699</v>
      </c>
      <c r="L3897">
        <v>1697.1636588552101</v>
      </c>
      <c r="M3897">
        <v>28.3427437795422</v>
      </c>
      <c r="N3897">
        <v>60.454083566501197</v>
      </c>
      <c r="O3897">
        <v>59.584291219555503</v>
      </c>
      <c r="P3897">
        <v>-0.104889076022307</v>
      </c>
      <c r="Q3897">
        <v>0.117983747186594</v>
      </c>
      <c r="R3897">
        <v>0.99034494239922499</v>
      </c>
      <c r="S3897" t="s">
        <v>9758</v>
      </c>
      <c r="T3897" t="s">
        <v>11720</v>
      </c>
      <c r="U3897" t="s">
        <v>11720</v>
      </c>
      <c r="V3897" t="s">
        <v>11720</v>
      </c>
      <c r="W3897" t="s">
        <v>15564</v>
      </c>
      <c r="X3897">
        <v>7</v>
      </c>
      <c r="Y3897" t="s">
        <v>21278</v>
      </c>
      <c r="Z3897" t="s">
        <v>27104</v>
      </c>
      <c r="AA3897">
        <v>0.70827399116100442</v>
      </c>
      <c r="AB3897" t="str">
        <f>HYPERLINK("Melting_Curves/meltCurve_Q7Z7H5_3_TMED4.pdf", "Melting_Curves/meltCurve_Q7Z7H5_3_TMED4.pdf")</f>
        <v>Melting_Curves/meltCurve_Q7Z7H5_3_TMED4.pdf</v>
      </c>
    </row>
    <row r="3898" spans="1:28" x14ac:dyDescent="0.25">
      <c r="A3898" t="s">
        <v>3902</v>
      </c>
      <c r="B3898">
        <v>0.99334974765950101</v>
      </c>
      <c r="C3898">
        <v>1.00548462150521</v>
      </c>
      <c r="D3898">
        <v>0.82848863495264502</v>
      </c>
      <c r="E3898">
        <v>0.73014080300975603</v>
      </c>
      <c r="F3898">
        <v>0.76102623898192301</v>
      </c>
      <c r="G3898">
        <v>0.77900857221755404</v>
      </c>
      <c r="H3898">
        <v>0.73091645414884199</v>
      </c>
      <c r="I3898">
        <v>1.1241913984769101</v>
      </c>
      <c r="J3898">
        <v>1.00491507716545</v>
      </c>
      <c r="K3898">
        <v>0.84802600705567799</v>
      </c>
      <c r="L3898">
        <v>11069.5215358634</v>
      </c>
      <c r="M3898">
        <v>250</v>
      </c>
      <c r="O3898">
        <v>44.275247109392197</v>
      </c>
      <c r="P3898">
        <v>-0.21055552769800201</v>
      </c>
      <c r="Q3898">
        <v>0.85084161320235996</v>
      </c>
      <c r="R3898">
        <v>0.20006385056121001</v>
      </c>
      <c r="S3898" t="s">
        <v>9759</v>
      </c>
      <c r="T3898" t="s">
        <v>11720</v>
      </c>
      <c r="U3898" t="s">
        <v>11720</v>
      </c>
      <c r="V3898" t="s">
        <v>11720</v>
      </c>
      <c r="W3898" t="s">
        <v>15565</v>
      </c>
      <c r="X3898">
        <v>2</v>
      </c>
      <c r="Y3898" t="s">
        <v>21279</v>
      </c>
      <c r="Z3898" t="s">
        <v>27105</v>
      </c>
      <c r="AA3898">
        <v>0.87212361816360029</v>
      </c>
      <c r="AB3898" t="str">
        <f>HYPERLINK("Melting_Curves/meltCurve_Q7Z7J9_CAMK2N1.pdf", "Melting_Curves/meltCurve_Q7Z7J9_CAMK2N1.pdf")</f>
        <v>Melting_Curves/meltCurve_Q7Z7J9_CAMK2N1.pdf</v>
      </c>
    </row>
    <row r="3899" spans="1:28" x14ac:dyDescent="0.25">
      <c r="A3899" t="s">
        <v>3903</v>
      </c>
      <c r="B3899">
        <v>0.99334974765950101</v>
      </c>
      <c r="C3899">
        <v>0.80643585832240405</v>
      </c>
      <c r="D3899">
        <v>0.98713953291852397</v>
      </c>
      <c r="E3899">
        <v>0.83958842008481904</v>
      </c>
      <c r="F3899">
        <v>0.463723269471086</v>
      </c>
      <c r="G3899">
        <v>0.33891799340478501</v>
      </c>
      <c r="H3899">
        <v>0.29038243576269102</v>
      </c>
      <c r="I3899">
        <v>0.308875558214391</v>
      </c>
      <c r="J3899">
        <v>0.35696882370598798</v>
      </c>
      <c r="K3899">
        <v>0.34597871155528398</v>
      </c>
      <c r="L3899">
        <v>2209.8193379894101</v>
      </c>
      <c r="M3899">
        <v>43.044763804120201</v>
      </c>
      <c r="N3899">
        <v>52.628789621552102</v>
      </c>
      <c r="O3899">
        <v>51.227275852367598</v>
      </c>
      <c r="P3899">
        <v>-0.141570507845448</v>
      </c>
      <c r="Q3899">
        <v>0.32607276894589798</v>
      </c>
      <c r="R3899">
        <v>0.94860362583324598</v>
      </c>
      <c r="S3899" t="s">
        <v>9760</v>
      </c>
      <c r="T3899" t="s">
        <v>11720</v>
      </c>
      <c r="U3899" t="s">
        <v>11720</v>
      </c>
      <c r="V3899" t="s">
        <v>11720</v>
      </c>
      <c r="W3899" t="s">
        <v>15566</v>
      </c>
      <c r="X3899">
        <v>1</v>
      </c>
      <c r="Y3899" t="s">
        <v>21280</v>
      </c>
      <c r="Z3899" t="s">
        <v>27106</v>
      </c>
      <c r="AA3899">
        <v>0.58282844216505236</v>
      </c>
      <c r="AB3899" t="str">
        <f>HYPERLINK("Melting_Curves/meltCurve_Q7Z7L8_C11orf96.pdf", "Melting_Curves/meltCurve_Q7Z7L8_C11orf96.pdf")</f>
        <v>Melting_Curves/meltCurve_Q7Z7L8_C11orf96.pdf</v>
      </c>
    </row>
    <row r="3900" spans="1:28" x14ac:dyDescent="0.25">
      <c r="A3900" t="s">
        <v>3904</v>
      </c>
      <c r="B3900">
        <v>0.99334974765950101</v>
      </c>
      <c r="C3900">
        <v>0.98199569137779097</v>
      </c>
      <c r="D3900">
        <v>0.99878545210858605</v>
      </c>
      <c r="E3900">
        <v>1.0538561908962401</v>
      </c>
      <c r="F3900">
        <v>0.85305115219131999</v>
      </c>
      <c r="G3900">
        <v>0.62798192852386803</v>
      </c>
      <c r="H3900">
        <v>0.38498512960561598</v>
      </c>
      <c r="I3900">
        <v>0.35861316975914398</v>
      </c>
      <c r="J3900">
        <v>0.25759056716245698</v>
      </c>
      <c r="K3900">
        <v>0.19467563511509201</v>
      </c>
      <c r="L3900">
        <v>1163.9318348341001</v>
      </c>
      <c r="M3900">
        <v>20.250801727971201</v>
      </c>
      <c r="N3900">
        <v>59.0931250862198</v>
      </c>
      <c r="O3900">
        <v>56.924178705876699</v>
      </c>
      <c r="P3900">
        <v>-7.0018889544052706E-2</v>
      </c>
      <c r="Q3900">
        <v>0.212743448465985</v>
      </c>
      <c r="R3900">
        <v>0.98660289097185305</v>
      </c>
      <c r="S3900" t="s">
        <v>9761</v>
      </c>
      <c r="T3900" t="s">
        <v>11720</v>
      </c>
      <c r="U3900" t="s">
        <v>11720</v>
      </c>
      <c r="V3900" t="s">
        <v>11720</v>
      </c>
      <c r="W3900" t="s">
        <v>15567</v>
      </c>
      <c r="X3900">
        <v>18</v>
      </c>
      <c r="Y3900" t="s">
        <v>21281</v>
      </c>
      <c r="Z3900" t="s">
        <v>27107</v>
      </c>
      <c r="AA3900">
        <v>0.68054139359712518</v>
      </c>
      <c r="AB3900" t="str">
        <f>HYPERLINK("Melting_Curves/meltCurve_Q7Z7M9_GALNT5.pdf", "Melting_Curves/meltCurve_Q7Z7M9_GALNT5.pdf")</f>
        <v>Melting_Curves/meltCurve_Q7Z7M9_GALNT5.pdf</v>
      </c>
    </row>
    <row r="3901" spans="1:28" x14ac:dyDescent="0.25">
      <c r="A3901" t="s">
        <v>3905</v>
      </c>
      <c r="B3901">
        <v>0.99334974765950101</v>
      </c>
      <c r="C3901">
        <v>0.92349763773567195</v>
      </c>
      <c r="D3901">
        <v>0.85665989365427497</v>
      </c>
      <c r="E3901">
        <v>0.83203421808054701</v>
      </c>
      <c r="F3901">
        <v>1.0106367684777999</v>
      </c>
      <c r="G3901">
        <v>0.75092951532329399</v>
      </c>
      <c r="H3901">
        <v>0.65225253072606504</v>
      </c>
      <c r="I3901">
        <v>0.78679003348259802</v>
      </c>
      <c r="J3901">
        <v>0.78751173865641999</v>
      </c>
      <c r="K3901">
        <v>0.54047090565719902</v>
      </c>
      <c r="L3901">
        <v>252.28880229540999</v>
      </c>
      <c r="M3901">
        <v>3.02749721674705</v>
      </c>
      <c r="O3901">
        <v>61.6042625414632</v>
      </c>
      <c r="P3901">
        <v>-1.26557313471981E-2</v>
      </c>
      <c r="Q3901">
        <v>0</v>
      </c>
      <c r="R3901">
        <v>0.61296185642350498</v>
      </c>
      <c r="S3901" t="s">
        <v>9762</v>
      </c>
      <c r="T3901" t="s">
        <v>11720</v>
      </c>
      <c r="U3901" t="s">
        <v>11720</v>
      </c>
      <c r="V3901" t="s">
        <v>11720</v>
      </c>
      <c r="W3901" t="s">
        <v>15568</v>
      </c>
      <c r="X3901">
        <v>1</v>
      </c>
      <c r="Y3901" t="s">
        <v>21282</v>
      </c>
      <c r="Z3901" t="s">
        <v>27108</v>
      </c>
      <c r="AA3901">
        <v>0.81816453080075202</v>
      </c>
      <c r="AB3901" t="str">
        <f>HYPERLINK("Melting_Curves/meltCurve_Q7Z7N9_TMEM179B.pdf", "Melting_Curves/meltCurve_Q7Z7N9_TMEM179B.pdf")</f>
        <v>Melting_Curves/meltCurve_Q7Z7N9_TMEM179B.pdf</v>
      </c>
    </row>
    <row r="3902" spans="1:28" x14ac:dyDescent="0.25">
      <c r="A3902" t="s">
        <v>3906</v>
      </c>
      <c r="B3902">
        <v>0.99334974765950101</v>
      </c>
      <c r="C3902">
        <v>0.86020494688628701</v>
      </c>
      <c r="D3902">
        <v>0.90938050603315601</v>
      </c>
      <c r="E3902">
        <v>0.89874393940710695</v>
      </c>
      <c r="F3902">
        <v>0.47112679027635401</v>
      </c>
      <c r="G3902">
        <v>0.121742658317349</v>
      </c>
      <c r="H3902">
        <v>7.33601720808673E-2</v>
      </c>
      <c r="I3902">
        <v>6.9768976263071006E-2</v>
      </c>
      <c r="J3902">
        <v>4.64225951100838E-2</v>
      </c>
      <c r="K3902">
        <v>3.6373473298733E-2</v>
      </c>
      <c r="L3902">
        <v>1885.25408591463</v>
      </c>
      <c r="M3902">
        <v>35.774926370857798</v>
      </c>
      <c r="N3902">
        <v>52.870097659427003</v>
      </c>
      <c r="O3902">
        <v>52.533792894772702</v>
      </c>
      <c r="P3902">
        <v>-0.16087174145519501</v>
      </c>
      <c r="Q3902">
        <v>5.5072834078038098E-2</v>
      </c>
      <c r="R3902">
        <v>0.98254099638617298</v>
      </c>
      <c r="S3902" t="s">
        <v>9763</v>
      </c>
      <c r="T3902" t="s">
        <v>11720</v>
      </c>
      <c r="U3902" t="s">
        <v>11720</v>
      </c>
      <c r="V3902" t="s">
        <v>11720</v>
      </c>
      <c r="W3902" t="s">
        <v>15569</v>
      </c>
      <c r="X3902">
        <v>11</v>
      </c>
      <c r="Y3902" t="s">
        <v>21283</v>
      </c>
      <c r="Z3902" t="s">
        <v>27109</v>
      </c>
      <c r="AA3902">
        <v>0.45931897024009027</v>
      </c>
      <c r="AB3902" t="str">
        <f>HYPERLINK("Melting_Curves/meltCurve_Q86SF2_GALNT7.pdf", "Melting_Curves/meltCurve_Q86SF2_GALNT7.pdf")</f>
        <v>Melting_Curves/meltCurve_Q86SF2_GALNT7.pdf</v>
      </c>
    </row>
    <row r="3903" spans="1:28" x14ac:dyDescent="0.25">
      <c r="A3903" t="s">
        <v>3907</v>
      </c>
      <c r="B3903">
        <v>0.99334974765950101</v>
      </c>
      <c r="C3903">
        <v>0.94465833984570102</v>
      </c>
      <c r="D3903">
        <v>0.94326829271328005</v>
      </c>
      <c r="E3903">
        <v>0.860877655737743</v>
      </c>
      <c r="F3903">
        <v>0.76717386676560295</v>
      </c>
      <c r="G3903">
        <v>0.73336319801351402</v>
      </c>
      <c r="H3903">
        <v>0.58862443552683397</v>
      </c>
      <c r="I3903">
        <v>0.65445658111414795</v>
      </c>
      <c r="J3903">
        <v>0.57543103812672602</v>
      </c>
      <c r="K3903">
        <v>0.49028862744095503</v>
      </c>
      <c r="L3903">
        <v>425.643137192837</v>
      </c>
      <c r="M3903">
        <v>7.3345971951576097</v>
      </c>
      <c r="O3903">
        <v>54.1857417421473</v>
      </c>
      <c r="P3903">
        <v>-2.0711991472636901E-2</v>
      </c>
      <c r="Q3903">
        <v>0.38889901913431602</v>
      </c>
      <c r="R3903">
        <v>0.96420899037341501</v>
      </c>
      <c r="S3903" t="s">
        <v>9764</v>
      </c>
      <c r="T3903" t="s">
        <v>11720</v>
      </c>
      <c r="U3903" t="s">
        <v>11720</v>
      </c>
      <c r="V3903" t="s">
        <v>11720</v>
      </c>
      <c r="W3903" t="s">
        <v>15570</v>
      </c>
      <c r="X3903">
        <v>3</v>
      </c>
      <c r="Y3903" t="s">
        <v>21284</v>
      </c>
      <c r="Z3903" t="s">
        <v>27110</v>
      </c>
      <c r="AA3903">
        <v>0.75622725884118869</v>
      </c>
      <c r="AB3903" t="str">
        <f>HYPERLINK("Melting_Curves/meltCurve_Q86SJ2_AMIGO2.pdf", "Melting_Curves/meltCurve_Q86SJ2_AMIGO2.pdf")</f>
        <v>Melting_Curves/meltCurve_Q86SJ2_AMIGO2.pdf</v>
      </c>
    </row>
    <row r="3904" spans="1:28" x14ac:dyDescent="0.25">
      <c r="A3904" t="s">
        <v>3908</v>
      </c>
      <c r="B3904">
        <v>0.99334974765950101</v>
      </c>
      <c r="C3904">
        <v>0.91325014165852203</v>
      </c>
      <c r="D3904">
        <v>0.80134105530933997</v>
      </c>
      <c r="E3904">
        <v>0.78016703588678105</v>
      </c>
      <c r="F3904">
        <v>0.85425318148038998</v>
      </c>
      <c r="G3904">
        <v>0.543129117481848</v>
      </c>
      <c r="H3904">
        <v>0.465965653960143</v>
      </c>
      <c r="I3904">
        <v>0.51292426558521698</v>
      </c>
      <c r="J3904">
        <v>0.59837323524942199</v>
      </c>
      <c r="K3904">
        <v>0.45868883779299902</v>
      </c>
      <c r="L3904">
        <v>450.11463138752401</v>
      </c>
      <c r="M3904">
        <v>8.5121500305490692</v>
      </c>
      <c r="N3904">
        <v>66.772588096865604</v>
      </c>
      <c r="O3904">
        <v>50.202883373163303</v>
      </c>
      <c r="P3904">
        <v>-2.4822590163376901E-2</v>
      </c>
      <c r="Q3904">
        <v>0.41493060970515699</v>
      </c>
      <c r="R3904">
        <v>0.84948147196139501</v>
      </c>
      <c r="S3904" t="s">
        <v>9765</v>
      </c>
      <c r="T3904" t="s">
        <v>11720</v>
      </c>
      <c r="U3904" t="s">
        <v>11720</v>
      </c>
      <c r="V3904" t="s">
        <v>11720</v>
      </c>
      <c r="W3904" t="s">
        <v>15571</v>
      </c>
      <c r="X3904">
        <v>5</v>
      </c>
      <c r="Y3904" t="s">
        <v>21285</v>
      </c>
      <c r="Z3904" t="s">
        <v>27111</v>
      </c>
      <c r="AA3904">
        <v>0.68931879347956582</v>
      </c>
      <c r="AB3904" t="str">
        <f>HYPERLINK("Melting_Curves/meltCurve_Q86SQ0_PHLDB2.pdf", "Melting_Curves/meltCurve_Q86SQ0_PHLDB2.pdf")</f>
        <v>Melting_Curves/meltCurve_Q86SQ0_PHLDB2.pdf</v>
      </c>
    </row>
    <row r="3905" spans="1:28" x14ac:dyDescent="0.25">
      <c r="A3905" t="s">
        <v>3909</v>
      </c>
      <c r="B3905">
        <v>0.99334974765950101</v>
      </c>
      <c r="C3905">
        <v>1.03147720897971</v>
      </c>
      <c r="D3905">
        <v>0.83722486800503704</v>
      </c>
      <c r="E3905">
        <v>0.64150526993986101</v>
      </c>
      <c r="F3905">
        <v>0.42938726435390501</v>
      </c>
      <c r="G3905">
        <v>0.394240420327991</v>
      </c>
      <c r="H3905">
        <v>0.33087979929362799</v>
      </c>
      <c r="I3905">
        <v>0.29356946039757098</v>
      </c>
      <c r="J3905">
        <v>0.29841912830252998</v>
      </c>
      <c r="K3905">
        <v>0.29311696334500198</v>
      </c>
      <c r="L3905">
        <v>947.872681654129</v>
      </c>
      <c r="M3905">
        <v>19.110371989284499</v>
      </c>
      <c r="N3905">
        <v>52.100060529030998</v>
      </c>
      <c r="O3905">
        <v>49.066366541017899</v>
      </c>
      <c r="P3905">
        <v>-6.8146704122198698E-2</v>
      </c>
      <c r="Q3905">
        <v>0.30015367405263199</v>
      </c>
      <c r="R3905">
        <v>0.98903893038591595</v>
      </c>
      <c r="S3905" t="s">
        <v>9766</v>
      </c>
      <c r="T3905" t="s">
        <v>11720</v>
      </c>
      <c r="U3905" t="s">
        <v>11720</v>
      </c>
      <c r="V3905" t="s">
        <v>11720</v>
      </c>
      <c r="W3905" t="s">
        <v>15572</v>
      </c>
      <c r="X3905">
        <v>8</v>
      </c>
      <c r="Y3905" t="s">
        <v>21286</v>
      </c>
      <c r="Z3905" t="s">
        <v>27112</v>
      </c>
      <c r="AA3905">
        <v>0.53478049630572566</v>
      </c>
      <c r="AB3905" t="str">
        <f>HYPERLINK("Melting_Curves/meltCurve_Q86SQ7_SDCCAG8.pdf", "Melting_Curves/meltCurve_Q86SQ7_SDCCAG8.pdf")</f>
        <v>Melting_Curves/meltCurve_Q86SQ7_SDCCAG8.pdf</v>
      </c>
    </row>
    <row r="3906" spans="1:28" x14ac:dyDescent="0.25">
      <c r="A3906" t="s">
        <v>3910</v>
      </c>
      <c r="B3906">
        <v>0.99334974765950101</v>
      </c>
      <c r="C3906">
        <v>0.95528893288991101</v>
      </c>
      <c r="D3906">
        <v>0.94318340788932997</v>
      </c>
      <c r="E3906">
        <v>0.819909111445142</v>
      </c>
      <c r="F3906">
        <v>0.716044324936566</v>
      </c>
      <c r="G3906">
        <v>0.39430114622450102</v>
      </c>
      <c r="H3906">
        <v>0.20028806529870699</v>
      </c>
      <c r="I3906">
        <v>0.15880766335601401</v>
      </c>
      <c r="J3906">
        <v>0.17173238788412201</v>
      </c>
      <c r="K3906">
        <v>0.17472827694323401</v>
      </c>
      <c r="L3906">
        <v>1002.92937645088</v>
      </c>
      <c r="M3906">
        <v>18.425795157972299</v>
      </c>
      <c r="N3906">
        <v>55.338913143888597</v>
      </c>
      <c r="O3906">
        <v>53.801752747897602</v>
      </c>
      <c r="P3906">
        <v>-7.4451050470467101E-2</v>
      </c>
      <c r="Q3906">
        <v>0.13047621518493299</v>
      </c>
      <c r="R3906">
        <v>0.99275544041167096</v>
      </c>
      <c r="S3906" t="s">
        <v>9767</v>
      </c>
      <c r="T3906" t="s">
        <v>11720</v>
      </c>
      <c r="U3906" t="s">
        <v>11720</v>
      </c>
      <c r="V3906" t="s">
        <v>11720</v>
      </c>
      <c r="W3906" t="s">
        <v>15573</v>
      </c>
      <c r="X3906">
        <v>2</v>
      </c>
      <c r="Y3906" t="s">
        <v>21287</v>
      </c>
      <c r="Z3906" t="s">
        <v>27113</v>
      </c>
      <c r="AA3906">
        <v>0.56201520255346682</v>
      </c>
      <c r="AB3906" t="str">
        <f>HYPERLINK("Melting_Curves/meltCurve_Q86SQ9_3_DHDDS.pdf", "Melting_Curves/meltCurve_Q86SQ9_3_DHDDS.pdf")</f>
        <v>Melting_Curves/meltCurve_Q86SQ9_3_DHDDS.pdf</v>
      </c>
    </row>
    <row r="3907" spans="1:28" x14ac:dyDescent="0.25">
      <c r="A3907" t="s">
        <v>3911</v>
      </c>
      <c r="B3907">
        <v>0.99334974765950101</v>
      </c>
      <c r="C3907">
        <v>0.94494864890639096</v>
      </c>
      <c r="D3907">
        <v>0.81886771982687001</v>
      </c>
      <c r="E3907">
        <v>0.53169960803522198</v>
      </c>
      <c r="F3907">
        <v>0.188437031922945</v>
      </c>
      <c r="G3907">
        <v>0.118843791842206</v>
      </c>
      <c r="H3907">
        <v>8.6134508205753801E-2</v>
      </c>
      <c r="I3907">
        <v>7.1978443320267302E-2</v>
      </c>
      <c r="J3907">
        <v>6.1760115535008299E-2</v>
      </c>
      <c r="K3907">
        <v>4.0668679513296897E-2</v>
      </c>
      <c r="L3907">
        <v>1036.7999974931099</v>
      </c>
      <c r="M3907">
        <v>20.9270677256272</v>
      </c>
      <c r="N3907">
        <v>49.810704124888801</v>
      </c>
      <c r="O3907">
        <v>49.097731756126201</v>
      </c>
      <c r="P3907">
        <v>-0.10090310455688301</v>
      </c>
      <c r="Q3907">
        <v>5.30960936387447E-2</v>
      </c>
      <c r="R3907">
        <v>0.994781010411801</v>
      </c>
      <c r="S3907" t="s">
        <v>9768</v>
      </c>
      <c r="T3907" t="s">
        <v>11720</v>
      </c>
      <c r="U3907" t="s">
        <v>11720</v>
      </c>
      <c r="V3907" t="s">
        <v>11720</v>
      </c>
      <c r="W3907" t="s">
        <v>15574</v>
      </c>
      <c r="X3907">
        <v>7</v>
      </c>
      <c r="Y3907" t="s">
        <v>21288</v>
      </c>
      <c r="Z3907" t="s">
        <v>27114</v>
      </c>
      <c r="AA3907">
        <v>0.3663905204777439</v>
      </c>
      <c r="AB3907" t="str">
        <f>HYPERLINK("Melting_Curves/meltCurve_Q86SR1_GALNT10.pdf", "Melting_Curves/meltCurve_Q86SR1_GALNT10.pdf")</f>
        <v>Melting_Curves/meltCurve_Q86SR1_GALNT10.pdf</v>
      </c>
    </row>
    <row r="3908" spans="1:28" x14ac:dyDescent="0.25">
      <c r="A3908" t="s">
        <v>3912</v>
      </c>
      <c r="B3908">
        <v>0.99334974765950101</v>
      </c>
      <c r="C3908">
        <v>0.96727574940970196</v>
      </c>
      <c r="D3908">
        <v>0.88117496811836604</v>
      </c>
      <c r="E3908">
        <v>0.726217893452487</v>
      </c>
      <c r="F3908">
        <v>0.43890061306792</v>
      </c>
      <c r="G3908">
        <v>0.28624526003673501</v>
      </c>
      <c r="H3908">
        <v>0.209744765558186</v>
      </c>
      <c r="I3908">
        <v>0.18668693562841701</v>
      </c>
      <c r="J3908">
        <v>0.114768308587713</v>
      </c>
      <c r="K3908">
        <v>9.50602206471622E-2</v>
      </c>
      <c r="L3908">
        <v>813.40578496000705</v>
      </c>
      <c r="M3908">
        <v>15.6623907554439</v>
      </c>
      <c r="N3908">
        <v>52.742732425758597</v>
      </c>
      <c r="O3908">
        <v>51.109186010337901</v>
      </c>
      <c r="P3908">
        <v>-6.84372442926207E-2</v>
      </c>
      <c r="Q3908">
        <v>0.106784253198037</v>
      </c>
      <c r="R3908">
        <v>0.99433465309887303</v>
      </c>
      <c r="S3908" t="s">
        <v>9769</v>
      </c>
      <c r="T3908" t="s">
        <v>11720</v>
      </c>
      <c r="U3908" t="s">
        <v>11720</v>
      </c>
      <c r="V3908" t="s">
        <v>11720</v>
      </c>
      <c r="W3908" t="s">
        <v>15575</v>
      </c>
      <c r="X3908">
        <v>6</v>
      </c>
      <c r="Y3908" t="s">
        <v>21289</v>
      </c>
      <c r="Z3908" t="s">
        <v>27115</v>
      </c>
      <c r="AA3908">
        <v>0.4808076699574621</v>
      </c>
      <c r="AB3908" t="str">
        <f>HYPERLINK("Melting_Curves/meltCurve_Q86SX6_GLRX5.pdf", "Melting_Curves/meltCurve_Q86SX6_GLRX5.pdf")</f>
        <v>Melting_Curves/meltCurve_Q86SX6_GLRX5.pdf</v>
      </c>
    </row>
    <row r="3909" spans="1:28" x14ac:dyDescent="0.25">
      <c r="A3909" t="s">
        <v>3913</v>
      </c>
      <c r="B3909">
        <v>0.99334974765950101</v>
      </c>
      <c r="C3909">
        <v>0.97208913191922897</v>
      </c>
      <c r="D3909">
        <v>1.04000272610774</v>
      </c>
      <c r="E3909">
        <v>1.0646407910757301</v>
      </c>
      <c r="F3909">
        <v>1.51863516503209</v>
      </c>
      <c r="G3909">
        <v>0.71208815185396801</v>
      </c>
      <c r="H3909">
        <v>0.17637949274599399</v>
      </c>
      <c r="I3909">
        <v>0.139892818942457</v>
      </c>
      <c r="J3909">
        <v>0.12592280760393201</v>
      </c>
      <c r="K3909">
        <v>0.127319585839304</v>
      </c>
      <c r="L3909">
        <v>8654.9893548191103</v>
      </c>
      <c r="M3909">
        <v>151.159266991744</v>
      </c>
      <c r="N3909">
        <v>57.384602608392001</v>
      </c>
      <c r="O3909">
        <v>57.247411144158299</v>
      </c>
      <c r="P3909">
        <v>-0.56614281580796599</v>
      </c>
      <c r="Q3909">
        <v>0.1423561879253</v>
      </c>
      <c r="R3909">
        <v>0.88063771499443799</v>
      </c>
      <c r="S3909" t="s">
        <v>9770</v>
      </c>
      <c r="T3909" t="s">
        <v>11720</v>
      </c>
      <c r="U3909" t="s">
        <v>11720</v>
      </c>
      <c r="V3909" t="s">
        <v>11720</v>
      </c>
      <c r="W3909" t="s">
        <v>15576</v>
      </c>
      <c r="X3909">
        <v>3</v>
      </c>
      <c r="Y3909" t="s">
        <v>21290</v>
      </c>
      <c r="Z3909" t="s">
        <v>27116</v>
      </c>
      <c r="AA3909">
        <v>0.63594927510653776</v>
      </c>
      <c r="AB3909" t="str">
        <f>HYPERLINK("Melting_Curves/meltCurve_Q86SZ2_TRAPPC6B.pdf", "Melting_Curves/meltCurve_Q86SZ2_TRAPPC6B.pdf")</f>
        <v>Melting_Curves/meltCurve_Q86SZ2_TRAPPC6B.pdf</v>
      </c>
    </row>
    <row r="3910" spans="1:28" x14ac:dyDescent="0.25">
      <c r="A3910" t="s">
        <v>3914</v>
      </c>
      <c r="B3910">
        <v>0.99334974765950101</v>
      </c>
      <c r="C3910">
        <v>0.73630894589305695</v>
      </c>
      <c r="D3910">
        <v>1.0296128837660301</v>
      </c>
      <c r="E3910">
        <v>0.77968894299706404</v>
      </c>
      <c r="F3910">
        <v>0.92408912582512903</v>
      </c>
      <c r="G3910">
        <v>0.497017301039897</v>
      </c>
      <c r="H3910">
        <v>0.41995287983587498</v>
      </c>
      <c r="I3910">
        <v>0.30486580657037698</v>
      </c>
      <c r="J3910">
        <v>0.30521384932027601</v>
      </c>
      <c r="K3910">
        <v>0.34821698420862801</v>
      </c>
      <c r="L3910">
        <v>1049.02068677189</v>
      </c>
      <c r="M3910">
        <v>18.917750828819099</v>
      </c>
      <c r="N3910">
        <v>58.1300376371493</v>
      </c>
      <c r="O3910">
        <v>54.843163158525002</v>
      </c>
      <c r="P3910">
        <v>-6.1154853871260198E-2</v>
      </c>
      <c r="Q3910">
        <v>0.29086897218191099</v>
      </c>
      <c r="R3910">
        <v>0.84971362373763004</v>
      </c>
      <c r="S3910" t="s">
        <v>9771</v>
      </c>
      <c r="T3910" t="s">
        <v>11720</v>
      </c>
      <c r="U3910" t="s">
        <v>11720</v>
      </c>
      <c r="V3910" t="s">
        <v>11720</v>
      </c>
      <c r="W3910" t="s">
        <v>15577</v>
      </c>
      <c r="X3910">
        <v>1</v>
      </c>
      <c r="Y3910" t="s">
        <v>21291</v>
      </c>
      <c r="Z3910" t="s">
        <v>27117</v>
      </c>
      <c r="AA3910">
        <v>0.66618295729865118</v>
      </c>
      <c r="AB3910" t="str">
        <f>HYPERLINK("Melting_Curves/meltCurve_Q86T13_CLEC14A.pdf", "Melting_Curves/meltCurve_Q86T13_CLEC14A.pdf")</f>
        <v>Melting_Curves/meltCurve_Q86T13_CLEC14A.pdf</v>
      </c>
    </row>
    <row r="3911" spans="1:28" x14ac:dyDescent="0.25">
      <c r="A3911" t="s">
        <v>3915</v>
      </c>
      <c r="B3911">
        <v>0.99334974765950101</v>
      </c>
      <c r="C3911">
        <v>0.92599228371363096</v>
      </c>
      <c r="D3911">
        <v>0.849135755724158</v>
      </c>
      <c r="E3911">
        <v>0.64089959452130096</v>
      </c>
      <c r="F3911">
        <v>0.51581621706964498</v>
      </c>
      <c r="G3911">
        <v>0.39813192399844599</v>
      </c>
      <c r="H3911">
        <v>0.349297340177258</v>
      </c>
      <c r="I3911">
        <v>0.38437203197888897</v>
      </c>
      <c r="J3911">
        <v>0.32780927421262801</v>
      </c>
      <c r="K3911">
        <v>0.33493419595307999</v>
      </c>
      <c r="L3911">
        <v>758.18848865576501</v>
      </c>
      <c r="M3911">
        <v>15.2997933328065</v>
      </c>
      <c r="N3911">
        <v>53.286195302567499</v>
      </c>
      <c r="O3911">
        <v>48.7320268617609</v>
      </c>
      <c r="P3911">
        <v>-5.2694987325602398E-2</v>
      </c>
      <c r="Q3911">
        <v>0.32869853598127002</v>
      </c>
      <c r="R3911">
        <v>0.996403698767097</v>
      </c>
      <c r="S3911" t="s">
        <v>9772</v>
      </c>
      <c r="T3911" t="s">
        <v>11720</v>
      </c>
      <c r="U3911" t="s">
        <v>11720</v>
      </c>
      <c r="V3911" t="s">
        <v>11720</v>
      </c>
      <c r="W3911" t="s">
        <v>15578</v>
      </c>
      <c r="X3911">
        <v>4</v>
      </c>
      <c r="Y3911" t="s">
        <v>21292</v>
      </c>
      <c r="Z3911" t="s">
        <v>27118</v>
      </c>
      <c r="AA3911">
        <v>0.55818597559263616</v>
      </c>
      <c r="AB3911" t="str">
        <f>HYPERLINK("Melting_Curves/meltCurve_Q86TB9_4_PATL1.pdf", "Melting_Curves/meltCurve_Q86TB9_4_PATL1.pdf")</f>
        <v>Melting_Curves/meltCurve_Q86TB9_4_PATL1.pdf</v>
      </c>
    </row>
    <row r="3912" spans="1:28" x14ac:dyDescent="0.25">
      <c r="A3912" t="s">
        <v>3916</v>
      </c>
      <c r="B3912">
        <v>0.99334974765950101</v>
      </c>
      <c r="C3912">
        <v>0.949205347704141</v>
      </c>
      <c r="D3912">
        <v>1.0153106296543499</v>
      </c>
      <c r="E3912">
        <v>0.92520884402479397</v>
      </c>
      <c r="F3912">
        <v>0.92297397302760398</v>
      </c>
      <c r="G3912">
        <v>1.0098813624688401</v>
      </c>
      <c r="H3912">
        <v>0.77064471750684505</v>
      </c>
      <c r="I3912">
        <v>1.08757622142715</v>
      </c>
      <c r="J3912">
        <v>0.77570407575491296</v>
      </c>
      <c r="K3912">
        <v>0.48719817540890598</v>
      </c>
      <c r="L3912">
        <v>15000</v>
      </c>
      <c r="M3912">
        <v>223.628626290412</v>
      </c>
      <c r="N3912">
        <v>68.191986330727403</v>
      </c>
      <c r="O3912">
        <v>67.070122505528502</v>
      </c>
      <c r="P3912">
        <v>-0.42749113855441701</v>
      </c>
      <c r="Q3912">
        <v>0.48715179404367298</v>
      </c>
      <c r="R3912">
        <v>0.72819576578358503</v>
      </c>
      <c r="S3912" t="s">
        <v>9773</v>
      </c>
      <c r="T3912" t="s">
        <v>11720</v>
      </c>
      <c r="U3912" t="s">
        <v>11720</v>
      </c>
      <c r="V3912" t="s">
        <v>11720</v>
      </c>
      <c r="W3912" t="s">
        <v>15579</v>
      </c>
      <c r="X3912">
        <v>1</v>
      </c>
      <c r="Y3912" t="s">
        <v>21293</v>
      </c>
      <c r="Z3912" t="s">
        <v>27119</v>
      </c>
      <c r="AA3912">
        <v>0.95008065947216269</v>
      </c>
      <c r="AB3912" t="str">
        <f>HYPERLINK("Melting_Curves/meltCurve_Q86TG1_TMEM150A.pdf", "Melting_Curves/meltCurve_Q86TG1_TMEM150A.pdf")</f>
        <v>Melting_Curves/meltCurve_Q86TG1_TMEM150A.pdf</v>
      </c>
    </row>
    <row r="3913" spans="1:28" x14ac:dyDescent="0.25">
      <c r="A3913" t="s">
        <v>3917</v>
      </c>
      <c r="B3913">
        <v>0.99334974765950101</v>
      </c>
      <c r="C3913">
        <v>1.0555001810695901</v>
      </c>
      <c r="D3913">
        <v>1.2447443018601001</v>
      </c>
      <c r="E3913">
        <v>1.45111298215833</v>
      </c>
      <c r="F3913">
        <v>0.37522804543516503</v>
      </c>
      <c r="G3913">
        <v>0.212154385544539</v>
      </c>
      <c r="H3913">
        <v>0.113624787051609</v>
      </c>
      <c r="I3913">
        <v>8.4699496068471394E-2</v>
      </c>
      <c r="J3913">
        <v>7.8944698626833495E-2</v>
      </c>
      <c r="K3913">
        <v>6.5830197150617706E-2</v>
      </c>
      <c r="L3913">
        <v>13204.380629064501</v>
      </c>
      <c r="M3913">
        <v>250</v>
      </c>
      <c r="N3913">
        <v>52.870638584702199</v>
      </c>
      <c r="O3913">
        <v>52.814128514095003</v>
      </c>
      <c r="P3913">
        <v>-1.0519786257327599</v>
      </c>
      <c r="Q3913">
        <v>0.111050414557696</v>
      </c>
      <c r="R3913">
        <v>0.89805046810621802</v>
      </c>
      <c r="S3913" t="s">
        <v>9774</v>
      </c>
      <c r="T3913" t="s">
        <v>11720</v>
      </c>
      <c r="U3913" t="s">
        <v>11720</v>
      </c>
      <c r="V3913" t="s">
        <v>11720</v>
      </c>
      <c r="W3913" t="s">
        <v>15580</v>
      </c>
      <c r="X3913">
        <v>12</v>
      </c>
      <c r="Y3913" t="s">
        <v>21294</v>
      </c>
      <c r="Z3913" t="s">
        <v>27120</v>
      </c>
      <c r="AA3913">
        <v>0.49093719236250188</v>
      </c>
      <c r="AB3913" t="str">
        <f>HYPERLINK("Melting_Curves/meltCurve_Q86TI2_DPP9.pdf", "Melting_Curves/meltCurve_Q86TI2_DPP9.pdf")</f>
        <v>Melting_Curves/meltCurve_Q86TI2_DPP9.pdf</v>
      </c>
    </row>
    <row r="3914" spans="1:28" x14ac:dyDescent="0.25">
      <c r="A3914" t="s">
        <v>3918</v>
      </c>
      <c r="B3914">
        <v>0.99334974765950101</v>
      </c>
      <c r="C3914">
        <v>0.94378503710593697</v>
      </c>
      <c r="D3914">
        <v>0.77253331658862401</v>
      </c>
      <c r="E3914">
        <v>0.328797294278313</v>
      </c>
      <c r="F3914">
        <v>0.206623632580101</v>
      </c>
      <c r="G3914">
        <v>0.12832523823785</v>
      </c>
      <c r="H3914">
        <v>9.4224548840690703E-2</v>
      </c>
      <c r="I3914">
        <v>6.5999805315836296E-2</v>
      </c>
      <c r="J3914">
        <v>4.6851888287819103E-2</v>
      </c>
      <c r="K3914">
        <v>3.4878765952157699E-2</v>
      </c>
      <c r="L3914">
        <v>1043.89241917972</v>
      </c>
      <c r="M3914">
        <v>21.643985992843302</v>
      </c>
      <c r="N3914">
        <v>48.540456227780403</v>
      </c>
      <c r="O3914">
        <v>47.824087030300397</v>
      </c>
      <c r="P3914">
        <v>-0.10583585896664301</v>
      </c>
      <c r="Q3914">
        <v>6.4611707227259493E-2</v>
      </c>
      <c r="R3914">
        <v>0.99652816317837101</v>
      </c>
      <c r="S3914" t="s">
        <v>9775</v>
      </c>
      <c r="T3914" t="s">
        <v>11720</v>
      </c>
      <c r="U3914" t="s">
        <v>11720</v>
      </c>
      <c r="V3914" t="s">
        <v>11720</v>
      </c>
      <c r="W3914" t="s">
        <v>15581</v>
      </c>
      <c r="X3914">
        <v>3</v>
      </c>
      <c r="Y3914" t="s">
        <v>21295</v>
      </c>
      <c r="Z3914" t="s">
        <v>27121</v>
      </c>
      <c r="AA3914">
        <v>0.33243049809641723</v>
      </c>
      <c r="AB3914" t="str">
        <f>HYPERLINK("Melting_Curves/meltCurve_Q86TP1_PRUNE.pdf", "Melting_Curves/meltCurve_Q86TP1_PRUNE.pdf")</f>
        <v>Melting_Curves/meltCurve_Q86TP1_PRUNE.pdf</v>
      </c>
    </row>
    <row r="3915" spans="1:28" x14ac:dyDescent="0.25">
      <c r="A3915" t="s">
        <v>3919</v>
      </c>
      <c r="B3915">
        <v>0.99334974765950101</v>
      </c>
      <c r="C3915">
        <v>0.99980610269927495</v>
      </c>
      <c r="D3915">
        <v>0.79500247348277697</v>
      </c>
      <c r="E3915">
        <v>1.0464158380027599</v>
      </c>
      <c r="F3915">
        <v>1.23766586810988</v>
      </c>
      <c r="G3915">
        <v>1.1358219313567499</v>
      </c>
      <c r="H3915">
        <v>0.78463537466954203</v>
      </c>
      <c r="I3915">
        <v>0.92740546679612201</v>
      </c>
      <c r="J3915">
        <v>0.95796723834644304</v>
      </c>
      <c r="K3915">
        <v>1.3477823559012301</v>
      </c>
      <c r="L3915">
        <v>15000</v>
      </c>
      <c r="M3915">
        <v>215.111687860139</v>
      </c>
      <c r="O3915">
        <v>69.725212650013404</v>
      </c>
      <c r="P3915">
        <v>0.38564198406213601</v>
      </c>
      <c r="Q3915">
        <v>1.5</v>
      </c>
      <c r="R3915">
        <v>0.401646340830909</v>
      </c>
      <c r="S3915" t="s">
        <v>9776</v>
      </c>
      <c r="T3915" t="s">
        <v>11720</v>
      </c>
      <c r="U3915" t="s">
        <v>11720</v>
      </c>
      <c r="V3915" t="s">
        <v>11720</v>
      </c>
      <c r="W3915" t="s">
        <v>15582</v>
      </c>
      <c r="X3915">
        <v>3</v>
      </c>
      <c r="Y3915" t="s">
        <v>21296</v>
      </c>
      <c r="Z3915" t="s">
        <v>27122</v>
      </c>
      <c r="AA3915">
        <v>1.006394531301918</v>
      </c>
      <c r="AB3915" t="str">
        <f>HYPERLINK("Melting_Curves/meltCurve_Q86TS9_3_MRPL52.pdf", "Melting_Curves/meltCurve_Q86TS9_3_MRPL52.pdf")</f>
        <v>Melting_Curves/meltCurve_Q86TS9_3_MRPL52.pdf</v>
      </c>
    </row>
    <row r="3916" spans="1:28" x14ac:dyDescent="0.25">
      <c r="A3916" t="s">
        <v>3920</v>
      </c>
      <c r="B3916">
        <v>0.99334974765950101</v>
      </c>
      <c r="C3916">
        <v>1.0519223224099401</v>
      </c>
      <c r="D3916">
        <v>1.0144524123769401</v>
      </c>
      <c r="E3916">
        <v>0.71795332566603798</v>
      </c>
      <c r="F3916">
        <v>0.22514636547646599</v>
      </c>
      <c r="G3916">
        <v>0.118374586176294</v>
      </c>
      <c r="H3916">
        <v>9.3867453077195698E-2</v>
      </c>
      <c r="I3916">
        <v>7.8184596024352501E-2</v>
      </c>
      <c r="J3916">
        <v>7.2429326619946E-2</v>
      </c>
      <c r="K3916">
        <v>6.3671126808139605E-2</v>
      </c>
      <c r="L3916">
        <v>2209.31022177159</v>
      </c>
      <c r="M3916">
        <v>43.367730010633899</v>
      </c>
      <c r="N3916">
        <v>51.1576674222813</v>
      </c>
      <c r="O3916">
        <v>50.835688705872698</v>
      </c>
      <c r="P3916">
        <v>-0.19558030466776599</v>
      </c>
      <c r="Q3916">
        <v>8.2963956556043397E-2</v>
      </c>
      <c r="R3916">
        <v>0.99738789693469299</v>
      </c>
      <c r="S3916" t="s">
        <v>9777</v>
      </c>
      <c r="T3916" t="s">
        <v>11720</v>
      </c>
      <c r="U3916" t="s">
        <v>11720</v>
      </c>
      <c r="V3916" t="s">
        <v>11720</v>
      </c>
      <c r="W3916" t="s">
        <v>15583</v>
      </c>
      <c r="X3916">
        <v>13</v>
      </c>
      <c r="Y3916" t="s">
        <v>21297</v>
      </c>
      <c r="Z3916" t="s">
        <v>27123</v>
      </c>
      <c r="AA3916">
        <v>0.42023176044370902</v>
      </c>
      <c r="AB3916" t="str">
        <f>HYPERLINK("Melting_Curves/meltCurve_Q86TU7_SETD3.pdf", "Melting_Curves/meltCurve_Q86TU7_SETD3.pdf")</f>
        <v>Melting_Curves/meltCurve_Q86TU7_SETD3.pdf</v>
      </c>
    </row>
    <row r="3917" spans="1:28" x14ac:dyDescent="0.25">
      <c r="A3917" t="s">
        <v>3921</v>
      </c>
      <c r="B3917">
        <v>0.99334974765950101</v>
      </c>
      <c r="C3917">
        <v>0.95922108519726101</v>
      </c>
      <c r="D3917">
        <v>0.83935364840001903</v>
      </c>
      <c r="E3917">
        <v>0.71098830243850397</v>
      </c>
      <c r="F3917">
        <v>0.41142030773805699</v>
      </c>
      <c r="G3917">
        <v>0.28695446484494802</v>
      </c>
      <c r="H3917">
        <v>0.15012730161535001</v>
      </c>
      <c r="I3917">
        <v>0.11020578039291901</v>
      </c>
      <c r="J3917">
        <v>0.108328621605913</v>
      </c>
      <c r="K3917">
        <v>9.6854396034853296E-2</v>
      </c>
      <c r="L3917">
        <v>767.97656497190701</v>
      </c>
      <c r="M3917">
        <v>14.824718806300901</v>
      </c>
      <c r="N3917">
        <v>52.3414665856046</v>
      </c>
      <c r="O3917">
        <v>50.888559770317102</v>
      </c>
      <c r="P3917">
        <v>-6.7692604850569701E-2</v>
      </c>
      <c r="Q3917">
        <v>7.0629286535065103E-2</v>
      </c>
      <c r="R3917">
        <v>0.99398586976710501</v>
      </c>
      <c r="S3917" t="s">
        <v>9778</v>
      </c>
      <c r="T3917" t="s">
        <v>11720</v>
      </c>
      <c r="U3917" t="s">
        <v>11720</v>
      </c>
      <c r="V3917" t="s">
        <v>11720</v>
      </c>
      <c r="W3917" t="s">
        <v>15584</v>
      </c>
      <c r="X3917">
        <v>7</v>
      </c>
      <c r="Y3917" t="s">
        <v>21298</v>
      </c>
      <c r="Z3917" t="s">
        <v>27124</v>
      </c>
      <c r="AA3917">
        <v>0.45760133410692749</v>
      </c>
      <c r="AB3917" t="str">
        <f>HYPERLINK("Melting_Curves/meltCurve_Q86TV2_LGMN.pdf", "Melting_Curves/meltCurve_Q86TV2_LGMN.pdf")</f>
        <v>Melting_Curves/meltCurve_Q86TV2_LGMN.pdf</v>
      </c>
    </row>
    <row r="3918" spans="1:28" x14ac:dyDescent="0.25">
      <c r="A3918" t="s">
        <v>3922</v>
      </c>
      <c r="B3918">
        <v>0.99334974765950101</v>
      </c>
      <c r="C3918">
        <v>0.91317452824756995</v>
      </c>
      <c r="D3918">
        <v>0.81558723250939902</v>
      </c>
      <c r="E3918">
        <v>0.56602881939637295</v>
      </c>
      <c r="F3918">
        <v>0.24515550291466601</v>
      </c>
      <c r="G3918">
        <v>0.15938511818884599</v>
      </c>
      <c r="H3918">
        <v>7.1666641101976805E-2</v>
      </c>
      <c r="I3918">
        <v>2.7801201650256499E-2</v>
      </c>
      <c r="J3918">
        <v>3.6979005703839198E-2</v>
      </c>
      <c r="K3918">
        <v>2.98624780487661E-2</v>
      </c>
      <c r="L3918">
        <v>839.94431170463804</v>
      </c>
      <c r="M3918">
        <v>16.752623319928599</v>
      </c>
      <c r="N3918">
        <v>50.250011546497298</v>
      </c>
      <c r="O3918">
        <v>49.439998775254203</v>
      </c>
      <c r="P3918">
        <v>-8.3166099083040998E-2</v>
      </c>
      <c r="Q3918">
        <v>1.8311858315290801E-2</v>
      </c>
      <c r="R3918">
        <v>0.994824064638127</v>
      </c>
      <c r="S3918" t="s">
        <v>9779</v>
      </c>
      <c r="T3918" t="s">
        <v>11720</v>
      </c>
      <c r="U3918" t="s">
        <v>11720</v>
      </c>
      <c r="V3918" t="s">
        <v>11720</v>
      </c>
      <c r="W3918" t="s">
        <v>15585</v>
      </c>
      <c r="X3918">
        <v>25</v>
      </c>
      <c r="Y3918" t="s">
        <v>21299</v>
      </c>
      <c r="Z3918" t="s">
        <v>27125</v>
      </c>
      <c r="AA3918">
        <v>0.36916401978228419</v>
      </c>
      <c r="AB3918" t="str">
        <f>HYPERLINK("Melting_Curves/meltCurve_Q86TX2_ACOT1.pdf", "Melting_Curves/meltCurve_Q86TX2_ACOT1.pdf")</f>
        <v>Melting_Curves/meltCurve_Q86TX2_ACOT1.pdf</v>
      </c>
    </row>
    <row r="3919" spans="1:28" x14ac:dyDescent="0.25">
      <c r="A3919" t="s">
        <v>3923</v>
      </c>
      <c r="B3919">
        <v>0.99334974765950101</v>
      </c>
      <c r="C3919">
        <v>0.96251496828104399</v>
      </c>
      <c r="D3919">
        <v>0.90049224852782805</v>
      </c>
      <c r="E3919">
        <v>0.67120006659285303</v>
      </c>
      <c r="F3919">
        <v>0.35714710693019702</v>
      </c>
      <c r="G3919">
        <v>0.23091295014580401</v>
      </c>
      <c r="H3919">
        <v>0.15908931652330599</v>
      </c>
      <c r="I3919">
        <v>0.15590562854539</v>
      </c>
      <c r="J3919">
        <v>0.122647684063211</v>
      </c>
      <c r="K3919">
        <v>0.13875939709641</v>
      </c>
      <c r="L3919">
        <v>1082.1078818958799</v>
      </c>
      <c r="M3919">
        <v>21.290212509997499</v>
      </c>
      <c r="N3919">
        <v>51.584942406801403</v>
      </c>
      <c r="O3919">
        <v>50.384503070787702</v>
      </c>
      <c r="P3919">
        <v>-9.1445754316715797E-2</v>
      </c>
      <c r="Q3919">
        <v>0.134375666097409</v>
      </c>
      <c r="R3919">
        <v>0.99734331845646096</v>
      </c>
      <c r="S3919" t="s">
        <v>9780</v>
      </c>
      <c r="T3919" t="s">
        <v>11720</v>
      </c>
      <c r="U3919" t="s">
        <v>11720</v>
      </c>
      <c r="V3919" t="s">
        <v>11720</v>
      </c>
      <c r="W3919" t="s">
        <v>15586</v>
      </c>
      <c r="X3919">
        <v>3</v>
      </c>
      <c r="Y3919" t="s">
        <v>21300</v>
      </c>
      <c r="Z3919" t="s">
        <v>27126</v>
      </c>
      <c r="AA3919">
        <v>0.4574401397122374</v>
      </c>
      <c r="AB3919" t="str">
        <f>HYPERLINK("Melting_Curves/meltCurve_Q86U28_ISCA2.pdf", "Melting_Curves/meltCurve_Q86U28_ISCA2.pdf")</f>
        <v>Melting_Curves/meltCurve_Q86U28_ISCA2.pdf</v>
      </c>
    </row>
    <row r="3920" spans="1:28" x14ac:dyDescent="0.25">
      <c r="A3920" t="s">
        <v>3924</v>
      </c>
      <c r="B3920">
        <v>0.99334974765950101</v>
      </c>
      <c r="C3920">
        <v>0.99955639301107901</v>
      </c>
      <c r="D3920">
        <v>0.85090086072053595</v>
      </c>
      <c r="E3920">
        <v>0.74766781602204402</v>
      </c>
      <c r="F3920">
        <v>0.37600428237030198</v>
      </c>
      <c r="G3920">
        <v>0.22556231907606999</v>
      </c>
      <c r="H3920">
        <v>0.19533277552777001</v>
      </c>
      <c r="I3920">
        <v>0.19720697269944801</v>
      </c>
      <c r="J3920">
        <v>0.194654853437323</v>
      </c>
      <c r="K3920">
        <v>0.140548109510025</v>
      </c>
      <c r="L3920">
        <v>1191.37101899351</v>
      </c>
      <c r="M3920">
        <v>23.334850954866599</v>
      </c>
      <c r="N3920">
        <v>51.974816543064598</v>
      </c>
      <c r="O3920">
        <v>50.684888584546897</v>
      </c>
      <c r="P3920">
        <v>-9.5637184931377794E-2</v>
      </c>
      <c r="Q3920">
        <v>0.16909232057698001</v>
      </c>
      <c r="R3920">
        <v>0.98655615690738696</v>
      </c>
      <c r="S3920" t="s">
        <v>9781</v>
      </c>
      <c r="T3920" t="s">
        <v>11720</v>
      </c>
      <c r="U3920" t="s">
        <v>11720</v>
      </c>
      <c r="V3920" t="s">
        <v>11720</v>
      </c>
      <c r="W3920" t="s">
        <v>15587</v>
      </c>
      <c r="X3920">
        <v>7</v>
      </c>
      <c r="Y3920" t="s">
        <v>21301</v>
      </c>
      <c r="Z3920" t="s">
        <v>27127</v>
      </c>
      <c r="AA3920">
        <v>0.48388774977128612</v>
      </c>
      <c r="AB3920" t="str">
        <f>HYPERLINK("Melting_Curves/meltCurve_Q86U44_METTL3.pdf", "Melting_Curves/meltCurve_Q86U44_METTL3.pdf")</f>
        <v>Melting_Curves/meltCurve_Q86U44_METTL3.pdf</v>
      </c>
    </row>
    <row r="3921" spans="1:28" x14ac:dyDescent="0.25">
      <c r="A3921" t="s">
        <v>3925</v>
      </c>
      <c r="B3921">
        <v>0.99334974765950101</v>
      </c>
      <c r="C3921">
        <v>1.0006474227519799</v>
      </c>
      <c r="D3921">
        <v>0.908832244111204</v>
      </c>
      <c r="E3921">
        <v>0.75555733134941505</v>
      </c>
      <c r="F3921">
        <v>0.334776446558115</v>
      </c>
      <c r="G3921">
        <v>0.148221434895114</v>
      </c>
      <c r="H3921">
        <v>9.6275868490939207E-2</v>
      </c>
      <c r="I3921">
        <v>6.4262779709127596E-2</v>
      </c>
      <c r="J3921">
        <v>6.3183244892834597E-2</v>
      </c>
      <c r="K3921">
        <v>6.2169739741534197E-2</v>
      </c>
      <c r="L3921">
        <v>1450.5225160022501</v>
      </c>
      <c r="M3921">
        <v>28.1444711002618</v>
      </c>
      <c r="N3921">
        <v>51.811585169186301</v>
      </c>
      <c r="O3921">
        <v>51.280364259556499</v>
      </c>
      <c r="P3921">
        <v>-0.12774996402636299</v>
      </c>
      <c r="Q3921">
        <v>6.8945420844156904E-2</v>
      </c>
      <c r="R3921">
        <v>0.99599588022846497</v>
      </c>
      <c r="S3921" t="s">
        <v>9782</v>
      </c>
      <c r="T3921" t="s">
        <v>11720</v>
      </c>
      <c r="U3921" t="s">
        <v>11720</v>
      </c>
      <c r="V3921" t="s">
        <v>11720</v>
      </c>
      <c r="W3921" t="s">
        <v>15588</v>
      </c>
      <c r="X3921">
        <v>6</v>
      </c>
      <c r="Y3921" t="s">
        <v>21302</v>
      </c>
      <c r="Z3921" t="s">
        <v>27128</v>
      </c>
      <c r="AA3921">
        <v>0.4337470169389015</v>
      </c>
      <c r="AB3921" t="str">
        <f>HYPERLINK("Melting_Curves/meltCurve_Q86U90_YRDC.pdf", "Melting_Curves/meltCurve_Q86U90_YRDC.pdf")</f>
        <v>Melting_Curves/meltCurve_Q86U90_YRDC.pdf</v>
      </c>
    </row>
    <row r="3922" spans="1:28" x14ac:dyDescent="0.25">
      <c r="A3922" t="s">
        <v>3926</v>
      </c>
      <c r="B3922">
        <v>0.99334974765950101</v>
      </c>
      <c r="C3922">
        <v>0.94890389874605896</v>
      </c>
      <c r="D3922">
        <v>0.77760056872154903</v>
      </c>
      <c r="E3922">
        <v>0.28642361822665702</v>
      </c>
      <c r="F3922">
        <v>0.44682590042211701</v>
      </c>
      <c r="G3922">
        <v>0.32052898770856803</v>
      </c>
      <c r="H3922">
        <v>0.28549761303913601</v>
      </c>
      <c r="I3922">
        <v>0.134116929018503</v>
      </c>
      <c r="J3922">
        <v>0.11774575589902</v>
      </c>
      <c r="K3922">
        <v>9.5730381928924801E-2</v>
      </c>
      <c r="L3922">
        <v>759.788134170646</v>
      </c>
      <c r="M3922">
        <v>15.7467507568676</v>
      </c>
      <c r="N3922">
        <v>49.489462530940898</v>
      </c>
      <c r="O3922">
        <v>47.492411625541799</v>
      </c>
      <c r="P3922">
        <v>-6.9393781115185599E-2</v>
      </c>
      <c r="Q3922">
        <v>0.16289959820076799</v>
      </c>
      <c r="R3922">
        <v>0.92446890637879298</v>
      </c>
      <c r="S3922" t="s">
        <v>9783</v>
      </c>
      <c r="T3922" t="s">
        <v>11720</v>
      </c>
      <c r="U3922" t="s">
        <v>11720</v>
      </c>
      <c r="V3922" t="s">
        <v>11720</v>
      </c>
      <c r="W3922" t="s">
        <v>15589</v>
      </c>
      <c r="X3922">
        <v>2</v>
      </c>
      <c r="Y3922" t="s">
        <v>21303</v>
      </c>
      <c r="Z3922" t="s">
        <v>27129</v>
      </c>
      <c r="AA3922">
        <v>0.41246438369969041</v>
      </c>
      <c r="AB3922" t="str">
        <f>HYPERLINK("Melting_Curves/meltCurve_Q86UA1_PRPF39.pdf", "Melting_Curves/meltCurve_Q86UA1_PRPF39.pdf")</f>
        <v>Melting_Curves/meltCurve_Q86UA1_PRPF39.pdf</v>
      </c>
    </row>
    <row r="3923" spans="1:28" x14ac:dyDescent="0.25">
      <c r="A3923" t="s">
        <v>3927</v>
      </c>
      <c r="B3923">
        <v>0.99334974765950101</v>
      </c>
      <c r="C3923">
        <v>1.0049045593421899</v>
      </c>
      <c r="D3923">
        <v>0.80527400424169004</v>
      </c>
      <c r="E3923">
        <v>0.99016556254498</v>
      </c>
      <c r="F3923">
        <v>1.00043844572743</v>
      </c>
      <c r="G3923">
        <v>0.79209825846332704</v>
      </c>
      <c r="H3923">
        <v>0.72553766438928002</v>
      </c>
      <c r="I3923">
        <v>0.69175647941858898</v>
      </c>
      <c r="J3923">
        <v>0.55991324069191295</v>
      </c>
      <c r="K3923">
        <v>0.49196031167639198</v>
      </c>
      <c r="L3923">
        <v>511.80687187146901</v>
      </c>
      <c r="M3923">
        <v>7.3378632382000601</v>
      </c>
      <c r="N3923">
        <v>69.748762395252797</v>
      </c>
      <c r="O3923">
        <v>65.129337174583398</v>
      </c>
      <c r="P3923">
        <v>-2.82104146941114E-2</v>
      </c>
      <c r="Q3923">
        <v>0</v>
      </c>
      <c r="R3923">
        <v>0.86616845573969503</v>
      </c>
      <c r="S3923" t="s">
        <v>9784</v>
      </c>
      <c r="T3923" t="s">
        <v>11720</v>
      </c>
      <c r="U3923" t="s">
        <v>11720</v>
      </c>
      <c r="V3923" t="s">
        <v>11720</v>
      </c>
      <c r="W3923" t="s">
        <v>15590</v>
      </c>
      <c r="X3923">
        <v>20</v>
      </c>
      <c r="Y3923" t="s">
        <v>21304</v>
      </c>
      <c r="Z3923" t="s">
        <v>27130</v>
      </c>
      <c r="AA3923">
        <v>0.82678926180793977</v>
      </c>
      <c r="AB3923" t="str">
        <f>HYPERLINK("Melting_Curves/meltCurve_Q86UE4_MTDH.pdf", "Melting_Curves/meltCurve_Q86UE4_MTDH.pdf")</f>
        <v>Melting_Curves/meltCurve_Q86UE4_MTDH.pdf</v>
      </c>
    </row>
    <row r="3924" spans="1:28" x14ac:dyDescent="0.25">
      <c r="A3924" t="s">
        <v>3928</v>
      </c>
      <c r="B3924">
        <v>0.99334974765950101</v>
      </c>
      <c r="C3924">
        <v>0.92885379377736199</v>
      </c>
      <c r="D3924">
        <v>0.735076809238842</v>
      </c>
      <c r="E3924">
        <v>0.41862367871199802</v>
      </c>
      <c r="F3924">
        <v>0.27376910969901502</v>
      </c>
      <c r="G3924">
        <v>0.26678280815155397</v>
      </c>
      <c r="H3924">
        <v>0.25140308624082203</v>
      </c>
      <c r="I3924">
        <v>0.24146302543199499</v>
      </c>
      <c r="J3924">
        <v>0.17447580271537699</v>
      </c>
      <c r="K3924">
        <v>9.83771901793149E-2</v>
      </c>
      <c r="L3924">
        <v>931.81715572561302</v>
      </c>
      <c r="M3924">
        <v>19.533532115882299</v>
      </c>
      <c r="N3924">
        <v>48.9115480989704</v>
      </c>
      <c r="O3924">
        <v>47.211940072789602</v>
      </c>
      <c r="P3924">
        <v>-8.3643825156289903E-2</v>
      </c>
      <c r="Q3924">
        <v>0.19137079574709201</v>
      </c>
      <c r="R3924">
        <v>0.98299182686673003</v>
      </c>
      <c r="S3924" t="s">
        <v>9785</v>
      </c>
      <c r="T3924" t="s">
        <v>11720</v>
      </c>
      <c r="U3924" t="s">
        <v>11720</v>
      </c>
      <c r="V3924" t="s">
        <v>11720</v>
      </c>
      <c r="W3924" t="s">
        <v>15591</v>
      </c>
      <c r="X3924">
        <v>9</v>
      </c>
      <c r="Y3924" t="s">
        <v>21305</v>
      </c>
      <c r="Z3924" t="s">
        <v>27131</v>
      </c>
      <c r="AA3924">
        <v>0.41118356164174308</v>
      </c>
      <c r="AB3924" t="str">
        <f>HYPERLINK("Melting_Curves/meltCurve_Q86UK7_2_ZNF598.pdf", "Melting_Curves/meltCurve_Q86UK7_2_ZNF598.pdf")</f>
        <v>Melting_Curves/meltCurve_Q86UK7_2_ZNF598.pdf</v>
      </c>
    </row>
    <row r="3925" spans="1:28" x14ac:dyDescent="0.25">
      <c r="A3925" t="s">
        <v>3929</v>
      </c>
      <c r="B3925">
        <v>0.99334974765950101</v>
      </c>
      <c r="C3925">
        <v>1.23292212612793</v>
      </c>
      <c r="D3925">
        <v>1.3679464963721899</v>
      </c>
      <c r="E3925">
        <v>1.1505412199685101</v>
      </c>
      <c r="F3925">
        <v>0.72248707109105403</v>
      </c>
      <c r="G3925">
        <v>0.29776309567694897</v>
      </c>
      <c r="H3925">
        <v>0.24899292828352201</v>
      </c>
      <c r="I3925">
        <v>0.20966541016450099</v>
      </c>
      <c r="J3925">
        <v>0.22212560309187601</v>
      </c>
      <c r="K3925">
        <v>0.19190753459996901</v>
      </c>
      <c r="L3925">
        <v>13279.958784546099</v>
      </c>
      <c r="M3925">
        <v>250</v>
      </c>
      <c r="N3925">
        <v>53.254345718761599</v>
      </c>
      <c r="O3925">
        <v>53.116438388263198</v>
      </c>
      <c r="P3925">
        <v>-0.90121480858064196</v>
      </c>
      <c r="Q3925">
        <v>0.23409090421444601</v>
      </c>
      <c r="R3925">
        <v>0.89558469133284502</v>
      </c>
      <c r="S3925" t="s">
        <v>9786</v>
      </c>
      <c r="T3925" t="s">
        <v>11720</v>
      </c>
      <c r="U3925" t="s">
        <v>11720</v>
      </c>
      <c r="V3925" t="s">
        <v>11720</v>
      </c>
      <c r="W3925" t="s">
        <v>15592</v>
      </c>
      <c r="X3925">
        <v>2</v>
      </c>
      <c r="Y3925" t="s">
        <v>21306</v>
      </c>
      <c r="Z3925" t="s">
        <v>27132</v>
      </c>
      <c r="AA3925">
        <v>0.56911567461272405</v>
      </c>
      <c r="AB3925" t="str">
        <f>HYPERLINK("Melting_Curves/meltCurve_Q86UL3_AGPAT6.pdf", "Melting_Curves/meltCurve_Q86UL3_AGPAT6.pdf")</f>
        <v>Melting_Curves/meltCurve_Q86UL3_AGPAT6.pdf</v>
      </c>
    </row>
    <row r="3926" spans="1:28" x14ac:dyDescent="0.25">
      <c r="A3926" t="s">
        <v>3930</v>
      </c>
      <c r="B3926">
        <v>0.99334974765950101</v>
      </c>
      <c r="C3926">
        <v>1.0867241103710801</v>
      </c>
      <c r="D3926">
        <v>0.79976914582847702</v>
      </c>
      <c r="E3926">
        <v>0.60186749957700902</v>
      </c>
      <c r="F3926">
        <v>0.61636674273193004</v>
      </c>
      <c r="G3926">
        <v>0.27448377751206499</v>
      </c>
      <c r="H3926">
        <v>0.25089086752360301</v>
      </c>
      <c r="I3926">
        <v>0.33541740666312703</v>
      </c>
      <c r="J3926">
        <v>0.33176309610891602</v>
      </c>
      <c r="K3926">
        <v>0.37350904755523201</v>
      </c>
      <c r="L3926">
        <v>890.31891943411904</v>
      </c>
      <c r="M3926">
        <v>17.870203901613401</v>
      </c>
      <c r="N3926">
        <v>52.619917683489099</v>
      </c>
      <c r="O3926">
        <v>49.210094297751802</v>
      </c>
      <c r="P3926">
        <v>-6.29440758685091E-2</v>
      </c>
      <c r="Q3926">
        <v>0.30670590986860702</v>
      </c>
      <c r="R3926">
        <v>0.92813607277062704</v>
      </c>
      <c r="S3926" t="s">
        <v>9787</v>
      </c>
      <c r="T3926" t="s">
        <v>11720</v>
      </c>
      <c r="U3926" t="s">
        <v>11720</v>
      </c>
      <c r="V3926" t="s">
        <v>11720</v>
      </c>
      <c r="W3926" t="s">
        <v>15593</v>
      </c>
      <c r="X3926">
        <v>5</v>
      </c>
      <c r="Y3926" t="s">
        <v>21307</v>
      </c>
      <c r="Z3926" t="s">
        <v>27133</v>
      </c>
      <c r="AA3926">
        <v>0.54569370782762006</v>
      </c>
      <c r="AB3926" t="str">
        <f>HYPERLINK("Melting_Curves/meltCurve_Q86UL8_2_MAGI2.pdf", "Melting_Curves/meltCurve_Q86UL8_2_MAGI2.pdf")</f>
        <v>Melting_Curves/meltCurve_Q86UL8_2_MAGI2.pdf</v>
      </c>
    </row>
    <row r="3927" spans="1:28" x14ac:dyDescent="0.25">
      <c r="A3927" t="s">
        <v>3931</v>
      </c>
      <c r="B3927">
        <v>0.99334974765950101</v>
      </c>
      <c r="C3927">
        <v>1.01774059548036</v>
      </c>
      <c r="D3927">
        <v>1.0524724067295601</v>
      </c>
      <c r="E3927">
        <v>0.89329225497329501</v>
      </c>
      <c r="F3927">
        <v>0.90300477801957701</v>
      </c>
      <c r="G3927">
        <v>0.70963601950225297</v>
      </c>
      <c r="H3927">
        <v>0.66699858115352895</v>
      </c>
      <c r="I3927">
        <v>0.90407974676076497</v>
      </c>
      <c r="J3927">
        <v>0.75004173937841501</v>
      </c>
      <c r="K3927">
        <v>0.687550195132002</v>
      </c>
      <c r="L3927">
        <v>1494.48535455358</v>
      </c>
      <c r="M3927">
        <v>28.5340088033151</v>
      </c>
      <c r="O3927">
        <v>52.120356711824897</v>
      </c>
      <c r="P3927">
        <v>-3.5172065028042397E-2</v>
      </c>
      <c r="Q3927">
        <v>0.74302019632020699</v>
      </c>
      <c r="R3927">
        <v>0.74406889414227495</v>
      </c>
      <c r="S3927" t="s">
        <v>9788</v>
      </c>
      <c r="T3927" t="s">
        <v>11720</v>
      </c>
      <c r="U3927" t="s">
        <v>11720</v>
      </c>
      <c r="V3927" t="s">
        <v>11720</v>
      </c>
      <c r="W3927" t="s">
        <v>15594</v>
      </c>
      <c r="X3927">
        <v>62</v>
      </c>
      <c r="Y3927" t="s">
        <v>21308</v>
      </c>
      <c r="Z3927" t="s">
        <v>27134</v>
      </c>
      <c r="AA3927">
        <v>0.85085187782986793</v>
      </c>
      <c r="AB3927" t="str">
        <f>HYPERLINK("Melting_Curves/meltCurve_Q86UP2_KTN1.pdf", "Melting_Curves/meltCurve_Q86UP2_KTN1.pdf")</f>
        <v>Melting_Curves/meltCurve_Q86UP2_KTN1.pdf</v>
      </c>
    </row>
    <row r="3928" spans="1:28" x14ac:dyDescent="0.25">
      <c r="A3928" t="s">
        <v>3932</v>
      </c>
      <c r="B3928">
        <v>0.99334974765950101</v>
      </c>
      <c r="C3928">
        <v>0.87335024377969905</v>
      </c>
      <c r="D3928">
        <v>0.61458943215853401</v>
      </c>
      <c r="E3928">
        <v>0.20601434454491099</v>
      </c>
      <c r="F3928">
        <v>0.19878090130768999</v>
      </c>
      <c r="G3928">
        <v>6.9417925907258093E-2</v>
      </c>
      <c r="H3928">
        <v>4.0612863806894203E-2</v>
      </c>
      <c r="I3928">
        <v>3.6201464561595703E-2</v>
      </c>
      <c r="J3928">
        <v>0.14613531623457701</v>
      </c>
      <c r="K3928">
        <v>5.75449900426976E-2</v>
      </c>
      <c r="L3928">
        <v>1034.0113266145299</v>
      </c>
      <c r="M3928">
        <v>22.1799546946487</v>
      </c>
      <c r="N3928">
        <v>46.950228184603397</v>
      </c>
      <c r="O3928">
        <v>46.245158570014198</v>
      </c>
      <c r="P3928">
        <v>-0.11122697350147601</v>
      </c>
      <c r="Q3928">
        <v>7.2387540658325894E-2</v>
      </c>
      <c r="R3928">
        <v>0.98760544599052302</v>
      </c>
      <c r="S3928" t="s">
        <v>9789</v>
      </c>
      <c r="T3928" t="s">
        <v>11720</v>
      </c>
      <c r="U3928" t="s">
        <v>11720</v>
      </c>
      <c r="V3928" t="s">
        <v>11720</v>
      </c>
      <c r="W3928" t="s">
        <v>15595</v>
      </c>
      <c r="X3928">
        <v>2</v>
      </c>
      <c r="Y3928" t="s">
        <v>21309</v>
      </c>
      <c r="Z3928" t="s">
        <v>27135</v>
      </c>
      <c r="AA3928">
        <v>0.2880003288858845</v>
      </c>
      <c r="AB3928" t="str">
        <f>HYPERLINK("Melting_Curves/meltCurve_Q86US8_SMG6.pdf", "Melting_Curves/meltCurve_Q86US8_SMG6.pdf")</f>
        <v>Melting_Curves/meltCurve_Q86US8_SMG6.pdf</v>
      </c>
    </row>
    <row r="3929" spans="1:28" x14ac:dyDescent="0.25">
      <c r="A3929" t="s">
        <v>3933</v>
      </c>
      <c r="B3929">
        <v>0.99334974765950101</v>
      </c>
      <c r="C3929">
        <v>1.0079968761546201</v>
      </c>
      <c r="D3929">
        <v>0.94116787272737301</v>
      </c>
      <c r="E3929">
        <v>0.91794038913021503</v>
      </c>
      <c r="F3929">
        <v>0.91447235555345896</v>
      </c>
      <c r="G3929">
        <v>0.70309410643841996</v>
      </c>
      <c r="H3929">
        <v>0.64572942205365103</v>
      </c>
      <c r="I3929">
        <v>0.701173506317188</v>
      </c>
      <c r="J3929">
        <v>0.81468406783764102</v>
      </c>
      <c r="K3929">
        <v>0.80971987064866002</v>
      </c>
      <c r="L3929">
        <v>3661.9262939103101</v>
      </c>
      <c r="M3929">
        <v>68.437898905496894</v>
      </c>
      <c r="O3929">
        <v>53.461657115016699</v>
      </c>
      <c r="P3929">
        <v>-8.4995550954088506E-2</v>
      </c>
      <c r="Q3929">
        <v>0.73441605582442904</v>
      </c>
      <c r="R3929">
        <v>0.78549765171379204</v>
      </c>
      <c r="S3929" t="s">
        <v>9790</v>
      </c>
      <c r="T3929" t="s">
        <v>11720</v>
      </c>
      <c r="U3929" t="s">
        <v>11720</v>
      </c>
      <c r="V3929" t="s">
        <v>11720</v>
      </c>
      <c r="W3929" t="s">
        <v>15596</v>
      </c>
      <c r="X3929">
        <v>15</v>
      </c>
      <c r="Y3929" t="s">
        <v>21310</v>
      </c>
      <c r="Z3929" t="s">
        <v>27136</v>
      </c>
      <c r="AA3929">
        <v>0.85432704721223918</v>
      </c>
      <c r="AB3929" t="str">
        <f>HYPERLINK("Melting_Curves/meltCurve_Q86UU0_4_BCL9L.pdf", "Melting_Curves/meltCurve_Q86UU0_4_BCL9L.pdf")</f>
        <v>Melting_Curves/meltCurve_Q86UU0_4_BCL9L.pdf</v>
      </c>
    </row>
    <row r="3930" spans="1:28" x14ac:dyDescent="0.25">
      <c r="A3930" t="s">
        <v>3934</v>
      </c>
      <c r="B3930">
        <v>0.99334974765950101</v>
      </c>
      <c r="C3930">
        <v>0.94873903878698795</v>
      </c>
      <c r="D3930">
        <v>0.67218269836200495</v>
      </c>
      <c r="E3930">
        <v>0.44639572021346602</v>
      </c>
      <c r="F3930">
        <v>0.32042232507046797</v>
      </c>
      <c r="G3930">
        <v>0.232622549366476</v>
      </c>
      <c r="H3930">
        <v>0.17653824165615101</v>
      </c>
      <c r="I3930">
        <v>0.18352549564085899</v>
      </c>
      <c r="J3930">
        <v>0.18118967602962799</v>
      </c>
      <c r="K3930">
        <v>0.15505366637455401</v>
      </c>
      <c r="L3930">
        <v>814.03628202189896</v>
      </c>
      <c r="M3930">
        <v>17.016435294115102</v>
      </c>
      <c r="N3930">
        <v>49.030671056917797</v>
      </c>
      <c r="O3930">
        <v>47.192209942460799</v>
      </c>
      <c r="P3930">
        <v>-7.4874178552677806E-2</v>
      </c>
      <c r="Q3930">
        <v>0.16944742679293601</v>
      </c>
      <c r="R3930">
        <v>0.99314567339323301</v>
      </c>
      <c r="S3930" t="s">
        <v>9791</v>
      </c>
      <c r="T3930" t="s">
        <v>11720</v>
      </c>
      <c r="U3930" t="s">
        <v>11720</v>
      </c>
      <c r="V3930" t="s">
        <v>11720</v>
      </c>
      <c r="W3930" t="s">
        <v>15597</v>
      </c>
      <c r="X3930">
        <v>58</v>
      </c>
      <c r="Y3930" t="s">
        <v>21311</v>
      </c>
      <c r="Z3930" t="s">
        <v>27137</v>
      </c>
      <c r="AA3930">
        <v>0.40310769125653428</v>
      </c>
      <c r="AB3930" t="str">
        <f>HYPERLINK("Melting_Curves/meltCurve_Q86UU1_2_PHLDB1.pdf", "Melting_Curves/meltCurve_Q86UU1_2_PHLDB1.pdf")</f>
        <v>Melting_Curves/meltCurve_Q86UU1_2_PHLDB1.pdf</v>
      </c>
    </row>
    <row r="3931" spans="1:28" x14ac:dyDescent="0.25">
      <c r="A3931" t="s">
        <v>3935</v>
      </c>
      <c r="B3931">
        <v>0.99334974765950101</v>
      </c>
      <c r="C3931">
        <v>0.94984149857547295</v>
      </c>
      <c r="D3931">
        <v>0.90584200773387702</v>
      </c>
      <c r="E3931">
        <v>0.772564668484226</v>
      </c>
      <c r="F3931">
        <v>0.62286607929286097</v>
      </c>
      <c r="G3931">
        <v>0.32159368611280698</v>
      </c>
      <c r="H3931">
        <v>0.194986698991266</v>
      </c>
      <c r="I3931">
        <v>0.18746199864923099</v>
      </c>
      <c r="J3931">
        <v>0.163739753537437</v>
      </c>
      <c r="K3931">
        <v>0.145398569647711</v>
      </c>
      <c r="L3931">
        <v>861.47306708773499</v>
      </c>
      <c r="M3931">
        <v>16.1567936124877</v>
      </c>
      <c r="N3931">
        <v>54.244679337107897</v>
      </c>
      <c r="O3931">
        <v>52.522794925753097</v>
      </c>
      <c r="P3931">
        <v>-6.7647921419135601E-2</v>
      </c>
      <c r="Q3931">
        <v>0.12042199073382701</v>
      </c>
      <c r="R3931">
        <v>0.99509854453859203</v>
      </c>
      <c r="S3931" t="s">
        <v>9792</v>
      </c>
      <c r="T3931" t="s">
        <v>11720</v>
      </c>
      <c r="U3931" t="s">
        <v>11720</v>
      </c>
      <c r="V3931" t="s">
        <v>11720</v>
      </c>
      <c r="W3931" t="s">
        <v>15598</v>
      </c>
      <c r="X3931">
        <v>23</v>
      </c>
      <c r="Y3931" t="s">
        <v>21312</v>
      </c>
      <c r="Z3931" t="s">
        <v>27138</v>
      </c>
      <c r="AA3931">
        <v>0.52777267386774462</v>
      </c>
      <c r="AB3931" t="str">
        <f>HYPERLINK("Melting_Curves/meltCurve_Q86UY0_TXNDC5.pdf", "Melting_Curves/meltCurve_Q86UY0_TXNDC5.pdf")</f>
        <v>Melting_Curves/meltCurve_Q86UY0_TXNDC5.pdf</v>
      </c>
    </row>
    <row r="3932" spans="1:28" x14ac:dyDescent="0.25">
      <c r="A3932" t="s">
        <v>3936</v>
      </c>
      <c r="B3932">
        <v>0.99334974765950101</v>
      </c>
      <c r="C3932">
        <v>0.87058690528564198</v>
      </c>
      <c r="D3932">
        <v>0.63443223919798297</v>
      </c>
      <c r="E3932">
        <v>0.45178791489839099</v>
      </c>
      <c r="F3932">
        <v>0.68351473965977405</v>
      </c>
      <c r="G3932">
        <v>0.34130241599562999</v>
      </c>
      <c r="H3932">
        <v>0.17322123798518499</v>
      </c>
      <c r="I3932">
        <v>0.133123912713381</v>
      </c>
      <c r="J3932">
        <v>7.6334918358093098E-2</v>
      </c>
      <c r="K3932">
        <v>4.7095110452628097E-2</v>
      </c>
      <c r="L3932">
        <v>446.60310768370903</v>
      </c>
      <c r="M3932">
        <v>8.6301076964074195</v>
      </c>
      <c r="N3932">
        <v>51.749419924632697</v>
      </c>
      <c r="O3932">
        <v>49.195802329947703</v>
      </c>
      <c r="P3932">
        <v>-4.3893235964132603E-2</v>
      </c>
      <c r="Q3932">
        <v>0</v>
      </c>
      <c r="R3932">
        <v>0.90960898031091197</v>
      </c>
      <c r="S3932" t="s">
        <v>9793</v>
      </c>
      <c r="T3932" t="s">
        <v>11720</v>
      </c>
      <c r="U3932" t="s">
        <v>11720</v>
      </c>
      <c r="V3932" t="s">
        <v>11720</v>
      </c>
      <c r="W3932" t="s">
        <v>15599</v>
      </c>
      <c r="X3932">
        <v>1</v>
      </c>
      <c r="Y3932" t="s">
        <v>21313</v>
      </c>
      <c r="Z3932" t="s">
        <v>27139</v>
      </c>
      <c r="AA3932">
        <v>0.43701097135325689</v>
      </c>
      <c r="AB3932" t="str">
        <f>HYPERLINK("Melting_Curves/meltCurve_Q86UY8_2_NT5DC3.pdf", "Melting_Curves/meltCurve_Q86UY8_2_NT5DC3.pdf")</f>
        <v>Melting_Curves/meltCurve_Q86UY8_2_NT5DC3.pdf</v>
      </c>
    </row>
    <row r="3933" spans="1:28" x14ac:dyDescent="0.25">
      <c r="A3933" t="s">
        <v>3937</v>
      </c>
      <c r="B3933">
        <v>0.99334974765950101</v>
      </c>
      <c r="C3933">
        <v>0.77001736075497795</v>
      </c>
      <c r="D3933">
        <v>0.26229661510831997</v>
      </c>
      <c r="E3933">
        <v>0.190685339727309</v>
      </c>
      <c r="F3933">
        <v>0.20677610562426499</v>
      </c>
      <c r="G3933">
        <v>0.120936505481681</v>
      </c>
      <c r="H3933">
        <v>0.13794576448221699</v>
      </c>
      <c r="I3933">
        <v>0.110792427646558</v>
      </c>
      <c r="J3933">
        <v>0.19537680794196899</v>
      </c>
      <c r="K3933">
        <v>0.132469961469805</v>
      </c>
      <c r="L3933">
        <v>1832.40474238464</v>
      </c>
      <c r="M3933">
        <v>41.730618794762002</v>
      </c>
      <c r="N3933">
        <v>44.3047939470232</v>
      </c>
      <c r="O3933">
        <v>43.809859156951298</v>
      </c>
      <c r="P3933">
        <v>-0.20118387584658701</v>
      </c>
      <c r="Q3933">
        <v>0.155170104171798</v>
      </c>
      <c r="R3933">
        <v>0.98929914176982803</v>
      </c>
      <c r="S3933" t="s">
        <v>9794</v>
      </c>
      <c r="T3933" t="s">
        <v>11720</v>
      </c>
      <c r="U3933" t="s">
        <v>11720</v>
      </c>
      <c r="V3933" t="s">
        <v>11720</v>
      </c>
      <c r="W3933" t="s">
        <v>15600</v>
      </c>
      <c r="X3933">
        <v>14</v>
      </c>
      <c r="Y3933" t="s">
        <v>21314</v>
      </c>
      <c r="Z3933" t="s">
        <v>27140</v>
      </c>
      <c r="AA3933">
        <v>0.26803895977984582</v>
      </c>
      <c r="AB3933" t="str">
        <f>HYPERLINK("Melting_Curves/meltCurve_Q86V21_AACS.pdf", "Melting_Curves/meltCurve_Q86V21_AACS.pdf")</f>
        <v>Melting_Curves/meltCurve_Q86V21_AACS.pdf</v>
      </c>
    </row>
    <row r="3934" spans="1:28" x14ac:dyDescent="0.25">
      <c r="A3934" t="s">
        <v>3938</v>
      </c>
      <c r="B3934">
        <v>0.99334974765950101</v>
      </c>
      <c r="C3934">
        <v>0.94954399539186896</v>
      </c>
      <c r="D3934">
        <v>0.70309466762388995</v>
      </c>
      <c r="E3934">
        <v>0.52780021060814297</v>
      </c>
      <c r="F3934">
        <v>0.41933576090906</v>
      </c>
      <c r="G3934">
        <v>0.27402287677982501</v>
      </c>
      <c r="H3934">
        <v>0.25401988056723501</v>
      </c>
      <c r="I3934">
        <v>0.25539445018893597</v>
      </c>
      <c r="J3934">
        <v>0.28037794921320303</v>
      </c>
      <c r="K3934">
        <v>0.24926584176313801</v>
      </c>
      <c r="L3934">
        <v>771.62262162450099</v>
      </c>
      <c r="M3934">
        <v>16.0390032432312</v>
      </c>
      <c r="N3934">
        <v>50.238411352626301</v>
      </c>
      <c r="O3934">
        <v>47.3799140321008</v>
      </c>
      <c r="P3934">
        <v>-6.3761843074055094E-2</v>
      </c>
      <c r="Q3934">
        <v>0.24663755570791401</v>
      </c>
      <c r="R3934">
        <v>0.98925169558658699</v>
      </c>
      <c r="S3934" t="s">
        <v>9795</v>
      </c>
      <c r="T3934" t="s">
        <v>11720</v>
      </c>
      <c r="U3934" t="s">
        <v>11720</v>
      </c>
      <c r="V3934" t="s">
        <v>11720</v>
      </c>
      <c r="W3934" t="s">
        <v>15601</v>
      </c>
      <c r="X3934">
        <v>31</v>
      </c>
      <c r="Y3934" t="s">
        <v>21315</v>
      </c>
      <c r="Z3934" t="s">
        <v>27141</v>
      </c>
      <c r="AA3934">
        <v>0.46715237547069161</v>
      </c>
      <c r="AB3934" t="str">
        <f>HYPERLINK("Melting_Curves/meltCurve_Q86V48_LUZP1.pdf", "Melting_Curves/meltCurve_Q86V48_LUZP1.pdf")</f>
        <v>Melting_Curves/meltCurve_Q86V48_LUZP1.pdf</v>
      </c>
    </row>
    <row r="3935" spans="1:28" x14ac:dyDescent="0.25">
      <c r="A3935" t="s">
        <v>3939</v>
      </c>
      <c r="B3935">
        <v>0.99334974765950101</v>
      </c>
      <c r="C3935">
        <v>0.75626264068420801</v>
      </c>
      <c r="D3935">
        <v>0.79636267532566996</v>
      </c>
      <c r="E3935">
        <v>0.82724021915339596</v>
      </c>
      <c r="F3935">
        <v>0.20305638760811301</v>
      </c>
      <c r="G3935">
        <v>0.18052215333871</v>
      </c>
      <c r="H3935">
        <v>0.114921940877197</v>
      </c>
      <c r="I3935">
        <v>3.6760718452675499E-2</v>
      </c>
      <c r="J3935">
        <v>5.2802207534637602E-2</v>
      </c>
      <c r="K3935">
        <v>4.53762215048511E-2</v>
      </c>
      <c r="L3935">
        <v>773.41812404988298</v>
      </c>
      <c r="M3935">
        <v>15.1071372330389</v>
      </c>
      <c r="N3935">
        <v>51.266004995900303</v>
      </c>
      <c r="O3935">
        <v>50.323624287207998</v>
      </c>
      <c r="P3935">
        <v>-7.4286118684081498E-2</v>
      </c>
      <c r="Q3935">
        <v>1.0274571649646499E-2</v>
      </c>
      <c r="R3935">
        <v>0.90643820712676904</v>
      </c>
      <c r="S3935" t="s">
        <v>9796</v>
      </c>
      <c r="T3935" t="s">
        <v>11720</v>
      </c>
      <c r="U3935" t="s">
        <v>11720</v>
      </c>
      <c r="V3935" t="s">
        <v>11720</v>
      </c>
      <c r="W3935" t="s">
        <v>15602</v>
      </c>
      <c r="X3935">
        <v>1</v>
      </c>
      <c r="Y3935" t="s">
        <v>21316</v>
      </c>
      <c r="Z3935" t="s">
        <v>27142</v>
      </c>
      <c r="AA3935">
        <v>0.40208837960376259</v>
      </c>
      <c r="AB3935" t="str">
        <f>HYPERLINK("Melting_Curves/meltCurve_Q86V84_OSBPL6.pdf", "Melting_Curves/meltCurve_Q86V84_OSBPL6.pdf")</f>
        <v>Melting_Curves/meltCurve_Q86V84_OSBPL6.pdf</v>
      </c>
    </row>
    <row r="3936" spans="1:28" x14ac:dyDescent="0.25">
      <c r="A3936" t="s">
        <v>3940</v>
      </c>
      <c r="B3936">
        <v>0.99334974765950101</v>
      </c>
      <c r="C3936">
        <v>1.1324306221362801</v>
      </c>
      <c r="D3936">
        <v>0.91220708412573603</v>
      </c>
      <c r="E3936">
        <v>0.99111886688482098</v>
      </c>
      <c r="F3936">
        <v>0.376890111820044</v>
      </c>
      <c r="G3936">
        <v>0.61003394240584496</v>
      </c>
      <c r="H3936">
        <v>0.46215356235657501</v>
      </c>
      <c r="I3936">
        <v>0.76591470678168405</v>
      </c>
      <c r="J3936">
        <v>0.81707219819907595</v>
      </c>
      <c r="K3936">
        <v>0.60664285299753795</v>
      </c>
      <c r="L3936">
        <v>12687.094074180401</v>
      </c>
      <c r="M3936">
        <v>250</v>
      </c>
      <c r="O3936">
        <v>50.745152943816201</v>
      </c>
      <c r="P3936">
        <v>-0.48471220913142599</v>
      </c>
      <c r="Q3936">
        <v>0.60645146381677595</v>
      </c>
      <c r="R3936">
        <v>0.69567346866212998</v>
      </c>
      <c r="S3936" t="s">
        <v>9797</v>
      </c>
      <c r="T3936" t="s">
        <v>11720</v>
      </c>
      <c r="U3936" t="s">
        <v>11720</v>
      </c>
      <c r="V3936" t="s">
        <v>11720</v>
      </c>
      <c r="W3936" t="s">
        <v>15603</v>
      </c>
      <c r="X3936">
        <v>1</v>
      </c>
      <c r="Y3936" t="s">
        <v>21317</v>
      </c>
      <c r="Z3936" t="s">
        <v>27143</v>
      </c>
      <c r="AA3936">
        <v>0.74748677287417353</v>
      </c>
      <c r="AB3936" t="str">
        <f>HYPERLINK("Melting_Curves/meltCurve_Q86V85_GPR180.pdf", "Melting_Curves/meltCurve_Q86V85_GPR180.pdf")</f>
        <v>Melting_Curves/meltCurve_Q86V85_GPR180.pdf</v>
      </c>
    </row>
    <row r="3937" spans="1:28" x14ac:dyDescent="0.25">
      <c r="A3937" t="s">
        <v>3941</v>
      </c>
      <c r="B3937">
        <v>0.99334974765950101</v>
      </c>
      <c r="C3937">
        <v>0.98458615930972204</v>
      </c>
      <c r="D3937">
        <v>0.91125008193092305</v>
      </c>
      <c r="E3937">
        <v>0.51217030636855398</v>
      </c>
      <c r="F3937">
        <v>0.26288036515728402</v>
      </c>
      <c r="G3937">
        <v>0.15455717199923799</v>
      </c>
      <c r="H3937">
        <v>0.10565528474216</v>
      </c>
      <c r="I3937">
        <v>9.9284611833142994E-2</v>
      </c>
      <c r="J3937">
        <v>0.118665854526406</v>
      </c>
      <c r="K3937">
        <v>7.5115805949299896E-2</v>
      </c>
      <c r="L3937">
        <v>1254.9984893322001</v>
      </c>
      <c r="M3937">
        <v>25.224022749522099</v>
      </c>
      <c r="N3937">
        <v>50.201414214882703</v>
      </c>
      <c r="O3937">
        <v>49.4445593373474</v>
      </c>
      <c r="P3937">
        <v>-0.11470279989129201</v>
      </c>
      <c r="Q3937">
        <v>0.10064247658355201</v>
      </c>
      <c r="R3937">
        <v>0.99881211538616999</v>
      </c>
      <c r="S3937" t="s">
        <v>9798</v>
      </c>
      <c r="T3937" t="s">
        <v>11720</v>
      </c>
      <c r="U3937" t="s">
        <v>11720</v>
      </c>
      <c r="V3937" t="s">
        <v>11720</v>
      </c>
      <c r="W3937" t="s">
        <v>15604</v>
      </c>
      <c r="X3937">
        <v>12</v>
      </c>
      <c r="Y3937" t="s">
        <v>21318</v>
      </c>
      <c r="Z3937" t="s">
        <v>27144</v>
      </c>
      <c r="AA3937">
        <v>0.40093189808864521</v>
      </c>
      <c r="AB3937" t="str">
        <f>HYPERLINK("Melting_Curves/meltCurve_Q86V87_FAM160B2.pdf", "Melting_Curves/meltCurve_Q86V87_FAM160B2.pdf")</f>
        <v>Melting_Curves/meltCurve_Q86V87_FAM160B2.pdf</v>
      </c>
    </row>
    <row r="3938" spans="1:28" x14ac:dyDescent="0.25">
      <c r="A3938" t="s">
        <v>3942</v>
      </c>
      <c r="B3938">
        <v>0.99334974765950101</v>
      </c>
      <c r="C3938">
        <v>0.99231210836503103</v>
      </c>
      <c r="D3938">
        <v>1.2128485024545601</v>
      </c>
      <c r="E3938">
        <v>1.2756415414050899</v>
      </c>
      <c r="F3938">
        <v>1.9972469227760701</v>
      </c>
      <c r="G3938">
        <v>1.26804512652267</v>
      </c>
      <c r="H3938">
        <v>1.43527841021231</v>
      </c>
      <c r="I3938">
        <v>1.99046128672526</v>
      </c>
      <c r="J3938">
        <v>2.54052422455824</v>
      </c>
      <c r="K3938">
        <v>1.63005881905676</v>
      </c>
      <c r="L3938">
        <v>1571.3117550917</v>
      </c>
      <c r="M3938">
        <v>33.5547077470708</v>
      </c>
      <c r="O3938">
        <v>46.662970933041201</v>
      </c>
      <c r="P3938">
        <v>8.9886180411179198E-2</v>
      </c>
      <c r="Q3938">
        <v>1.5</v>
      </c>
      <c r="R3938">
        <v>0.26080957814035999</v>
      </c>
      <c r="S3938" t="s">
        <v>9799</v>
      </c>
      <c r="T3938" t="s">
        <v>11720</v>
      </c>
      <c r="U3938" t="s">
        <v>11720</v>
      </c>
      <c r="V3938" t="s">
        <v>11720</v>
      </c>
      <c r="W3938" t="s">
        <v>15605</v>
      </c>
      <c r="X3938">
        <v>2</v>
      </c>
      <c r="Y3938" t="s">
        <v>21319</v>
      </c>
      <c r="Z3938" t="s">
        <v>27145</v>
      </c>
      <c r="AA3938">
        <v>1.383833140344725</v>
      </c>
      <c r="AB3938" t="str">
        <f>HYPERLINK("Melting_Curves/meltCurve_Q86VG3_C11orf74.pdf", "Melting_Curves/meltCurve_Q86VG3_C11orf74.pdf")</f>
        <v>Melting_Curves/meltCurve_Q86VG3_C11orf74.pdf</v>
      </c>
    </row>
    <row r="3939" spans="1:28" x14ac:dyDescent="0.25">
      <c r="A3939" t="s">
        <v>3943</v>
      </c>
      <c r="B3939">
        <v>0.99334974765950101</v>
      </c>
      <c r="C3939">
        <v>0.98853952679059698</v>
      </c>
      <c r="D3939">
        <v>0.97567279348356795</v>
      </c>
      <c r="E3939">
        <v>0.74019835054319705</v>
      </c>
      <c r="F3939">
        <v>0.23831668490467101</v>
      </c>
      <c r="G3939">
        <v>0.16240486287356701</v>
      </c>
      <c r="H3939">
        <v>8.8689352399765706E-2</v>
      </c>
      <c r="I3939">
        <v>7.6384459242038696E-2</v>
      </c>
      <c r="J3939">
        <v>6.4472332752268102E-2</v>
      </c>
      <c r="K3939">
        <v>5.7086105215468003E-2</v>
      </c>
      <c r="L3939">
        <v>2104.6307005481699</v>
      </c>
      <c r="M3939">
        <v>41.204189089557502</v>
      </c>
      <c r="N3939">
        <v>51.309756407907102</v>
      </c>
      <c r="O3939">
        <v>50.958205950854101</v>
      </c>
      <c r="P3939">
        <v>-0.18498812749171201</v>
      </c>
      <c r="Q3939">
        <v>8.4884721428152995E-2</v>
      </c>
      <c r="R3939">
        <v>0.99626645802228397</v>
      </c>
      <c r="S3939" t="s">
        <v>9800</v>
      </c>
      <c r="T3939" t="s">
        <v>11720</v>
      </c>
      <c r="U3939" t="s">
        <v>11720</v>
      </c>
      <c r="V3939" t="s">
        <v>11720</v>
      </c>
      <c r="W3939" t="s">
        <v>15606</v>
      </c>
      <c r="X3939">
        <v>13</v>
      </c>
      <c r="Y3939" t="s">
        <v>21320</v>
      </c>
      <c r="Z3939" t="s">
        <v>27146</v>
      </c>
      <c r="AA3939">
        <v>0.42585193494049578</v>
      </c>
      <c r="AB3939" t="str">
        <f>HYPERLINK("Melting_Curves/meltCurve_Q86VN1_2_VPS36.pdf", "Melting_Curves/meltCurve_Q86VN1_2_VPS36.pdf")</f>
        <v>Melting_Curves/meltCurve_Q86VN1_2_VPS36.pdf</v>
      </c>
    </row>
    <row r="3940" spans="1:28" x14ac:dyDescent="0.25">
      <c r="A3940" t="s">
        <v>3944</v>
      </c>
      <c r="B3940">
        <v>0.99334974765950101</v>
      </c>
      <c r="C3940">
        <v>1.05487817055956</v>
      </c>
      <c r="D3940">
        <v>1.2506785084846701</v>
      </c>
      <c r="E3940">
        <v>1.57265839543773</v>
      </c>
      <c r="F3940">
        <v>1.6150369723172799</v>
      </c>
      <c r="G3940">
        <v>1.9564637346284799</v>
      </c>
      <c r="H3940">
        <v>0.42147436196016902</v>
      </c>
      <c r="I3940">
        <v>0.17851972157144</v>
      </c>
      <c r="J3940">
        <v>0.12861682647605799</v>
      </c>
      <c r="K3940">
        <v>0.106788645068445</v>
      </c>
      <c r="L3940">
        <v>13075.589450505</v>
      </c>
      <c r="M3940">
        <v>215.06713744398101</v>
      </c>
      <c r="N3940">
        <v>60.889120972491398</v>
      </c>
      <c r="O3940">
        <v>60.792458223820901</v>
      </c>
      <c r="P3940">
        <v>-0.76240911791866595</v>
      </c>
      <c r="Q3940">
        <v>0.13796741032014301</v>
      </c>
      <c r="R3940">
        <v>0.597852871817943</v>
      </c>
      <c r="S3940" t="s">
        <v>9801</v>
      </c>
      <c r="T3940" t="s">
        <v>11720</v>
      </c>
      <c r="U3940" t="s">
        <v>11720</v>
      </c>
      <c r="V3940" t="s">
        <v>11720</v>
      </c>
      <c r="W3940" t="s">
        <v>15607</v>
      </c>
      <c r="X3940">
        <v>56</v>
      </c>
      <c r="Y3940" t="s">
        <v>21321</v>
      </c>
      <c r="Z3940" t="s">
        <v>27147</v>
      </c>
      <c r="AA3940">
        <v>0.73570183093721508</v>
      </c>
      <c r="AB3940" t="str">
        <f>HYPERLINK("Melting_Curves/meltCurve_Q86VP6_CAND1.pdf", "Melting_Curves/meltCurve_Q86VP6_CAND1.pdf")</f>
        <v>Melting_Curves/meltCurve_Q86VP6_CAND1.pdf</v>
      </c>
    </row>
    <row r="3941" spans="1:28" x14ac:dyDescent="0.25">
      <c r="A3941" t="s">
        <v>3945</v>
      </c>
      <c r="B3941">
        <v>0.99334974765950101</v>
      </c>
      <c r="C3941">
        <v>0.99355678921003598</v>
      </c>
      <c r="D3941">
        <v>0.92837536519967101</v>
      </c>
      <c r="E3941">
        <v>0.88674958174538898</v>
      </c>
      <c r="F3941">
        <v>1.0260614419319301</v>
      </c>
      <c r="G3941">
        <v>0.74580691015582101</v>
      </c>
      <c r="H3941">
        <v>0.63184645954706598</v>
      </c>
      <c r="I3941">
        <v>0.73256699383145896</v>
      </c>
      <c r="J3941">
        <v>0.76199004481912402</v>
      </c>
      <c r="K3941">
        <v>0.71004387880744602</v>
      </c>
      <c r="L3941">
        <v>14139.6792539499</v>
      </c>
      <c r="M3941">
        <v>250</v>
      </c>
      <c r="O3941">
        <v>56.555097652622401</v>
      </c>
      <c r="P3941">
        <v>-0.32146544862633503</v>
      </c>
      <c r="Q3941">
        <v>0.70911184301749597</v>
      </c>
      <c r="R3941">
        <v>0.84285181084761696</v>
      </c>
      <c r="S3941" t="s">
        <v>9802</v>
      </c>
      <c r="T3941" t="s">
        <v>11720</v>
      </c>
      <c r="U3941" t="s">
        <v>11720</v>
      </c>
      <c r="V3941" t="s">
        <v>11720</v>
      </c>
      <c r="W3941" t="s">
        <v>15608</v>
      </c>
      <c r="X3941">
        <v>4</v>
      </c>
      <c r="Y3941" t="s">
        <v>21322</v>
      </c>
      <c r="Z3941" t="s">
        <v>27148</v>
      </c>
      <c r="AA3941">
        <v>0.86969853897010874</v>
      </c>
      <c r="AB3941" t="str">
        <f>HYPERLINK("Melting_Curves/meltCurve_Q86VQ1_GLCCI1.pdf", "Melting_Curves/meltCurve_Q86VQ1_GLCCI1.pdf")</f>
        <v>Melting_Curves/meltCurve_Q86VQ1_GLCCI1.pdf</v>
      </c>
    </row>
    <row r="3942" spans="1:28" x14ac:dyDescent="0.25">
      <c r="A3942" t="s">
        <v>3946</v>
      </c>
      <c r="B3942">
        <v>0.99334974765950101</v>
      </c>
      <c r="C3942">
        <v>0.95633708282160701</v>
      </c>
      <c r="D3942">
        <v>1.0301652163322601</v>
      </c>
      <c r="E3942">
        <v>0.88245417985131402</v>
      </c>
      <c r="F3942">
        <v>0.73650378685081896</v>
      </c>
      <c r="G3942">
        <v>0.42372809703485398</v>
      </c>
      <c r="H3942">
        <v>0.221997318866237</v>
      </c>
      <c r="I3942">
        <v>0.210184677095373</v>
      </c>
      <c r="J3942">
        <v>0.14431982893659601</v>
      </c>
      <c r="K3942">
        <v>9.0773813385144397E-2</v>
      </c>
      <c r="L3942">
        <v>1049.6530858772001</v>
      </c>
      <c r="M3942">
        <v>18.971251585442499</v>
      </c>
      <c r="N3942">
        <v>56.026386330387801</v>
      </c>
      <c r="O3942">
        <v>54.724841149439698</v>
      </c>
      <c r="P3942">
        <v>-7.7550794470830298E-2</v>
      </c>
      <c r="Q3942">
        <v>0.10521763091938401</v>
      </c>
      <c r="R3942">
        <v>0.99463976048387004</v>
      </c>
      <c r="S3942" t="s">
        <v>9803</v>
      </c>
      <c r="T3942" t="s">
        <v>11720</v>
      </c>
      <c r="U3942" t="s">
        <v>11720</v>
      </c>
      <c r="V3942" t="s">
        <v>11720</v>
      </c>
      <c r="W3942" t="s">
        <v>15609</v>
      </c>
      <c r="X3942">
        <v>5</v>
      </c>
      <c r="Y3942" t="s">
        <v>21323</v>
      </c>
      <c r="Z3942" t="s">
        <v>27149</v>
      </c>
      <c r="AA3942">
        <v>0.57513107058411572</v>
      </c>
      <c r="AB3942" t="str">
        <f>HYPERLINK("Melting_Curves/meltCurve_Q86VR2_FAM134C.pdf", "Melting_Curves/meltCurve_Q86VR2_FAM134C.pdf")</f>
        <v>Melting_Curves/meltCurve_Q86VR2_FAM134C.pdf</v>
      </c>
    </row>
    <row r="3943" spans="1:28" x14ac:dyDescent="0.25">
      <c r="A3943" t="s">
        <v>3947</v>
      </c>
      <c r="B3943">
        <v>0.99334974765950101</v>
      </c>
      <c r="C3943">
        <v>1.02471405751501</v>
      </c>
      <c r="D3943">
        <v>1.1879556152703501</v>
      </c>
      <c r="E3943">
        <v>1.1100563010353499</v>
      </c>
      <c r="F3943">
        <v>0.71726249433482503</v>
      </c>
      <c r="G3943">
        <v>0.40226240569294502</v>
      </c>
      <c r="H3943">
        <v>0.291029243712074</v>
      </c>
      <c r="I3943">
        <v>0.25897413832405303</v>
      </c>
      <c r="J3943">
        <v>0.22499861710720501</v>
      </c>
      <c r="K3943">
        <v>0.18538332819232001</v>
      </c>
      <c r="L3943">
        <v>1869.91391127767</v>
      </c>
      <c r="M3943">
        <v>34.391524571204201</v>
      </c>
      <c r="N3943">
        <v>55.415767476086799</v>
      </c>
      <c r="O3943">
        <v>54.188513730651302</v>
      </c>
      <c r="P3943">
        <v>-0.120824898164753</v>
      </c>
      <c r="Q3943">
        <v>0.23849882481624499</v>
      </c>
      <c r="R3943">
        <v>0.95521456965061402</v>
      </c>
      <c r="S3943" t="s">
        <v>9804</v>
      </c>
      <c r="T3943" t="s">
        <v>11720</v>
      </c>
      <c r="U3943" t="s">
        <v>11720</v>
      </c>
      <c r="V3943" t="s">
        <v>11720</v>
      </c>
      <c r="W3943" t="s">
        <v>15610</v>
      </c>
      <c r="X3943">
        <v>31</v>
      </c>
      <c r="Y3943" t="s">
        <v>21324</v>
      </c>
      <c r="Z3943" t="s">
        <v>27150</v>
      </c>
      <c r="AA3943">
        <v>0.60714396874273213</v>
      </c>
      <c r="AB3943" t="str">
        <f>HYPERLINK("Melting_Curves/meltCurve_Q86VS8_HOOK3.pdf", "Melting_Curves/meltCurve_Q86VS8_HOOK3.pdf")</f>
        <v>Melting_Curves/meltCurve_Q86VS8_HOOK3.pdf</v>
      </c>
    </row>
    <row r="3944" spans="1:28" x14ac:dyDescent="0.25">
      <c r="A3944" t="s">
        <v>3948</v>
      </c>
      <c r="B3944">
        <v>0.99334974765950101</v>
      </c>
      <c r="C3944">
        <v>0.96730323813314201</v>
      </c>
      <c r="D3944">
        <v>0.98102259773804101</v>
      </c>
      <c r="E3944">
        <v>0.52818590268544297</v>
      </c>
      <c r="F3944">
        <v>0.44369431059303699</v>
      </c>
      <c r="G3944">
        <v>0.20285369738914</v>
      </c>
      <c r="H3944">
        <v>0.13098829278888299</v>
      </c>
      <c r="I3944">
        <v>0.10192377502620301</v>
      </c>
      <c r="J3944">
        <v>6.7896460839008896E-2</v>
      </c>
      <c r="K3944">
        <v>8.3176470125736299E-2</v>
      </c>
      <c r="L3944">
        <v>935.85639796654596</v>
      </c>
      <c r="M3944">
        <v>18.348854520315601</v>
      </c>
      <c r="N3944">
        <v>51.4878602342311</v>
      </c>
      <c r="O3944">
        <v>50.409308222040302</v>
      </c>
      <c r="P3944">
        <v>-8.3790259794041505E-2</v>
      </c>
      <c r="Q3944">
        <v>7.9263360540438199E-2</v>
      </c>
      <c r="R3944">
        <v>0.98494008538657596</v>
      </c>
      <c r="S3944" t="s">
        <v>9805</v>
      </c>
      <c r="T3944" t="s">
        <v>11720</v>
      </c>
      <c r="U3944" t="s">
        <v>11720</v>
      </c>
      <c r="V3944" t="s">
        <v>11720</v>
      </c>
      <c r="W3944" t="s">
        <v>12361</v>
      </c>
      <c r="X3944">
        <v>3</v>
      </c>
      <c r="Y3944" t="s">
        <v>21325</v>
      </c>
      <c r="Z3944" t="s">
        <v>27151</v>
      </c>
      <c r="AA3944">
        <v>0.43195864733717543</v>
      </c>
      <c r="AB3944" t="str">
        <f>HYPERLINK("Melting_Curves/meltCurve_Q86VU3_MAP4K2.pdf", "Melting_Curves/meltCurve_Q86VU3_MAP4K2.pdf")</f>
        <v>Melting_Curves/meltCurve_Q86VU3_MAP4K2.pdf</v>
      </c>
    </row>
    <row r="3945" spans="1:28" x14ac:dyDescent="0.25">
      <c r="A3945" t="s">
        <v>3949</v>
      </c>
      <c r="B3945">
        <v>0.99334974765950101</v>
      </c>
      <c r="C3945">
        <v>0.92805089452523604</v>
      </c>
      <c r="D3945">
        <v>0.891168520098927</v>
      </c>
      <c r="E3945">
        <v>0.47356381246136198</v>
      </c>
      <c r="F3945">
        <v>0.27605836003360401</v>
      </c>
      <c r="G3945">
        <v>0.19351802630800999</v>
      </c>
      <c r="H3945">
        <v>0.168012348815052</v>
      </c>
      <c r="I3945">
        <v>0.14530206960344499</v>
      </c>
      <c r="J3945">
        <v>0.10731103529958801</v>
      </c>
      <c r="K3945">
        <v>8.9161541634275698E-2</v>
      </c>
      <c r="L3945">
        <v>1113.42772283052</v>
      </c>
      <c r="M3945">
        <v>22.588416445901601</v>
      </c>
      <c r="N3945">
        <v>49.940320890666499</v>
      </c>
      <c r="O3945">
        <v>48.910508057595102</v>
      </c>
      <c r="P3945">
        <v>-0.100787346399266</v>
      </c>
      <c r="Q3945">
        <v>0.12708123276307401</v>
      </c>
      <c r="R3945">
        <v>0.99402232042105598</v>
      </c>
      <c r="S3945" t="s">
        <v>9806</v>
      </c>
      <c r="T3945" t="s">
        <v>11720</v>
      </c>
      <c r="U3945" t="s">
        <v>11720</v>
      </c>
      <c r="V3945" t="s">
        <v>11720</v>
      </c>
      <c r="W3945" t="s">
        <v>15611</v>
      </c>
      <c r="X3945">
        <v>5</v>
      </c>
      <c r="Y3945" t="s">
        <v>21326</v>
      </c>
      <c r="Z3945" t="s">
        <v>27152</v>
      </c>
      <c r="AA3945">
        <v>0.40698761094196179</v>
      </c>
      <c r="AB3945" t="str">
        <f>HYPERLINK("Melting_Curves/meltCurve_Q86VW0_SESTD1.pdf", "Melting_Curves/meltCurve_Q86VW0_SESTD1.pdf")</f>
        <v>Melting_Curves/meltCurve_Q86VW0_SESTD1.pdf</v>
      </c>
    </row>
    <row r="3946" spans="1:28" x14ac:dyDescent="0.25">
      <c r="A3946" t="s">
        <v>3950</v>
      </c>
      <c r="B3946">
        <v>0.99334974765950101</v>
      </c>
      <c r="C3946">
        <v>0.91843254867155899</v>
      </c>
      <c r="D3946">
        <v>0.73682605005619894</v>
      </c>
      <c r="E3946">
        <v>0.55697010917217604</v>
      </c>
      <c r="F3946">
        <v>0.61021715556915002</v>
      </c>
      <c r="G3946">
        <v>0.32982642272409302</v>
      </c>
      <c r="H3946">
        <v>0.26367505270241898</v>
      </c>
      <c r="I3946">
        <v>0.54346061380824595</v>
      </c>
      <c r="J3946">
        <v>0.37262811645970101</v>
      </c>
      <c r="K3946">
        <v>0.31746422571260002</v>
      </c>
      <c r="L3946">
        <v>678.57559929500906</v>
      </c>
      <c r="M3946">
        <v>14.1419802497148</v>
      </c>
      <c r="N3946">
        <v>52.589717452295901</v>
      </c>
      <c r="O3946">
        <v>47.0541833465576</v>
      </c>
      <c r="P3946">
        <v>-4.8459401195601902E-2</v>
      </c>
      <c r="Q3946">
        <v>0.35513186790118401</v>
      </c>
      <c r="R3946">
        <v>0.87747687591842904</v>
      </c>
      <c r="S3946" t="s">
        <v>9807</v>
      </c>
      <c r="T3946" t="s">
        <v>11720</v>
      </c>
      <c r="U3946" t="s">
        <v>11720</v>
      </c>
      <c r="V3946" t="s">
        <v>11720</v>
      </c>
      <c r="W3946" t="s">
        <v>15612</v>
      </c>
      <c r="X3946">
        <v>1</v>
      </c>
      <c r="Y3946" t="s">
        <v>21327</v>
      </c>
      <c r="Z3946" t="s">
        <v>27153</v>
      </c>
      <c r="AA3946">
        <v>0.54536944910389329</v>
      </c>
      <c r="AB3946" t="str">
        <f>HYPERLINK("Melting_Curves/meltCurve_Q86VZ4_LRP11.pdf", "Melting_Curves/meltCurve_Q86VZ4_LRP11.pdf")</f>
        <v>Melting_Curves/meltCurve_Q86VZ4_LRP11.pdf</v>
      </c>
    </row>
    <row r="3947" spans="1:28" x14ac:dyDescent="0.25">
      <c r="A3947" t="s">
        <v>3951</v>
      </c>
      <c r="B3947">
        <v>0.99334974765950101</v>
      </c>
      <c r="C3947">
        <v>0.92230727718257599</v>
      </c>
      <c r="D3947">
        <v>0.75958854931903697</v>
      </c>
      <c r="E3947">
        <v>0.89584186982102798</v>
      </c>
      <c r="F3947">
        <v>0.98154136087610799</v>
      </c>
      <c r="G3947">
        <v>0.71728251832523104</v>
      </c>
      <c r="H3947">
        <v>0.67126412284120096</v>
      </c>
      <c r="I3947">
        <v>0.66551849084770398</v>
      </c>
      <c r="J3947">
        <v>0.69633978783296901</v>
      </c>
      <c r="K3947">
        <v>0.70114927568582897</v>
      </c>
      <c r="L3947">
        <v>280.316976361689</v>
      </c>
      <c r="M3947">
        <v>4.7404751955088402</v>
      </c>
      <c r="O3947">
        <v>50.9456856989597</v>
      </c>
      <c r="P3947">
        <v>-1.16885679038754E-2</v>
      </c>
      <c r="Q3947">
        <v>0.50119768629758199</v>
      </c>
      <c r="R3947">
        <v>0.62258340093140196</v>
      </c>
      <c r="S3947" t="s">
        <v>9808</v>
      </c>
      <c r="T3947" t="s">
        <v>11720</v>
      </c>
      <c r="U3947" t="s">
        <v>11720</v>
      </c>
      <c r="V3947" t="s">
        <v>11720</v>
      </c>
      <c r="W3947" t="s">
        <v>15613</v>
      </c>
      <c r="X3947">
        <v>1</v>
      </c>
      <c r="Y3947" t="s">
        <v>21328</v>
      </c>
      <c r="Z3947" t="s">
        <v>27154</v>
      </c>
      <c r="AA3947">
        <v>0.80043094695501626</v>
      </c>
      <c r="AB3947" t="str">
        <f>HYPERLINK("Melting_Curves/meltCurve_Q86W33_TPRA1.pdf", "Melting_Curves/meltCurve_Q86W33_TPRA1.pdf")</f>
        <v>Melting_Curves/meltCurve_Q86W33_TPRA1.pdf</v>
      </c>
    </row>
    <row r="3948" spans="1:28" x14ac:dyDescent="0.25">
      <c r="A3948" t="s">
        <v>3952</v>
      </c>
      <c r="B3948">
        <v>0.99334974765950101</v>
      </c>
      <c r="C3948">
        <v>0.94691425174993504</v>
      </c>
      <c r="D3948">
        <v>0.82947552766838695</v>
      </c>
      <c r="E3948">
        <v>0.52054296480390105</v>
      </c>
      <c r="F3948">
        <v>0.36350448699550703</v>
      </c>
      <c r="G3948">
        <v>0.18590283455525999</v>
      </c>
      <c r="H3948">
        <v>0.158977311392482</v>
      </c>
      <c r="I3948">
        <v>0.161897162931879</v>
      </c>
      <c r="J3948">
        <v>0.17745848331932501</v>
      </c>
      <c r="K3948">
        <v>0.18258069533465099</v>
      </c>
      <c r="L3948">
        <v>936.10535168275396</v>
      </c>
      <c r="M3948">
        <v>18.969476636293699</v>
      </c>
      <c r="N3948">
        <v>50.346984059541697</v>
      </c>
      <c r="O3948">
        <v>48.809360951868399</v>
      </c>
      <c r="P3948">
        <v>-8.1926051755218707E-2</v>
      </c>
      <c r="Q3948">
        <v>0.15683510686916399</v>
      </c>
      <c r="R3948">
        <v>0.99720061300851903</v>
      </c>
      <c r="S3948" t="s">
        <v>9809</v>
      </c>
      <c r="T3948" t="s">
        <v>11720</v>
      </c>
      <c r="U3948" t="s">
        <v>11720</v>
      </c>
      <c r="V3948" t="s">
        <v>11720</v>
      </c>
      <c r="W3948" t="s">
        <v>15614</v>
      </c>
      <c r="X3948">
        <v>1</v>
      </c>
      <c r="Y3948" t="s">
        <v>21329</v>
      </c>
      <c r="Z3948" t="s">
        <v>27155</v>
      </c>
      <c r="AA3948">
        <v>0.43265306086111371</v>
      </c>
      <c r="AB3948" t="str">
        <f>HYPERLINK("Melting_Curves/meltCurve_Q86W34_AMZ2.pdf", "Melting_Curves/meltCurve_Q86W34_AMZ2.pdf")</f>
        <v>Melting_Curves/meltCurve_Q86W34_AMZ2.pdf</v>
      </c>
    </row>
    <row r="3949" spans="1:28" x14ac:dyDescent="0.25">
      <c r="A3949" t="s">
        <v>3953</v>
      </c>
      <c r="B3949">
        <v>0.99334974765950101</v>
      </c>
      <c r="C3949">
        <v>0.94822422531501804</v>
      </c>
      <c r="D3949">
        <v>0.84865159969175097</v>
      </c>
      <c r="E3949">
        <v>0.62568137287027903</v>
      </c>
      <c r="F3949">
        <v>0.21193565765639699</v>
      </c>
      <c r="G3949">
        <v>8.9160438729705194E-2</v>
      </c>
      <c r="H3949">
        <v>5.4628627369515202E-2</v>
      </c>
      <c r="I3949">
        <v>5.2194669633529499E-2</v>
      </c>
      <c r="J3949">
        <v>4.97447211041704E-2</v>
      </c>
      <c r="K3949">
        <v>4.11306399821985E-2</v>
      </c>
      <c r="L3949">
        <v>1201.7060568745801</v>
      </c>
      <c r="M3949">
        <v>23.848125034430499</v>
      </c>
      <c r="N3949">
        <v>50.554757221856804</v>
      </c>
      <c r="O3949">
        <v>50.039658647443503</v>
      </c>
      <c r="P3949">
        <v>-0.11469223602881901</v>
      </c>
      <c r="Q3949">
        <v>3.7397347092799203E-2</v>
      </c>
      <c r="R3949">
        <v>0.992096465280907</v>
      </c>
      <c r="S3949" t="s">
        <v>9810</v>
      </c>
      <c r="T3949" t="s">
        <v>11720</v>
      </c>
      <c r="U3949" t="s">
        <v>11720</v>
      </c>
      <c r="V3949" t="s">
        <v>11720</v>
      </c>
      <c r="W3949" t="s">
        <v>15615</v>
      </c>
      <c r="X3949">
        <v>8</v>
      </c>
      <c r="Y3949" t="s">
        <v>21330</v>
      </c>
      <c r="Z3949" t="s">
        <v>27156</v>
      </c>
      <c r="AA3949">
        <v>0.38026554584696848</v>
      </c>
      <c r="AB3949" t="str">
        <f>HYPERLINK("Melting_Curves/meltCurve_Q86WA6_2_BPHL.pdf", "Melting_Curves/meltCurve_Q86WA6_2_BPHL.pdf")</f>
        <v>Melting_Curves/meltCurve_Q86WA6_2_BPHL.pdf</v>
      </c>
    </row>
    <row r="3950" spans="1:28" x14ac:dyDescent="0.25">
      <c r="A3950" t="s">
        <v>3954</v>
      </c>
      <c r="B3950">
        <v>0.99334974765950101</v>
      </c>
      <c r="C3950">
        <v>0.974293729786884</v>
      </c>
      <c r="D3950">
        <v>1.0361828289160699</v>
      </c>
      <c r="E3950">
        <v>1.27965755432383</v>
      </c>
      <c r="F3950">
        <v>1.7298904637453101</v>
      </c>
      <c r="G3950">
        <v>2.18088045114885</v>
      </c>
      <c r="H3950">
        <v>1.9723678039178101</v>
      </c>
      <c r="I3950">
        <v>2.9688435044264301</v>
      </c>
      <c r="J3950">
        <v>2.61108083886998</v>
      </c>
      <c r="K3950">
        <v>2.8688102664035902</v>
      </c>
      <c r="L3950">
        <v>12488.080649760899</v>
      </c>
      <c r="M3950">
        <v>250</v>
      </c>
      <c r="O3950">
        <v>49.949128940178198</v>
      </c>
      <c r="P3950">
        <v>0.62563657362816805</v>
      </c>
      <c r="Q3950">
        <v>1.5</v>
      </c>
      <c r="R3950">
        <v>-9.3242501195730298E-2</v>
      </c>
      <c r="S3950" t="s">
        <v>9811</v>
      </c>
      <c r="T3950" t="s">
        <v>11720</v>
      </c>
      <c r="U3950" t="s">
        <v>11720</v>
      </c>
      <c r="V3950" t="s">
        <v>11720</v>
      </c>
      <c r="W3950" t="s">
        <v>15616</v>
      </c>
      <c r="X3950">
        <v>2</v>
      </c>
      <c r="Y3950" t="s">
        <v>21331</v>
      </c>
      <c r="Z3950" t="s">
        <v>27157</v>
      </c>
      <c r="AA3950">
        <v>1.334084123908241</v>
      </c>
      <c r="AB3950" t="str">
        <f>HYPERLINK("Melting_Curves/meltCurve_Q86WA9_SLC26A11.pdf", "Melting_Curves/meltCurve_Q86WA9_SLC26A11.pdf")</f>
        <v>Melting_Curves/meltCurve_Q86WA9_SLC26A11.pdf</v>
      </c>
    </row>
    <row r="3951" spans="1:28" x14ac:dyDescent="0.25">
      <c r="A3951" t="s">
        <v>3955</v>
      </c>
      <c r="B3951">
        <v>0.99334974765950101</v>
      </c>
      <c r="C3951">
        <v>1.0480743609810099</v>
      </c>
      <c r="D3951">
        <v>0.73055779132436904</v>
      </c>
      <c r="E3951">
        <v>0.43618496321889599</v>
      </c>
      <c r="F3951">
        <v>0.27458769410296002</v>
      </c>
      <c r="G3951">
        <v>0.21636042904886901</v>
      </c>
      <c r="H3951">
        <v>0.144925272767749</v>
      </c>
      <c r="I3951">
        <v>0.155797691445622</v>
      </c>
      <c r="J3951">
        <v>0.19068206922169501</v>
      </c>
      <c r="K3951">
        <v>0.195512103879079</v>
      </c>
      <c r="L3951">
        <v>1091.84129074973</v>
      </c>
      <c r="M3951">
        <v>22.708774390020402</v>
      </c>
      <c r="N3951">
        <v>49.018048577026498</v>
      </c>
      <c r="O3951">
        <v>47.711960763902802</v>
      </c>
      <c r="P3951">
        <v>-9.8024154214035902E-2</v>
      </c>
      <c r="Q3951">
        <v>0.176206955152091</v>
      </c>
      <c r="R3951">
        <v>0.98625559980918398</v>
      </c>
      <c r="S3951" t="s">
        <v>9812</v>
      </c>
      <c r="T3951" t="s">
        <v>11720</v>
      </c>
      <c r="U3951" t="s">
        <v>11720</v>
      </c>
      <c r="V3951" t="s">
        <v>11720</v>
      </c>
      <c r="W3951" t="s">
        <v>15617</v>
      </c>
      <c r="X3951">
        <v>1</v>
      </c>
      <c r="Y3951" t="s">
        <v>21332</v>
      </c>
      <c r="Z3951" t="s">
        <v>27158</v>
      </c>
      <c r="AA3951">
        <v>0.40701362873237701</v>
      </c>
      <c r="AB3951" t="str">
        <f>HYPERLINK("Melting_Curves/meltCurve_Q86WG5_SBF2.pdf", "Melting_Curves/meltCurve_Q86WG5_SBF2.pdf")</f>
        <v>Melting_Curves/meltCurve_Q86WG5_SBF2.pdf</v>
      </c>
    </row>
    <row r="3952" spans="1:28" x14ac:dyDescent="0.25">
      <c r="A3952" t="s">
        <v>3956</v>
      </c>
      <c r="B3952">
        <v>0.99334974765950101</v>
      </c>
      <c r="C3952">
        <v>0.77637522489412303</v>
      </c>
      <c r="D3952">
        <v>0.807773218793718</v>
      </c>
      <c r="E3952">
        <v>0.79984247327517</v>
      </c>
      <c r="F3952">
        <v>0.32765994554870598</v>
      </c>
      <c r="G3952">
        <v>0.26541660014672502</v>
      </c>
      <c r="H3952">
        <v>0.24040701159970701</v>
      </c>
      <c r="I3952">
        <v>0.217374977724306</v>
      </c>
      <c r="J3952">
        <v>0.18166654973221999</v>
      </c>
      <c r="K3952">
        <v>0.13599125395046199</v>
      </c>
      <c r="L3952">
        <v>614.415840005017</v>
      </c>
      <c r="M3952">
        <v>12.048690207455699</v>
      </c>
      <c r="N3952">
        <v>52.146736229595803</v>
      </c>
      <c r="O3952">
        <v>49.650623446824</v>
      </c>
      <c r="P3952">
        <v>-5.3589535643570302E-2</v>
      </c>
      <c r="Q3952">
        <v>0.11687587190066</v>
      </c>
      <c r="R3952">
        <v>0.919843435217511</v>
      </c>
      <c r="S3952" t="s">
        <v>9813</v>
      </c>
      <c r="T3952" t="s">
        <v>11720</v>
      </c>
      <c r="U3952" t="s">
        <v>11720</v>
      </c>
      <c r="V3952" t="s">
        <v>11720</v>
      </c>
      <c r="W3952" t="s">
        <v>15618</v>
      </c>
      <c r="X3952">
        <v>9</v>
      </c>
      <c r="Y3952" t="s">
        <v>21333</v>
      </c>
      <c r="Z3952" t="s">
        <v>27159</v>
      </c>
      <c r="AA3952">
        <v>0.46916921181527232</v>
      </c>
      <c r="AB3952" t="str">
        <f>HYPERLINK("Melting_Curves/meltCurve_Q86WN1_FCHSD1.pdf", "Melting_Curves/meltCurve_Q86WN1_FCHSD1.pdf")</f>
        <v>Melting_Curves/meltCurve_Q86WN1_FCHSD1.pdf</v>
      </c>
    </row>
    <row r="3953" spans="1:28" x14ac:dyDescent="0.25">
      <c r="A3953" t="s">
        <v>3957</v>
      </c>
      <c r="B3953">
        <v>0.99334974765950101</v>
      </c>
      <c r="C3953">
        <v>0.92260901643434701</v>
      </c>
      <c r="D3953">
        <v>0.79423785315207296</v>
      </c>
      <c r="E3953">
        <v>0.61126436218965396</v>
      </c>
      <c r="F3953">
        <v>0.57897228140493795</v>
      </c>
      <c r="G3953">
        <v>0.30609813307498301</v>
      </c>
      <c r="H3953">
        <v>0.32795960271543301</v>
      </c>
      <c r="I3953">
        <v>0.257472624383286</v>
      </c>
      <c r="J3953">
        <v>0.35548959496563698</v>
      </c>
      <c r="K3953">
        <v>0.202572274588041</v>
      </c>
      <c r="L3953">
        <v>611.85312924947596</v>
      </c>
      <c r="M3953">
        <v>12.1434834669348</v>
      </c>
      <c r="N3953">
        <v>53.071384208275703</v>
      </c>
      <c r="O3953">
        <v>49.077331718410598</v>
      </c>
      <c r="P3953">
        <v>-4.7668583145028399E-2</v>
      </c>
      <c r="Q3953">
        <v>0.22957579006293</v>
      </c>
      <c r="R3953">
        <v>0.96715548124379702</v>
      </c>
      <c r="S3953" t="s">
        <v>9814</v>
      </c>
      <c r="T3953" t="s">
        <v>11720</v>
      </c>
      <c r="U3953" t="s">
        <v>11720</v>
      </c>
      <c r="V3953" t="s">
        <v>11720</v>
      </c>
      <c r="W3953" t="s">
        <v>15619</v>
      </c>
      <c r="X3953">
        <v>3</v>
      </c>
      <c r="Y3953" t="s">
        <v>21334</v>
      </c>
      <c r="Z3953" t="s">
        <v>27160</v>
      </c>
      <c r="AA3953">
        <v>0.52188220489526571</v>
      </c>
      <c r="AB3953" t="str">
        <f>HYPERLINK("Melting_Curves/meltCurve_Q86WQ0_NR2C2AP.pdf", "Melting_Curves/meltCurve_Q86WQ0_NR2C2AP.pdf")</f>
        <v>Melting_Curves/meltCurve_Q86WQ0_NR2C2AP.pdf</v>
      </c>
    </row>
    <row r="3954" spans="1:28" x14ac:dyDescent="0.25">
      <c r="A3954" t="s">
        <v>3958</v>
      </c>
      <c r="B3954">
        <v>0.99334974765950101</v>
      </c>
      <c r="C3954">
        <v>0.98254997924850795</v>
      </c>
      <c r="D3954">
        <v>0.86045227381446898</v>
      </c>
      <c r="E3954">
        <v>0.66909197381487795</v>
      </c>
      <c r="F3954">
        <v>0.223595468842094</v>
      </c>
      <c r="G3954">
        <v>0.171182726727102</v>
      </c>
      <c r="H3954">
        <v>0.131133264503112</v>
      </c>
      <c r="I3954">
        <v>0.13431492891649</v>
      </c>
      <c r="J3954">
        <v>0.115387337868447</v>
      </c>
      <c r="K3954">
        <v>8.6505593299291805E-2</v>
      </c>
      <c r="L3954">
        <v>1486.3789575257499</v>
      </c>
      <c r="M3954">
        <v>29.4684754968684</v>
      </c>
      <c r="N3954">
        <v>50.885969708255601</v>
      </c>
      <c r="O3954">
        <v>50.2090607358111</v>
      </c>
      <c r="P3954">
        <v>-0.13001891917620101</v>
      </c>
      <c r="Q3954">
        <v>0.11388940070358899</v>
      </c>
      <c r="R3954">
        <v>0.98726603161738502</v>
      </c>
      <c r="S3954" t="s">
        <v>9815</v>
      </c>
      <c r="T3954" t="s">
        <v>11720</v>
      </c>
      <c r="U3954" t="s">
        <v>11720</v>
      </c>
      <c r="V3954" t="s">
        <v>11720</v>
      </c>
      <c r="W3954" t="s">
        <v>15620</v>
      </c>
      <c r="X3954">
        <v>9</v>
      </c>
      <c r="Y3954" t="s">
        <v>21335</v>
      </c>
      <c r="Z3954" t="s">
        <v>27161</v>
      </c>
      <c r="AA3954">
        <v>0.42796748399624379</v>
      </c>
      <c r="AB3954" t="str">
        <f>HYPERLINK("Melting_Curves/meltCurve_Q86WR0_CCDC25.pdf", "Melting_Curves/meltCurve_Q86WR0_CCDC25.pdf")</f>
        <v>Melting_Curves/meltCurve_Q86WR0_CCDC25.pdf</v>
      </c>
    </row>
    <row r="3955" spans="1:28" x14ac:dyDescent="0.25">
      <c r="A3955" t="s">
        <v>3959</v>
      </c>
      <c r="B3955">
        <v>0.99334974765950101</v>
      </c>
      <c r="C3955">
        <v>1.1877663879479301</v>
      </c>
      <c r="D3955">
        <v>0.99502211387511497</v>
      </c>
      <c r="E3955">
        <v>0.94533389187370798</v>
      </c>
      <c r="F3955">
        <v>0.53872246746640895</v>
      </c>
      <c r="G3955">
        <v>0.32403301546703001</v>
      </c>
      <c r="H3955">
        <v>0.38047175773692898</v>
      </c>
      <c r="I3955">
        <v>0.24830766589087599</v>
      </c>
      <c r="J3955">
        <v>0.36532363765867798</v>
      </c>
      <c r="K3955">
        <v>0.37116767957564301</v>
      </c>
      <c r="L3955">
        <v>2911.3527058545301</v>
      </c>
      <c r="M3955">
        <v>55.768688967914201</v>
      </c>
      <c r="N3955">
        <v>53.2737467958381</v>
      </c>
      <c r="O3955">
        <v>52.137078214968199</v>
      </c>
      <c r="P3955">
        <v>-0.17734281249096201</v>
      </c>
      <c r="Q3955">
        <v>0.33682280801284598</v>
      </c>
      <c r="R3955">
        <v>0.95777077687137002</v>
      </c>
      <c r="S3955" t="s">
        <v>9816</v>
      </c>
      <c r="T3955" t="s">
        <v>11720</v>
      </c>
      <c r="U3955" t="s">
        <v>11720</v>
      </c>
      <c r="V3955" t="s">
        <v>11720</v>
      </c>
      <c r="W3955" t="s">
        <v>15621</v>
      </c>
      <c r="X3955">
        <v>2</v>
      </c>
      <c r="Y3955" t="s">
        <v>21336</v>
      </c>
      <c r="Z3955" t="s">
        <v>27162</v>
      </c>
      <c r="AA3955">
        <v>0.60783105763455625</v>
      </c>
      <c r="AB3955" t="str">
        <f>HYPERLINK("Melting_Curves/meltCurve_Q86WR7_PROSER2.pdf", "Melting_Curves/meltCurve_Q86WR7_PROSER2.pdf")</f>
        <v>Melting_Curves/meltCurve_Q86WR7_PROSER2.pdf</v>
      </c>
    </row>
    <row r="3956" spans="1:28" x14ac:dyDescent="0.25">
      <c r="A3956" t="s">
        <v>3960</v>
      </c>
      <c r="B3956">
        <v>0.99334974765950101</v>
      </c>
      <c r="C3956">
        <v>0.90952863820693497</v>
      </c>
      <c r="D3956">
        <v>0.68040037612422199</v>
      </c>
      <c r="E3956">
        <v>0.320177785037011</v>
      </c>
      <c r="F3956">
        <v>0.30715855121485802</v>
      </c>
      <c r="G3956">
        <v>0.15907896002007399</v>
      </c>
      <c r="H3956">
        <v>0.133277711687246</v>
      </c>
      <c r="I3956">
        <v>0.14857298255353499</v>
      </c>
      <c r="J3956">
        <v>0.13004843146808301</v>
      </c>
      <c r="K3956">
        <v>9.8129032737745897E-2</v>
      </c>
      <c r="L3956">
        <v>885.38033649108002</v>
      </c>
      <c r="M3956">
        <v>18.683049982309601</v>
      </c>
      <c r="N3956">
        <v>48.151344420071702</v>
      </c>
      <c r="O3956">
        <v>46.856580257525302</v>
      </c>
      <c r="P3956">
        <v>-8.69303591072495E-2</v>
      </c>
      <c r="Q3956">
        <v>0.127961129673858</v>
      </c>
      <c r="R3956">
        <v>0.99099158852045599</v>
      </c>
      <c r="S3956" t="s">
        <v>9817</v>
      </c>
      <c r="T3956" t="s">
        <v>11720</v>
      </c>
      <c r="U3956" t="s">
        <v>11720</v>
      </c>
      <c r="V3956" t="s">
        <v>11720</v>
      </c>
      <c r="W3956" t="s">
        <v>15622</v>
      </c>
      <c r="X3956">
        <v>2</v>
      </c>
      <c r="Y3956" t="s">
        <v>21337</v>
      </c>
      <c r="Z3956" t="s">
        <v>27163</v>
      </c>
      <c r="AA3956">
        <v>0.35735139991128689</v>
      </c>
      <c r="AB3956" t="str">
        <f>HYPERLINK("Melting_Curves/meltCurve_Q86WV5_TEN1.pdf", "Melting_Curves/meltCurve_Q86WV5_TEN1.pdf")</f>
        <v>Melting_Curves/meltCurve_Q86WV5_TEN1.pdf</v>
      </c>
    </row>
    <row r="3957" spans="1:28" x14ac:dyDescent="0.25">
      <c r="A3957" t="s">
        <v>3961</v>
      </c>
      <c r="B3957">
        <v>0.99334974765950101</v>
      </c>
      <c r="C3957">
        <v>0.93818818648870295</v>
      </c>
      <c r="D3957">
        <v>0.86406094122743105</v>
      </c>
      <c r="E3957">
        <v>0.91097776961305099</v>
      </c>
      <c r="F3957">
        <v>0.34376839512967999</v>
      </c>
      <c r="G3957">
        <v>0.259357792435575</v>
      </c>
      <c r="H3957">
        <v>0.216153375226321</v>
      </c>
      <c r="I3957">
        <v>0.16790831438864801</v>
      </c>
      <c r="J3957">
        <v>0.171337240699999</v>
      </c>
      <c r="K3957">
        <v>0.12688306931170701</v>
      </c>
      <c r="L3957">
        <v>3014.0055478327899</v>
      </c>
      <c r="M3957">
        <v>58.257275439927</v>
      </c>
      <c r="N3957">
        <v>52.1547891355102</v>
      </c>
      <c r="O3957">
        <v>51.675269105974799</v>
      </c>
      <c r="P3957">
        <v>-0.229203370868719</v>
      </c>
      <c r="Q3957">
        <v>0.186770077358237</v>
      </c>
      <c r="R3957">
        <v>0.97452229880285601</v>
      </c>
      <c r="S3957" t="s">
        <v>9818</v>
      </c>
      <c r="T3957" t="s">
        <v>11720</v>
      </c>
      <c r="U3957" t="s">
        <v>11720</v>
      </c>
      <c r="V3957" t="s">
        <v>11720</v>
      </c>
      <c r="W3957" t="s">
        <v>15623</v>
      </c>
      <c r="X3957">
        <v>5</v>
      </c>
      <c r="Y3957" t="s">
        <v>21338</v>
      </c>
      <c r="Z3957" t="s">
        <v>27164</v>
      </c>
      <c r="AA3957">
        <v>0.50627397620853121</v>
      </c>
      <c r="AB3957" t="str">
        <f>HYPERLINK("Melting_Curves/meltCurve_Q86WV6_TMEM173.pdf", "Melting_Curves/meltCurve_Q86WV6_TMEM173.pdf")</f>
        <v>Melting_Curves/meltCurve_Q86WV6_TMEM173.pdf</v>
      </c>
    </row>
    <row r="3958" spans="1:28" x14ac:dyDescent="0.25">
      <c r="A3958" t="s">
        <v>3962</v>
      </c>
      <c r="B3958">
        <v>0.99334974765950101</v>
      </c>
      <c r="C3958">
        <v>1.0268986788349601</v>
      </c>
      <c r="D3958">
        <v>0.87387748205555005</v>
      </c>
      <c r="E3958">
        <v>0.85643044893480702</v>
      </c>
      <c r="F3958">
        <v>0.76230428980067799</v>
      </c>
      <c r="G3958">
        <v>0.55051268977460499</v>
      </c>
      <c r="H3958">
        <v>0.490222643812255</v>
      </c>
      <c r="I3958">
        <v>0.50126834698756595</v>
      </c>
      <c r="J3958">
        <v>0.55187165111122005</v>
      </c>
      <c r="K3958">
        <v>0.41104292851156998</v>
      </c>
      <c r="L3958">
        <v>786.85643037565796</v>
      </c>
      <c r="M3958">
        <v>14.855014792732799</v>
      </c>
      <c r="N3958">
        <v>62.620727018865203</v>
      </c>
      <c r="O3958">
        <v>52.0369673194499</v>
      </c>
      <c r="P3958">
        <v>-3.9303003572595301E-2</v>
      </c>
      <c r="Q3958">
        <v>0.44934568604672298</v>
      </c>
      <c r="R3958">
        <v>0.955109702188502</v>
      </c>
      <c r="S3958" t="s">
        <v>9819</v>
      </c>
      <c r="T3958" t="s">
        <v>11720</v>
      </c>
      <c r="U3958" t="s">
        <v>11720</v>
      </c>
      <c r="V3958" t="s">
        <v>11720</v>
      </c>
      <c r="W3958" t="s">
        <v>15624</v>
      </c>
      <c r="X3958">
        <v>4</v>
      </c>
      <c r="Y3958" t="s">
        <v>21339</v>
      </c>
      <c r="Z3958" t="s">
        <v>27165</v>
      </c>
      <c r="AA3958">
        <v>0.69942107615693805</v>
      </c>
      <c r="AB3958" t="str">
        <f>HYPERLINK("Melting_Curves/meltCurve_Q86WV7_CCDC43.pdf", "Melting_Curves/meltCurve_Q86WV7_CCDC43.pdf")</f>
        <v>Melting_Curves/meltCurve_Q86WV7_CCDC43.pdf</v>
      </c>
    </row>
    <row r="3959" spans="1:28" x14ac:dyDescent="0.25">
      <c r="A3959" t="s">
        <v>3963</v>
      </c>
      <c r="B3959">
        <v>0.99334974765950101</v>
      </c>
      <c r="C3959">
        <v>1.02351541833182</v>
      </c>
      <c r="D3959">
        <v>1.03897477713026</v>
      </c>
      <c r="E3959">
        <v>0.99166114455228005</v>
      </c>
      <c r="F3959">
        <v>0.57750405501216795</v>
      </c>
      <c r="G3959">
        <v>0.32748048255437101</v>
      </c>
      <c r="H3959">
        <v>0.22479601051297399</v>
      </c>
      <c r="I3959">
        <v>0.18860456912234499</v>
      </c>
      <c r="J3959">
        <v>0.169445798699634</v>
      </c>
      <c r="K3959">
        <v>0.142918356116568</v>
      </c>
      <c r="L3959">
        <v>1815.5338652857699</v>
      </c>
      <c r="M3959">
        <v>34.094420785611099</v>
      </c>
      <c r="N3959">
        <v>53.996689409050802</v>
      </c>
      <c r="O3959">
        <v>53.0679857345771</v>
      </c>
      <c r="P3959">
        <v>-0.13043346755414101</v>
      </c>
      <c r="Q3959">
        <v>0.18792417603667999</v>
      </c>
      <c r="R3959">
        <v>0.98836273594352198</v>
      </c>
      <c r="S3959" t="s">
        <v>9820</v>
      </c>
      <c r="T3959" t="s">
        <v>11720</v>
      </c>
      <c r="U3959" t="s">
        <v>11720</v>
      </c>
      <c r="V3959" t="s">
        <v>11720</v>
      </c>
      <c r="W3959" t="s">
        <v>15625</v>
      </c>
      <c r="X3959">
        <v>14</v>
      </c>
      <c r="Y3959" t="s">
        <v>21340</v>
      </c>
      <c r="Z3959" t="s">
        <v>27166</v>
      </c>
      <c r="AA3959">
        <v>0.55070263444875578</v>
      </c>
      <c r="AB3959" t="str">
        <f>HYPERLINK("Melting_Curves/meltCurve_Q86X02_CDR2L.pdf", "Melting_Curves/meltCurve_Q86X02_CDR2L.pdf")</f>
        <v>Melting_Curves/meltCurve_Q86X02_CDR2L.pdf</v>
      </c>
    </row>
    <row r="3960" spans="1:28" x14ac:dyDescent="0.25">
      <c r="A3960" t="s">
        <v>3964</v>
      </c>
      <c r="B3960">
        <v>0.99334974765950101</v>
      </c>
      <c r="C3960">
        <v>1.1127372535108699</v>
      </c>
      <c r="D3960">
        <v>0.87180264976424504</v>
      </c>
      <c r="E3960">
        <v>0.86328705039724296</v>
      </c>
      <c r="F3960">
        <v>0.75558799466197402</v>
      </c>
      <c r="G3960">
        <v>0.490110138229224</v>
      </c>
      <c r="H3960">
        <v>0.447098960152229</v>
      </c>
      <c r="I3960">
        <v>0.39166914290094801</v>
      </c>
      <c r="J3960">
        <v>0.62491035240269899</v>
      </c>
      <c r="K3960">
        <v>0.43018504670708302</v>
      </c>
      <c r="L3960">
        <v>1238.0838674741999</v>
      </c>
      <c r="M3960">
        <v>23.543145624183602</v>
      </c>
      <c r="N3960">
        <v>58.973649721927899</v>
      </c>
      <c r="O3960">
        <v>52.212868164759499</v>
      </c>
      <c r="P3960">
        <v>-6.07684687139581E-2</v>
      </c>
      <c r="Q3960">
        <v>0.46093153230078998</v>
      </c>
      <c r="R3960">
        <v>0.89243216276870097</v>
      </c>
      <c r="S3960" t="s">
        <v>9821</v>
      </c>
      <c r="T3960" t="s">
        <v>11720</v>
      </c>
      <c r="U3960" t="s">
        <v>11720</v>
      </c>
      <c r="V3960" t="s">
        <v>11720</v>
      </c>
      <c r="W3960" t="s">
        <v>15626</v>
      </c>
      <c r="X3960">
        <v>2</v>
      </c>
      <c r="Y3960" t="s">
        <v>21341</v>
      </c>
      <c r="Z3960" t="s">
        <v>27167</v>
      </c>
      <c r="AA3960">
        <v>0.69266143565593707</v>
      </c>
      <c r="AB3960" t="str">
        <f>HYPERLINK("Melting_Curves/meltCurve_Q86X19_TMEM17.pdf", "Melting_Curves/meltCurve_Q86X19_TMEM17.pdf")</f>
        <v>Melting_Curves/meltCurve_Q86X19_TMEM17.pdf</v>
      </c>
    </row>
    <row r="3961" spans="1:28" x14ac:dyDescent="0.25">
      <c r="A3961" t="s">
        <v>3965</v>
      </c>
      <c r="B3961">
        <v>0.99334974765950101</v>
      </c>
      <c r="C3961">
        <v>0.98885894211974501</v>
      </c>
      <c r="D3961">
        <v>1.01626109905537</v>
      </c>
      <c r="E3961">
        <v>0.77774664485690004</v>
      </c>
      <c r="F3961">
        <v>0.309071040362631</v>
      </c>
      <c r="G3961">
        <v>0.186504058040007</v>
      </c>
      <c r="H3961">
        <v>0.12669994012614699</v>
      </c>
      <c r="I3961">
        <v>0.120925004240945</v>
      </c>
      <c r="J3961">
        <v>0.106252027966191</v>
      </c>
      <c r="K3961">
        <v>7.8929312904893495E-2</v>
      </c>
      <c r="L3961">
        <v>2022.5976668938799</v>
      </c>
      <c r="M3961">
        <v>39.382021141780598</v>
      </c>
      <c r="N3961">
        <v>51.712977238533</v>
      </c>
      <c r="O3961">
        <v>51.226512609886797</v>
      </c>
      <c r="P3961">
        <v>-0.16945442377358999</v>
      </c>
      <c r="Q3961">
        <v>0.118324599864223</v>
      </c>
      <c r="R3961">
        <v>0.99666833178431602</v>
      </c>
      <c r="S3961" t="s">
        <v>9822</v>
      </c>
      <c r="T3961" t="s">
        <v>11720</v>
      </c>
      <c r="U3961" t="s">
        <v>11720</v>
      </c>
      <c r="V3961" t="s">
        <v>11720</v>
      </c>
      <c r="W3961" t="s">
        <v>15627</v>
      </c>
      <c r="X3961">
        <v>11</v>
      </c>
      <c r="Y3961" t="s">
        <v>21342</v>
      </c>
      <c r="Z3961" t="s">
        <v>27168</v>
      </c>
      <c r="AA3961">
        <v>0.45536771527641862</v>
      </c>
      <c r="AB3961" t="str">
        <f>HYPERLINK("Melting_Curves/meltCurve_Q86X27_RALGPS2.pdf", "Melting_Curves/meltCurve_Q86X27_RALGPS2.pdf")</f>
        <v>Melting_Curves/meltCurve_Q86X27_RALGPS2.pdf</v>
      </c>
    </row>
    <row r="3962" spans="1:28" x14ac:dyDescent="0.25">
      <c r="A3962" t="s">
        <v>3966</v>
      </c>
      <c r="B3962">
        <v>0.99334974765950101</v>
      </c>
      <c r="C3962">
        <v>1.0983495698789401</v>
      </c>
      <c r="D3962">
        <v>1.5828994877610201</v>
      </c>
      <c r="E3962">
        <v>2.1949314240212301</v>
      </c>
      <c r="F3962">
        <v>2.34350763763095</v>
      </c>
      <c r="G3962">
        <v>1.7870710735747799</v>
      </c>
      <c r="H3962">
        <v>0.40122671143299099</v>
      </c>
      <c r="I3962">
        <v>0.15333940715014999</v>
      </c>
      <c r="J3962">
        <v>8.5017763351484699E-2</v>
      </c>
      <c r="K3962">
        <v>5.5106117291838098E-2</v>
      </c>
      <c r="L3962">
        <v>11550.4802846201</v>
      </c>
      <c r="M3962">
        <v>190.03171051134399</v>
      </c>
      <c r="N3962">
        <v>60.851549922463398</v>
      </c>
      <c r="O3962">
        <v>60.775126120840604</v>
      </c>
      <c r="P3962">
        <v>-0.70525544960261499</v>
      </c>
      <c r="Q3962">
        <v>9.7792923196991996E-2</v>
      </c>
      <c r="R3962">
        <v>0.395467388765395</v>
      </c>
      <c r="S3962" t="s">
        <v>9823</v>
      </c>
      <c r="T3962" t="s">
        <v>11720</v>
      </c>
      <c r="U3962" t="s">
        <v>11720</v>
      </c>
      <c r="V3962" t="s">
        <v>11720</v>
      </c>
      <c r="W3962" t="s">
        <v>15628</v>
      </c>
      <c r="X3962">
        <v>7</v>
      </c>
      <c r="Y3962" t="s">
        <v>21343</v>
      </c>
      <c r="Z3962" t="s">
        <v>27169</v>
      </c>
      <c r="AA3962">
        <v>0.72294413423972481</v>
      </c>
      <c r="AB3962" t="str">
        <f>HYPERLINK("Melting_Curves/meltCurve_Q86X55_1_CARM1.pdf", "Melting_Curves/meltCurve_Q86X55_1_CARM1.pdf")</f>
        <v>Melting_Curves/meltCurve_Q86X55_1_CARM1.pdf</v>
      </c>
    </row>
    <row r="3963" spans="1:28" x14ac:dyDescent="0.25">
      <c r="A3963" t="s">
        <v>3967</v>
      </c>
      <c r="B3963">
        <v>0.99334974765950101</v>
      </c>
      <c r="C3963">
        <v>0.95685239795746402</v>
      </c>
      <c r="D3963">
        <v>1.07693840099007</v>
      </c>
      <c r="E3963">
        <v>1.0209787892731701</v>
      </c>
      <c r="F3963">
        <v>0.88490577932653502</v>
      </c>
      <c r="G3963">
        <v>0.801797192632279</v>
      </c>
      <c r="H3963">
        <v>0.68865117609658399</v>
      </c>
      <c r="I3963">
        <v>0.86048163710613501</v>
      </c>
      <c r="J3963">
        <v>0.53718428740064095</v>
      </c>
      <c r="K3963">
        <v>0.15588630102526099</v>
      </c>
      <c r="L3963">
        <v>1070.6832291938599</v>
      </c>
      <c r="M3963">
        <v>16.0841124795278</v>
      </c>
      <c r="N3963">
        <v>66.567769283082797</v>
      </c>
      <c r="O3963">
        <v>65.564243348481</v>
      </c>
      <c r="P3963">
        <v>-6.1334301526459502E-2</v>
      </c>
      <c r="Q3963">
        <v>0</v>
      </c>
      <c r="R3963">
        <v>0.82376563552664905</v>
      </c>
      <c r="S3963" t="s">
        <v>9824</v>
      </c>
      <c r="T3963" t="s">
        <v>11720</v>
      </c>
      <c r="U3963" t="s">
        <v>11720</v>
      </c>
      <c r="V3963" t="s">
        <v>11720</v>
      </c>
      <c r="W3963" t="s">
        <v>15629</v>
      </c>
      <c r="X3963">
        <v>14</v>
      </c>
      <c r="Y3963" t="s">
        <v>21344</v>
      </c>
      <c r="Z3963" t="s">
        <v>27170</v>
      </c>
      <c r="AA3963">
        <v>0.84779541879739806</v>
      </c>
      <c r="AB3963" t="str">
        <f>HYPERLINK("Melting_Curves/meltCurve_Q86X76_2_NIT1.pdf", "Melting_Curves/meltCurve_Q86X76_2_NIT1.pdf")</f>
        <v>Melting_Curves/meltCurve_Q86X76_2_NIT1.pdf</v>
      </c>
    </row>
    <row r="3964" spans="1:28" x14ac:dyDescent="0.25">
      <c r="A3964" t="s">
        <v>3968</v>
      </c>
      <c r="B3964">
        <v>0.99334974765950101</v>
      </c>
      <c r="C3964">
        <v>0.97101081939067102</v>
      </c>
      <c r="D3964">
        <v>0.80413805133523197</v>
      </c>
      <c r="E3964">
        <v>0.29430125650908801</v>
      </c>
      <c r="F3964">
        <v>0.20563022616227999</v>
      </c>
      <c r="G3964">
        <v>0.15179798449003201</v>
      </c>
      <c r="H3964">
        <v>0.12737958802621099</v>
      </c>
      <c r="I3964">
        <v>0.12641965265031399</v>
      </c>
      <c r="J3964">
        <v>0.107888835834551</v>
      </c>
      <c r="K3964">
        <v>8.8432833157637905E-2</v>
      </c>
      <c r="L3964">
        <v>1414.7141362882401</v>
      </c>
      <c r="M3964">
        <v>29.563584088486</v>
      </c>
      <c r="N3964">
        <v>48.312093428609799</v>
      </c>
      <c r="O3964">
        <v>47.635897912574698</v>
      </c>
      <c r="P3964">
        <v>-0.136163770974153</v>
      </c>
      <c r="Q3964">
        <v>0.12240120475004899</v>
      </c>
      <c r="R3964">
        <v>0.997111620066646</v>
      </c>
      <c r="S3964" t="s">
        <v>9825</v>
      </c>
      <c r="T3964" t="s">
        <v>11720</v>
      </c>
      <c r="U3964" t="s">
        <v>11720</v>
      </c>
      <c r="V3964" t="s">
        <v>11720</v>
      </c>
      <c r="W3964" t="s">
        <v>15630</v>
      </c>
      <c r="X3964">
        <v>18</v>
      </c>
      <c r="Y3964" t="s">
        <v>21345</v>
      </c>
      <c r="Z3964" t="s">
        <v>27171</v>
      </c>
      <c r="AA3964">
        <v>0.35757551774622381</v>
      </c>
      <c r="AB3964" t="str">
        <f>HYPERLINK("Melting_Curves/meltCurve_Q86XP3_DDX42.pdf", "Melting_Curves/meltCurve_Q86XP3_DDX42.pdf")</f>
        <v>Melting_Curves/meltCurve_Q86XP3_DDX42.pdf</v>
      </c>
    </row>
    <row r="3965" spans="1:28" x14ac:dyDescent="0.25">
      <c r="A3965" t="s">
        <v>3969</v>
      </c>
      <c r="B3965">
        <v>0.99334974765950101</v>
      </c>
      <c r="C3965">
        <v>1.14166955351152</v>
      </c>
      <c r="D3965">
        <v>0.79298384594480498</v>
      </c>
      <c r="E3965">
        <v>0.72021525993903501</v>
      </c>
      <c r="F3965">
        <v>0.44762717971424498</v>
      </c>
      <c r="G3965">
        <v>0.31027521950763598</v>
      </c>
      <c r="H3965">
        <v>0.33835202300556699</v>
      </c>
      <c r="I3965">
        <v>0.31434771573772002</v>
      </c>
      <c r="J3965">
        <v>0.20574846355345</v>
      </c>
      <c r="K3965">
        <v>0.29807939035190101</v>
      </c>
      <c r="L3965">
        <v>1001.41462672543</v>
      </c>
      <c r="M3965">
        <v>19.867312644285398</v>
      </c>
      <c r="N3965">
        <v>52.4764658679779</v>
      </c>
      <c r="O3965">
        <v>49.902793793491398</v>
      </c>
      <c r="P3965">
        <v>-7.2484589762175006E-2</v>
      </c>
      <c r="Q3965">
        <v>0.27175602709410901</v>
      </c>
      <c r="R3965">
        <v>0.94677450393630702</v>
      </c>
      <c r="S3965" t="s">
        <v>9826</v>
      </c>
      <c r="T3965" t="s">
        <v>11720</v>
      </c>
      <c r="U3965" t="s">
        <v>11720</v>
      </c>
      <c r="V3965" t="s">
        <v>11720</v>
      </c>
      <c r="W3965" t="s">
        <v>15631</v>
      </c>
      <c r="X3965">
        <v>1</v>
      </c>
      <c r="Y3965" t="s">
        <v>21346</v>
      </c>
      <c r="Z3965" t="s">
        <v>27172</v>
      </c>
      <c r="AA3965">
        <v>0.53459324915401729</v>
      </c>
      <c r="AB3965" t="str">
        <f>HYPERLINK("Melting_Curves/meltCurve_Q86XZ4_SPATS2.pdf", "Melting_Curves/meltCurve_Q86XZ4_SPATS2.pdf")</f>
        <v>Melting_Curves/meltCurve_Q86XZ4_SPATS2.pdf</v>
      </c>
    </row>
    <row r="3966" spans="1:28" x14ac:dyDescent="0.25">
      <c r="A3966" t="s">
        <v>3970</v>
      </c>
      <c r="B3966">
        <v>0.99334974765950101</v>
      </c>
      <c r="C3966">
        <v>1.04216267058525</v>
      </c>
      <c r="D3966">
        <v>0.75589164261892305</v>
      </c>
      <c r="E3966">
        <v>0.29141966589903301</v>
      </c>
      <c r="F3966">
        <v>0.18327977767840101</v>
      </c>
      <c r="G3966">
        <v>0.117679302651155</v>
      </c>
      <c r="H3966">
        <v>0.115699003102395</v>
      </c>
      <c r="I3966">
        <v>0.112360092171831</v>
      </c>
      <c r="J3966">
        <v>0.12596990895941601</v>
      </c>
      <c r="K3966">
        <v>9.2516665890876995E-2</v>
      </c>
      <c r="L3966">
        <v>1433.7845203368199</v>
      </c>
      <c r="M3966">
        <v>30.087139025836201</v>
      </c>
      <c r="N3966">
        <v>48.0766039188332</v>
      </c>
      <c r="O3966">
        <v>47.445367152441598</v>
      </c>
      <c r="P3966">
        <v>-0.140130806469483</v>
      </c>
      <c r="Q3966">
        <v>0.116098831958882</v>
      </c>
      <c r="R3966">
        <v>0.99477409048417398</v>
      </c>
      <c r="S3966" t="s">
        <v>9827</v>
      </c>
      <c r="T3966" t="s">
        <v>11720</v>
      </c>
      <c r="U3966" t="s">
        <v>11720</v>
      </c>
      <c r="V3966" t="s">
        <v>11720</v>
      </c>
      <c r="W3966" t="s">
        <v>15632</v>
      </c>
      <c r="X3966">
        <v>3</v>
      </c>
      <c r="Y3966" t="s">
        <v>21347</v>
      </c>
      <c r="Z3966" t="s">
        <v>27173</v>
      </c>
      <c r="AA3966">
        <v>0.3468974937545472</v>
      </c>
      <c r="AB3966" t="str">
        <f>HYPERLINK("Melting_Curves/meltCurve_Q86Y37_CACUL1.pdf", "Melting_Curves/meltCurve_Q86Y37_CACUL1.pdf")</f>
        <v>Melting_Curves/meltCurve_Q86Y37_CACUL1.pdf</v>
      </c>
    </row>
    <row r="3967" spans="1:28" x14ac:dyDescent="0.25">
      <c r="A3967" t="s">
        <v>3971</v>
      </c>
      <c r="B3967">
        <v>0.99334974765950101</v>
      </c>
      <c r="C3967">
        <v>0.99422149594417897</v>
      </c>
      <c r="D3967">
        <v>0.820293671252317</v>
      </c>
      <c r="E3967">
        <v>0.84838726374059104</v>
      </c>
      <c r="F3967">
        <v>0.98213050624031295</v>
      </c>
      <c r="G3967">
        <v>0.61934143105418205</v>
      </c>
      <c r="H3967">
        <v>0.618956275688893</v>
      </c>
      <c r="I3967">
        <v>0.66779242606577205</v>
      </c>
      <c r="J3967">
        <v>1.7238889475628101</v>
      </c>
      <c r="K3967">
        <v>2.47426851649529</v>
      </c>
      <c r="L3967">
        <v>15000</v>
      </c>
      <c r="M3967">
        <v>228.93225510045701</v>
      </c>
      <c r="O3967">
        <v>65.516567288969</v>
      </c>
      <c r="P3967">
        <v>0.436783144362831</v>
      </c>
      <c r="Q3967">
        <v>1.5</v>
      </c>
      <c r="R3967">
        <v>0.52933820082443495</v>
      </c>
      <c r="S3967" t="s">
        <v>9828</v>
      </c>
      <c r="T3967" t="s">
        <v>11720</v>
      </c>
      <c r="U3967" t="s">
        <v>11720</v>
      </c>
      <c r="V3967" t="s">
        <v>11720</v>
      </c>
      <c r="W3967" t="s">
        <v>15633</v>
      </c>
      <c r="X3967">
        <v>1</v>
      </c>
      <c r="Y3967" t="s">
        <v>21348</v>
      </c>
      <c r="Z3967" t="s">
        <v>27174</v>
      </c>
      <c r="AA3967">
        <v>1.074571992503468</v>
      </c>
      <c r="AB3967" t="str">
        <f>HYPERLINK("Melting_Curves/meltCurve_Q86Y38_XYLT1.pdf", "Melting_Curves/meltCurve_Q86Y38_XYLT1.pdf")</f>
        <v>Melting_Curves/meltCurve_Q86Y38_XYLT1.pdf</v>
      </c>
    </row>
    <row r="3968" spans="1:28" x14ac:dyDescent="0.25">
      <c r="A3968" t="s">
        <v>3972</v>
      </c>
      <c r="B3968">
        <v>0.99334974765950101</v>
      </c>
      <c r="C3968">
        <v>0.96466124449867197</v>
      </c>
      <c r="D3968">
        <v>0.85583452606364396</v>
      </c>
      <c r="E3968">
        <v>0.818538808712438</v>
      </c>
      <c r="F3968">
        <v>1.1507471589801701</v>
      </c>
      <c r="G3968">
        <v>0.87671293827319396</v>
      </c>
      <c r="H3968">
        <v>0.84452510276730597</v>
      </c>
      <c r="I3968">
        <v>0.77963080796677298</v>
      </c>
      <c r="J3968">
        <v>0.93789046516068597</v>
      </c>
      <c r="K3968">
        <v>0.70199255016165496</v>
      </c>
      <c r="L3968">
        <v>255.88010018757299</v>
      </c>
      <c r="M3968">
        <v>2.3655121074102601</v>
      </c>
      <c r="Q3968">
        <v>0</v>
      </c>
      <c r="R3968">
        <v>0.261265711211637</v>
      </c>
      <c r="S3968" t="s">
        <v>9829</v>
      </c>
      <c r="T3968" t="s">
        <v>11720</v>
      </c>
      <c r="U3968" t="s">
        <v>11720</v>
      </c>
      <c r="V3968" t="s">
        <v>11720</v>
      </c>
      <c r="W3968" t="s">
        <v>15634</v>
      </c>
      <c r="X3968">
        <v>5</v>
      </c>
      <c r="Y3968" t="s">
        <v>21349</v>
      </c>
      <c r="Z3968" t="s">
        <v>27175</v>
      </c>
      <c r="AA3968">
        <v>0.89942929832977525</v>
      </c>
      <c r="AB3968" t="str">
        <f>HYPERLINK("Melting_Curves/meltCurve_Q86Y39_NDUFA11.pdf", "Melting_Curves/meltCurve_Q86Y39_NDUFA11.pdf")</f>
        <v>Melting_Curves/meltCurve_Q86Y39_NDUFA11.pdf</v>
      </c>
    </row>
    <row r="3969" spans="1:28" x14ac:dyDescent="0.25">
      <c r="A3969" t="s">
        <v>3973</v>
      </c>
      <c r="B3969">
        <v>0.99334974765950101</v>
      </c>
      <c r="C3969">
        <v>0.87007531375597302</v>
      </c>
      <c r="D3969">
        <v>0.339313929788774</v>
      </c>
      <c r="E3969">
        <v>0.14760303279983999</v>
      </c>
      <c r="F3969">
        <v>0.113692424610895</v>
      </c>
      <c r="G3969">
        <v>7.8888028648764305E-2</v>
      </c>
      <c r="H3969">
        <v>6.5820585693007597E-2</v>
      </c>
      <c r="I3969">
        <v>6.6842461394959696E-2</v>
      </c>
      <c r="J3969">
        <v>5.3592988197616598E-2</v>
      </c>
      <c r="K3969">
        <v>3.8923611486951497E-2</v>
      </c>
      <c r="L3969">
        <v>1630.50018049653</v>
      </c>
      <c r="M3969">
        <v>36.294043373881998</v>
      </c>
      <c r="N3969">
        <v>45.128721116896401</v>
      </c>
      <c r="O3969">
        <v>44.7890007605383</v>
      </c>
      <c r="P3969">
        <v>-0.187258152266112</v>
      </c>
      <c r="Q3969">
        <v>7.5652206191496194E-2</v>
      </c>
      <c r="R3969">
        <v>0.99480686654742401</v>
      </c>
      <c r="S3969" t="s">
        <v>9830</v>
      </c>
      <c r="T3969" t="s">
        <v>11720</v>
      </c>
      <c r="U3969" t="s">
        <v>11720</v>
      </c>
      <c r="V3969" t="s">
        <v>11720</v>
      </c>
      <c r="W3969" t="s">
        <v>15635</v>
      </c>
      <c r="X3969">
        <v>16</v>
      </c>
      <c r="Y3969" t="s">
        <v>21350</v>
      </c>
      <c r="Z3969" t="s">
        <v>27176</v>
      </c>
      <c r="AA3969">
        <v>0.2312139028501414</v>
      </c>
      <c r="AB3969" t="str">
        <f>HYPERLINK("Melting_Curves/meltCurve_Q86Y56_HEATR2.pdf", "Melting_Curves/meltCurve_Q86Y56_HEATR2.pdf")</f>
        <v>Melting_Curves/meltCurve_Q86Y56_HEATR2.pdf</v>
      </c>
    </row>
    <row r="3970" spans="1:28" x14ac:dyDescent="0.25">
      <c r="A3970" t="s">
        <v>3974</v>
      </c>
      <c r="B3970">
        <v>0.99334974765950101</v>
      </c>
      <c r="C3970">
        <v>0.92948373603622003</v>
      </c>
      <c r="D3970">
        <v>0.83519066040739998</v>
      </c>
      <c r="E3970">
        <v>0.79211801483917099</v>
      </c>
      <c r="F3970">
        <v>0.72667668630409199</v>
      </c>
      <c r="G3970">
        <v>0.65656839380111698</v>
      </c>
      <c r="H3970">
        <v>0.59738471122000503</v>
      </c>
      <c r="I3970">
        <v>0.74492958907547302</v>
      </c>
      <c r="J3970">
        <v>0.75696444437544697</v>
      </c>
      <c r="K3970">
        <v>0.601503774032215</v>
      </c>
      <c r="L3970">
        <v>692.10826918636894</v>
      </c>
      <c r="M3970">
        <v>14.764209695446599</v>
      </c>
      <c r="O3970">
        <v>46.042642178526798</v>
      </c>
      <c r="P3970">
        <v>-2.6701360608116499E-2</v>
      </c>
      <c r="Q3970">
        <v>0.66695974871372499</v>
      </c>
      <c r="R3970">
        <v>0.82742274077584299</v>
      </c>
      <c r="S3970" t="s">
        <v>9831</v>
      </c>
      <c r="T3970" t="s">
        <v>11720</v>
      </c>
      <c r="U3970" t="s">
        <v>11720</v>
      </c>
      <c r="V3970" t="s">
        <v>11720</v>
      </c>
      <c r="W3970" t="s">
        <v>15636</v>
      </c>
      <c r="X3970">
        <v>12</v>
      </c>
      <c r="Y3970" t="s">
        <v>21351</v>
      </c>
      <c r="Z3970" t="s">
        <v>27177</v>
      </c>
      <c r="AA3970">
        <v>0.75273008575640543</v>
      </c>
      <c r="AB3970" t="str">
        <f>HYPERLINK("Melting_Curves/meltCurve_Q86Y82_STX12.pdf", "Melting_Curves/meltCurve_Q86Y82_STX12.pdf")</f>
        <v>Melting_Curves/meltCurve_Q86Y82_STX12.pdf</v>
      </c>
    </row>
    <row r="3971" spans="1:28" x14ac:dyDescent="0.25">
      <c r="A3971" t="s">
        <v>3975</v>
      </c>
      <c r="B3971">
        <v>0.99334974765950101</v>
      </c>
      <c r="C3971">
        <v>0.94040007194108999</v>
      </c>
      <c r="D3971">
        <v>0.75699615067777803</v>
      </c>
      <c r="E3971">
        <v>0.66569499403620902</v>
      </c>
      <c r="F3971">
        <v>0.27180685641739699</v>
      </c>
      <c r="G3971">
        <v>0.15272141523399199</v>
      </c>
      <c r="H3971">
        <v>0.102257452026246</v>
      </c>
      <c r="I3971">
        <v>0.105451284534384</v>
      </c>
      <c r="J3971">
        <v>9.3729141877313196E-2</v>
      </c>
      <c r="K3971">
        <v>9.2634156418305302E-2</v>
      </c>
      <c r="L3971">
        <v>847.95972190699297</v>
      </c>
      <c r="M3971">
        <v>16.886659193172001</v>
      </c>
      <c r="N3971">
        <v>50.656385574420902</v>
      </c>
      <c r="O3971">
        <v>49.526429776064901</v>
      </c>
      <c r="P3971">
        <v>-7.9411305189251297E-2</v>
      </c>
      <c r="Q3971">
        <v>6.8445914876158698E-2</v>
      </c>
      <c r="R3971">
        <v>0.97998690322950499</v>
      </c>
      <c r="S3971" t="s">
        <v>9832</v>
      </c>
      <c r="T3971" t="s">
        <v>11720</v>
      </c>
      <c r="U3971" t="s">
        <v>11720</v>
      </c>
      <c r="V3971" t="s">
        <v>11720</v>
      </c>
      <c r="W3971" t="s">
        <v>15637</v>
      </c>
      <c r="X3971">
        <v>3</v>
      </c>
      <c r="Y3971" t="s">
        <v>21352</v>
      </c>
      <c r="Z3971" t="s">
        <v>27178</v>
      </c>
      <c r="AA3971">
        <v>0.40347174523267082</v>
      </c>
      <c r="AB3971" t="str">
        <f>HYPERLINK("Melting_Curves/meltCurve_Q86YB8_ERO1LB.pdf", "Melting_Curves/meltCurve_Q86YB8_ERO1LB.pdf")</f>
        <v>Melting_Curves/meltCurve_Q86YB8_ERO1LB.pdf</v>
      </c>
    </row>
    <row r="3972" spans="1:28" x14ac:dyDescent="0.25">
      <c r="A3972" t="s">
        <v>3976</v>
      </c>
      <c r="B3972">
        <v>0.99334974765950101</v>
      </c>
      <c r="C3972">
        <v>0.95241292493270702</v>
      </c>
      <c r="D3972">
        <v>0.92555055600992098</v>
      </c>
      <c r="E3972">
        <v>0.80977200120697701</v>
      </c>
      <c r="F3972">
        <v>0.70407802315518297</v>
      </c>
      <c r="G3972">
        <v>0.55390750456829796</v>
      </c>
      <c r="H3972">
        <v>0.380630071877264</v>
      </c>
      <c r="I3972">
        <v>0.16705057299651399</v>
      </c>
      <c r="J3972">
        <v>9.3617840484767401E-2</v>
      </c>
      <c r="K3972">
        <v>6.3587149192572107E-2</v>
      </c>
      <c r="L3972">
        <v>692.08437744603202</v>
      </c>
      <c r="M3972">
        <v>12.1204960231307</v>
      </c>
      <c r="N3972">
        <v>57.100331233619102</v>
      </c>
      <c r="O3972">
        <v>55.612645449240098</v>
      </c>
      <c r="P3972">
        <v>-5.4498867519992403E-2</v>
      </c>
      <c r="Q3972">
        <v>0</v>
      </c>
      <c r="R3972">
        <v>0.98726147614972204</v>
      </c>
      <c r="S3972" t="s">
        <v>9833</v>
      </c>
      <c r="T3972" t="s">
        <v>11720</v>
      </c>
      <c r="U3972" t="s">
        <v>11720</v>
      </c>
      <c r="V3972" t="s">
        <v>11720</v>
      </c>
      <c r="W3972" t="s">
        <v>15638</v>
      </c>
      <c r="X3972">
        <v>12</v>
      </c>
      <c r="Y3972" t="s">
        <v>21353</v>
      </c>
      <c r="Z3972" t="s">
        <v>27179</v>
      </c>
      <c r="AA3972">
        <v>0.58646773738007585</v>
      </c>
      <c r="AB3972" t="str">
        <f>HYPERLINK("Melting_Curves/meltCurve_Q86YH6_PDSS2.pdf", "Melting_Curves/meltCurve_Q86YH6_PDSS2.pdf")</f>
        <v>Melting_Curves/meltCurve_Q86YH6_PDSS2.pdf</v>
      </c>
    </row>
    <row r="3973" spans="1:28" x14ac:dyDescent="0.25">
      <c r="A3973" t="s">
        <v>3977</v>
      </c>
      <c r="B3973">
        <v>0.99334974765950101</v>
      </c>
      <c r="C3973">
        <v>0.84450215011248797</v>
      </c>
      <c r="D3973">
        <v>0.90396595893910303</v>
      </c>
      <c r="E3973">
        <v>0.68685954959141104</v>
      </c>
      <c r="F3973">
        <v>0.55977754414922998</v>
      </c>
      <c r="G3973">
        <v>0.32308160357351801</v>
      </c>
      <c r="H3973">
        <v>0.17785573598201501</v>
      </c>
      <c r="I3973">
        <v>0.19440686941552399</v>
      </c>
      <c r="J3973">
        <v>0.105958834962469</v>
      </c>
      <c r="K3973">
        <v>0.16639143386726801</v>
      </c>
      <c r="L3973">
        <v>652.72277019682895</v>
      </c>
      <c r="M3973">
        <v>12.3818102636438</v>
      </c>
      <c r="N3973">
        <v>53.454725108790299</v>
      </c>
      <c r="O3973">
        <v>51.397815051730802</v>
      </c>
      <c r="P3973">
        <v>-5.5502866539998703E-2</v>
      </c>
      <c r="Q3973">
        <v>7.8610765229314802E-2</v>
      </c>
      <c r="R3973">
        <v>0.98152800525344897</v>
      </c>
      <c r="S3973" t="s">
        <v>9834</v>
      </c>
      <c r="T3973" t="s">
        <v>11720</v>
      </c>
      <c r="U3973" t="s">
        <v>11720</v>
      </c>
      <c r="V3973" t="s">
        <v>11720</v>
      </c>
      <c r="W3973" t="s">
        <v>15639</v>
      </c>
      <c r="X3973">
        <v>5</v>
      </c>
      <c r="Y3973" t="s">
        <v>21354</v>
      </c>
      <c r="Z3973" t="s">
        <v>27180</v>
      </c>
      <c r="AA3973">
        <v>0.49499540045846319</v>
      </c>
      <c r="AB3973" t="str">
        <f>HYPERLINK("Melting_Curves/meltCurve_Q86YM7_HOMER1.pdf", "Melting_Curves/meltCurve_Q86YM7_HOMER1.pdf")</f>
        <v>Melting_Curves/meltCurve_Q86YM7_HOMER1.pdf</v>
      </c>
    </row>
    <row r="3974" spans="1:28" x14ac:dyDescent="0.25">
      <c r="A3974" t="s">
        <v>3978</v>
      </c>
      <c r="B3974">
        <v>0.99334974765950101</v>
      </c>
      <c r="C3974">
        <v>0.976033204612199</v>
      </c>
      <c r="D3974">
        <v>0.97528777955365298</v>
      </c>
      <c r="E3974">
        <v>0.78907499746755405</v>
      </c>
      <c r="F3974">
        <v>1.15882347847222</v>
      </c>
      <c r="G3974">
        <v>0.72616346262463405</v>
      </c>
      <c r="H3974">
        <v>0.805442500007575</v>
      </c>
      <c r="I3974">
        <v>0.811025028432518</v>
      </c>
      <c r="J3974">
        <v>0.84226538425374398</v>
      </c>
      <c r="K3974">
        <v>0.88992740170755802</v>
      </c>
      <c r="L3974">
        <v>645.93378134786997</v>
      </c>
      <c r="M3974">
        <v>12.4126762540706</v>
      </c>
      <c r="O3974">
        <v>50.7429371258591</v>
      </c>
      <c r="P3974">
        <v>-1.10063536734002E-2</v>
      </c>
      <c r="Q3974">
        <v>0.820062447194289</v>
      </c>
      <c r="R3974">
        <v>0.243021861024769</v>
      </c>
      <c r="S3974" t="s">
        <v>9835</v>
      </c>
      <c r="T3974" t="s">
        <v>11720</v>
      </c>
      <c r="U3974" t="s">
        <v>11720</v>
      </c>
      <c r="V3974" t="s">
        <v>11720</v>
      </c>
      <c r="W3974" t="s">
        <v>15640</v>
      </c>
      <c r="X3974">
        <v>2</v>
      </c>
      <c r="Y3974" t="s">
        <v>21355</v>
      </c>
      <c r="Z3974" t="s">
        <v>27181</v>
      </c>
      <c r="AA3974">
        <v>0.89752377278347206</v>
      </c>
      <c r="AB3974" t="str">
        <f>HYPERLINK("Melting_Curves/meltCurve_Q86YP4_2_GATAD2A.pdf", "Melting_Curves/meltCurve_Q86YP4_2_GATAD2A.pdf")</f>
        <v>Melting_Curves/meltCurve_Q86YP4_2_GATAD2A.pdf</v>
      </c>
    </row>
    <row r="3975" spans="1:28" x14ac:dyDescent="0.25">
      <c r="A3975" t="s">
        <v>3979</v>
      </c>
      <c r="B3975">
        <v>0.99334974765950101</v>
      </c>
      <c r="C3975">
        <v>0.85266216451738297</v>
      </c>
      <c r="D3975">
        <v>0.74632704276536799</v>
      </c>
      <c r="E3975">
        <v>0.461964366233579</v>
      </c>
      <c r="F3975">
        <v>0.30264404066169098</v>
      </c>
      <c r="G3975">
        <v>0.18799386611765401</v>
      </c>
      <c r="H3975">
        <v>0.17828581537841001</v>
      </c>
      <c r="I3975">
        <v>0.13599651970017601</v>
      </c>
      <c r="J3975">
        <v>0.133003303319884</v>
      </c>
      <c r="K3975">
        <v>0.13188197659803699</v>
      </c>
      <c r="L3975">
        <v>734.89777721282803</v>
      </c>
      <c r="M3975">
        <v>15.172437006156599</v>
      </c>
      <c r="N3975">
        <v>49.339698365950802</v>
      </c>
      <c r="O3975">
        <v>47.618320328810697</v>
      </c>
      <c r="P3975">
        <v>-7.0003387321334098E-2</v>
      </c>
      <c r="Q3975">
        <v>0.12126908645920401</v>
      </c>
      <c r="R3975">
        <v>0.99667139611322497</v>
      </c>
      <c r="S3975" t="s">
        <v>9836</v>
      </c>
      <c r="T3975" t="s">
        <v>11720</v>
      </c>
      <c r="U3975" t="s">
        <v>11720</v>
      </c>
      <c r="V3975" t="s">
        <v>11720</v>
      </c>
      <c r="W3975" t="s">
        <v>15641</v>
      </c>
      <c r="X3975">
        <v>5</v>
      </c>
      <c r="Y3975" t="s">
        <v>21356</v>
      </c>
      <c r="Z3975" t="s">
        <v>27182</v>
      </c>
      <c r="AA3975">
        <v>0.39006911820285889</v>
      </c>
      <c r="AB3975" t="str">
        <f>HYPERLINK("Melting_Curves/meltCurve_Q86YQ8_CPNE8.pdf", "Melting_Curves/meltCurve_Q86YQ8_CPNE8.pdf")</f>
        <v>Melting_Curves/meltCurve_Q86YQ8_CPNE8.pdf</v>
      </c>
    </row>
    <row r="3976" spans="1:28" x14ac:dyDescent="0.25">
      <c r="A3976" t="s">
        <v>3980</v>
      </c>
      <c r="B3976">
        <v>0.99334974765950101</v>
      </c>
      <c r="C3976">
        <v>0.77629936500443597</v>
      </c>
      <c r="D3976">
        <v>0.25996750971725002</v>
      </c>
      <c r="E3976">
        <v>0.15868784317915599</v>
      </c>
      <c r="F3976">
        <v>0.12618972283857699</v>
      </c>
      <c r="G3976">
        <v>7.7745409255029804E-2</v>
      </c>
      <c r="H3976">
        <v>6.8074977819668703E-2</v>
      </c>
      <c r="I3976">
        <v>7.1958147222140598E-2</v>
      </c>
      <c r="J3976">
        <v>7.4910552621374596E-2</v>
      </c>
      <c r="K3976">
        <v>6.3757486991003295E-2</v>
      </c>
      <c r="L3976">
        <v>1584.7734896081499</v>
      </c>
      <c r="M3976">
        <v>35.833298073396797</v>
      </c>
      <c r="N3976">
        <v>44.466250060091298</v>
      </c>
      <c r="O3976">
        <v>44.089217578666101</v>
      </c>
      <c r="P3976">
        <v>-0.18532372525930099</v>
      </c>
      <c r="Q3976">
        <v>8.7915178103648503E-2</v>
      </c>
      <c r="R3976">
        <v>0.99376455024836496</v>
      </c>
      <c r="S3976" t="s">
        <v>9837</v>
      </c>
      <c r="T3976" t="s">
        <v>11720</v>
      </c>
      <c r="U3976" t="s">
        <v>11720</v>
      </c>
      <c r="V3976" t="s">
        <v>11720</v>
      </c>
      <c r="W3976" t="s">
        <v>15642</v>
      </c>
      <c r="X3976">
        <v>15</v>
      </c>
      <c r="Y3976" t="s">
        <v>21357</v>
      </c>
      <c r="Z3976" t="s">
        <v>27183</v>
      </c>
      <c r="AA3976">
        <v>0.22054496114123029</v>
      </c>
      <c r="AB3976" t="str">
        <f>HYPERLINK("Melting_Curves/meltCurve_Q86YR5_4_GPSM1.pdf", "Melting_Curves/meltCurve_Q86YR5_4_GPSM1.pdf")</f>
        <v>Melting_Curves/meltCurve_Q86YR5_4_GPSM1.pdf</v>
      </c>
    </row>
    <row r="3977" spans="1:28" x14ac:dyDescent="0.25">
      <c r="A3977" t="s">
        <v>3981</v>
      </c>
      <c r="B3977">
        <v>0.99334974765950101</v>
      </c>
      <c r="C3977">
        <v>0.91473763461864199</v>
      </c>
      <c r="D3977">
        <v>0.82236426928860296</v>
      </c>
      <c r="E3977">
        <v>0.66700018748702705</v>
      </c>
      <c r="F3977">
        <v>0.52674951259051594</v>
      </c>
      <c r="G3977">
        <v>0.34340445369020001</v>
      </c>
      <c r="H3977">
        <v>0.169166919791225</v>
      </c>
      <c r="I3977">
        <v>8.0744048510674696E-2</v>
      </c>
      <c r="J3977">
        <v>6.6008370413988701E-2</v>
      </c>
      <c r="K3977">
        <v>4.7010563798830299E-2</v>
      </c>
      <c r="L3977">
        <v>613.72141066043298</v>
      </c>
      <c r="M3977">
        <v>11.5702860405198</v>
      </c>
      <c r="N3977">
        <v>53.042887874013203</v>
      </c>
      <c r="O3977">
        <v>51.532658749324497</v>
      </c>
      <c r="P3977">
        <v>-5.6146422728660501E-2</v>
      </c>
      <c r="Q3977">
        <v>0</v>
      </c>
      <c r="R3977">
        <v>0.99531503020520196</v>
      </c>
      <c r="S3977" t="s">
        <v>9838</v>
      </c>
      <c r="T3977" t="s">
        <v>11720</v>
      </c>
      <c r="U3977" t="s">
        <v>11720</v>
      </c>
      <c r="V3977" t="s">
        <v>11720</v>
      </c>
      <c r="W3977" t="s">
        <v>15643</v>
      </c>
      <c r="X3977">
        <v>8</v>
      </c>
      <c r="Y3977" t="s">
        <v>21358</v>
      </c>
      <c r="Z3977" t="s">
        <v>27184</v>
      </c>
      <c r="AA3977">
        <v>0.46428519835574472</v>
      </c>
      <c r="AB3977" t="str">
        <f>HYPERLINK("Melting_Curves/meltCurve_Q86YS6_RAB43.pdf", "Melting_Curves/meltCurve_Q86YS6_RAB43.pdf")</f>
        <v>Melting_Curves/meltCurve_Q86YS6_RAB43.pdf</v>
      </c>
    </row>
    <row r="3978" spans="1:28" x14ac:dyDescent="0.25">
      <c r="A3978" t="s">
        <v>3982</v>
      </c>
      <c r="B3978">
        <v>0.99334974765950101</v>
      </c>
      <c r="C3978">
        <v>0.85626739863083101</v>
      </c>
      <c r="D3978">
        <v>0.82042545500803199</v>
      </c>
      <c r="E3978">
        <v>0.526883317198509</v>
      </c>
      <c r="F3978">
        <v>0.41317333780118898</v>
      </c>
      <c r="G3978">
        <v>0.230398896997633</v>
      </c>
      <c r="H3978">
        <v>0.19994273942680099</v>
      </c>
      <c r="I3978">
        <v>0.242454493527471</v>
      </c>
      <c r="J3978">
        <v>0.23323759784519801</v>
      </c>
      <c r="K3978">
        <v>0.24329664550402699</v>
      </c>
      <c r="L3978">
        <v>785.520706756663</v>
      </c>
      <c r="M3978">
        <v>16.0763317300406</v>
      </c>
      <c r="N3978">
        <v>50.553818684174402</v>
      </c>
      <c r="O3978">
        <v>48.1246471513413</v>
      </c>
      <c r="P3978">
        <v>-6.6144041897129094E-2</v>
      </c>
      <c r="Q3978">
        <v>0.208049768959404</v>
      </c>
      <c r="R3978">
        <v>0.98554300445375398</v>
      </c>
      <c r="S3978" t="s">
        <v>9839</v>
      </c>
      <c r="T3978" t="s">
        <v>11720</v>
      </c>
      <c r="U3978" t="s">
        <v>11720</v>
      </c>
      <c r="V3978" t="s">
        <v>11720</v>
      </c>
      <c r="W3978" t="s">
        <v>15644</v>
      </c>
      <c r="X3978">
        <v>2</v>
      </c>
      <c r="Y3978" t="s">
        <v>21359</v>
      </c>
      <c r="Z3978" t="s">
        <v>27185</v>
      </c>
      <c r="AA3978">
        <v>0.45918961461290109</v>
      </c>
      <c r="AB3978" t="str">
        <f>HYPERLINK("Melting_Curves/meltCurve_Q86YV5_SGK223.pdf", "Melting_Curves/meltCurve_Q86YV5_SGK223.pdf")</f>
        <v>Melting_Curves/meltCurve_Q86YV5_SGK223.pdf</v>
      </c>
    </row>
    <row r="3979" spans="1:28" x14ac:dyDescent="0.25">
      <c r="A3979" t="s">
        <v>3983</v>
      </c>
      <c r="B3979">
        <v>0.99334974765950101</v>
      </c>
      <c r="C3979">
        <v>0.93711177214253905</v>
      </c>
      <c r="D3979">
        <v>0.80713044464401396</v>
      </c>
      <c r="E3979">
        <v>0.52545902121127097</v>
      </c>
      <c r="F3979">
        <v>0.21290967303553199</v>
      </c>
      <c r="G3979">
        <v>0.134274587093513</v>
      </c>
      <c r="H3979">
        <v>0.10555909081852199</v>
      </c>
      <c r="I3979">
        <v>0.10621391312430201</v>
      </c>
      <c r="J3979">
        <v>8.0449979437805894E-2</v>
      </c>
      <c r="K3979">
        <v>7.2471112396757797E-2</v>
      </c>
      <c r="L3979">
        <v>989.70565899798896</v>
      </c>
      <c r="M3979">
        <v>20.0551250740942</v>
      </c>
      <c r="N3979">
        <v>49.765875181435398</v>
      </c>
      <c r="O3979">
        <v>48.866463686484799</v>
      </c>
      <c r="P3979">
        <v>-9.4676038072106297E-2</v>
      </c>
      <c r="Q3979">
        <v>7.7276430626712203E-2</v>
      </c>
      <c r="R3979">
        <v>0.99548295299266598</v>
      </c>
      <c r="S3979" t="s">
        <v>9840</v>
      </c>
      <c r="T3979" t="s">
        <v>11720</v>
      </c>
      <c r="U3979" t="s">
        <v>11720</v>
      </c>
      <c r="V3979" t="s">
        <v>11720</v>
      </c>
      <c r="W3979" t="s">
        <v>15645</v>
      </c>
      <c r="X3979">
        <v>10</v>
      </c>
      <c r="Y3979" t="s">
        <v>21360</v>
      </c>
      <c r="Z3979" t="s">
        <v>27186</v>
      </c>
      <c r="AA3979">
        <v>0.37765405055678702</v>
      </c>
      <c r="AB3979" t="str">
        <f>HYPERLINK("Melting_Curves/meltCurve_Q8IU85_2_CAMK1D.pdf", "Melting_Curves/meltCurve_Q8IU85_2_CAMK1D.pdf")</f>
        <v>Melting_Curves/meltCurve_Q8IU85_2_CAMK1D.pdf</v>
      </c>
    </row>
    <row r="3980" spans="1:28" x14ac:dyDescent="0.25">
      <c r="A3980" t="s">
        <v>3984</v>
      </c>
      <c r="B3980">
        <v>0.99334974765950101</v>
      </c>
      <c r="C3980">
        <v>0.84495040078934203</v>
      </c>
      <c r="D3980">
        <v>0.57617132620526601</v>
      </c>
      <c r="E3980">
        <v>0.32841154710009701</v>
      </c>
      <c r="F3980">
        <v>0.18033982193488199</v>
      </c>
      <c r="G3980">
        <v>0.14896139347460899</v>
      </c>
      <c r="H3980">
        <v>0.128059185296483</v>
      </c>
      <c r="I3980">
        <v>0.103278474374253</v>
      </c>
      <c r="J3980">
        <v>9.8951191963330104E-2</v>
      </c>
      <c r="K3980">
        <v>6.4418460910351499E-2</v>
      </c>
      <c r="L3980">
        <v>824.12078572140194</v>
      </c>
      <c r="M3980">
        <v>17.674745335444801</v>
      </c>
      <c r="N3980">
        <v>47.193786735474497</v>
      </c>
      <c r="O3980">
        <v>46.042439490812797</v>
      </c>
      <c r="P3980">
        <v>-8.6797537432992899E-2</v>
      </c>
      <c r="Q3980">
        <v>9.5623007501162996E-2</v>
      </c>
      <c r="R3980">
        <v>0.99546524121218205</v>
      </c>
      <c r="S3980" t="s">
        <v>9841</v>
      </c>
      <c r="T3980" t="s">
        <v>11720</v>
      </c>
      <c r="U3980" t="s">
        <v>11720</v>
      </c>
      <c r="V3980" t="s">
        <v>11720</v>
      </c>
      <c r="W3980" t="s">
        <v>15646</v>
      </c>
      <c r="X3980">
        <v>3</v>
      </c>
      <c r="Y3980" t="s">
        <v>21361</v>
      </c>
      <c r="Z3980" t="s">
        <v>27187</v>
      </c>
      <c r="AA3980">
        <v>0.31311992259873672</v>
      </c>
      <c r="AB3980" t="str">
        <f>HYPERLINK("Melting_Curves/meltCurve_Q8IUC6_TICAM1.pdf", "Melting_Curves/meltCurve_Q8IUC6_TICAM1.pdf")</f>
        <v>Melting_Curves/meltCurve_Q8IUC6_TICAM1.pdf</v>
      </c>
    </row>
    <row r="3981" spans="1:28" x14ac:dyDescent="0.25">
      <c r="A3981" t="s">
        <v>3985</v>
      </c>
      <c r="B3981">
        <v>0.99334974765950101</v>
      </c>
      <c r="C3981">
        <v>1.0127777899503601</v>
      </c>
      <c r="D3981">
        <v>0.82220030816012701</v>
      </c>
      <c r="E3981">
        <v>0.69673383275169798</v>
      </c>
      <c r="F3981">
        <v>0.57047725347369804</v>
      </c>
      <c r="G3981">
        <v>0.41818596736564201</v>
      </c>
      <c r="H3981">
        <v>0.34530863896383002</v>
      </c>
      <c r="I3981">
        <v>0.39620379935619998</v>
      </c>
      <c r="J3981">
        <v>0.41255506455170898</v>
      </c>
      <c r="K3981">
        <v>0.351638465553474</v>
      </c>
      <c r="L3981">
        <v>803.49645699913401</v>
      </c>
      <c r="M3981">
        <v>16.048797062608902</v>
      </c>
      <c r="N3981">
        <v>54.3539580290104</v>
      </c>
      <c r="O3981">
        <v>49.3078611368176</v>
      </c>
      <c r="P3981">
        <v>-5.2159307021890602E-2</v>
      </c>
      <c r="Q3981">
        <v>0.35903879557635698</v>
      </c>
      <c r="R3981">
        <v>0.98135461337653396</v>
      </c>
      <c r="S3981" t="s">
        <v>9842</v>
      </c>
      <c r="T3981" t="s">
        <v>11720</v>
      </c>
      <c r="U3981" t="s">
        <v>11720</v>
      </c>
      <c r="V3981" t="s">
        <v>11720</v>
      </c>
      <c r="W3981" t="s">
        <v>15647</v>
      </c>
      <c r="X3981">
        <v>16</v>
      </c>
      <c r="Y3981" t="s">
        <v>21362</v>
      </c>
      <c r="Z3981" t="s">
        <v>27188</v>
      </c>
      <c r="AA3981">
        <v>0.58761279182858839</v>
      </c>
      <c r="AB3981" t="str">
        <f>HYPERLINK("Melting_Curves/meltCurve_Q8IUD2_ERC1.pdf", "Melting_Curves/meltCurve_Q8IUD2_ERC1.pdf")</f>
        <v>Melting_Curves/meltCurve_Q8IUD2_ERC1.pdf</v>
      </c>
    </row>
    <row r="3982" spans="1:28" x14ac:dyDescent="0.25">
      <c r="A3982" t="s">
        <v>3986</v>
      </c>
      <c r="B3982">
        <v>0.99334974765950101</v>
      </c>
      <c r="C3982">
        <v>0.97286918838797198</v>
      </c>
      <c r="D3982">
        <v>0.87206480089119598</v>
      </c>
      <c r="E3982">
        <v>0.47752646589606901</v>
      </c>
      <c r="F3982">
        <v>0.218524477726006</v>
      </c>
      <c r="G3982">
        <v>0.13645725639509701</v>
      </c>
      <c r="H3982">
        <v>0.116345613954729</v>
      </c>
      <c r="I3982">
        <v>0.10758588254261101</v>
      </c>
      <c r="J3982">
        <v>0.108096795074243</v>
      </c>
      <c r="K3982">
        <v>9.6115994997891099E-2</v>
      </c>
      <c r="L3982">
        <v>1260.1065371804</v>
      </c>
      <c r="M3982">
        <v>25.573592706891699</v>
      </c>
      <c r="N3982">
        <v>49.727029222085797</v>
      </c>
      <c r="O3982">
        <v>48.975411115110802</v>
      </c>
      <c r="P3982">
        <v>-0.116972152833344</v>
      </c>
      <c r="Q3982">
        <v>0.103968075344197</v>
      </c>
      <c r="R3982">
        <v>0.999667163550644</v>
      </c>
      <c r="S3982" t="s">
        <v>9843</v>
      </c>
      <c r="T3982" t="s">
        <v>11720</v>
      </c>
      <c r="U3982" t="s">
        <v>11720</v>
      </c>
      <c r="V3982" t="s">
        <v>11720</v>
      </c>
      <c r="W3982" t="s">
        <v>15648</v>
      </c>
      <c r="X3982">
        <v>11</v>
      </c>
      <c r="Y3982" t="s">
        <v>21363</v>
      </c>
      <c r="Z3982" t="s">
        <v>27189</v>
      </c>
      <c r="AA3982">
        <v>0.38854840710816668</v>
      </c>
      <c r="AB3982" t="str">
        <f>HYPERLINK("Melting_Curves/meltCurve_Q8IUI8_CRLF3.pdf", "Melting_Curves/meltCurve_Q8IUI8_CRLF3.pdf")</f>
        <v>Melting_Curves/meltCurve_Q8IUI8_CRLF3.pdf</v>
      </c>
    </row>
    <row r="3983" spans="1:28" x14ac:dyDescent="0.25">
      <c r="A3983" t="s">
        <v>3987</v>
      </c>
      <c r="B3983">
        <v>0.99334974765950101</v>
      </c>
      <c r="C3983">
        <v>1.0086603988752201</v>
      </c>
      <c r="D3983">
        <v>0.76091026778498305</v>
      </c>
      <c r="E3983">
        <v>0.497171870371722</v>
      </c>
      <c r="F3983">
        <v>0.25780353113083099</v>
      </c>
      <c r="G3983">
        <v>0.11763436188321</v>
      </c>
      <c r="H3983">
        <v>6.2024280593928102E-2</v>
      </c>
      <c r="I3983">
        <v>5.85442589648138E-2</v>
      </c>
      <c r="J3983">
        <v>5.7628701823293098E-2</v>
      </c>
      <c r="K3983">
        <v>4.0626996081496801E-2</v>
      </c>
      <c r="L3983">
        <v>903.74418807694099</v>
      </c>
      <c r="M3983">
        <v>18.2577871353175</v>
      </c>
      <c r="N3983">
        <v>49.728970263977502</v>
      </c>
      <c r="O3983">
        <v>48.916754793600099</v>
      </c>
      <c r="P3983">
        <v>-8.9538876880383395E-2</v>
      </c>
      <c r="Q3983">
        <v>4.0464881498335402E-2</v>
      </c>
      <c r="R3983">
        <v>0.99518559903244597</v>
      </c>
      <c r="S3983" t="s">
        <v>9844</v>
      </c>
      <c r="T3983" t="s">
        <v>11720</v>
      </c>
      <c r="U3983" t="s">
        <v>11720</v>
      </c>
      <c r="V3983" t="s">
        <v>11720</v>
      </c>
      <c r="W3983" t="s">
        <v>15649</v>
      </c>
      <c r="X3983">
        <v>3</v>
      </c>
      <c r="Y3983" t="s">
        <v>21364</v>
      </c>
      <c r="Z3983" t="s">
        <v>27190</v>
      </c>
      <c r="AA3983">
        <v>0.36031804472893758</v>
      </c>
      <c r="AB3983" t="str">
        <f>HYPERLINK("Melting_Curves/meltCurve_Q8IUR0_TRAPPC5.pdf", "Melting_Curves/meltCurve_Q8IUR0_TRAPPC5.pdf")</f>
        <v>Melting_Curves/meltCurve_Q8IUR0_TRAPPC5.pdf</v>
      </c>
    </row>
    <row r="3984" spans="1:28" x14ac:dyDescent="0.25">
      <c r="A3984" t="s">
        <v>3988</v>
      </c>
      <c r="B3984">
        <v>0.99334974765950101</v>
      </c>
      <c r="C3984">
        <v>0.863230016491767</v>
      </c>
      <c r="D3984">
        <v>0.48656458195853203</v>
      </c>
      <c r="E3984">
        <v>0.27514375010203002</v>
      </c>
      <c r="F3984">
        <v>0.135930754682933</v>
      </c>
      <c r="G3984">
        <v>0.119528712374116</v>
      </c>
      <c r="H3984">
        <v>9.00942523843003E-2</v>
      </c>
      <c r="I3984">
        <v>9.2099836302676E-2</v>
      </c>
      <c r="J3984">
        <v>4.9741447424981003E-2</v>
      </c>
      <c r="K3984">
        <v>0</v>
      </c>
      <c r="L3984">
        <v>905.36256471330705</v>
      </c>
      <c r="M3984">
        <v>19.632381736749</v>
      </c>
      <c r="N3984">
        <v>46.452126220765798</v>
      </c>
      <c r="O3984">
        <v>45.645304602678301</v>
      </c>
      <c r="P3984">
        <v>-0.100406066994494</v>
      </c>
      <c r="Q3984">
        <v>6.62559276462001E-2</v>
      </c>
      <c r="R3984">
        <v>0.98709037901105001</v>
      </c>
      <c r="S3984" t="s">
        <v>9845</v>
      </c>
      <c r="T3984" t="s">
        <v>11720</v>
      </c>
      <c r="U3984" t="s">
        <v>11720</v>
      </c>
      <c r="V3984" t="s">
        <v>11720</v>
      </c>
      <c r="W3984" t="s">
        <v>15650</v>
      </c>
      <c r="X3984">
        <v>1</v>
      </c>
      <c r="Y3984" t="s">
        <v>21365</v>
      </c>
      <c r="Z3984" t="s">
        <v>27191</v>
      </c>
      <c r="AA3984">
        <v>0.27154728451761379</v>
      </c>
      <c r="AB3984" t="str">
        <f>HYPERLINK("Melting_Curves/meltCurve_Q8IUW3_SPATA2L.pdf", "Melting_Curves/meltCurve_Q8IUW3_SPATA2L.pdf")</f>
        <v>Melting_Curves/meltCurve_Q8IUW3_SPATA2L.pdf</v>
      </c>
    </row>
    <row r="3985" spans="1:28" x14ac:dyDescent="0.25">
      <c r="A3985" t="s">
        <v>3989</v>
      </c>
      <c r="B3985">
        <v>0.99334974765950101</v>
      </c>
      <c r="C3985">
        <v>1.04553427393493</v>
      </c>
      <c r="D3985">
        <v>0.90144702809828603</v>
      </c>
      <c r="E3985">
        <v>1.12524650204309</v>
      </c>
      <c r="F3985">
        <v>1.2701471185389399</v>
      </c>
      <c r="G3985">
        <v>1.11803046505771</v>
      </c>
      <c r="H3985">
        <v>1.0625081299541399</v>
      </c>
      <c r="I3985">
        <v>1.4928356764074</v>
      </c>
      <c r="J3985">
        <v>1.44619675902501</v>
      </c>
      <c r="K3985">
        <v>1.0159621406236901</v>
      </c>
      <c r="L3985">
        <v>12493.0685222308</v>
      </c>
      <c r="M3985">
        <v>250</v>
      </c>
      <c r="O3985">
        <v>49.969076502111797</v>
      </c>
      <c r="P3985">
        <v>0.29303130989462101</v>
      </c>
      <c r="Q3985">
        <v>1.23428006135109</v>
      </c>
      <c r="R3985">
        <v>0.37357299719459902</v>
      </c>
      <c r="S3985" t="s">
        <v>9846</v>
      </c>
      <c r="T3985" t="s">
        <v>11720</v>
      </c>
      <c r="U3985" t="s">
        <v>11720</v>
      </c>
      <c r="V3985" t="s">
        <v>11720</v>
      </c>
      <c r="W3985" t="s">
        <v>15651</v>
      </c>
      <c r="X3985">
        <v>4</v>
      </c>
      <c r="Y3985" t="s">
        <v>21366</v>
      </c>
      <c r="Z3985" t="s">
        <v>27192</v>
      </c>
      <c r="AA3985">
        <v>1.1563826820123191</v>
      </c>
      <c r="AB3985" t="str">
        <f>HYPERLINK("Melting_Curves/meltCurve_Q8IUW5_RELL1.pdf", "Melting_Curves/meltCurve_Q8IUW5_RELL1.pdf")</f>
        <v>Melting_Curves/meltCurve_Q8IUW5_RELL1.pdf</v>
      </c>
    </row>
    <row r="3986" spans="1:28" x14ac:dyDescent="0.25">
      <c r="A3986" t="s">
        <v>3990</v>
      </c>
      <c r="B3986">
        <v>0.99334974765950101</v>
      </c>
      <c r="C3986">
        <v>0.82479324782242103</v>
      </c>
      <c r="D3986">
        <v>0.72325005684065202</v>
      </c>
      <c r="E3986">
        <v>0.94119442715681001</v>
      </c>
      <c r="F3986">
        <v>1.3213936284047301</v>
      </c>
      <c r="G3986">
        <v>1.34699995476946</v>
      </c>
      <c r="H3986">
        <v>0.943577097858186</v>
      </c>
      <c r="I3986">
        <v>0.78327337903608496</v>
      </c>
      <c r="J3986">
        <v>0.48112548915598202</v>
      </c>
      <c r="K3986">
        <v>0.34354234048491</v>
      </c>
      <c r="L3986">
        <v>2826.7303514319301</v>
      </c>
      <c r="M3986">
        <v>43.3772734353808</v>
      </c>
      <c r="N3986">
        <v>66.691594659119303</v>
      </c>
      <c r="O3986">
        <v>65.028114692896196</v>
      </c>
      <c r="P3986">
        <v>-0.11429766553345801</v>
      </c>
      <c r="Q3986">
        <v>0.31461339319099102</v>
      </c>
      <c r="R3986">
        <v>0.63332552900384997</v>
      </c>
      <c r="S3986" t="s">
        <v>9847</v>
      </c>
      <c r="T3986" t="s">
        <v>11720</v>
      </c>
      <c r="U3986" t="s">
        <v>11720</v>
      </c>
      <c r="V3986" t="s">
        <v>11720</v>
      </c>
      <c r="W3986" t="s">
        <v>15652</v>
      </c>
      <c r="X3986">
        <v>2</v>
      </c>
      <c r="Y3986" t="s">
        <v>21367</v>
      </c>
      <c r="Z3986" t="s">
        <v>27193</v>
      </c>
      <c r="AA3986">
        <v>0.89014976941114943</v>
      </c>
      <c r="AB3986" t="str">
        <f>HYPERLINK("Melting_Curves/meltCurve_Q8IUX1_4_TMEM126B.pdf", "Melting_Curves/meltCurve_Q8IUX1_4_TMEM126B.pdf")</f>
        <v>Melting_Curves/meltCurve_Q8IUX1_4_TMEM126B.pdf</v>
      </c>
    </row>
    <row r="3987" spans="1:28" x14ac:dyDescent="0.25">
      <c r="A3987" t="s">
        <v>3991</v>
      </c>
      <c r="B3987">
        <v>0.99334974765950101</v>
      </c>
      <c r="C3987">
        <v>0.98780258954966804</v>
      </c>
      <c r="D3987">
        <v>0.96545104029865003</v>
      </c>
      <c r="E3987">
        <v>0.91164819044638901</v>
      </c>
      <c r="F3987">
        <v>0.85640290535788999</v>
      </c>
      <c r="G3987">
        <v>0.67823646789700898</v>
      </c>
      <c r="H3987">
        <v>0.44144911315498803</v>
      </c>
      <c r="I3987">
        <v>0.16961182219109899</v>
      </c>
      <c r="J3987">
        <v>0.14994738857950601</v>
      </c>
      <c r="K3987">
        <v>9.59860068501944E-2</v>
      </c>
      <c r="L3987">
        <v>937.42640837266697</v>
      </c>
      <c r="M3987">
        <v>15.787500571503401</v>
      </c>
      <c r="N3987">
        <v>59.377759604846801</v>
      </c>
      <c r="O3987">
        <v>58.449565736079201</v>
      </c>
      <c r="P3987">
        <v>-6.7531748750908199E-2</v>
      </c>
      <c r="Q3987">
        <v>0</v>
      </c>
      <c r="R3987">
        <v>0.99185399465201995</v>
      </c>
      <c r="S3987" t="s">
        <v>9848</v>
      </c>
      <c r="T3987" t="s">
        <v>11720</v>
      </c>
      <c r="U3987" t="s">
        <v>11720</v>
      </c>
      <c r="V3987" t="s">
        <v>11720</v>
      </c>
      <c r="W3987" t="s">
        <v>15653</v>
      </c>
      <c r="X3987">
        <v>9</v>
      </c>
      <c r="Y3987" t="s">
        <v>21368</v>
      </c>
      <c r="Z3987" t="s">
        <v>27194</v>
      </c>
      <c r="AA3987">
        <v>0.65545624431334348</v>
      </c>
      <c r="AB3987" t="str">
        <f>HYPERLINK("Melting_Curves/meltCurve_Q8IUZ5_AGXT2L2.pdf", "Melting_Curves/meltCurve_Q8IUZ5_AGXT2L2.pdf")</f>
        <v>Melting_Curves/meltCurve_Q8IUZ5_AGXT2L2.pdf</v>
      </c>
    </row>
    <row r="3988" spans="1:28" x14ac:dyDescent="0.25">
      <c r="A3988" t="s">
        <v>3992</v>
      </c>
      <c r="B3988">
        <v>0.99334974765950101</v>
      </c>
      <c r="C3988">
        <v>1.06658574456527</v>
      </c>
      <c r="D3988">
        <v>1.0792046622262701</v>
      </c>
      <c r="E3988">
        <v>0.99020215577853599</v>
      </c>
      <c r="F3988">
        <v>0.78353709195704502</v>
      </c>
      <c r="G3988">
        <v>0.69289994865093696</v>
      </c>
      <c r="H3988">
        <v>0.52752311932359797</v>
      </c>
      <c r="I3988">
        <v>0.25960453975702302</v>
      </c>
      <c r="J3988">
        <v>0.16442085549005001</v>
      </c>
      <c r="K3988">
        <v>0.113852688336202</v>
      </c>
      <c r="L3988">
        <v>872.49573788818395</v>
      </c>
      <c r="M3988">
        <v>14.493142104085299</v>
      </c>
      <c r="N3988">
        <v>60.200592378327599</v>
      </c>
      <c r="O3988">
        <v>59.089297201146202</v>
      </c>
      <c r="P3988">
        <v>-6.1325898852816599E-2</v>
      </c>
      <c r="Q3988">
        <v>0</v>
      </c>
      <c r="R3988">
        <v>0.97614842581649197</v>
      </c>
      <c r="S3988" t="s">
        <v>9849</v>
      </c>
      <c r="T3988" t="s">
        <v>11720</v>
      </c>
      <c r="U3988" t="s">
        <v>11720</v>
      </c>
      <c r="V3988" t="s">
        <v>11720</v>
      </c>
      <c r="W3988" t="s">
        <v>15654</v>
      </c>
      <c r="X3988">
        <v>10</v>
      </c>
      <c r="Y3988" t="s">
        <v>21369</v>
      </c>
      <c r="Z3988" t="s">
        <v>27195</v>
      </c>
      <c r="AA3988">
        <v>0.6788777078885917</v>
      </c>
      <c r="AB3988" t="str">
        <f>HYPERLINK("Melting_Curves/meltCurve_Q8IV08_PLD3.pdf", "Melting_Curves/meltCurve_Q8IV08_PLD3.pdf")</f>
        <v>Melting_Curves/meltCurve_Q8IV08_PLD3.pdf</v>
      </c>
    </row>
    <row r="3989" spans="1:28" x14ac:dyDescent="0.25">
      <c r="A3989" t="s">
        <v>3993</v>
      </c>
      <c r="B3989">
        <v>0.99334974765950101</v>
      </c>
      <c r="C3989">
        <v>0.93817377760487797</v>
      </c>
      <c r="D3989">
        <v>0.93899595723815699</v>
      </c>
      <c r="E3989">
        <v>0.69767214448501202</v>
      </c>
      <c r="F3989">
        <v>0.56787524473940598</v>
      </c>
      <c r="G3989">
        <v>0.21082006275630699</v>
      </c>
      <c r="H3989">
        <v>0.15560793541010101</v>
      </c>
      <c r="I3989">
        <v>8.4905524800426499E-2</v>
      </c>
      <c r="J3989">
        <v>6.5381136473518994E-2</v>
      </c>
      <c r="K3989">
        <v>3.9050541157786597E-2</v>
      </c>
      <c r="L3989">
        <v>844.37441108862799</v>
      </c>
      <c r="M3989">
        <v>15.9289531732014</v>
      </c>
      <c r="N3989">
        <v>53.178654212964702</v>
      </c>
      <c r="O3989">
        <v>52.194428179431803</v>
      </c>
      <c r="P3989">
        <v>-7.4409839934694397E-2</v>
      </c>
      <c r="Q3989">
        <v>2.4802437511498299E-2</v>
      </c>
      <c r="R3989">
        <v>0.993371830493187</v>
      </c>
      <c r="S3989" t="s">
        <v>9850</v>
      </c>
      <c r="T3989" t="s">
        <v>11720</v>
      </c>
      <c r="U3989" t="s">
        <v>11720</v>
      </c>
      <c r="V3989" t="s">
        <v>11720</v>
      </c>
      <c r="W3989" t="s">
        <v>15655</v>
      </c>
      <c r="X3989">
        <v>3</v>
      </c>
      <c r="Y3989" t="s">
        <v>21370</v>
      </c>
      <c r="Z3989" t="s">
        <v>27196</v>
      </c>
      <c r="AA3989">
        <v>0.46692739286191259</v>
      </c>
      <c r="AB3989" t="str">
        <f>HYPERLINK("Melting_Curves/meltCurve_Q8IV20_LACC1.pdf", "Melting_Curves/meltCurve_Q8IV20_LACC1.pdf")</f>
        <v>Melting_Curves/meltCurve_Q8IV20_LACC1.pdf</v>
      </c>
    </row>
    <row r="3990" spans="1:28" x14ac:dyDescent="0.25">
      <c r="A3990" t="s">
        <v>3994</v>
      </c>
      <c r="B3990">
        <v>0.99334974765950101</v>
      </c>
      <c r="C3990">
        <v>0.96165560218267698</v>
      </c>
      <c r="D3990">
        <v>0.92851225137163296</v>
      </c>
      <c r="E3990">
        <v>0.60368984509147505</v>
      </c>
      <c r="F3990">
        <v>0.148655218918751</v>
      </c>
      <c r="G3990">
        <v>0.17406541525411201</v>
      </c>
      <c r="H3990">
        <v>0.14065395299882899</v>
      </c>
      <c r="I3990">
        <v>0.112720377189043</v>
      </c>
      <c r="J3990">
        <v>6.8051809911299596E-2</v>
      </c>
      <c r="K3990">
        <v>7.2439884782740799E-2</v>
      </c>
      <c r="L3990">
        <v>2436.3097294589602</v>
      </c>
      <c r="M3990">
        <v>48.543013903796997</v>
      </c>
      <c r="N3990">
        <v>50.4447675274576</v>
      </c>
      <c r="O3990">
        <v>50.103724683644302</v>
      </c>
      <c r="P3990">
        <v>-0.215762164678521</v>
      </c>
      <c r="Q3990">
        <v>0.109204245029509</v>
      </c>
      <c r="R3990">
        <v>0.99062914054364304</v>
      </c>
      <c r="S3990" t="s">
        <v>9851</v>
      </c>
      <c r="T3990" t="s">
        <v>11720</v>
      </c>
      <c r="U3990" t="s">
        <v>11720</v>
      </c>
      <c r="V3990" t="s">
        <v>11720</v>
      </c>
      <c r="W3990" t="s">
        <v>15656</v>
      </c>
      <c r="X3990">
        <v>13</v>
      </c>
      <c r="Y3990" t="s">
        <v>21371</v>
      </c>
      <c r="Z3990" t="s">
        <v>27197</v>
      </c>
      <c r="AA3990">
        <v>0.4138316104189555</v>
      </c>
      <c r="AB3990" t="str">
        <f>HYPERLINK("Melting_Curves/meltCurve_Q8IV38_ANKMY2.pdf", "Melting_Curves/meltCurve_Q8IV38_ANKMY2.pdf")</f>
        <v>Melting_Curves/meltCurve_Q8IV38_ANKMY2.pdf</v>
      </c>
    </row>
    <row r="3991" spans="1:28" x14ac:dyDescent="0.25">
      <c r="A3991" t="s">
        <v>3995</v>
      </c>
      <c r="B3991">
        <v>0.99334974765950101</v>
      </c>
      <c r="C3991">
        <v>0.93777611884286605</v>
      </c>
      <c r="D3991">
        <v>0.83799379128037699</v>
      </c>
      <c r="E3991">
        <v>0.69847032478460602</v>
      </c>
      <c r="F3991">
        <v>0.61624182619858803</v>
      </c>
      <c r="G3991">
        <v>0.36820626928961298</v>
      </c>
      <c r="H3991">
        <v>0.29656822568798202</v>
      </c>
      <c r="I3991">
        <v>0.26768468626166297</v>
      </c>
      <c r="J3991">
        <v>0.27851911709756599</v>
      </c>
      <c r="K3991">
        <v>0.270301897196073</v>
      </c>
      <c r="L3991">
        <v>651.64811625833704</v>
      </c>
      <c r="M3991">
        <v>12.563267101952199</v>
      </c>
      <c r="N3991">
        <v>54.343267237098402</v>
      </c>
      <c r="O3991">
        <v>50.607759334711702</v>
      </c>
      <c r="P3991">
        <v>-4.8555644505054701E-2</v>
      </c>
      <c r="Q3991">
        <v>0.21778415039635399</v>
      </c>
      <c r="R3991">
        <v>0.98969894230427302</v>
      </c>
      <c r="S3991" t="s">
        <v>9852</v>
      </c>
      <c r="T3991" t="s">
        <v>11720</v>
      </c>
      <c r="U3991" t="s">
        <v>11720</v>
      </c>
      <c r="V3991" t="s">
        <v>11720</v>
      </c>
      <c r="W3991" t="s">
        <v>15657</v>
      </c>
      <c r="X3991">
        <v>9</v>
      </c>
      <c r="Y3991" t="s">
        <v>21372</v>
      </c>
      <c r="Z3991" t="s">
        <v>27198</v>
      </c>
      <c r="AA3991">
        <v>0.5499824576054354</v>
      </c>
      <c r="AB3991" t="str">
        <f>HYPERLINK("Melting_Curves/meltCurve_Q8IV50_LYSMD2.pdf", "Melting_Curves/meltCurve_Q8IV50_LYSMD2.pdf")</f>
        <v>Melting_Curves/meltCurve_Q8IV50_LYSMD2.pdf</v>
      </c>
    </row>
    <row r="3992" spans="1:28" x14ac:dyDescent="0.25">
      <c r="A3992" t="s">
        <v>3996</v>
      </c>
      <c r="B3992">
        <v>0.99334974765950101</v>
      </c>
      <c r="C3992">
        <v>0.90357958074623301</v>
      </c>
      <c r="D3992">
        <v>0.68866893864790502</v>
      </c>
      <c r="E3992">
        <v>0.30446773964976498</v>
      </c>
      <c r="F3992">
        <v>0.23930504255058899</v>
      </c>
      <c r="G3992">
        <v>0.14819565477489899</v>
      </c>
      <c r="H3992">
        <v>0.140364219339594</v>
      </c>
      <c r="I3992">
        <v>0.12558212554239501</v>
      </c>
      <c r="J3992">
        <v>0.14500063165801499</v>
      </c>
      <c r="K3992">
        <v>0.117730306607644</v>
      </c>
      <c r="L3992">
        <v>1020.4590933578201</v>
      </c>
      <c r="M3992">
        <v>21.6430353271287</v>
      </c>
      <c r="N3992">
        <v>47.828359285206403</v>
      </c>
      <c r="O3992">
        <v>46.752549463544398</v>
      </c>
      <c r="P3992">
        <v>-0.100429886869286</v>
      </c>
      <c r="Q3992">
        <v>0.13223975161016199</v>
      </c>
      <c r="R3992">
        <v>0.99775250262791504</v>
      </c>
      <c r="S3992" t="s">
        <v>9853</v>
      </c>
      <c r="T3992" t="s">
        <v>11720</v>
      </c>
      <c r="U3992" t="s">
        <v>11720</v>
      </c>
      <c r="V3992" t="s">
        <v>11720</v>
      </c>
      <c r="W3992" t="s">
        <v>15658</v>
      </c>
      <c r="X3992">
        <v>3</v>
      </c>
      <c r="Y3992" t="s">
        <v>21373</v>
      </c>
      <c r="Z3992" t="s">
        <v>27199</v>
      </c>
      <c r="AA3992">
        <v>0.34965696408760621</v>
      </c>
      <c r="AB3992" t="str">
        <f>HYPERLINK("Melting_Curves/meltCurve_Q8IVB5_LIX1L.pdf", "Melting_Curves/meltCurve_Q8IVB5_LIX1L.pdf")</f>
        <v>Melting_Curves/meltCurve_Q8IVB5_LIX1L.pdf</v>
      </c>
    </row>
    <row r="3993" spans="1:28" x14ac:dyDescent="0.25">
      <c r="A3993" t="s">
        <v>3997</v>
      </c>
      <c r="B3993">
        <v>0.99334974765950101</v>
      </c>
      <c r="C3993">
        <v>0.95596953162249398</v>
      </c>
      <c r="D3993">
        <v>0.85534960449707398</v>
      </c>
      <c r="E3993">
        <v>0.551829545678022</v>
      </c>
      <c r="F3993">
        <v>0.230513012505284</v>
      </c>
      <c r="G3993">
        <v>0.13825077985347201</v>
      </c>
      <c r="H3993">
        <v>9.7288304139760501E-2</v>
      </c>
      <c r="I3993">
        <v>8.9066530086754095E-2</v>
      </c>
      <c r="J3993">
        <v>8.0903963979797294E-2</v>
      </c>
      <c r="K3993">
        <v>6.7899232746732402E-2</v>
      </c>
      <c r="L3993">
        <v>1102.5483511715199</v>
      </c>
      <c r="M3993">
        <v>22.1321515719603</v>
      </c>
      <c r="N3993">
        <v>50.186110182441602</v>
      </c>
      <c r="O3993">
        <v>49.415237325494203</v>
      </c>
      <c r="P3993">
        <v>-0.10355388972561</v>
      </c>
      <c r="Q3993">
        <v>7.5186439353510506E-2</v>
      </c>
      <c r="R3993">
        <v>0.99749735246803395</v>
      </c>
      <c r="S3993" t="s">
        <v>9854</v>
      </c>
      <c r="T3993" t="s">
        <v>11720</v>
      </c>
      <c r="U3993" 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 t="s">
        <v>27200</v>
      </c>
      <c r="AA3993">
        <v>0.38834368805659092</v>
      </c>
      <c r="AB3993" t="str">
        <f>HYPERLINK("Melting_Curves/meltCurve_Q8IVD9_NUDCD3.pdf", "Melting_Curves/meltCurve_Q8IVD9_NUDCD3.pdf")</f>
        <v>Melting_Curves/meltCurve_Q8IVD9_NUDCD3.pdf</v>
      </c>
    </row>
    <row r="3994" spans="1:28" x14ac:dyDescent="0.25">
      <c r="A3994" t="s">
        <v>3998</v>
      </c>
      <c r="B3994">
        <v>0.99334974765950101</v>
      </c>
      <c r="C3994">
        <v>0.96136087486830202</v>
      </c>
      <c r="D3994">
        <v>0.91851923458712403</v>
      </c>
      <c r="E3994">
        <v>0.84142067858606995</v>
      </c>
      <c r="F3994">
        <v>0.77009491606924896</v>
      </c>
      <c r="G3994">
        <v>0.56240042159196801</v>
      </c>
      <c r="H3994">
        <v>0.53539439587070703</v>
      </c>
      <c r="I3994">
        <v>0.65621404145974804</v>
      </c>
      <c r="J3994">
        <v>0.53351173171018496</v>
      </c>
      <c r="K3994">
        <v>0.47675051316017197</v>
      </c>
      <c r="L3994">
        <v>732.60117046691698</v>
      </c>
      <c r="M3994">
        <v>14.017846826170601</v>
      </c>
      <c r="O3994">
        <v>51.232916387077701</v>
      </c>
      <c r="P3994">
        <v>-3.3454755009899903E-2</v>
      </c>
      <c r="Q3994">
        <v>0.51097798266778605</v>
      </c>
      <c r="R3994">
        <v>0.93638416217683695</v>
      </c>
      <c r="S3994" t="s">
        <v>9855</v>
      </c>
      <c r="T3994" t="s">
        <v>11720</v>
      </c>
      <c r="U3994" t="s">
        <v>11720</v>
      </c>
      <c r="V3994" t="s">
        <v>11720</v>
      </c>
      <c r="W3994" t="s">
        <v>15660</v>
      </c>
      <c r="X3994">
        <v>150</v>
      </c>
      <c r="Y3994" t="s">
        <v>21375</v>
      </c>
      <c r="Z3994" t="s">
        <v>27201</v>
      </c>
      <c r="AA3994">
        <v>0.72281201986057186</v>
      </c>
      <c r="AB3994" t="str">
        <f>HYPERLINK("Melting_Curves/meltCurve_Q8IVF2_3_AHNAK2.pdf", "Melting_Curves/meltCurve_Q8IVF2_3_AHNAK2.pdf")</f>
        <v>Melting_Curves/meltCurve_Q8IVF2_3_AHNAK2.pdf</v>
      </c>
    </row>
    <row r="3995" spans="1:28" x14ac:dyDescent="0.25">
      <c r="A3995" t="s">
        <v>3999</v>
      </c>
      <c r="B3995">
        <v>0.99334974765950101</v>
      </c>
      <c r="C3995">
        <v>0.991981114611725</v>
      </c>
      <c r="D3995">
        <v>1.0051625891485001</v>
      </c>
      <c r="E3995">
        <v>0.83062492570006397</v>
      </c>
      <c r="F3995">
        <v>0.39595144920560099</v>
      </c>
      <c r="G3995">
        <v>0.19659438138755</v>
      </c>
      <c r="H3995">
        <v>0.15550673884961599</v>
      </c>
      <c r="I3995">
        <v>0.12903023622269699</v>
      </c>
      <c r="J3995">
        <v>9.3492723326107793E-2</v>
      </c>
      <c r="K3995">
        <v>5.6023345251405197E-2</v>
      </c>
      <c r="L3995">
        <v>1772.4225043711299</v>
      </c>
      <c r="M3995">
        <v>34.101511111273801</v>
      </c>
      <c r="N3995">
        <v>52.371410718017898</v>
      </c>
      <c r="O3995">
        <v>51.797139895310103</v>
      </c>
      <c r="P3995">
        <v>-0.14586572201675899</v>
      </c>
      <c r="Q3995">
        <v>0.113775621887474</v>
      </c>
      <c r="R3995">
        <v>0.99498170283281695</v>
      </c>
      <c r="S3995" t="s">
        <v>9856</v>
      </c>
      <c r="T3995" t="s">
        <v>11720</v>
      </c>
      <c r="U3995" t="s">
        <v>11720</v>
      </c>
      <c r="V3995" t="s">
        <v>11720</v>
      </c>
      <c r="W3995" t="s">
        <v>15661</v>
      </c>
      <c r="X3995">
        <v>9</v>
      </c>
      <c r="Y3995" t="s">
        <v>21376</v>
      </c>
      <c r="Z3995" t="s">
        <v>27202</v>
      </c>
      <c r="AA3995">
        <v>0.47190769937336291</v>
      </c>
      <c r="AB3995" t="str">
        <f>HYPERLINK("Melting_Curves/meltCurve_Q8IVH4_MMAA.pdf", "Melting_Curves/meltCurve_Q8IVH4_MMAA.pdf")</f>
        <v>Melting_Curves/meltCurve_Q8IVH4_MMAA.pdf</v>
      </c>
    </row>
    <row r="3996" spans="1:28" x14ac:dyDescent="0.25">
      <c r="A3996" t="s">
        <v>4000</v>
      </c>
      <c r="B3996">
        <v>0.99334974765950101</v>
      </c>
      <c r="C3996">
        <v>0.91374639984810901</v>
      </c>
      <c r="D3996">
        <v>0.82198729326767805</v>
      </c>
      <c r="E3996">
        <v>0.45880369865050202</v>
      </c>
      <c r="F3996">
        <v>0.21560497382591501</v>
      </c>
      <c r="G3996">
        <v>0.137750893403844</v>
      </c>
      <c r="H3996">
        <v>9.2993184723995301E-2</v>
      </c>
      <c r="I3996">
        <v>8.6326239816332195E-2</v>
      </c>
      <c r="J3996">
        <v>6.9789199095573004E-2</v>
      </c>
      <c r="K3996">
        <v>3.4801157661908701E-2</v>
      </c>
      <c r="L3996">
        <v>967.05496752606496</v>
      </c>
      <c r="M3996">
        <v>19.683361474502298</v>
      </c>
      <c r="N3996">
        <v>49.462798753257701</v>
      </c>
      <c r="O3996">
        <v>48.631903688955198</v>
      </c>
      <c r="P3996">
        <v>-9.49234528613567E-2</v>
      </c>
      <c r="Q3996">
        <v>6.1918821719481598E-2</v>
      </c>
      <c r="R3996">
        <v>0.99711053109005099</v>
      </c>
      <c r="S3996" t="s">
        <v>9857</v>
      </c>
      <c r="T3996" t="s">
        <v>11720</v>
      </c>
      <c r="U3996" t="s">
        <v>11720</v>
      </c>
      <c r="V3996" t="s">
        <v>11720</v>
      </c>
      <c r="W3996" t="s">
        <v>15662</v>
      </c>
      <c r="X3996">
        <v>4</v>
      </c>
      <c r="Y3996" t="s">
        <v>21377</v>
      </c>
      <c r="Z3996" t="s">
        <v>27203</v>
      </c>
      <c r="AA3996">
        <v>0.36098144205934002</v>
      </c>
      <c r="AB3996" t="str">
        <f>HYPERLINK("Melting_Curves/meltCurve_Q8IVL5_LEPREL1.pdf", "Melting_Curves/meltCurve_Q8IVL5_LEPREL1.pdf")</f>
        <v>Melting_Curves/meltCurve_Q8IVL5_LEPREL1.pdf</v>
      </c>
    </row>
    <row r="3997" spans="1:28" x14ac:dyDescent="0.25">
      <c r="A3997" t="s">
        <v>4001</v>
      </c>
      <c r="B3997">
        <v>0.99334974765950101</v>
      </c>
      <c r="C3997">
        <v>1.00485115957009</v>
      </c>
      <c r="D3997">
        <v>0.84599812997049095</v>
      </c>
      <c r="E3997">
        <v>0.81191557247600199</v>
      </c>
      <c r="F3997">
        <v>0.91065662762794997</v>
      </c>
      <c r="G3997">
        <v>0.74638754118758799</v>
      </c>
      <c r="H3997">
        <v>0.79007947830330305</v>
      </c>
      <c r="I3997">
        <v>0.96913297384873698</v>
      </c>
      <c r="J3997">
        <v>1.1911015143618799</v>
      </c>
      <c r="K3997">
        <v>0.98959430194704301</v>
      </c>
      <c r="L3997">
        <v>11044.613234516601</v>
      </c>
      <c r="M3997">
        <v>250</v>
      </c>
      <c r="O3997">
        <v>44.175625535490397</v>
      </c>
      <c r="P3997">
        <v>-0.13177738666304201</v>
      </c>
      <c r="Q3997">
        <v>0.90685842373374803</v>
      </c>
      <c r="R3997">
        <v>8.6519418677597507E-2</v>
      </c>
      <c r="S3997" t="s">
        <v>9858</v>
      </c>
      <c r="T3997" t="s">
        <v>11720</v>
      </c>
      <c r="U3997" t="s">
        <v>11720</v>
      </c>
      <c r="V3997" t="s">
        <v>11720</v>
      </c>
      <c r="W3997" t="s">
        <v>15663</v>
      </c>
      <c r="X3997">
        <v>26</v>
      </c>
      <c r="Y3997" t="s">
        <v>21378</v>
      </c>
      <c r="Z3997" t="s">
        <v>27204</v>
      </c>
      <c r="AA3997">
        <v>0.91983856833295996</v>
      </c>
      <c r="AB3997" t="str">
        <f>HYPERLINK("Melting_Curves/meltCurve_Q8IVM0_CCDC50.pdf", "Melting_Curves/meltCurve_Q8IVM0_CCDC50.pdf")</f>
        <v>Melting_Curves/meltCurve_Q8IVM0_CCDC50.pdf</v>
      </c>
    </row>
    <row r="3998" spans="1:28" x14ac:dyDescent="0.25">
      <c r="A3998" t="s">
        <v>4002</v>
      </c>
      <c r="B3998">
        <v>0.99334974765950101</v>
      </c>
      <c r="C3998">
        <v>1.00486678295753</v>
      </c>
      <c r="D3998">
        <v>1.2731349778590999</v>
      </c>
      <c r="E3998">
        <v>1.0986116011287099</v>
      </c>
      <c r="F3998">
        <v>1.0541375330082901</v>
      </c>
      <c r="G3998">
        <v>0.95357168442885298</v>
      </c>
      <c r="H3998">
        <v>0.40396381649145202</v>
      </c>
      <c r="I3998">
        <v>0.113084030360522</v>
      </c>
      <c r="J3998">
        <v>0.16685988356531201</v>
      </c>
      <c r="K3998">
        <v>4.1157046033229103E-2</v>
      </c>
      <c r="L3998">
        <v>3224.0410077512502</v>
      </c>
      <c r="M3998">
        <v>53.519736940934699</v>
      </c>
      <c r="N3998">
        <v>60.474750783823197</v>
      </c>
      <c r="O3998">
        <v>60.156296913505997</v>
      </c>
      <c r="P3998">
        <v>-0.20157435432263501</v>
      </c>
      <c r="Q3998">
        <v>9.3720596319678301E-2</v>
      </c>
      <c r="R3998">
        <v>0.95245762533237099</v>
      </c>
      <c r="S3998" t="s">
        <v>9859</v>
      </c>
      <c r="T3998" t="s">
        <v>11720</v>
      </c>
      <c r="U3998" t="s">
        <v>11720</v>
      </c>
      <c r="V3998" t="s">
        <v>11720</v>
      </c>
      <c r="W3998" t="s">
        <v>15664</v>
      </c>
      <c r="X3998">
        <v>3</v>
      </c>
      <c r="Y3998" t="s">
        <v>21379</v>
      </c>
      <c r="Z3998" t="s">
        <v>27205</v>
      </c>
      <c r="AA3998">
        <v>0.70723665560224924</v>
      </c>
      <c r="AB3998" t="str">
        <f>HYPERLINK("Melting_Curves/meltCurve_Q8IVS2_MCAT.pdf", "Melting_Curves/meltCurve_Q8IVS2_MCAT.pdf")</f>
        <v>Melting_Curves/meltCurve_Q8IVS2_MCAT.pdf</v>
      </c>
    </row>
    <row r="3999" spans="1:28" x14ac:dyDescent="0.25">
      <c r="A3999" t="s">
        <v>4003</v>
      </c>
      <c r="B3999">
        <v>0.99334974765950101</v>
      </c>
      <c r="C3999">
        <v>1.0233535863516301</v>
      </c>
      <c r="D3999">
        <v>1.0832592112372199</v>
      </c>
      <c r="E3999">
        <v>1.0271263918251099</v>
      </c>
      <c r="F3999">
        <v>1.0079466145965299</v>
      </c>
      <c r="G3999">
        <v>0.82641856205120201</v>
      </c>
      <c r="H3999">
        <v>0.72498185792536796</v>
      </c>
      <c r="I3999">
        <v>1.0838551478479901</v>
      </c>
      <c r="J3999">
        <v>0.99856514602218305</v>
      </c>
      <c r="K3999">
        <v>0.93780305912236095</v>
      </c>
      <c r="L3999">
        <v>6349.9896403599496</v>
      </c>
      <c r="M3999">
        <v>116.656367266271</v>
      </c>
      <c r="O3999">
        <v>54.417296387176997</v>
      </c>
      <c r="P3999">
        <v>-4.5864080057236502E-2</v>
      </c>
      <c r="Q3999">
        <v>0.91442218811970499</v>
      </c>
      <c r="R3999">
        <v>0.24015063406012799</v>
      </c>
      <c r="S3999" t="s">
        <v>9860</v>
      </c>
      <c r="T3999" t="s">
        <v>11720</v>
      </c>
      <c r="U3999" t="s">
        <v>11720</v>
      </c>
      <c r="V3999" t="s">
        <v>11720</v>
      </c>
      <c r="W3999" t="s">
        <v>15665</v>
      </c>
      <c r="X3999">
        <v>14</v>
      </c>
      <c r="Y3999" t="s">
        <v>21380</v>
      </c>
      <c r="Z3999" t="s">
        <v>27206</v>
      </c>
      <c r="AA3999">
        <v>0.95563207082336221</v>
      </c>
      <c r="AB3999" t="str">
        <f>HYPERLINK("Melting_Curves/meltCurve_Q8IW45_CARKD.pdf", "Melting_Curves/meltCurve_Q8IW45_CARKD.pdf")</f>
        <v>Melting_Curves/meltCurve_Q8IW45_CARKD.pdf</v>
      </c>
    </row>
    <row r="4000" spans="1:28" x14ac:dyDescent="0.25">
      <c r="A4000" t="s">
        <v>4004</v>
      </c>
      <c r="B4000">
        <v>0.99334974765950101</v>
      </c>
      <c r="C4000">
        <v>0.91651576672500801</v>
      </c>
      <c r="D4000">
        <v>0.87101662717311801</v>
      </c>
      <c r="E4000">
        <v>0.63689507361516995</v>
      </c>
      <c r="F4000">
        <v>0.19411828091921501</v>
      </c>
      <c r="G4000">
        <v>0.135469663526435</v>
      </c>
      <c r="H4000">
        <v>7.6249564726292907E-2</v>
      </c>
      <c r="I4000">
        <v>5.8775947082352301E-2</v>
      </c>
      <c r="J4000">
        <v>4.9117158483775E-2</v>
      </c>
      <c r="K4000">
        <v>4.31268511574356E-2</v>
      </c>
      <c r="L4000">
        <v>1270.0959282106101</v>
      </c>
      <c r="M4000">
        <v>25.196929703560901</v>
      </c>
      <c r="N4000">
        <v>50.627808537184798</v>
      </c>
      <c r="O4000">
        <v>50.0924927646535</v>
      </c>
      <c r="P4000">
        <v>-0.119203679066836</v>
      </c>
      <c r="Q4000">
        <v>5.2085930454563098E-2</v>
      </c>
      <c r="R4000">
        <v>0.98758540330732403</v>
      </c>
      <c r="S4000" t="s">
        <v>9861</v>
      </c>
      <c r="T4000" t="s">
        <v>11720</v>
      </c>
      <c r="U4000" t="s">
        <v>11720</v>
      </c>
      <c r="V4000" t="s">
        <v>11720</v>
      </c>
      <c r="W4000" t="s">
        <v>15666</v>
      </c>
      <c r="X4000">
        <v>11</v>
      </c>
      <c r="Y4000" t="s">
        <v>21381</v>
      </c>
      <c r="Z4000" t="s">
        <v>27207</v>
      </c>
      <c r="AA4000">
        <v>0.38928645319150262</v>
      </c>
      <c r="AB4000" t="str">
        <f>HYPERLINK("Melting_Curves/meltCurve_Q8IWA4_MFN1.pdf", "Melting_Curves/meltCurve_Q8IWA4_MFN1.pdf")</f>
        <v>Melting_Curves/meltCurve_Q8IWA4_MFN1.pdf</v>
      </c>
    </row>
    <row r="4001" spans="1:28" x14ac:dyDescent="0.25">
      <c r="A4001" t="s">
        <v>4005</v>
      </c>
      <c r="B4001">
        <v>0.99334974765950101</v>
      </c>
      <c r="C4001">
        <v>1.00720298882475</v>
      </c>
      <c r="D4001">
        <v>0.91149970705493699</v>
      </c>
      <c r="E4001">
        <v>0.93329564086291406</v>
      </c>
      <c r="F4001">
        <v>0.85906178207994899</v>
      </c>
      <c r="G4001">
        <v>0.730971356979218</v>
      </c>
      <c r="H4001">
        <v>0.62008224976344195</v>
      </c>
      <c r="I4001">
        <v>1.30063109839588</v>
      </c>
      <c r="J4001">
        <v>1.46677541932503</v>
      </c>
      <c r="K4001">
        <v>2.1307849080556198</v>
      </c>
      <c r="L4001">
        <v>15000</v>
      </c>
      <c r="M4001">
        <v>234.78550927876199</v>
      </c>
      <c r="O4001">
        <v>63.883462620006803</v>
      </c>
      <c r="P4001">
        <v>0.45940196058390798</v>
      </c>
      <c r="Q4001">
        <v>1.5</v>
      </c>
      <c r="R4001">
        <v>0.62866747809967605</v>
      </c>
      <c r="S4001" t="s">
        <v>9862</v>
      </c>
      <c r="T4001" t="s">
        <v>11720</v>
      </c>
      <c r="U4001" t="s">
        <v>11720</v>
      </c>
      <c r="V4001" t="s">
        <v>11720</v>
      </c>
      <c r="W4001" t="s">
        <v>15667</v>
      </c>
      <c r="X4001">
        <v>4</v>
      </c>
      <c r="Y4001" t="s">
        <v>21382</v>
      </c>
      <c r="Z4001" t="s">
        <v>27208</v>
      </c>
      <c r="AA4001">
        <v>1.101801442435911</v>
      </c>
      <c r="AB4001" t="str">
        <f>HYPERLINK("Melting_Curves/meltCurve_Q8IWA5_SLC44A2.pdf", "Melting_Curves/meltCurve_Q8IWA5_SLC44A2.pdf")</f>
        <v>Melting_Curves/meltCurve_Q8IWA5_SLC44A2.pdf</v>
      </c>
    </row>
    <row r="4002" spans="1:28" x14ac:dyDescent="0.25">
      <c r="A4002" t="s">
        <v>4006</v>
      </c>
      <c r="B4002">
        <v>0.99334974765950101</v>
      </c>
      <c r="C4002">
        <v>0.97484763112269801</v>
      </c>
      <c r="D4002">
        <v>1.0854123112512399</v>
      </c>
      <c r="E4002">
        <v>0.84680969804550099</v>
      </c>
      <c r="F4002">
        <v>0.35404016662486398</v>
      </c>
      <c r="G4002">
        <v>0.27104285289733898</v>
      </c>
      <c r="H4002">
        <v>0.18375712635909999</v>
      </c>
      <c r="I4002">
        <v>0.15927230245604601</v>
      </c>
      <c r="J4002">
        <v>0.100766644918692</v>
      </c>
      <c r="K4002">
        <v>0.13042858393589701</v>
      </c>
      <c r="L4002">
        <v>2286.5837264741299</v>
      </c>
      <c r="M4002">
        <v>44.275066082112097</v>
      </c>
      <c r="N4002">
        <v>52.113250360468399</v>
      </c>
      <c r="O4002">
        <v>51.539928681698001</v>
      </c>
      <c r="P4002">
        <v>-0.17951411826545399</v>
      </c>
      <c r="Q4002">
        <v>0.16412258925658499</v>
      </c>
      <c r="R4002">
        <v>0.98470719221690195</v>
      </c>
      <c r="S4002" t="s">
        <v>9863</v>
      </c>
      <c r="T4002" t="s">
        <v>11720</v>
      </c>
      <c r="U4002" t="s">
        <v>11720</v>
      </c>
      <c r="V4002" t="s">
        <v>11720</v>
      </c>
      <c r="W4002" t="s">
        <v>15668</v>
      </c>
      <c r="X4002">
        <v>4</v>
      </c>
      <c r="Y4002" t="s">
        <v>21383</v>
      </c>
      <c r="Z4002" t="s">
        <v>27209</v>
      </c>
      <c r="AA4002">
        <v>0.49101276709741459</v>
      </c>
      <c r="AB4002" t="str">
        <f>HYPERLINK("Melting_Curves/meltCurve_Q8IWB1_ITPRIP.pdf", "Melting_Curves/meltCurve_Q8IWB1_ITPRIP.pdf")</f>
        <v>Melting_Curves/meltCurve_Q8IWB1_ITPRIP.pdf</v>
      </c>
    </row>
    <row r="4003" spans="1:28" x14ac:dyDescent="0.25">
      <c r="A4003" t="s">
        <v>4007</v>
      </c>
      <c r="B4003">
        <v>0.99334974765950101</v>
      </c>
      <c r="C4003">
        <v>0.97612547418499096</v>
      </c>
      <c r="D4003">
        <v>0.92550236434704902</v>
      </c>
      <c r="E4003">
        <v>0.780505170130811</v>
      </c>
      <c r="F4003">
        <v>0.64837378776259902</v>
      </c>
      <c r="G4003">
        <v>0.40554576800486403</v>
      </c>
      <c r="H4003">
        <v>0.22823552363185801</v>
      </c>
      <c r="I4003">
        <v>0.161903896877308</v>
      </c>
      <c r="J4003">
        <v>0.163816612874635</v>
      </c>
      <c r="K4003">
        <v>0.13400798274056999</v>
      </c>
      <c r="L4003">
        <v>775.186535430758</v>
      </c>
      <c r="M4003">
        <v>14.260508119798599</v>
      </c>
      <c r="N4003">
        <v>55.108273895020901</v>
      </c>
      <c r="O4003">
        <v>53.323543362793998</v>
      </c>
      <c r="P4003">
        <v>-6.0973790038531199E-2</v>
      </c>
      <c r="Q4003">
        <v>8.8128361168476305E-2</v>
      </c>
      <c r="R4003">
        <v>0.99818385850583602</v>
      </c>
      <c r="S4003" t="s">
        <v>9864</v>
      </c>
      <c r="T4003" t="s">
        <v>11720</v>
      </c>
      <c r="U4003" t="s">
        <v>11720</v>
      </c>
      <c r="V4003" t="s">
        <v>11720</v>
      </c>
      <c r="W4003" t="s">
        <v>15669</v>
      </c>
      <c r="X4003">
        <v>16</v>
      </c>
      <c r="Y4003" t="s">
        <v>21384</v>
      </c>
      <c r="Z4003" t="s">
        <v>27210</v>
      </c>
      <c r="AA4003">
        <v>0.54400219133909233</v>
      </c>
      <c r="AB4003" t="str">
        <f>HYPERLINK("Melting_Curves/meltCurve_Q8IWB7_WDFY1.pdf", "Melting_Curves/meltCurve_Q8IWB7_WDFY1.pdf")</f>
        <v>Melting_Curves/meltCurve_Q8IWB7_WDFY1.pdf</v>
      </c>
    </row>
    <row r="4004" spans="1:28" x14ac:dyDescent="0.25">
      <c r="A4004" t="s">
        <v>4008</v>
      </c>
      <c r="B4004">
        <v>0.99334974765950101</v>
      </c>
      <c r="C4004">
        <v>1.04189036285978</v>
      </c>
      <c r="D4004">
        <v>1.02023093577155</v>
      </c>
      <c r="E4004">
        <v>0.79196334844532901</v>
      </c>
      <c r="F4004">
        <v>0.27007949629261302</v>
      </c>
      <c r="G4004">
        <v>0.19123011830203601</v>
      </c>
      <c r="H4004">
        <v>0.159920192359157</v>
      </c>
      <c r="I4004">
        <v>0.170139868661384</v>
      </c>
      <c r="J4004">
        <v>0.155930126667326</v>
      </c>
      <c r="K4004">
        <v>0.135986062404617</v>
      </c>
      <c r="L4004">
        <v>2654.85002548488</v>
      </c>
      <c r="M4004">
        <v>51.986318511282697</v>
      </c>
      <c r="N4004">
        <v>51.4547311398833</v>
      </c>
      <c r="O4004">
        <v>50.9928463372962</v>
      </c>
      <c r="P4004">
        <v>-0.21367508073251101</v>
      </c>
      <c r="Q4004">
        <v>0.16163384091254199</v>
      </c>
      <c r="R4004">
        <v>0.997516119069767</v>
      </c>
      <c r="S4004" t="s">
        <v>9865</v>
      </c>
      <c r="T4004" t="s">
        <v>11720</v>
      </c>
      <c r="U4004" t="s">
        <v>11720</v>
      </c>
      <c r="V4004" t="s">
        <v>11720</v>
      </c>
      <c r="W4004" t="s">
        <v>15670</v>
      </c>
      <c r="X4004">
        <v>20</v>
      </c>
      <c r="Y4004" t="s">
        <v>21385</v>
      </c>
      <c r="Z4004" t="s">
        <v>27211</v>
      </c>
      <c r="AA4004">
        <v>0.47268810506760761</v>
      </c>
      <c r="AB4004" t="str">
        <f>HYPERLINK("Melting_Curves/meltCurve_Q8IWB9_TEX2.pdf", "Melting_Curves/meltCurve_Q8IWB9_TEX2.pdf")</f>
        <v>Melting_Curves/meltCurve_Q8IWB9_TEX2.pdf</v>
      </c>
    </row>
    <row r="4005" spans="1:28" x14ac:dyDescent="0.25">
      <c r="A4005" t="s">
        <v>4009</v>
      </c>
      <c r="B4005">
        <v>0.99334974765950101</v>
      </c>
      <c r="C4005">
        <v>0.89137344757584802</v>
      </c>
      <c r="D4005">
        <v>0.63858813349883803</v>
      </c>
      <c r="E4005">
        <v>0.51455306752808405</v>
      </c>
      <c r="F4005">
        <v>0.360442167639411</v>
      </c>
      <c r="G4005">
        <v>0.33924319088815302</v>
      </c>
      <c r="H4005">
        <v>0.239425913468229</v>
      </c>
      <c r="I4005">
        <v>0.25618798627401701</v>
      </c>
      <c r="J4005">
        <v>0.20307441334224</v>
      </c>
      <c r="K4005">
        <v>0.20573744507003799</v>
      </c>
      <c r="L4005">
        <v>645.69479927142902</v>
      </c>
      <c r="M4005">
        <v>13.5330480874435</v>
      </c>
      <c r="N4005">
        <v>49.746266924162299</v>
      </c>
      <c r="O4005">
        <v>46.706776100836699</v>
      </c>
      <c r="P4005">
        <v>-5.7054142850020903E-2</v>
      </c>
      <c r="Q4005">
        <v>0.21247229454097599</v>
      </c>
      <c r="R4005">
        <v>0.98370413077885799</v>
      </c>
      <c r="S4005" t="s">
        <v>9866</v>
      </c>
      <c r="T4005" t="s">
        <v>11720</v>
      </c>
      <c r="U4005" t="s">
        <v>11720</v>
      </c>
      <c r="V4005" t="s">
        <v>11720</v>
      </c>
      <c r="W4005" t="s">
        <v>15671</v>
      </c>
      <c r="X4005">
        <v>5</v>
      </c>
      <c r="Y4005" t="s">
        <v>21386</v>
      </c>
      <c r="Z4005" t="s">
        <v>27212</v>
      </c>
      <c r="AA4005">
        <v>0.44007907030311327</v>
      </c>
      <c r="AB4005" t="str">
        <f>HYPERLINK("Melting_Curves/meltCurve_Q8IWC1_2_MAP7D3.pdf", "Melting_Curves/meltCurve_Q8IWC1_2_MAP7D3.pdf")</f>
        <v>Melting_Curves/meltCurve_Q8IWC1_2_MAP7D3.pdf</v>
      </c>
    </row>
    <row r="4006" spans="1:28" x14ac:dyDescent="0.25">
      <c r="A4006" t="s">
        <v>4010</v>
      </c>
      <c r="B4006">
        <v>0.99334974765950101</v>
      </c>
      <c r="C4006">
        <v>0.96481678721310304</v>
      </c>
      <c r="D4006">
        <v>0.94258986594786998</v>
      </c>
      <c r="E4006">
        <v>0.79700586929689998</v>
      </c>
      <c r="F4006">
        <v>0.481221397568177</v>
      </c>
      <c r="G4006">
        <v>0.18411398556265701</v>
      </c>
      <c r="H4006">
        <v>0.122128138408391</v>
      </c>
      <c r="I4006">
        <v>0.113499869694627</v>
      </c>
      <c r="J4006">
        <v>9.8690543183651794E-2</v>
      </c>
      <c r="K4006">
        <v>8.4880880815358994E-2</v>
      </c>
      <c r="L4006">
        <v>1308.77046535825</v>
      </c>
      <c r="M4006">
        <v>24.9897662161131</v>
      </c>
      <c r="N4006">
        <v>52.802469486255298</v>
      </c>
      <c r="O4006">
        <v>52.040337947845202</v>
      </c>
      <c r="P4006">
        <v>-0.108994007943507</v>
      </c>
      <c r="Q4006">
        <v>9.2106975152340398E-2</v>
      </c>
      <c r="R4006">
        <v>0.99833237510838302</v>
      </c>
      <c r="S4006" t="s">
        <v>9867</v>
      </c>
      <c r="T4006" t="s">
        <v>11720</v>
      </c>
      <c r="U4006" t="s">
        <v>11720</v>
      </c>
      <c r="V4006" t="s">
        <v>11720</v>
      </c>
      <c r="W4006" t="s">
        <v>15672</v>
      </c>
      <c r="X4006">
        <v>23</v>
      </c>
      <c r="Y4006" t="s">
        <v>21387</v>
      </c>
      <c r="Z4006" t="s">
        <v>27213</v>
      </c>
      <c r="AA4006">
        <v>0.47485342763210109</v>
      </c>
      <c r="AB4006" t="str">
        <f>HYPERLINK("Melting_Curves/meltCurve_Q8IWE2_FAM114A1.pdf", "Melting_Curves/meltCurve_Q8IWE2_FAM114A1.pdf")</f>
        <v>Melting_Curves/meltCurve_Q8IWE2_FAM114A1.pdf</v>
      </c>
    </row>
    <row r="4007" spans="1:28" x14ac:dyDescent="0.25">
      <c r="A4007" t="s">
        <v>4011</v>
      </c>
      <c r="B4007">
        <v>0.99334974765950101</v>
      </c>
      <c r="C4007">
        <v>0.92110237045216004</v>
      </c>
      <c r="D4007">
        <v>0.64731220863518801</v>
      </c>
      <c r="E4007">
        <v>0.22365976033208301</v>
      </c>
      <c r="F4007">
        <v>0.12347559410864301</v>
      </c>
      <c r="G4007">
        <v>7.6952906619064204E-2</v>
      </c>
      <c r="H4007">
        <v>5.5620089039598003E-2</v>
      </c>
      <c r="I4007">
        <v>5.0120779722410601E-2</v>
      </c>
      <c r="J4007">
        <v>4.7080840900786798E-2</v>
      </c>
      <c r="K4007">
        <v>3.0271160750605298E-2</v>
      </c>
      <c r="L4007">
        <v>1134.76951318799</v>
      </c>
      <c r="M4007">
        <v>24.133177154659901</v>
      </c>
      <c r="N4007">
        <v>47.225166650712502</v>
      </c>
      <c r="O4007">
        <v>46.7018573138308</v>
      </c>
      <c r="P4007">
        <v>-0.122793898052935</v>
      </c>
      <c r="Q4007">
        <v>4.9505477467092801E-2</v>
      </c>
      <c r="R4007">
        <v>0.99926112399663003</v>
      </c>
      <c r="S4007" t="s">
        <v>9868</v>
      </c>
      <c r="T4007" t="s">
        <v>11720</v>
      </c>
      <c r="U4007" t="s">
        <v>11720</v>
      </c>
      <c r="V4007" t="s">
        <v>11720</v>
      </c>
      <c r="W4007" t="s">
        <v>15673</v>
      </c>
      <c r="X4007">
        <v>10</v>
      </c>
      <c r="Y4007" t="s">
        <v>21388</v>
      </c>
      <c r="Z4007" t="s">
        <v>27214</v>
      </c>
      <c r="AA4007">
        <v>0.281127362478375</v>
      </c>
      <c r="AB4007" t="str">
        <f>HYPERLINK("Melting_Curves/meltCurve_Q8IWE4_DCUN1D3.pdf", "Melting_Curves/meltCurve_Q8IWE4_DCUN1D3.pdf")</f>
        <v>Melting_Curves/meltCurve_Q8IWE4_DCUN1D3.pdf</v>
      </c>
    </row>
    <row r="4008" spans="1:28" x14ac:dyDescent="0.25">
      <c r="A4008" t="s">
        <v>4012</v>
      </c>
      <c r="B4008">
        <v>0.99334974765950101</v>
      </c>
      <c r="C4008">
        <v>0.98541131709368601</v>
      </c>
      <c r="D4008">
        <v>0.62582367262724103</v>
      </c>
      <c r="E4008">
        <v>0.36152969879789498</v>
      </c>
      <c r="F4008">
        <v>0.24030851131126699</v>
      </c>
      <c r="G4008">
        <v>0.170037503404286</v>
      </c>
      <c r="H4008">
        <v>0.15272327553787099</v>
      </c>
      <c r="I4008">
        <v>0.17358983850791199</v>
      </c>
      <c r="J4008">
        <v>0.16949992916393999</v>
      </c>
      <c r="K4008">
        <v>0.153902207363635</v>
      </c>
      <c r="L4008">
        <v>1077.61923962531</v>
      </c>
      <c r="M4008">
        <v>22.955588476120202</v>
      </c>
      <c r="N4008">
        <v>47.780462199170103</v>
      </c>
      <c r="O4008">
        <v>46.5917630053723</v>
      </c>
      <c r="P4008">
        <v>-0.102787689459562</v>
      </c>
      <c r="Q4008">
        <v>0.16552445408663999</v>
      </c>
      <c r="R4008">
        <v>0.99056575254248402</v>
      </c>
      <c r="S4008" t="s">
        <v>9869</v>
      </c>
      <c r="T4008" t="s">
        <v>11720</v>
      </c>
      <c r="U4008" t="s">
        <v>11720</v>
      </c>
      <c r="V4008" t="s">
        <v>11720</v>
      </c>
      <c r="W4008" t="s">
        <v>15674</v>
      </c>
      <c r="X4008">
        <v>32</v>
      </c>
      <c r="Y4008" t="s">
        <v>21389</v>
      </c>
      <c r="Z4008" t="s">
        <v>27215</v>
      </c>
      <c r="AA4008">
        <v>0.36768136872989682</v>
      </c>
      <c r="AB4008" t="str">
        <f>HYPERLINK("Melting_Curves/meltCurve_Q8IWJ2_GCC2.pdf", "Melting_Curves/meltCurve_Q8IWJ2_GCC2.pdf")</f>
        <v>Melting_Curves/meltCurve_Q8IWJ2_GCC2.pdf</v>
      </c>
    </row>
    <row r="4009" spans="1:28" x14ac:dyDescent="0.25">
      <c r="A4009" t="s">
        <v>4013</v>
      </c>
      <c r="B4009">
        <v>0.99334974765950101</v>
      </c>
      <c r="C4009">
        <v>0.99164599419403099</v>
      </c>
      <c r="D4009">
        <v>0.75185484073810105</v>
      </c>
      <c r="E4009">
        <v>0.48965255529069501</v>
      </c>
      <c r="F4009">
        <v>0.24377200199038601</v>
      </c>
      <c r="G4009">
        <v>0.11180789109757799</v>
      </c>
      <c r="H4009">
        <v>0.109703608538921</v>
      </c>
      <c r="I4009">
        <v>7.7338510677425698E-2</v>
      </c>
      <c r="J4009">
        <v>8.3295188005592796E-2</v>
      </c>
      <c r="K4009">
        <v>7.0621296564807201E-2</v>
      </c>
      <c r="L4009">
        <v>928.71863472766699</v>
      </c>
      <c r="M4009">
        <v>18.910615924309202</v>
      </c>
      <c r="N4009">
        <v>49.505236847795501</v>
      </c>
      <c r="O4009">
        <v>48.5716715773505</v>
      </c>
      <c r="P4009">
        <v>-9.0532894596525207E-2</v>
      </c>
      <c r="Q4009">
        <v>6.9907535715052094E-2</v>
      </c>
      <c r="R4009">
        <v>0.99518903807496795</v>
      </c>
      <c r="S4009" t="s">
        <v>9870</v>
      </c>
      <c r="T4009" t="s">
        <v>11720</v>
      </c>
      <c r="U4009" t="s">
        <v>11720</v>
      </c>
      <c r="V4009" t="s">
        <v>11720</v>
      </c>
      <c r="W4009" t="s">
        <v>15675</v>
      </c>
      <c r="X4009">
        <v>3</v>
      </c>
      <c r="Y4009" t="s">
        <v>21390</v>
      </c>
      <c r="Z4009" t="s">
        <v>27216</v>
      </c>
      <c r="AA4009">
        <v>0.36694573502269312</v>
      </c>
      <c r="AB4009" t="str">
        <f>HYPERLINK("Melting_Curves/meltCurve_Q8IWL3_HSCB.pdf", "Melting_Curves/meltCurve_Q8IWL3_HSCB.pdf")</f>
        <v>Melting_Curves/meltCurve_Q8IWL3_HSCB.pdf</v>
      </c>
    </row>
    <row r="4010" spans="1:28" x14ac:dyDescent="0.25">
      <c r="A4010" t="s">
        <v>4014</v>
      </c>
      <c r="B4010">
        <v>0.99334974765950101</v>
      </c>
      <c r="C4010">
        <v>0.94575348533236603</v>
      </c>
      <c r="D4010">
        <v>0.97343367504473099</v>
      </c>
      <c r="E4010">
        <v>0.42621846122147899</v>
      </c>
      <c r="F4010">
        <v>0.34177415031192998</v>
      </c>
      <c r="G4010">
        <v>0.15769884592792399</v>
      </c>
      <c r="H4010">
        <v>0.21799916122884699</v>
      </c>
      <c r="I4010">
        <v>0.10854964482545799</v>
      </c>
      <c r="J4010">
        <v>0.109395745534846</v>
      </c>
      <c r="K4010">
        <v>6.4781389088163596E-2</v>
      </c>
      <c r="L4010">
        <v>1286.9840534160901</v>
      </c>
      <c r="M4010">
        <v>26.027247081794201</v>
      </c>
      <c r="N4010">
        <v>50.0324050572818</v>
      </c>
      <c r="O4010">
        <v>49.158431960919202</v>
      </c>
      <c r="P4010">
        <v>-0.115004410600706</v>
      </c>
      <c r="Q4010">
        <v>0.13116102293339099</v>
      </c>
      <c r="R4010">
        <v>0.97558471015882797</v>
      </c>
      <c r="S4010" t="s">
        <v>9871</v>
      </c>
      <c r="T4010" t="s">
        <v>11720</v>
      </c>
      <c r="U4010" t="s">
        <v>11720</v>
      </c>
      <c r="V4010" t="s">
        <v>11720</v>
      </c>
      <c r="W4010" t="s">
        <v>15676</v>
      </c>
      <c r="X4010">
        <v>5</v>
      </c>
      <c r="Y4010" t="s">
        <v>21391</v>
      </c>
      <c r="Z4010" t="s">
        <v>27217</v>
      </c>
      <c r="AA4010">
        <v>0.41189134033260022</v>
      </c>
      <c r="AB4010" t="str">
        <f>HYPERLINK("Melting_Curves/meltCurve_Q8IWV7_UBR1.pdf", "Melting_Curves/meltCurve_Q8IWV7_UBR1.pdf")</f>
        <v>Melting_Curves/meltCurve_Q8IWV7_UBR1.pdf</v>
      </c>
    </row>
    <row r="4011" spans="1:28" x14ac:dyDescent="0.25">
      <c r="A4011" t="s">
        <v>4015</v>
      </c>
      <c r="B4011">
        <v>0.99334974765950101</v>
      </c>
      <c r="C4011">
        <v>1.03040795487976</v>
      </c>
      <c r="D4011">
        <v>0.96772144391309101</v>
      </c>
      <c r="E4011">
        <v>0.61301343068413205</v>
      </c>
      <c r="F4011">
        <v>0.17253638368656601</v>
      </c>
      <c r="G4011">
        <v>0.12929515668778599</v>
      </c>
      <c r="H4011">
        <v>8.89575109052686E-2</v>
      </c>
      <c r="I4011">
        <v>5.2008559698365403E-2</v>
      </c>
      <c r="J4011">
        <v>1.7698793042153001E-2</v>
      </c>
      <c r="K4011">
        <v>1.2257740655854299E-2</v>
      </c>
      <c r="L4011">
        <v>1882.6159201441801</v>
      </c>
      <c r="M4011">
        <v>37.3100905365256</v>
      </c>
      <c r="N4011">
        <v>50.614849230814499</v>
      </c>
      <c r="O4011">
        <v>50.314328214868297</v>
      </c>
      <c r="P4011">
        <v>-0.17530422776249899</v>
      </c>
      <c r="Q4011">
        <v>5.4380225358720502E-2</v>
      </c>
      <c r="R4011">
        <v>0.994581292325602</v>
      </c>
      <c r="S4011" t="s">
        <v>9872</v>
      </c>
      <c r="T4011" t="s">
        <v>11720</v>
      </c>
      <c r="U4011" t="s">
        <v>11720</v>
      </c>
      <c r="V4011" t="s">
        <v>11720</v>
      </c>
      <c r="W4011" t="s">
        <v>15677</v>
      </c>
      <c r="X4011">
        <v>1</v>
      </c>
      <c r="Y4011" t="s">
        <v>21392</v>
      </c>
      <c r="Z4011" t="s">
        <v>27218</v>
      </c>
      <c r="AA4011">
        <v>0.38783889791302262</v>
      </c>
      <c r="AB4011" t="str">
        <f>HYPERLINK("Melting_Curves/meltCurve_Q8IWV8_4_UBR2.pdf", "Melting_Curves/meltCurve_Q8IWV8_4_UBR2.pdf")</f>
        <v>Melting_Curves/meltCurve_Q8IWV8_4_UBR2.pdf</v>
      </c>
    </row>
    <row r="4012" spans="1:28" x14ac:dyDescent="0.25">
      <c r="A4012" t="s">
        <v>4016</v>
      </c>
      <c r="B4012">
        <v>0.99334974765950101</v>
      </c>
      <c r="C4012">
        <v>1.1251123978456099</v>
      </c>
      <c r="D4012">
        <v>0.94268657431569203</v>
      </c>
      <c r="E4012">
        <v>0.67099400962706002</v>
      </c>
      <c r="F4012">
        <v>0.78023521602160895</v>
      </c>
      <c r="G4012">
        <v>0.311425346706941</v>
      </c>
      <c r="H4012">
        <v>0.41265870850759001</v>
      </c>
      <c r="I4012">
        <v>0.32552775012054502</v>
      </c>
      <c r="J4012">
        <v>0.42696164494335398</v>
      </c>
      <c r="K4012">
        <v>0.275189389886077</v>
      </c>
      <c r="L4012">
        <v>942.82538499643601</v>
      </c>
      <c r="M4012">
        <v>18.053918356784401</v>
      </c>
      <c r="N4012">
        <v>55.423203434630999</v>
      </c>
      <c r="O4012">
        <v>51.594683378999399</v>
      </c>
      <c r="P4012">
        <v>-5.9163583802338097E-2</v>
      </c>
      <c r="Q4012">
        <v>0.32371965512135598</v>
      </c>
      <c r="R4012">
        <v>0.89906686717824802</v>
      </c>
      <c r="S4012" t="s">
        <v>9873</v>
      </c>
      <c r="T4012" t="s">
        <v>11720</v>
      </c>
      <c r="U4012" t="s">
        <v>11720</v>
      </c>
      <c r="V4012" t="s">
        <v>11720</v>
      </c>
      <c r="W4012" t="s">
        <v>15678</v>
      </c>
      <c r="X4012">
        <v>12</v>
      </c>
      <c r="Y4012" t="s">
        <v>21393</v>
      </c>
      <c r="Z4012" t="s">
        <v>27219</v>
      </c>
      <c r="AA4012">
        <v>0.61041523627827254</v>
      </c>
      <c r="AB4012" t="str">
        <f>HYPERLINK("Melting_Curves/meltCurve_Q8IWW6_2_ARHGAP12.pdf", "Melting_Curves/meltCurve_Q8IWW6_2_ARHGAP12.pdf")</f>
        <v>Melting_Curves/meltCurve_Q8IWW6_2_ARHGAP12.pdf</v>
      </c>
    </row>
    <row r="4013" spans="1:28" x14ac:dyDescent="0.25">
      <c r="A4013" t="s">
        <v>4017</v>
      </c>
      <c r="B4013">
        <v>0.99334974765950101</v>
      </c>
      <c r="C4013">
        <v>0.98047426751225097</v>
      </c>
      <c r="D4013">
        <v>0.928804587468258</v>
      </c>
      <c r="E4013">
        <v>0.60724929961682095</v>
      </c>
      <c r="F4013">
        <v>0.37925877852629297</v>
      </c>
      <c r="G4013">
        <v>0.248156352146057</v>
      </c>
      <c r="H4013">
        <v>0.28726966591143999</v>
      </c>
      <c r="I4013">
        <v>0.2545076079195</v>
      </c>
      <c r="J4013">
        <v>0.31528270171629202</v>
      </c>
      <c r="K4013">
        <v>0.29587902817922301</v>
      </c>
      <c r="L4013">
        <v>1471.55713778975</v>
      </c>
      <c r="M4013">
        <v>29.632834867213599</v>
      </c>
      <c r="N4013">
        <v>51.055773386307202</v>
      </c>
      <c r="O4013">
        <v>49.435171224508402</v>
      </c>
      <c r="P4013">
        <v>-0.108252040264466</v>
      </c>
      <c r="Q4013">
        <v>0.27763624022609401</v>
      </c>
      <c r="R4013">
        <v>0.994896680108875</v>
      </c>
      <c r="S4013" t="s">
        <v>9874</v>
      </c>
      <c r="T4013" t="s">
        <v>11720</v>
      </c>
      <c r="U4013" t="s">
        <v>11720</v>
      </c>
      <c r="V4013" t="s">
        <v>11720</v>
      </c>
      <c r="W4013" t="s">
        <v>15679</v>
      </c>
      <c r="X4013">
        <v>12</v>
      </c>
      <c r="Y4013" t="s">
        <v>21393</v>
      </c>
      <c r="Z4013" t="s">
        <v>27220</v>
      </c>
      <c r="AA4013">
        <v>0.51478594947261636</v>
      </c>
      <c r="AB4013" t="str">
        <f>HYPERLINK("Melting_Curves/meltCurve_Q8IWW6_3_ARHGAP12.pdf", "Melting_Curves/meltCurve_Q8IWW6_3_ARHGAP12.pdf")</f>
        <v>Melting_Curves/meltCurve_Q8IWW6_3_ARHGAP12.pdf</v>
      </c>
    </row>
    <row r="4014" spans="1:28" x14ac:dyDescent="0.25">
      <c r="A4014" t="s">
        <v>4018</v>
      </c>
      <c r="B4014">
        <v>0.99334974765950101</v>
      </c>
      <c r="C4014">
        <v>1.04707618077725</v>
      </c>
      <c r="D4014">
        <v>1.11022695349728</v>
      </c>
      <c r="E4014">
        <v>0.88765728701791202</v>
      </c>
      <c r="F4014">
        <v>0.89937120731797304</v>
      </c>
      <c r="G4014">
        <v>0.67321514973927099</v>
      </c>
      <c r="H4014">
        <v>0.60252343772836903</v>
      </c>
      <c r="I4014">
        <v>0.50665311995019502</v>
      </c>
      <c r="J4014">
        <v>0.51718734479102102</v>
      </c>
      <c r="K4014">
        <v>0.27444331475040101</v>
      </c>
      <c r="L4014">
        <v>646.20443214127397</v>
      </c>
      <c r="M4014">
        <v>10.5312350198062</v>
      </c>
      <c r="N4014">
        <v>63.979212561649199</v>
      </c>
      <c r="O4014">
        <v>59.272140821340102</v>
      </c>
      <c r="P4014">
        <v>-3.6656996701476201E-2</v>
      </c>
      <c r="Q4014">
        <v>0.175074026562822</v>
      </c>
      <c r="R4014">
        <v>0.93374482326850805</v>
      </c>
      <c r="S4014" t="s">
        <v>9875</v>
      </c>
      <c r="T4014" t="s">
        <v>11720</v>
      </c>
      <c r="U4014" t="s">
        <v>11720</v>
      </c>
      <c r="V4014" t="s">
        <v>11720</v>
      </c>
      <c r="W4014" t="s">
        <v>15680</v>
      </c>
      <c r="X4014">
        <v>3</v>
      </c>
      <c r="Y4014" t="s">
        <v>21394</v>
      </c>
      <c r="Z4014" t="s">
        <v>27221</v>
      </c>
      <c r="AA4014">
        <v>0.75208268743425166</v>
      </c>
      <c r="AB4014" t="str">
        <f>HYPERLINK("Melting_Curves/meltCurve_Q8IWW8_2_ADHFE1.pdf", "Melting_Curves/meltCurve_Q8IWW8_2_ADHFE1.pdf")</f>
        <v>Melting_Curves/meltCurve_Q8IWW8_2_ADHFE1.pdf</v>
      </c>
    </row>
    <row r="4015" spans="1:28" x14ac:dyDescent="0.25">
      <c r="A4015" t="s">
        <v>4019</v>
      </c>
      <c r="B4015">
        <v>0.99334974765950101</v>
      </c>
      <c r="C4015">
        <v>0.79161163385603694</v>
      </c>
      <c r="D4015">
        <v>0.52576289379507102</v>
      </c>
      <c r="E4015">
        <v>0.30138011990817898</v>
      </c>
      <c r="F4015">
        <v>0.21689691185902699</v>
      </c>
      <c r="G4015">
        <v>0.15316211879049699</v>
      </c>
      <c r="H4015">
        <v>0.12585833077641601</v>
      </c>
      <c r="I4015">
        <v>0.12687205754959899</v>
      </c>
      <c r="J4015">
        <v>0.14011134681225601</v>
      </c>
      <c r="K4015">
        <v>0.114560939783276</v>
      </c>
      <c r="L4015">
        <v>829.99531087106402</v>
      </c>
      <c r="M4015">
        <v>18.121990079857</v>
      </c>
      <c r="N4015">
        <v>46.560933077066302</v>
      </c>
      <c r="O4015">
        <v>45.2536659774848</v>
      </c>
      <c r="P4015">
        <v>-8.7292540106577707E-2</v>
      </c>
      <c r="Q4015">
        <v>0.12810510354426</v>
      </c>
      <c r="R4015">
        <v>0.995029485476849</v>
      </c>
      <c r="S4015" t="s">
        <v>9876</v>
      </c>
      <c r="T4015" t="s">
        <v>11720</v>
      </c>
      <c r="U4015" t="s">
        <v>11720</v>
      </c>
      <c r="V4015" t="s">
        <v>11720</v>
      </c>
      <c r="W4015" t="s">
        <v>15681</v>
      </c>
      <c r="X4015">
        <v>7</v>
      </c>
      <c r="Y4015" t="s">
        <v>21395</v>
      </c>
      <c r="Z4015" t="s">
        <v>27222</v>
      </c>
      <c r="AA4015">
        <v>0.31381414313462752</v>
      </c>
      <c r="AB4015" t="str">
        <f>HYPERLINK("Melting_Curves/meltCurve_Q8IWZ3_6_ANKHD1.pdf", "Melting_Curves/meltCurve_Q8IWZ3_6_ANKHD1.pdf")</f>
        <v>Melting_Curves/meltCurve_Q8IWZ3_6_ANKHD1.pdf</v>
      </c>
    </row>
    <row r="4016" spans="1:28" x14ac:dyDescent="0.25">
      <c r="A4016" t="s">
        <v>4020</v>
      </c>
      <c r="B4016">
        <v>0.99334974765950101</v>
      </c>
      <c r="C4016">
        <v>0.89642173700741501</v>
      </c>
      <c r="D4016">
        <v>0.69986963215689102</v>
      </c>
      <c r="E4016">
        <v>0.37240563412199801</v>
      </c>
      <c r="F4016">
        <v>0.25873092563186301</v>
      </c>
      <c r="G4016">
        <v>0.16154999020176</v>
      </c>
      <c r="H4016">
        <v>0.12645568205154001</v>
      </c>
      <c r="I4016">
        <v>0.15087517836855399</v>
      </c>
      <c r="J4016">
        <v>0.103311901871846</v>
      </c>
      <c r="K4016">
        <v>8.9042104882535195E-2</v>
      </c>
      <c r="L4016">
        <v>848.31721337088402</v>
      </c>
      <c r="M4016">
        <v>17.763122907374001</v>
      </c>
      <c r="N4016">
        <v>48.438117073088797</v>
      </c>
      <c r="O4016">
        <v>47.164274637108299</v>
      </c>
      <c r="P4016">
        <v>-8.3757366622072005E-2</v>
      </c>
      <c r="Q4016">
        <v>0.110482968400177</v>
      </c>
      <c r="R4016">
        <v>0.99753790874639803</v>
      </c>
      <c r="S4016" t="s">
        <v>9877</v>
      </c>
      <c r="T4016" t="s">
        <v>11720</v>
      </c>
      <c r="U4016" t="s">
        <v>11720</v>
      </c>
      <c r="V4016" t="s">
        <v>11720</v>
      </c>
      <c r="W4016" t="s">
        <v>15682</v>
      </c>
      <c r="X4016">
        <v>1</v>
      </c>
      <c r="Y4016" t="s">
        <v>21396</v>
      </c>
      <c r="Z4016" t="s">
        <v>27223</v>
      </c>
      <c r="AA4016">
        <v>0.35684537172639291</v>
      </c>
      <c r="AB4016" t="str">
        <f>HYPERLINK("Melting_Curves/meltCurve_Q8IWZ8_SUGP1.pdf", "Melting_Curves/meltCurve_Q8IWZ8_SUGP1.pdf")</f>
        <v>Melting_Curves/meltCurve_Q8IWZ8_SUGP1.pdf</v>
      </c>
    </row>
    <row r="4017" spans="1:28" x14ac:dyDescent="0.25">
      <c r="A4017" t="s">
        <v>4021</v>
      </c>
      <c r="B4017">
        <v>0.99334974765950101</v>
      </c>
      <c r="C4017">
        <v>0.97052409951066299</v>
      </c>
      <c r="D4017">
        <v>0.97881892022832895</v>
      </c>
      <c r="E4017">
        <v>0.62314320850523497</v>
      </c>
      <c r="F4017">
        <v>0.267769612636587</v>
      </c>
      <c r="G4017">
        <v>0.153810665299769</v>
      </c>
      <c r="H4017">
        <v>0.12210899722203</v>
      </c>
      <c r="I4017">
        <v>9.9868534445277907E-2</v>
      </c>
      <c r="J4017">
        <v>9.5494367830727206E-2</v>
      </c>
      <c r="K4017">
        <v>7.3114602657991898E-2</v>
      </c>
      <c r="L4017">
        <v>1569.2201864664501</v>
      </c>
      <c r="M4017">
        <v>31.0472169392946</v>
      </c>
      <c r="N4017">
        <v>50.914220643043997</v>
      </c>
      <c r="O4017">
        <v>50.334728395562699</v>
      </c>
      <c r="P4017">
        <v>-0.13858690352401801</v>
      </c>
      <c r="Q4017">
        <v>0.101279325805472</v>
      </c>
      <c r="R4017">
        <v>0.99803381144773795</v>
      </c>
      <c r="S4017" t="s">
        <v>9878</v>
      </c>
      <c r="T4017" t="s">
        <v>11720</v>
      </c>
      <c r="U4017" t="s">
        <v>11720</v>
      </c>
      <c r="V4017" t="s">
        <v>11720</v>
      </c>
      <c r="W4017" t="s">
        <v>15683</v>
      </c>
      <c r="X4017">
        <v>11</v>
      </c>
      <c r="Y4017" t="s">
        <v>21397</v>
      </c>
      <c r="Z4017" t="s">
        <v>27224</v>
      </c>
      <c r="AA4017">
        <v>0.42235441465479318</v>
      </c>
      <c r="AB4017" t="str">
        <f>HYPERLINK("Melting_Curves/meltCurve_Q8IX04_UEVLD.pdf", "Melting_Curves/meltCurve_Q8IX04_UEVLD.pdf")</f>
        <v>Melting_Curves/meltCurve_Q8IX04_UEVLD.pdf</v>
      </c>
    </row>
    <row r="4018" spans="1:28" x14ac:dyDescent="0.25">
      <c r="A4018" t="s">
        <v>4022</v>
      </c>
      <c r="B4018">
        <v>0.99334974765950101</v>
      </c>
      <c r="C4018">
        <v>1.0552344051490301</v>
      </c>
      <c r="D4018">
        <v>0.97681238471949905</v>
      </c>
      <c r="E4018">
        <v>0.93051209032916204</v>
      </c>
      <c r="F4018">
        <v>0.372556089265899</v>
      </c>
      <c r="G4018">
        <v>0.27925842644379301</v>
      </c>
      <c r="H4018">
        <v>0.231890950021716</v>
      </c>
      <c r="I4018">
        <v>0.25550091293209598</v>
      </c>
      <c r="J4018">
        <v>0.215457191064579</v>
      </c>
      <c r="K4018">
        <v>0.23865892603835701</v>
      </c>
      <c r="L4018">
        <v>3393.5313784789901</v>
      </c>
      <c r="M4018">
        <v>65.5993720201418</v>
      </c>
      <c r="N4018">
        <v>52.263232529728299</v>
      </c>
      <c r="O4018">
        <v>51.683143352677199</v>
      </c>
      <c r="P4018">
        <v>-0.24001912889589899</v>
      </c>
      <c r="Q4018">
        <v>0.24359397902268501</v>
      </c>
      <c r="R4018">
        <v>0.995413209257486</v>
      </c>
      <c r="S4018" t="s">
        <v>9879</v>
      </c>
      <c r="T4018" t="s">
        <v>11720</v>
      </c>
      <c r="U4018" t="s">
        <v>11720</v>
      </c>
      <c r="V4018" t="s">
        <v>11720</v>
      </c>
      <c r="W4018" t="s">
        <v>15684</v>
      </c>
      <c r="X4018">
        <v>3</v>
      </c>
      <c r="Y4018" t="s">
        <v>21398</v>
      </c>
      <c r="Z4018" t="s">
        <v>27225</v>
      </c>
      <c r="AA4018">
        <v>0.54037827640908609</v>
      </c>
      <c r="AB4018" t="str">
        <f>HYPERLINK("Melting_Curves/meltCurve_Q8IX12_2_CCAR1.pdf", "Melting_Curves/meltCurve_Q8IX12_2_CCAR1.pdf")</f>
        <v>Melting_Curves/meltCurve_Q8IX12_2_CCAR1.pdf</v>
      </c>
    </row>
    <row r="4019" spans="1:28" x14ac:dyDescent="0.25">
      <c r="A4019" t="s">
        <v>4023</v>
      </c>
      <c r="B4019">
        <v>0.99334974765950101</v>
      </c>
      <c r="C4019">
        <v>1.0062451239035901</v>
      </c>
      <c r="D4019">
        <v>1.0444248979094299</v>
      </c>
      <c r="E4019">
        <v>0.97547021765194097</v>
      </c>
      <c r="F4019">
        <v>0.71837967440234995</v>
      </c>
      <c r="G4019">
        <v>0.23767979365134501</v>
      </c>
      <c r="H4019">
        <v>0.160386767345049</v>
      </c>
      <c r="I4019">
        <v>0.130974493935785</v>
      </c>
      <c r="J4019">
        <v>0.10335430664652299</v>
      </c>
      <c r="K4019">
        <v>7.4751550380436405E-2</v>
      </c>
      <c r="L4019">
        <v>1941.39993200907</v>
      </c>
      <c r="M4019">
        <v>35.832897011849603</v>
      </c>
      <c r="N4019">
        <v>54.562575239395798</v>
      </c>
      <c r="O4019">
        <v>54.011353631826502</v>
      </c>
      <c r="P4019">
        <v>-0.147402516240147</v>
      </c>
      <c r="Q4019">
        <v>0.111276614153859</v>
      </c>
      <c r="R4019">
        <v>0.99687163980511595</v>
      </c>
      <c r="S4019" t="s">
        <v>9880</v>
      </c>
      <c r="T4019" t="s">
        <v>11720</v>
      </c>
      <c r="U4019" t="s">
        <v>11720</v>
      </c>
      <c r="V4019" t="s">
        <v>11720</v>
      </c>
      <c r="W4019" t="s">
        <v>15685</v>
      </c>
      <c r="X4019">
        <v>14</v>
      </c>
      <c r="Y4019" t="s">
        <v>21399</v>
      </c>
      <c r="Z4019" t="s">
        <v>27226</v>
      </c>
      <c r="AA4019">
        <v>0.53545794613002895</v>
      </c>
      <c r="AB4019" t="str">
        <f>HYPERLINK("Melting_Curves/meltCurve_Q8IXB1_DNAJC10.pdf", "Melting_Curves/meltCurve_Q8IXB1_DNAJC10.pdf")</f>
        <v>Melting_Curves/meltCurve_Q8IXB1_DNAJC10.pdf</v>
      </c>
    </row>
    <row r="4020" spans="1:28" x14ac:dyDescent="0.25">
      <c r="A4020" t="s">
        <v>4024</v>
      </c>
      <c r="B4020">
        <v>0.99334974765950101</v>
      </c>
      <c r="C4020">
        <v>0.92072573948828396</v>
      </c>
      <c r="D4020">
        <v>0.91085890666593505</v>
      </c>
      <c r="E4020">
        <v>0.739281167386588</v>
      </c>
      <c r="F4020">
        <v>0.32276738196097998</v>
      </c>
      <c r="G4020">
        <v>0.14566324236838599</v>
      </c>
      <c r="H4020">
        <v>0.10789901720396</v>
      </c>
      <c r="I4020">
        <v>6.6704286349887704E-2</v>
      </c>
      <c r="J4020">
        <v>7.3510147679752905E-2</v>
      </c>
      <c r="K4020">
        <v>9.67029564489056E-2</v>
      </c>
      <c r="L4020">
        <v>1459.49908305027</v>
      </c>
      <c r="M4020">
        <v>28.4310073113129</v>
      </c>
      <c r="N4020">
        <v>51.662573538563898</v>
      </c>
      <c r="O4020">
        <v>51.082816170802403</v>
      </c>
      <c r="P4020">
        <v>-0.12765915612384701</v>
      </c>
      <c r="Q4020">
        <v>8.25318766738104E-2</v>
      </c>
      <c r="R4020">
        <v>0.99192707059962304</v>
      </c>
      <c r="S4020" t="s">
        <v>9881</v>
      </c>
      <c r="T4020" t="s">
        <v>11720</v>
      </c>
      <c r="U4020" t="s">
        <v>11720</v>
      </c>
      <c r="V4020" t="s">
        <v>11720</v>
      </c>
      <c r="W4020" t="s">
        <v>15686</v>
      </c>
      <c r="X4020">
        <v>6</v>
      </c>
      <c r="Y4020" t="s">
        <v>21400</v>
      </c>
      <c r="Z4020" t="s">
        <v>27227</v>
      </c>
      <c r="AA4020">
        <v>0.43562993695675301</v>
      </c>
      <c r="AB4020" t="str">
        <f>HYPERLINK("Melting_Curves/meltCurve_Q8IXI2_4_RHOT1.pdf", "Melting_Curves/meltCurve_Q8IXI2_4_RHOT1.pdf")</f>
        <v>Melting_Curves/meltCurve_Q8IXI2_4_RHOT1.pdf</v>
      </c>
    </row>
    <row r="4021" spans="1:28" x14ac:dyDescent="0.25">
      <c r="A4021" t="s">
        <v>4025</v>
      </c>
      <c r="B4021">
        <v>0.99334974765950101</v>
      </c>
      <c r="C4021">
        <v>0.95139647944907002</v>
      </c>
      <c r="D4021">
        <v>0.89758392534727605</v>
      </c>
      <c r="E4021">
        <v>0.67834692689873</v>
      </c>
      <c r="F4021">
        <v>0.19513427510567599</v>
      </c>
      <c r="G4021">
        <v>0.10981389328062501</v>
      </c>
      <c r="H4021">
        <v>7.7676332830939707E-2</v>
      </c>
      <c r="I4021">
        <v>6.6726582885260399E-2</v>
      </c>
      <c r="J4021">
        <v>5.3967453831740203E-2</v>
      </c>
      <c r="K4021">
        <v>4.3689313737788497E-2</v>
      </c>
      <c r="L4021">
        <v>1869.5460014064899</v>
      </c>
      <c r="M4021">
        <v>36.849605011511997</v>
      </c>
      <c r="N4021">
        <v>50.920986822313097</v>
      </c>
      <c r="O4021">
        <v>50.585770208480398</v>
      </c>
      <c r="P4021">
        <v>-0.17061812060461901</v>
      </c>
      <c r="Q4021">
        <v>6.3129774210353595E-2</v>
      </c>
      <c r="R4021">
        <v>0.99240712782056895</v>
      </c>
      <c r="S4021" t="s">
        <v>9882</v>
      </c>
      <c r="T4021" t="s">
        <v>11720</v>
      </c>
      <c r="U4021" t="s">
        <v>11720</v>
      </c>
      <c r="V4021" t="s">
        <v>11720</v>
      </c>
      <c r="W4021" t="s">
        <v>15687</v>
      </c>
      <c r="X4021">
        <v>15</v>
      </c>
      <c r="Y4021" t="s">
        <v>21401</v>
      </c>
      <c r="Z4021" t="s">
        <v>27228</v>
      </c>
      <c r="AA4021">
        <v>0.40223372917869649</v>
      </c>
      <c r="AB4021" t="str">
        <f>HYPERLINK("Melting_Curves/meltCurve_Q8IXJ6_2_SIRT2.pdf", "Melting_Curves/meltCurve_Q8IXJ6_2_SIRT2.pdf")</f>
        <v>Melting_Curves/meltCurve_Q8IXJ6_2_SIRT2.pdf</v>
      </c>
    </row>
    <row r="4022" spans="1:28" x14ac:dyDescent="0.25">
      <c r="A4022" t="s">
        <v>4026</v>
      </c>
      <c r="B4022">
        <v>0.99334974765950101</v>
      </c>
      <c r="C4022">
        <v>1.0228744246830299</v>
      </c>
      <c r="D4022">
        <v>1.0222816819174001</v>
      </c>
      <c r="E4022">
        <v>0.90722572919982503</v>
      </c>
      <c r="F4022">
        <v>1.01711435397918</v>
      </c>
      <c r="G4022">
        <v>0.92031621192132296</v>
      </c>
      <c r="H4022">
        <v>0.96367979147207705</v>
      </c>
      <c r="I4022">
        <v>1.2025765304950999</v>
      </c>
      <c r="J4022">
        <v>1.3181863282036901</v>
      </c>
      <c r="K4022">
        <v>1.1523213953423099</v>
      </c>
      <c r="L4022">
        <v>15000</v>
      </c>
      <c r="M4022">
        <v>236.19870723264401</v>
      </c>
      <c r="O4022">
        <v>63.501298929404001</v>
      </c>
      <c r="P4022">
        <v>0.21876736604529601</v>
      </c>
      <c r="Q4022">
        <v>1.2352597437794299</v>
      </c>
      <c r="R4022">
        <v>0.79889156001317796</v>
      </c>
      <c r="S4022" t="s">
        <v>9883</v>
      </c>
      <c r="T4022" t="s">
        <v>11720</v>
      </c>
      <c r="U4022" t="s">
        <v>11720</v>
      </c>
      <c r="V4022" t="s">
        <v>11720</v>
      </c>
      <c r="W4022" t="s">
        <v>15688</v>
      </c>
      <c r="X4022">
        <v>15</v>
      </c>
      <c r="Y4022" t="s">
        <v>21402</v>
      </c>
      <c r="Z4022" t="s">
        <v>27229</v>
      </c>
      <c r="AA4022">
        <v>1.050897683390043</v>
      </c>
      <c r="AB4022" t="str">
        <f>HYPERLINK("Melting_Curves/meltCurve_Q8IXQ4_KIAA1704.pdf", "Melting_Curves/meltCurve_Q8IXQ4_KIAA1704.pdf")</f>
        <v>Melting_Curves/meltCurve_Q8IXQ4_KIAA1704.pdf</v>
      </c>
    </row>
    <row r="4023" spans="1:28" x14ac:dyDescent="0.25">
      <c r="A4023" t="s">
        <v>4027</v>
      </c>
      <c r="B4023">
        <v>0.99334974765950101</v>
      </c>
      <c r="C4023">
        <v>1.1086333201218701</v>
      </c>
      <c r="D4023">
        <v>0.95783448844811303</v>
      </c>
      <c r="E4023">
        <v>1.13830112504547</v>
      </c>
      <c r="F4023">
        <v>0.61149351101022598</v>
      </c>
      <c r="G4023">
        <v>0.26100232839242399</v>
      </c>
      <c r="H4023">
        <v>7.6006418811875004E-2</v>
      </c>
      <c r="I4023">
        <v>8.19026184426732E-2</v>
      </c>
      <c r="J4023">
        <v>6.5394450731370804E-2</v>
      </c>
      <c r="K4023">
        <v>0</v>
      </c>
      <c r="L4023">
        <v>1888.7046206166401</v>
      </c>
      <c r="M4023">
        <v>34.916344463518897</v>
      </c>
      <c r="N4023">
        <v>54.290861246498999</v>
      </c>
      <c r="O4023">
        <v>53.915769699690202</v>
      </c>
      <c r="P4023">
        <v>-0.15219697909090901</v>
      </c>
      <c r="Q4023">
        <v>5.9948818407148698E-2</v>
      </c>
      <c r="R4023">
        <v>0.96926171537157102</v>
      </c>
      <c r="S4023" t="s">
        <v>9884</v>
      </c>
      <c r="T4023" t="s">
        <v>11720</v>
      </c>
      <c r="U4023" t="s">
        <v>11720</v>
      </c>
      <c r="V4023" t="s">
        <v>11720</v>
      </c>
      <c r="W4023" t="s">
        <v>15689</v>
      </c>
      <c r="X4023">
        <v>2</v>
      </c>
      <c r="Y4023" t="s">
        <v>21403</v>
      </c>
      <c r="Z4023" t="s">
        <v>27230</v>
      </c>
      <c r="AA4023">
        <v>0.50612661645741275</v>
      </c>
      <c r="AB4023" t="str">
        <f>HYPERLINK("Melting_Curves/meltCurve_Q8IY17_3_PNPLA6.pdf", "Melting_Curves/meltCurve_Q8IY17_3_PNPLA6.pdf")</f>
        <v>Melting_Curves/meltCurve_Q8IY17_3_PNPLA6.pdf</v>
      </c>
    </row>
    <row r="4024" spans="1:28" x14ac:dyDescent="0.25">
      <c r="A4024" t="s">
        <v>4028</v>
      </c>
      <c r="B4024">
        <v>0.99334974765950101</v>
      </c>
      <c r="C4024">
        <v>0.80732718395377301</v>
      </c>
      <c r="D4024">
        <v>0.63485908591986095</v>
      </c>
      <c r="E4024">
        <v>0.25562217822096001</v>
      </c>
      <c r="F4024">
        <v>0.27033221326617102</v>
      </c>
      <c r="G4024">
        <v>0.24617922093077299</v>
      </c>
      <c r="H4024">
        <v>0.215700587497235</v>
      </c>
      <c r="I4024">
        <v>0.13125586260331201</v>
      </c>
      <c r="J4024">
        <v>0.17168636709415599</v>
      </c>
      <c r="K4024">
        <v>0.12660035530986699</v>
      </c>
      <c r="L4024">
        <v>896.26889349973999</v>
      </c>
      <c r="M4024">
        <v>19.4315992090939</v>
      </c>
      <c r="N4024">
        <v>47.134927384679102</v>
      </c>
      <c r="O4024">
        <v>45.644132600021798</v>
      </c>
      <c r="P4024">
        <v>-8.8300680218986696E-2</v>
      </c>
      <c r="Q4024">
        <v>0.17036968277164699</v>
      </c>
      <c r="R4024">
        <v>0.97907025947086102</v>
      </c>
      <c r="S4024" t="s">
        <v>9885</v>
      </c>
      <c r="T4024" t="s">
        <v>11720</v>
      </c>
      <c r="U4024" t="s">
        <v>11720</v>
      </c>
      <c r="V4024" t="s">
        <v>11720</v>
      </c>
      <c r="W4024" t="s">
        <v>15690</v>
      </c>
      <c r="X4024">
        <v>3</v>
      </c>
      <c r="Y4024" t="s">
        <v>21404</v>
      </c>
      <c r="Z4024" t="s">
        <v>27231</v>
      </c>
      <c r="AA4024">
        <v>0.35331244478858642</v>
      </c>
      <c r="AB4024" t="str">
        <f>HYPERLINK("Melting_Curves/meltCurve_Q8IY22_3_CMIP.pdf", "Melting_Curves/meltCurve_Q8IY22_3_CMIP.pdf")</f>
        <v>Melting_Curves/meltCurve_Q8IY22_3_CMIP.pdf</v>
      </c>
    </row>
    <row r="4025" spans="1:28" x14ac:dyDescent="0.25">
      <c r="A4025" t="s">
        <v>4029</v>
      </c>
      <c r="B4025">
        <v>0.99334974765950101</v>
      </c>
      <c r="C4025">
        <v>0.97150419904191099</v>
      </c>
      <c r="D4025">
        <v>1.1165059203735901</v>
      </c>
      <c r="E4025">
        <v>0.87900437104435103</v>
      </c>
      <c r="F4025">
        <v>0.75306976751275001</v>
      </c>
      <c r="G4025">
        <v>0.67980511755552797</v>
      </c>
      <c r="H4025">
        <v>0.58344542067550098</v>
      </c>
      <c r="I4025">
        <v>0.40838851850268898</v>
      </c>
      <c r="J4025">
        <v>0.20744757403487801</v>
      </c>
      <c r="K4025">
        <v>9.1828955911710794E-2</v>
      </c>
      <c r="L4025">
        <v>715.12751806241295</v>
      </c>
      <c r="M4025">
        <v>11.760554843453701</v>
      </c>
      <c r="N4025">
        <v>60.8072942230461</v>
      </c>
      <c r="O4025">
        <v>59.129043526163002</v>
      </c>
      <c r="P4025">
        <v>-4.9737063906033899E-2</v>
      </c>
      <c r="Q4025">
        <v>0</v>
      </c>
      <c r="R4025">
        <v>0.951694762487448</v>
      </c>
      <c r="S4025" t="s">
        <v>9886</v>
      </c>
      <c r="T4025" t="s">
        <v>11720</v>
      </c>
      <c r="U4025" t="s">
        <v>11720</v>
      </c>
      <c r="V4025" t="s">
        <v>11720</v>
      </c>
      <c r="W4025" t="s">
        <v>15691</v>
      </c>
      <c r="X4025">
        <v>1</v>
      </c>
      <c r="Y4025" t="s">
        <v>21405</v>
      </c>
      <c r="Z4025" t="s">
        <v>27232</v>
      </c>
      <c r="AA4025">
        <v>0.69012517232180115</v>
      </c>
      <c r="AB4025" t="str">
        <f>HYPERLINK("Melting_Curves/meltCurve_Q8IY26_PPAPDC2.pdf", "Melting_Curves/meltCurve_Q8IY26_PPAPDC2.pdf")</f>
        <v>Melting_Curves/meltCurve_Q8IY26_PPAPDC2.pdf</v>
      </c>
    </row>
    <row r="4026" spans="1:28" x14ac:dyDescent="0.25">
      <c r="A4026" t="s">
        <v>4030</v>
      </c>
      <c r="B4026">
        <v>0.99334974765950101</v>
      </c>
      <c r="C4026">
        <v>1.0903670962602201</v>
      </c>
      <c r="D4026">
        <v>1.0549663648548999</v>
      </c>
      <c r="E4026">
        <v>0.76333195150403899</v>
      </c>
      <c r="F4026">
        <v>0.46452504699670699</v>
      </c>
      <c r="G4026">
        <v>0.360283185264476</v>
      </c>
      <c r="H4026">
        <v>0.22352436233359499</v>
      </c>
      <c r="I4026">
        <v>0.20887708838572999</v>
      </c>
      <c r="J4026">
        <v>0.25128488955892703</v>
      </c>
      <c r="K4026">
        <v>0.21982025189607701</v>
      </c>
      <c r="L4026">
        <v>1450.1563705051101</v>
      </c>
      <c r="M4026">
        <v>28.108993063295301</v>
      </c>
      <c r="N4026">
        <v>52.792519964756501</v>
      </c>
      <c r="O4026">
        <v>51.331503648307397</v>
      </c>
      <c r="P4026">
        <v>-0.104542852858618</v>
      </c>
      <c r="Q4026">
        <v>0.23635911063587001</v>
      </c>
      <c r="R4026">
        <v>0.98166948285997802</v>
      </c>
      <c r="S4026" t="s">
        <v>9887</v>
      </c>
      <c r="T4026" t="s">
        <v>11720</v>
      </c>
      <c r="U4026" t="s">
        <v>11720</v>
      </c>
      <c r="V4026" t="s">
        <v>11720</v>
      </c>
      <c r="W4026" t="s">
        <v>15692</v>
      </c>
      <c r="X4026">
        <v>3</v>
      </c>
      <c r="Y4026" t="s">
        <v>21406</v>
      </c>
      <c r="Z4026" t="s">
        <v>27233</v>
      </c>
      <c r="AA4026">
        <v>0.53690759437483104</v>
      </c>
      <c r="AB4026" t="str">
        <f>HYPERLINK("Melting_Curves/meltCurve_Q8IY31_IFT20.pdf", "Melting_Curves/meltCurve_Q8IY31_IFT20.pdf")</f>
        <v>Melting_Curves/meltCurve_Q8IY31_IFT20.pdf</v>
      </c>
    </row>
    <row r="4027" spans="1:28" x14ac:dyDescent="0.25">
      <c r="A4027" t="s">
        <v>4031</v>
      </c>
      <c r="B4027">
        <v>0.99334974765950101</v>
      </c>
      <c r="C4027">
        <v>0.97272394493491099</v>
      </c>
      <c r="D4027">
        <v>0.68095741370073504</v>
      </c>
      <c r="E4027">
        <v>0.59093127547876001</v>
      </c>
      <c r="F4027">
        <v>0.32139288247311998</v>
      </c>
      <c r="G4027">
        <v>0.22749026460077101</v>
      </c>
      <c r="H4027">
        <v>0.19403573038391</v>
      </c>
      <c r="I4027">
        <v>0.220910736162789</v>
      </c>
      <c r="J4027">
        <v>0.24370062376294299</v>
      </c>
      <c r="K4027">
        <v>0.22063135704414999</v>
      </c>
      <c r="L4027">
        <v>810.73720421133999</v>
      </c>
      <c r="M4027">
        <v>16.723636232897501</v>
      </c>
      <c r="N4027">
        <v>50.020142359993301</v>
      </c>
      <c r="O4027">
        <v>47.801287209684503</v>
      </c>
      <c r="P4027">
        <v>-6.9855806902342901E-2</v>
      </c>
      <c r="Q4027">
        <v>0.201375589721765</v>
      </c>
      <c r="R4027">
        <v>0.97394740822404602</v>
      </c>
      <c r="S4027" t="s">
        <v>9888</v>
      </c>
      <c r="T4027" t="s">
        <v>11720</v>
      </c>
      <c r="U4027" t="s">
        <v>11720</v>
      </c>
      <c r="V4027" t="s">
        <v>11720</v>
      </c>
      <c r="W4027" t="s">
        <v>15693</v>
      </c>
      <c r="X4027">
        <v>11</v>
      </c>
      <c r="Y4027" t="s">
        <v>21407</v>
      </c>
      <c r="Z4027" t="s">
        <v>27234</v>
      </c>
      <c r="AA4027">
        <v>0.44331581442476309</v>
      </c>
      <c r="AB4027" t="str">
        <f>HYPERLINK("Melting_Curves/meltCurve_Q8IY33_MICALL2.pdf", "Melting_Curves/meltCurve_Q8IY33_MICALL2.pdf")</f>
        <v>Melting_Curves/meltCurve_Q8IY33_MICALL2.pdf</v>
      </c>
    </row>
    <row r="4028" spans="1:28" x14ac:dyDescent="0.25">
      <c r="A4028" t="s">
        <v>4032</v>
      </c>
      <c r="B4028">
        <v>0.99334974765950101</v>
      </c>
      <c r="C4028">
        <v>0.93274279015242101</v>
      </c>
      <c r="D4028">
        <v>0.88016088187980002</v>
      </c>
      <c r="E4028">
        <v>0.87770176485113105</v>
      </c>
      <c r="F4028">
        <v>0.83246145304980002</v>
      </c>
      <c r="G4028">
        <v>0.75409293478365302</v>
      </c>
      <c r="H4028">
        <v>0.62207327946621305</v>
      </c>
      <c r="I4028">
        <v>0.85708987791551805</v>
      </c>
      <c r="J4028">
        <v>0.54726080861139503</v>
      </c>
      <c r="K4028">
        <v>0.36054924280171402</v>
      </c>
      <c r="L4028">
        <v>363.93511674742098</v>
      </c>
      <c r="M4028">
        <v>5.2101826575317398</v>
      </c>
      <c r="N4028">
        <v>69.850740512624895</v>
      </c>
      <c r="O4028">
        <v>61.535552818747298</v>
      </c>
      <c r="P4028">
        <v>-2.1279946402521201E-2</v>
      </c>
      <c r="Q4028">
        <v>0</v>
      </c>
      <c r="R4028">
        <v>0.75918600946648496</v>
      </c>
      <c r="S4028" t="s">
        <v>9889</v>
      </c>
      <c r="T4028" t="s">
        <v>11720</v>
      </c>
      <c r="U4028" t="s">
        <v>11720</v>
      </c>
      <c r="V4028" t="s">
        <v>11720</v>
      </c>
      <c r="W4028" t="s">
        <v>15694</v>
      </c>
      <c r="X4028">
        <v>8</v>
      </c>
      <c r="Y4028" t="s">
        <v>21408</v>
      </c>
      <c r="Z4028" t="s">
        <v>27235</v>
      </c>
      <c r="AA4028">
        <v>0.77999068281618478</v>
      </c>
      <c r="AB4028" t="str">
        <f>HYPERLINK("Melting_Curves/meltCurve_Q8IY95_2_TMEM192.pdf", "Melting_Curves/meltCurve_Q8IY95_2_TMEM192.pdf")</f>
        <v>Melting_Curves/meltCurve_Q8IY95_2_TMEM192.pdf</v>
      </c>
    </row>
    <row r="4029" spans="1:28" x14ac:dyDescent="0.25">
      <c r="A4029" t="s">
        <v>4033</v>
      </c>
      <c r="B4029">
        <v>0.99334974765950101</v>
      </c>
      <c r="C4029">
        <v>0.97077230380742996</v>
      </c>
      <c r="D4029">
        <v>1.1087822269687599</v>
      </c>
      <c r="E4029">
        <v>0.99294128923268399</v>
      </c>
      <c r="F4029">
        <v>0.950629928874407</v>
      </c>
      <c r="G4029">
        <v>0.89992391762405499</v>
      </c>
      <c r="H4029">
        <v>0.71312413664267205</v>
      </c>
      <c r="I4029">
        <v>0.71064112091115506</v>
      </c>
      <c r="J4029">
        <v>0.20744882321227301</v>
      </c>
      <c r="K4029">
        <v>0.11373045837557</v>
      </c>
      <c r="L4029">
        <v>1559.1292660784</v>
      </c>
      <c r="M4029">
        <v>24.1344544917254</v>
      </c>
      <c r="N4029">
        <v>64.601802574117698</v>
      </c>
      <c r="O4029">
        <v>64.163175451537299</v>
      </c>
      <c r="P4029">
        <v>-9.4036912890545804E-2</v>
      </c>
      <c r="Q4029">
        <v>0</v>
      </c>
      <c r="R4029">
        <v>0.943925464220434</v>
      </c>
      <c r="S4029" t="s">
        <v>9890</v>
      </c>
      <c r="T4029" t="s">
        <v>11720</v>
      </c>
      <c r="U4029" t="s">
        <v>11720</v>
      </c>
      <c r="V4029" t="s">
        <v>11720</v>
      </c>
      <c r="W4029" t="s">
        <v>15695</v>
      </c>
      <c r="X4029">
        <v>11</v>
      </c>
      <c r="Y4029" t="s">
        <v>21409</v>
      </c>
      <c r="Z4029" t="s">
        <v>27236</v>
      </c>
      <c r="AA4029">
        <v>0.81573936818057224</v>
      </c>
      <c r="AB4029" t="str">
        <f>HYPERLINK("Melting_Curves/meltCurve_Q8IYB1_MB21D2.pdf", "Melting_Curves/meltCurve_Q8IYB1_MB21D2.pdf")</f>
        <v>Melting_Curves/meltCurve_Q8IYB1_MB21D2.pdf</v>
      </c>
    </row>
    <row r="4030" spans="1:28" x14ac:dyDescent="0.25">
      <c r="A4030" t="s">
        <v>4034</v>
      </c>
      <c r="B4030">
        <v>0.99334974765950101</v>
      </c>
      <c r="C4030">
        <v>1.0019934706398601</v>
      </c>
      <c r="D4030">
        <v>0.79859460602190202</v>
      </c>
      <c r="E4030">
        <v>0.588815269894024</v>
      </c>
      <c r="F4030">
        <v>0.327998176177273</v>
      </c>
      <c r="G4030">
        <v>0.138800809303088</v>
      </c>
      <c r="H4030">
        <v>0.109692286672442</v>
      </c>
      <c r="I4030">
        <v>0.11632053665224899</v>
      </c>
      <c r="J4030">
        <v>0.14443968173561</v>
      </c>
      <c r="K4030">
        <v>0.108551621816897</v>
      </c>
      <c r="L4030">
        <v>953.27807225372203</v>
      </c>
      <c r="M4030">
        <v>19.066374773700002</v>
      </c>
      <c r="N4030">
        <v>50.592168670419497</v>
      </c>
      <c r="O4030">
        <v>49.457616826872503</v>
      </c>
      <c r="P4030">
        <v>-8.6711190013562298E-2</v>
      </c>
      <c r="Q4030">
        <v>0.100330453261085</v>
      </c>
      <c r="R4030">
        <v>0.99247894106276802</v>
      </c>
      <c r="S4030" t="s">
        <v>9891</v>
      </c>
      <c r="T4030" t="s">
        <v>11720</v>
      </c>
      <c r="U4030" t="s">
        <v>11720</v>
      </c>
      <c r="V4030" t="s">
        <v>11720</v>
      </c>
      <c r="W4030" t="s">
        <v>15696</v>
      </c>
      <c r="X4030">
        <v>7</v>
      </c>
      <c r="Y4030" t="s">
        <v>21410</v>
      </c>
      <c r="Z4030" t="s">
        <v>27237</v>
      </c>
      <c r="AA4030">
        <v>0.41389843868478832</v>
      </c>
      <c r="AB4030" t="str">
        <f>HYPERLINK("Melting_Curves/meltCurve_Q8IYB5_3_SMAP1.pdf", "Melting_Curves/meltCurve_Q8IYB5_3_SMAP1.pdf")</f>
        <v>Melting_Curves/meltCurve_Q8IYB5_3_SMAP1.pdf</v>
      </c>
    </row>
    <row r="4031" spans="1:28" x14ac:dyDescent="0.25">
      <c r="A4031" t="s">
        <v>4035</v>
      </c>
      <c r="B4031">
        <v>0.99334974765950101</v>
      </c>
      <c r="C4031">
        <v>1.00424525375156</v>
      </c>
      <c r="D4031">
        <v>0.93968140592719596</v>
      </c>
      <c r="E4031">
        <v>0.84152223713639096</v>
      </c>
      <c r="F4031">
        <v>0.534414440298837</v>
      </c>
      <c r="G4031">
        <v>0.34370266395105398</v>
      </c>
      <c r="H4031">
        <v>0.23861433591395501</v>
      </c>
      <c r="I4031">
        <v>0.16466503250856299</v>
      </c>
      <c r="J4031">
        <v>0.14222116994551601</v>
      </c>
      <c r="K4031">
        <v>0.117590549757987</v>
      </c>
      <c r="L4031">
        <v>968.57358932766601</v>
      </c>
      <c r="M4031">
        <v>18.182791559453399</v>
      </c>
      <c r="N4031">
        <v>54.139103719584199</v>
      </c>
      <c r="O4031">
        <v>52.636913073840397</v>
      </c>
      <c r="P4031">
        <v>-7.5418006630282503E-2</v>
      </c>
      <c r="Q4031">
        <v>0.126738500689591</v>
      </c>
      <c r="R4031">
        <v>0.99485045899430302</v>
      </c>
      <c r="S4031" t="s">
        <v>9892</v>
      </c>
      <c r="T4031" t="s">
        <v>11720</v>
      </c>
      <c r="U4031" t="s">
        <v>11720</v>
      </c>
      <c r="V4031" t="s">
        <v>11720</v>
      </c>
      <c r="W4031" t="s">
        <v>15697</v>
      </c>
      <c r="X4031">
        <v>10</v>
      </c>
      <c r="Y4031" t="s">
        <v>21411</v>
      </c>
      <c r="Z4031" t="s">
        <v>27238</v>
      </c>
      <c r="AA4031">
        <v>0.52697030403567291</v>
      </c>
      <c r="AB4031" t="str">
        <f>HYPERLINK("Melting_Curves/meltCurve_Q8IYB7_DIS3L2.pdf", "Melting_Curves/meltCurve_Q8IYB7_DIS3L2.pdf")</f>
        <v>Melting_Curves/meltCurve_Q8IYB7_DIS3L2.pdf</v>
      </c>
    </row>
    <row r="4032" spans="1:28" x14ac:dyDescent="0.25">
      <c r="A4032" t="s">
        <v>4036</v>
      </c>
      <c r="B4032">
        <v>0.99334974765950101</v>
      </c>
      <c r="C4032">
        <v>0.90999280664175997</v>
      </c>
      <c r="D4032">
        <v>0.88698672835118797</v>
      </c>
      <c r="E4032">
        <v>0.64106615511346199</v>
      </c>
      <c r="F4032">
        <v>0.34247080598618002</v>
      </c>
      <c r="G4032">
        <v>0.16129606329545901</v>
      </c>
      <c r="H4032">
        <v>0.13365236003615699</v>
      </c>
      <c r="I4032">
        <v>0.327420270219551</v>
      </c>
      <c r="J4032">
        <v>0.10610041736463501</v>
      </c>
      <c r="K4032">
        <v>8.4207730959845004E-2</v>
      </c>
      <c r="L4032">
        <v>1096.7210385793401</v>
      </c>
      <c r="M4032">
        <v>21.778529479874202</v>
      </c>
      <c r="N4032">
        <v>51.155575572955399</v>
      </c>
      <c r="O4032">
        <v>49.939086877585197</v>
      </c>
      <c r="P4032">
        <v>-9.3330906462510604E-2</v>
      </c>
      <c r="Q4032">
        <v>0.14397306387114001</v>
      </c>
      <c r="R4032">
        <v>0.96145481650134501</v>
      </c>
      <c r="S4032" t="s">
        <v>9893</v>
      </c>
      <c r="T4032" t="s">
        <v>11720</v>
      </c>
      <c r="U4032" t="s">
        <v>11720</v>
      </c>
      <c r="V4032" t="s">
        <v>11720</v>
      </c>
      <c r="W4032" t="s">
        <v>15698</v>
      </c>
      <c r="X4032">
        <v>5</v>
      </c>
      <c r="Y4032" t="s">
        <v>21412</v>
      </c>
      <c r="Z4032" t="s">
        <v>27239</v>
      </c>
      <c r="AA4032">
        <v>0.44961672719556761</v>
      </c>
      <c r="AB4032" t="str">
        <f>HYPERLINK("Melting_Curves/meltCurve_Q8IYB8_SUPV3L1.pdf", "Melting_Curves/meltCurve_Q8IYB8_SUPV3L1.pdf")</f>
        <v>Melting_Curves/meltCurve_Q8IYB8_SUPV3L1.pdf</v>
      </c>
    </row>
    <row r="4033" spans="1:28" x14ac:dyDescent="0.25">
      <c r="A4033" t="s">
        <v>4037</v>
      </c>
      <c r="B4033">
        <v>0.99334974765950101</v>
      </c>
      <c r="C4033">
        <v>0.98793574209407298</v>
      </c>
      <c r="D4033">
        <v>0.84501659994019596</v>
      </c>
      <c r="E4033">
        <v>0.60144332381807097</v>
      </c>
      <c r="F4033">
        <v>0.26847048121155398</v>
      </c>
      <c r="G4033">
        <v>0.14220462976171999</v>
      </c>
      <c r="H4033">
        <v>0.109143752965267</v>
      </c>
      <c r="I4033">
        <v>9.8679622968160602E-2</v>
      </c>
      <c r="J4033">
        <v>0.11203673244831</v>
      </c>
      <c r="K4033">
        <v>0.101044011557888</v>
      </c>
      <c r="L4033">
        <v>1112.67604450256</v>
      </c>
      <c r="M4033">
        <v>22.205735405501201</v>
      </c>
      <c r="N4033">
        <v>50.5790507306832</v>
      </c>
      <c r="O4033">
        <v>49.7065338580598</v>
      </c>
      <c r="P4033">
        <v>-0.101245861466449</v>
      </c>
      <c r="Q4033">
        <v>9.3482382805677694E-2</v>
      </c>
      <c r="R4033">
        <v>0.99595024422165701</v>
      </c>
      <c r="S4033" t="s">
        <v>9894</v>
      </c>
      <c r="T4033" t="s">
        <v>11720</v>
      </c>
      <c r="U4033" t="s">
        <v>11720</v>
      </c>
      <c r="V4033" t="s">
        <v>11720</v>
      </c>
      <c r="W4033" t="s">
        <v>15699</v>
      </c>
      <c r="X4033">
        <v>29</v>
      </c>
      <c r="Y4033" t="s">
        <v>21413</v>
      </c>
      <c r="Z4033" t="s">
        <v>27240</v>
      </c>
      <c r="AA4033">
        <v>0.40918005485484321</v>
      </c>
      <c r="AB4033" t="str">
        <f>HYPERLINK("Melting_Curves/meltCurve_Q8IYD1_GSPT2.pdf", "Melting_Curves/meltCurve_Q8IYD1_GSPT2.pdf")</f>
        <v>Melting_Curves/meltCurve_Q8IYD1_GSPT2.pdf</v>
      </c>
    </row>
    <row r="4034" spans="1:28" x14ac:dyDescent="0.25">
      <c r="A4034" t="s">
        <v>4038</v>
      </c>
      <c r="B4034">
        <v>0.99334974765950101</v>
      </c>
      <c r="C4034">
        <v>0.92462848937153796</v>
      </c>
      <c r="D4034">
        <v>0.89440085977989103</v>
      </c>
      <c r="E4034">
        <v>0.53195625180888295</v>
      </c>
      <c r="F4034">
        <v>0.14692671409528099</v>
      </c>
      <c r="G4034">
        <v>0.11046580127342399</v>
      </c>
      <c r="H4034">
        <v>8.2844955062359504E-2</v>
      </c>
      <c r="I4034">
        <v>7.6342939083043196E-2</v>
      </c>
      <c r="J4034">
        <v>7.1370841426065104E-2</v>
      </c>
      <c r="K4034">
        <v>5.6462245964399499E-2</v>
      </c>
      <c r="L4034">
        <v>1465.95013495229</v>
      </c>
      <c r="M4034">
        <v>29.4739765704383</v>
      </c>
      <c r="N4034">
        <v>49.985448165484001</v>
      </c>
      <c r="O4034">
        <v>49.509828177534899</v>
      </c>
      <c r="P4034">
        <v>-0.13869325757211401</v>
      </c>
      <c r="Q4034">
        <v>6.8109275510855799E-2</v>
      </c>
      <c r="R4034">
        <v>0.99327490372673899</v>
      </c>
      <c r="S4034" t="s">
        <v>9895</v>
      </c>
      <c r="T4034" t="s">
        <v>11720</v>
      </c>
      <c r="U4034" t="s">
        <v>11720</v>
      </c>
      <c r="V4034" t="s">
        <v>11720</v>
      </c>
      <c r="W4034" t="s">
        <v>15700</v>
      </c>
      <c r="X4034">
        <v>18</v>
      </c>
      <c r="Y4034" t="s">
        <v>21414</v>
      </c>
      <c r="Z4034" t="s">
        <v>27241</v>
      </c>
      <c r="AA4034">
        <v>0.37652251880744042</v>
      </c>
      <c r="AB4034" t="str">
        <f>HYPERLINK("Melting_Curves/meltCurve_Q8IYI6_EXOC8.pdf", "Melting_Curves/meltCurve_Q8IYI6_EXOC8.pdf")</f>
        <v>Melting_Curves/meltCurve_Q8IYI6_EXOC8.pdf</v>
      </c>
    </row>
    <row r="4035" spans="1:28" x14ac:dyDescent="0.25">
      <c r="A4035" t="s">
        <v>4039</v>
      </c>
      <c r="B4035">
        <v>0.99334974765950101</v>
      </c>
      <c r="C4035">
        <v>1.15741661469329</v>
      </c>
      <c r="D4035">
        <v>0.89128060469193304</v>
      </c>
      <c r="E4035">
        <v>0.876257921420036</v>
      </c>
      <c r="F4035">
        <v>0.86053395970119895</v>
      </c>
      <c r="G4035">
        <v>0.64363618465593697</v>
      </c>
      <c r="H4035">
        <v>0.72252736966184405</v>
      </c>
      <c r="I4035">
        <v>0.71151381476612896</v>
      </c>
      <c r="J4035">
        <v>0.90631384096198597</v>
      </c>
      <c r="K4035">
        <v>0.85328885906141305</v>
      </c>
      <c r="L4035">
        <v>1244.08234403702</v>
      </c>
      <c r="M4035">
        <v>25.380288388710799</v>
      </c>
      <c r="O4035">
        <v>48.716377893791602</v>
      </c>
      <c r="P4035">
        <v>-2.91001432526076E-2</v>
      </c>
      <c r="Q4035">
        <v>0.77657685034621904</v>
      </c>
      <c r="R4035">
        <v>0.57092861300530295</v>
      </c>
      <c r="S4035" t="s">
        <v>9896</v>
      </c>
      <c r="T4035" t="s">
        <v>11720</v>
      </c>
      <c r="U4035" t="s">
        <v>11720</v>
      </c>
      <c r="V4035" t="s">
        <v>11720</v>
      </c>
      <c r="W4035" t="s">
        <v>15701</v>
      </c>
      <c r="X4035">
        <v>1</v>
      </c>
      <c r="Y4035" t="s">
        <v>21415</v>
      </c>
      <c r="Z4035" t="s">
        <v>27242</v>
      </c>
      <c r="AA4035">
        <v>0.84565476792307415</v>
      </c>
      <c r="AB4035" t="str">
        <f>HYPERLINK("Melting_Curves/meltCurve_Q8IYL3_C1orf174.pdf", "Melting_Curves/meltCurve_Q8IYL3_C1orf174.pdf")</f>
        <v>Melting_Curves/meltCurve_Q8IYL3_C1orf174.pdf</v>
      </c>
    </row>
    <row r="4036" spans="1:28" x14ac:dyDescent="0.25">
      <c r="A4036" t="s">
        <v>4040</v>
      </c>
      <c r="B4036">
        <v>0.99334974765950101</v>
      </c>
      <c r="C4036">
        <v>0.82528820961401195</v>
      </c>
      <c r="D4036">
        <v>0.56478302665693203</v>
      </c>
      <c r="E4036">
        <v>0.28026537526828998</v>
      </c>
      <c r="F4036">
        <v>0.23514197100784501</v>
      </c>
      <c r="G4036">
        <v>0.155339019268285</v>
      </c>
      <c r="H4036">
        <v>0.124942357460933</v>
      </c>
      <c r="I4036">
        <v>9.6153203429067302E-2</v>
      </c>
      <c r="J4036">
        <v>9.5931798570853502E-2</v>
      </c>
      <c r="K4036">
        <v>0.101892115221753</v>
      </c>
      <c r="L4036">
        <v>829.01777543230105</v>
      </c>
      <c r="M4036">
        <v>17.9074329518475</v>
      </c>
      <c r="N4036">
        <v>46.935814602868497</v>
      </c>
      <c r="O4036">
        <v>45.728880669653897</v>
      </c>
      <c r="P4036">
        <v>-8.7281745776263298E-2</v>
      </c>
      <c r="Q4036">
        <v>0.108505261145315</v>
      </c>
      <c r="R4036">
        <v>0.99473043204757405</v>
      </c>
      <c r="S4036" t="s">
        <v>9897</v>
      </c>
      <c r="T4036" t="s">
        <v>11720</v>
      </c>
      <c r="U4036" t="s">
        <v>11720</v>
      </c>
      <c r="V4036" t="s">
        <v>11720</v>
      </c>
      <c r="W4036" t="s">
        <v>15702</v>
      </c>
      <c r="X4036">
        <v>6</v>
      </c>
      <c r="Y4036" t="s">
        <v>21416</v>
      </c>
      <c r="Z4036" t="s">
        <v>27243</v>
      </c>
      <c r="AA4036">
        <v>0.31289143905146077</v>
      </c>
      <c r="AB4036" t="str">
        <f>HYPERLINK("Melting_Curves/meltCurve_Q8IYM9_2_TRIM22.pdf", "Melting_Curves/meltCurve_Q8IYM9_2_TRIM22.pdf")</f>
        <v>Melting_Curves/meltCurve_Q8IYM9_2_TRIM22.pdf</v>
      </c>
    </row>
    <row r="4037" spans="1:28" x14ac:dyDescent="0.25">
      <c r="A4037" t="s">
        <v>4041</v>
      </c>
      <c r="B4037">
        <v>0.99334974765950101</v>
      </c>
      <c r="C4037">
        <v>0.89774082541980604</v>
      </c>
      <c r="D4037">
        <v>0.807073276405185</v>
      </c>
      <c r="E4037">
        <v>0.54561078307942501</v>
      </c>
      <c r="F4037">
        <v>0.42760249600388101</v>
      </c>
      <c r="G4037">
        <v>0.42243733609169098</v>
      </c>
      <c r="H4037">
        <v>0.23183497028778</v>
      </c>
      <c r="I4037">
        <v>0.27194279148524497</v>
      </c>
      <c r="J4037">
        <v>0.24698765944089601</v>
      </c>
      <c r="K4037">
        <v>0.24308748610891101</v>
      </c>
      <c r="L4037">
        <v>665.39138532212098</v>
      </c>
      <c r="M4037">
        <v>13.514473276482899</v>
      </c>
      <c r="N4037">
        <v>51.616206252353699</v>
      </c>
      <c r="O4037">
        <v>48.194942220626601</v>
      </c>
      <c r="P4037">
        <v>-5.3852755965620398E-2</v>
      </c>
      <c r="Q4037">
        <v>0.231923816848249</v>
      </c>
      <c r="R4037">
        <v>0.98342880406248001</v>
      </c>
      <c r="S4037" t="s">
        <v>9898</v>
      </c>
      <c r="T4037" t="s">
        <v>11720</v>
      </c>
      <c r="U4037" t="s">
        <v>11720</v>
      </c>
      <c r="V4037" t="s">
        <v>11720</v>
      </c>
      <c r="W4037" t="s">
        <v>15703</v>
      </c>
      <c r="X4037">
        <v>1</v>
      </c>
      <c r="Y4037" t="s">
        <v>21417</v>
      </c>
      <c r="Z4037" t="s">
        <v>27244</v>
      </c>
      <c r="AA4037">
        <v>0.49108049899773659</v>
      </c>
      <c r="AB4037" t="str">
        <f>HYPERLINK("Melting_Curves/meltCurve_Q8IYN6_UBALD2.pdf", "Melting_Curves/meltCurve_Q8IYN6_UBALD2.pdf")</f>
        <v>Melting_Curves/meltCurve_Q8IYN6_UBALD2.pdf</v>
      </c>
    </row>
    <row r="4038" spans="1:28" x14ac:dyDescent="0.25">
      <c r="A4038" t="s">
        <v>4042</v>
      </c>
      <c r="B4038">
        <v>0.99334974765950101</v>
      </c>
      <c r="C4038">
        <v>0.95469926476561195</v>
      </c>
      <c r="D4038">
        <v>0.96218520254919504</v>
      </c>
      <c r="E4038">
        <v>0.82113100475989098</v>
      </c>
      <c r="F4038">
        <v>0.61984237475717696</v>
      </c>
      <c r="G4038">
        <v>0.43793804494796101</v>
      </c>
      <c r="H4038">
        <v>0.39176450570865301</v>
      </c>
      <c r="I4038">
        <v>0.35888877668038299</v>
      </c>
      <c r="J4038">
        <v>0.33957737425156898</v>
      </c>
      <c r="K4038">
        <v>0.28294185106117398</v>
      </c>
      <c r="L4038">
        <v>947.00671186712304</v>
      </c>
      <c r="M4038">
        <v>18.007442896308699</v>
      </c>
      <c r="N4038">
        <v>55.648540962960901</v>
      </c>
      <c r="O4038">
        <v>51.954045490440798</v>
      </c>
      <c r="P4038">
        <v>-5.9430186301236698E-2</v>
      </c>
      <c r="Q4038">
        <v>0.31417543737876402</v>
      </c>
      <c r="R4038">
        <v>0.99415254061868497</v>
      </c>
      <c r="S4038" t="s">
        <v>9899</v>
      </c>
      <c r="T4038" t="s">
        <v>11720</v>
      </c>
      <c r="U4038" t="s">
        <v>11720</v>
      </c>
      <c r="V4038" t="s">
        <v>11720</v>
      </c>
      <c r="W4038" t="s">
        <v>15704</v>
      </c>
      <c r="X4038">
        <v>10</v>
      </c>
      <c r="Y4038" t="s">
        <v>21418</v>
      </c>
      <c r="Z4038" t="s">
        <v>27245</v>
      </c>
      <c r="AA4038">
        <v>0.61329124838265037</v>
      </c>
      <c r="AB4038" t="str">
        <f>HYPERLINK("Melting_Curves/meltCurve_Q8IYQ7_THNSL1.pdf", "Melting_Curves/meltCurve_Q8IYQ7_THNSL1.pdf")</f>
        <v>Melting_Curves/meltCurve_Q8IYQ7_THNSL1.pdf</v>
      </c>
    </row>
    <row r="4039" spans="1:28" x14ac:dyDescent="0.25">
      <c r="A4039" t="s">
        <v>4043</v>
      </c>
      <c r="B4039">
        <v>0.99334974765950101</v>
      </c>
      <c r="C4039">
        <v>0.96697403448410602</v>
      </c>
      <c r="D4039">
        <v>0.87405208949796698</v>
      </c>
      <c r="E4039">
        <v>1.0610584674665899</v>
      </c>
      <c r="F4039">
        <v>0.82446855500021698</v>
      </c>
      <c r="G4039">
        <v>0.822574346973171</v>
      </c>
      <c r="H4039">
        <v>0.68712560503054498</v>
      </c>
      <c r="I4039">
        <v>0.55275824779619298</v>
      </c>
      <c r="J4039">
        <v>0.30937749671998699</v>
      </c>
      <c r="K4039">
        <v>0.191373823310028</v>
      </c>
      <c r="L4039">
        <v>872.66772391312099</v>
      </c>
      <c r="M4039">
        <v>13.666549265631801</v>
      </c>
      <c r="N4039">
        <v>63.8542809204299</v>
      </c>
      <c r="O4039">
        <v>62.533659382627199</v>
      </c>
      <c r="P4039">
        <v>-5.4644717472281598E-2</v>
      </c>
      <c r="Q4039">
        <v>0</v>
      </c>
      <c r="R4039">
        <v>0.94260204488992705</v>
      </c>
      <c r="S4039" t="s">
        <v>9900</v>
      </c>
      <c r="T4039" t="s">
        <v>11720</v>
      </c>
      <c r="U4039" t="s">
        <v>11720</v>
      </c>
      <c r="V4039" t="s">
        <v>11720</v>
      </c>
      <c r="W4039" t="s">
        <v>15705</v>
      </c>
      <c r="X4039">
        <v>5</v>
      </c>
      <c r="Y4039" t="s">
        <v>21419</v>
      </c>
      <c r="Z4039" t="s">
        <v>27246</v>
      </c>
      <c r="AA4039">
        <v>0.77500077284659741</v>
      </c>
      <c r="AB4039" t="str">
        <f>HYPERLINK("Melting_Curves/meltCurve_Q8IYS2_KIAA2013.pdf", "Melting_Curves/meltCurve_Q8IYS2_KIAA2013.pdf")</f>
        <v>Melting_Curves/meltCurve_Q8IYS2_KIAA2013.pdf</v>
      </c>
    </row>
    <row r="4040" spans="1:28" x14ac:dyDescent="0.25">
      <c r="A4040" t="s">
        <v>4044</v>
      </c>
      <c r="B4040">
        <v>0.99334974765950101</v>
      </c>
      <c r="C4040">
        <v>1.109823535089</v>
      </c>
      <c r="D4040">
        <v>1.07424097588161</v>
      </c>
      <c r="E4040">
        <v>0.59190340716743495</v>
      </c>
      <c r="F4040">
        <v>0.35162927387946402</v>
      </c>
      <c r="G4040">
        <v>0.14600621865768701</v>
      </c>
      <c r="H4040">
        <v>6.2146967621093299E-2</v>
      </c>
      <c r="I4040">
        <v>0</v>
      </c>
      <c r="J4040">
        <v>0</v>
      </c>
      <c r="K4040">
        <v>0</v>
      </c>
      <c r="L4040">
        <v>1257.8899647585399</v>
      </c>
      <c r="M4040">
        <v>24.503617536989299</v>
      </c>
      <c r="N4040">
        <v>51.413254260643598</v>
      </c>
      <c r="O4040">
        <v>50.996628151260303</v>
      </c>
      <c r="P4040">
        <v>-0.11792298831093299</v>
      </c>
      <c r="Q4040">
        <v>1.8334790262614201E-2</v>
      </c>
      <c r="R4040">
        <v>0.97969264645694099</v>
      </c>
      <c r="S4040" t="s">
        <v>9901</v>
      </c>
      <c r="T4040" t="s">
        <v>11720</v>
      </c>
      <c r="U4040" t="s">
        <v>11720</v>
      </c>
      <c r="V4040" t="s">
        <v>11720</v>
      </c>
      <c r="W4040" t="s">
        <v>15706</v>
      </c>
      <c r="X4040">
        <v>1</v>
      </c>
      <c r="Y4040" t="s">
        <v>21420</v>
      </c>
      <c r="Z4040" t="s">
        <v>27247</v>
      </c>
      <c r="AA4040">
        <v>0.39849177987844431</v>
      </c>
      <c r="AB4040" t="str">
        <f>HYPERLINK("Melting_Curves/meltCurve_Q8IYU8_MICU2.pdf", "Melting_Curves/meltCurve_Q8IYU8_MICU2.pdf")</f>
        <v>Melting_Curves/meltCurve_Q8IYU8_MICU2.pdf</v>
      </c>
    </row>
    <row r="4041" spans="1:28" x14ac:dyDescent="0.25">
      <c r="A4041" t="s">
        <v>4045</v>
      </c>
      <c r="B4041">
        <v>0.99334974765950101</v>
      </c>
      <c r="C4041">
        <v>0.97484618971049197</v>
      </c>
      <c r="D4041">
        <v>0.93290827390386299</v>
      </c>
      <c r="E4041">
        <v>0.82172510156085998</v>
      </c>
      <c r="F4041">
        <v>0.29473218905482901</v>
      </c>
      <c r="G4041">
        <v>0.168467261381678</v>
      </c>
      <c r="H4041">
        <v>0.12913820316389599</v>
      </c>
      <c r="I4041">
        <v>0.112461120427163</v>
      </c>
      <c r="J4041">
        <v>0.113567456055351</v>
      </c>
      <c r="K4041">
        <v>8.8177915556228198E-2</v>
      </c>
      <c r="L4041">
        <v>2336.7160233130398</v>
      </c>
      <c r="M4041">
        <v>45.416139338435997</v>
      </c>
      <c r="N4041">
        <v>51.7605959603695</v>
      </c>
      <c r="O4041">
        <v>51.351769931116301</v>
      </c>
      <c r="P4041">
        <v>-0.19482052112114601</v>
      </c>
      <c r="Q4041">
        <v>0.118871310072227</v>
      </c>
      <c r="R4041">
        <v>0.99506749353607304</v>
      </c>
      <c r="S4041" t="s">
        <v>9902</v>
      </c>
      <c r="T4041" t="s">
        <v>11720</v>
      </c>
      <c r="U4041" t="s">
        <v>11720</v>
      </c>
      <c r="V4041" t="s">
        <v>11720</v>
      </c>
      <c r="W4041" t="s">
        <v>15707</v>
      </c>
      <c r="X4041">
        <v>18</v>
      </c>
      <c r="Y4041" t="s">
        <v>21421</v>
      </c>
      <c r="Z4041" t="s">
        <v>27248</v>
      </c>
      <c r="AA4041">
        <v>0.45763110853817418</v>
      </c>
      <c r="AB4041" t="str">
        <f>HYPERLINK("Melting_Curves/meltCurve_Q8IZ07_ANKRD13A.pdf", "Melting_Curves/meltCurve_Q8IZ07_ANKRD13A.pdf")</f>
        <v>Melting_Curves/meltCurve_Q8IZ07_ANKRD13A.pdf</v>
      </c>
    </row>
    <row r="4042" spans="1:28" x14ac:dyDescent="0.25">
      <c r="A4042" t="s">
        <v>4046</v>
      </c>
      <c r="B4042">
        <v>0.99334974765950101</v>
      </c>
      <c r="C4042">
        <v>0.99327779360023305</v>
      </c>
      <c r="D4042">
        <v>1.02606660971075</v>
      </c>
      <c r="E4042">
        <v>0.93576809743466005</v>
      </c>
      <c r="F4042">
        <v>1.15665925548412</v>
      </c>
      <c r="G4042">
        <v>0.81509273280387695</v>
      </c>
      <c r="H4042">
        <v>0.80199793626370497</v>
      </c>
      <c r="I4042">
        <v>0.83271912057739805</v>
      </c>
      <c r="J4042">
        <v>0.85897330263466798</v>
      </c>
      <c r="K4042">
        <v>0.70630518465922798</v>
      </c>
      <c r="L4042">
        <v>14107.183786235501</v>
      </c>
      <c r="M4042">
        <v>250</v>
      </c>
      <c r="O4042">
        <v>56.425146315285801</v>
      </c>
      <c r="P4042">
        <v>-0.221533809786464</v>
      </c>
      <c r="Q4042">
        <v>0.79999883646708303</v>
      </c>
      <c r="R4042">
        <v>0.731959207456084</v>
      </c>
      <c r="S4042" t="s">
        <v>9903</v>
      </c>
      <c r="T4042" t="s">
        <v>11720</v>
      </c>
      <c r="U4042" t="s">
        <v>11720</v>
      </c>
      <c r="V4042" t="s">
        <v>11720</v>
      </c>
      <c r="W4042" t="s">
        <v>15708</v>
      </c>
      <c r="X4042">
        <v>14</v>
      </c>
      <c r="Y4042" t="s">
        <v>21422</v>
      </c>
      <c r="Z4042" t="s">
        <v>27249</v>
      </c>
      <c r="AA4042">
        <v>0.90954418103811807</v>
      </c>
      <c r="AB4042" t="str">
        <f>HYPERLINK("Melting_Curves/meltCurve_Q8IZ21_3_PHACTR4.pdf", "Melting_Curves/meltCurve_Q8IZ21_3_PHACTR4.pdf")</f>
        <v>Melting_Curves/meltCurve_Q8IZ21_3_PHACTR4.pdf</v>
      </c>
    </row>
    <row r="4043" spans="1:28" x14ac:dyDescent="0.25">
      <c r="A4043" t="s">
        <v>4047</v>
      </c>
      <c r="B4043">
        <v>0.99334974765950101</v>
      </c>
      <c r="C4043">
        <v>0.91685834538232003</v>
      </c>
      <c r="D4043">
        <v>0.81222988591400103</v>
      </c>
      <c r="E4043">
        <v>0.76565194649514001</v>
      </c>
      <c r="F4043">
        <v>0.700640182703956</v>
      </c>
      <c r="G4043">
        <v>0.26136235171187699</v>
      </c>
      <c r="H4043">
        <v>0.17888622674898599</v>
      </c>
      <c r="I4043">
        <v>0.15608322819609499</v>
      </c>
      <c r="J4043">
        <v>0.123156776502202</v>
      </c>
      <c r="K4043">
        <v>2.3783787218135399E-2</v>
      </c>
      <c r="L4043">
        <v>684.57225586270999</v>
      </c>
      <c r="M4043">
        <v>12.589419154148599</v>
      </c>
      <c r="N4043">
        <v>54.376794226917397</v>
      </c>
      <c r="O4043">
        <v>53.0595183492321</v>
      </c>
      <c r="P4043">
        <v>-5.9329312930366897E-2</v>
      </c>
      <c r="Q4043">
        <v>0</v>
      </c>
      <c r="R4043">
        <v>0.96891843564690205</v>
      </c>
      <c r="S4043" t="s">
        <v>9904</v>
      </c>
      <c r="T4043" t="s">
        <v>11720</v>
      </c>
      <c r="U4043" t="s">
        <v>11720</v>
      </c>
      <c r="V4043" t="s">
        <v>11720</v>
      </c>
      <c r="W4043" t="s">
        <v>15709</v>
      </c>
      <c r="X4043">
        <v>5</v>
      </c>
      <c r="Y4043" t="s">
        <v>21423</v>
      </c>
      <c r="Z4043" t="s">
        <v>27250</v>
      </c>
      <c r="AA4043">
        <v>0.5033449957848003</v>
      </c>
      <c r="AB4043" t="str">
        <f>HYPERLINK("Melting_Curves/meltCurve_Q8IZ68_MTX2.pdf", "Melting_Curves/meltCurve_Q8IZ68_MTX2.pdf")</f>
        <v>Melting_Curves/meltCurve_Q8IZ68_MTX2.pdf</v>
      </c>
    </row>
    <row r="4044" spans="1:28" x14ac:dyDescent="0.25">
      <c r="A4044" t="s">
        <v>4048</v>
      </c>
      <c r="B4044">
        <v>0.99334974765950101</v>
      </c>
      <c r="C4044">
        <v>0.77151854204512405</v>
      </c>
      <c r="D4044">
        <v>0.80310602261310204</v>
      </c>
      <c r="E4044">
        <v>0.73242850411479699</v>
      </c>
      <c r="F4044">
        <v>1.5651600810798201</v>
      </c>
      <c r="G4044">
        <v>0.43322579303895598</v>
      </c>
      <c r="H4044">
        <v>0.17518394992748501</v>
      </c>
      <c r="I4044">
        <v>6.9565356051504296E-2</v>
      </c>
      <c r="J4044">
        <v>0.14115337370046599</v>
      </c>
      <c r="K4044">
        <v>9.9429518408005901E-2</v>
      </c>
      <c r="L4044">
        <v>14215.9538213136</v>
      </c>
      <c r="M4044">
        <v>250</v>
      </c>
      <c r="N4044">
        <v>56.927107031949802</v>
      </c>
      <c r="O4044">
        <v>56.860176378047697</v>
      </c>
      <c r="P4044">
        <v>-0.96581982360915797</v>
      </c>
      <c r="Q4044">
        <v>0.121333032709556</v>
      </c>
      <c r="R4044">
        <v>0.76965135285671704</v>
      </c>
      <c r="S4044" t="s">
        <v>9905</v>
      </c>
      <c r="T4044" t="s">
        <v>11720</v>
      </c>
      <c r="U4044" t="s">
        <v>11720</v>
      </c>
      <c r="V4044" t="s">
        <v>11720</v>
      </c>
      <c r="W4044" t="s">
        <v>15710</v>
      </c>
      <c r="X4044">
        <v>3</v>
      </c>
      <c r="Y4044" t="s">
        <v>21424</v>
      </c>
      <c r="Z4044" t="s">
        <v>27251</v>
      </c>
      <c r="AA4044">
        <v>0.61534330049829578</v>
      </c>
      <c r="AB4044" t="str">
        <f>HYPERLINK("Melting_Curves/meltCurve_Q8IZ73_RPUSD2.pdf", "Melting_Curves/meltCurve_Q8IZ73_RPUSD2.pdf")</f>
        <v>Melting_Curves/meltCurve_Q8IZ73_RPUSD2.pdf</v>
      </c>
    </row>
    <row r="4045" spans="1:28" x14ac:dyDescent="0.25">
      <c r="A4045" t="s">
        <v>4049</v>
      </c>
      <c r="B4045">
        <v>0.99334974765950101</v>
      </c>
      <c r="C4045">
        <v>0.951852041040809</v>
      </c>
      <c r="D4045">
        <v>0.89695655943600705</v>
      </c>
      <c r="E4045">
        <v>0.74500594052366698</v>
      </c>
      <c r="F4045">
        <v>0.38188113415826902</v>
      </c>
      <c r="G4045">
        <v>0.15880524419585099</v>
      </c>
      <c r="H4045">
        <v>0.127890022832918</v>
      </c>
      <c r="I4045">
        <v>0.104794935654469</v>
      </c>
      <c r="J4045">
        <v>9.3717033790229304E-2</v>
      </c>
      <c r="K4045">
        <v>8.4780325334612106E-2</v>
      </c>
      <c r="L4045">
        <v>1248.97489342484</v>
      </c>
      <c r="M4045">
        <v>24.2254170537582</v>
      </c>
      <c r="N4045">
        <v>51.983420568000497</v>
      </c>
      <c r="O4045">
        <v>51.208925530846898</v>
      </c>
      <c r="P4045">
        <v>-0.10759807693858101</v>
      </c>
      <c r="Q4045">
        <v>9.0228593200642596E-2</v>
      </c>
      <c r="R4045">
        <v>0.99491453574815203</v>
      </c>
      <c r="S4045" t="s">
        <v>9906</v>
      </c>
      <c r="T4045" t="s">
        <v>11720</v>
      </c>
      <c r="U4045" t="s">
        <v>11720</v>
      </c>
      <c r="V4045" t="s">
        <v>11720</v>
      </c>
      <c r="W4045" t="s">
        <v>15711</v>
      </c>
      <c r="X4045">
        <v>13</v>
      </c>
      <c r="Y4045" t="s">
        <v>21425</v>
      </c>
      <c r="Z4045" t="s">
        <v>27252</v>
      </c>
      <c r="AA4045">
        <v>0.4494722277120321</v>
      </c>
      <c r="AB4045" t="str">
        <f>HYPERLINK("Melting_Curves/meltCurve_Q8IZ81_ELMOD2.pdf", "Melting_Curves/meltCurve_Q8IZ81_ELMOD2.pdf")</f>
        <v>Melting_Curves/meltCurve_Q8IZ81_ELMOD2.pdf</v>
      </c>
    </row>
    <row r="4046" spans="1:28" x14ac:dyDescent="0.25">
      <c r="A4046" t="s">
        <v>4050</v>
      </c>
      <c r="B4046">
        <v>0.99334974765950101</v>
      </c>
      <c r="C4046">
        <v>0.99542105287278104</v>
      </c>
      <c r="D4046">
        <v>0.83489686879368896</v>
      </c>
      <c r="E4046">
        <v>1.0418054073049401</v>
      </c>
      <c r="F4046">
        <v>1.0802016707784201</v>
      </c>
      <c r="G4046">
        <v>1.4079724404088101</v>
      </c>
      <c r="H4046">
        <v>1.2223071801988501</v>
      </c>
      <c r="I4046">
        <v>0.61812713882239501</v>
      </c>
      <c r="J4046">
        <v>0.18304068081555799</v>
      </c>
      <c r="K4046">
        <v>0.122162440570935</v>
      </c>
      <c r="L4046">
        <v>15000</v>
      </c>
      <c r="M4046">
        <v>234.17683085844899</v>
      </c>
      <c r="N4046">
        <v>64.153902764579499</v>
      </c>
      <c r="O4046">
        <v>64.049487570400402</v>
      </c>
      <c r="P4046">
        <v>-0.774576621285058</v>
      </c>
      <c r="Q4046">
        <v>0.152585071613656</v>
      </c>
      <c r="R4046">
        <v>0.84272008926653796</v>
      </c>
      <c r="S4046" t="s">
        <v>9907</v>
      </c>
      <c r="T4046" t="s">
        <v>11720</v>
      </c>
      <c r="U4046" t="s">
        <v>11720</v>
      </c>
      <c r="V4046" t="s">
        <v>11720</v>
      </c>
      <c r="W4046" t="s">
        <v>15712</v>
      </c>
      <c r="X4046">
        <v>2</v>
      </c>
      <c r="Y4046" t="s">
        <v>21426</v>
      </c>
      <c r="Z4046" t="s">
        <v>27253</v>
      </c>
      <c r="AA4046">
        <v>0.83215543066443531</v>
      </c>
      <c r="AB4046" t="str">
        <f>HYPERLINK("Melting_Curves/meltCurve_Q8IZ83_ALDH16A1.pdf", "Melting_Curves/meltCurve_Q8IZ83_ALDH16A1.pdf")</f>
        <v>Melting_Curves/meltCurve_Q8IZ83_ALDH16A1.pdf</v>
      </c>
    </row>
    <row r="4047" spans="1:28" x14ac:dyDescent="0.25">
      <c r="A4047" t="s">
        <v>4051</v>
      </c>
      <c r="B4047">
        <v>0.99334974765950101</v>
      </c>
      <c r="C4047">
        <v>0.95076830464350903</v>
      </c>
      <c r="D4047">
        <v>0.75617986734785303</v>
      </c>
      <c r="E4047">
        <v>0.42509274347367398</v>
      </c>
      <c r="F4047">
        <v>0.43481822580076601</v>
      </c>
      <c r="G4047">
        <v>0.26873446032080001</v>
      </c>
      <c r="H4047">
        <v>0.26706476457040201</v>
      </c>
      <c r="I4047">
        <v>0.176111731500774</v>
      </c>
      <c r="J4047">
        <v>0.24732859499520901</v>
      </c>
      <c r="K4047">
        <v>0.18375564328584601</v>
      </c>
      <c r="L4047">
        <v>813.65046828196205</v>
      </c>
      <c r="M4047">
        <v>16.871238504920399</v>
      </c>
      <c r="N4047">
        <v>49.875352846452799</v>
      </c>
      <c r="O4047">
        <v>47.564800797715101</v>
      </c>
      <c r="P4047">
        <v>-6.9729805729646599E-2</v>
      </c>
      <c r="Q4047">
        <v>0.21369776460790499</v>
      </c>
      <c r="R4047">
        <v>0.97985595060072195</v>
      </c>
      <c r="S4047" t="s">
        <v>9908</v>
      </c>
      <c r="T4047" t="s">
        <v>11720</v>
      </c>
      <c r="U4047" t="s">
        <v>11720</v>
      </c>
      <c r="V4047" t="s">
        <v>11720</v>
      </c>
      <c r="W4047" t="s">
        <v>15713</v>
      </c>
      <c r="X4047">
        <v>4</v>
      </c>
      <c r="Y4047" t="s">
        <v>21427</v>
      </c>
      <c r="Z4047" t="s">
        <v>27254</v>
      </c>
      <c r="AA4047">
        <v>0.44516055607484739</v>
      </c>
      <c r="AB4047" t="str">
        <f>HYPERLINK("Melting_Curves/meltCurve_Q8IZD4_DCP1B.pdf", "Melting_Curves/meltCurve_Q8IZD4_DCP1B.pdf")</f>
        <v>Melting_Curves/meltCurve_Q8IZD4_DCP1B.pdf</v>
      </c>
    </row>
    <row r="4048" spans="1:28" x14ac:dyDescent="0.25">
      <c r="A4048" t="s">
        <v>4052</v>
      </c>
      <c r="B4048">
        <v>0.99334974765950101</v>
      </c>
      <c r="C4048">
        <v>0.81624435294014197</v>
      </c>
      <c r="D4048">
        <v>0.67621870115176996</v>
      </c>
      <c r="E4048">
        <v>0.48170323235420298</v>
      </c>
      <c r="F4048">
        <v>0.26791908561849598</v>
      </c>
      <c r="G4048">
        <v>0.20689796706059399</v>
      </c>
      <c r="H4048">
        <v>0.16944106709676099</v>
      </c>
      <c r="I4048">
        <v>0.14128822449046499</v>
      </c>
      <c r="J4048">
        <v>0.15368000011722299</v>
      </c>
      <c r="K4048">
        <v>0.108551099856192</v>
      </c>
      <c r="L4048">
        <v>651.62706754245903</v>
      </c>
      <c r="M4048">
        <v>13.579127533368499</v>
      </c>
      <c r="N4048">
        <v>48.923848600111903</v>
      </c>
      <c r="O4048">
        <v>46.982534119484001</v>
      </c>
      <c r="P4048">
        <v>-6.3996425750833696E-2</v>
      </c>
      <c r="Q4048">
        <v>0.114444578659991</v>
      </c>
      <c r="R4048">
        <v>0.99153701456563503</v>
      </c>
      <c r="S4048" t="s">
        <v>9909</v>
      </c>
      <c r="T4048" t="s">
        <v>11720</v>
      </c>
      <c r="U4048" t="s">
        <v>11720</v>
      </c>
      <c r="V4048" t="s">
        <v>11720</v>
      </c>
      <c r="W4048" t="s">
        <v>15714</v>
      </c>
      <c r="X4048">
        <v>3</v>
      </c>
      <c r="Y4048" t="s">
        <v>21428</v>
      </c>
      <c r="Z4048" t="s">
        <v>27255</v>
      </c>
      <c r="AA4048">
        <v>0.37787467480534792</v>
      </c>
      <c r="AB4048" t="str">
        <f>HYPERLINK("Melting_Curves/meltCurve_Q8IZE3_2_SCYL3.pdf", "Melting_Curves/meltCurve_Q8IZE3_2_SCYL3.pdf")</f>
        <v>Melting_Curves/meltCurve_Q8IZE3_2_SCYL3.pdf</v>
      </c>
    </row>
    <row r="4049" spans="1:28" x14ac:dyDescent="0.25">
      <c r="A4049" t="s">
        <v>4053</v>
      </c>
      <c r="B4049">
        <v>0.99334974765950101</v>
      </c>
      <c r="C4049">
        <v>0.89816963079599499</v>
      </c>
      <c r="D4049">
        <v>0.86025293567780303</v>
      </c>
      <c r="E4049">
        <v>0.66552090414809595</v>
      </c>
      <c r="F4049">
        <v>0.33169471488180302</v>
      </c>
      <c r="G4049">
        <v>0.24529571195560201</v>
      </c>
      <c r="H4049">
        <v>0.18126624366038699</v>
      </c>
      <c r="I4049">
        <v>0.19143408660785899</v>
      </c>
      <c r="J4049">
        <v>0.152003968301267</v>
      </c>
      <c r="K4049">
        <v>0.12593193352826301</v>
      </c>
      <c r="L4049">
        <v>898.16404406592005</v>
      </c>
      <c r="M4049">
        <v>17.812514060908999</v>
      </c>
      <c r="N4049">
        <v>51.377675860669598</v>
      </c>
      <c r="O4049">
        <v>49.800566412824097</v>
      </c>
      <c r="P4049">
        <v>-7.6827160070274694E-2</v>
      </c>
      <c r="Q4049">
        <v>0.14086485973113</v>
      </c>
      <c r="R4049">
        <v>0.98739700974159805</v>
      </c>
      <c r="S4049" t="s">
        <v>9910</v>
      </c>
      <c r="T4049" t="s">
        <v>11720</v>
      </c>
      <c r="U4049" t="s">
        <v>11720</v>
      </c>
      <c r="V4049" t="s">
        <v>11720</v>
      </c>
      <c r="W4049" t="s">
        <v>15715</v>
      </c>
      <c r="X4049">
        <v>4</v>
      </c>
      <c r="Y4049" t="s">
        <v>21429</v>
      </c>
      <c r="Z4049" t="s">
        <v>27256</v>
      </c>
      <c r="AA4049">
        <v>0.4542229549623592</v>
      </c>
      <c r="AB4049" t="str">
        <f>HYPERLINK("Melting_Curves/meltCurve_Q8IZJ1_2_UNC5B.pdf", "Melting_Curves/meltCurve_Q8IZJ1_2_UNC5B.pdf")</f>
        <v>Melting_Curves/meltCurve_Q8IZJ1_2_UNC5B.pdf</v>
      </c>
    </row>
    <row r="4050" spans="1:28" x14ac:dyDescent="0.25">
      <c r="A4050" t="s">
        <v>4054</v>
      </c>
      <c r="B4050">
        <v>0.99334974765950101</v>
      </c>
      <c r="C4050">
        <v>0.9796726333561</v>
      </c>
      <c r="D4050">
        <v>0.77982580159449899</v>
      </c>
      <c r="E4050">
        <v>0.72737289302649599</v>
      </c>
      <c r="F4050">
        <v>0.65811761648912204</v>
      </c>
      <c r="G4050">
        <v>0.52396395017839303</v>
      </c>
      <c r="H4050">
        <v>0.50342782996169999</v>
      </c>
      <c r="I4050">
        <v>0.54534464111201497</v>
      </c>
      <c r="J4050">
        <v>0.56206635998988497</v>
      </c>
      <c r="K4050">
        <v>0.51626757595504402</v>
      </c>
      <c r="L4050">
        <v>707.867011624003</v>
      </c>
      <c r="M4050">
        <v>14.659301637146401</v>
      </c>
      <c r="O4050">
        <v>47.416001582544197</v>
      </c>
      <c r="P4050">
        <v>-3.72037350781321E-2</v>
      </c>
      <c r="Q4050">
        <v>0.51870617181550505</v>
      </c>
      <c r="R4050">
        <v>0.95878234453164601</v>
      </c>
      <c r="S4050" t="s">
        <v>9911</v>
      </c>
      <c r="T4050" t="s">
        <v>11720</v>
      </c>
      <c r="U4050" t="s">
        <v>11720</v>
      </c>
      <c r="V4050" t="s">
        <v>11720</v>
      </c>
      <c r="W4050" t="s">
        <v>15716</v>
      </c>
      <c r="X4050">
        <v>3</v>
      </c>
      <c r="Y4050" t="s">
        <v>21430</v>
      </c>
      <c r="Z4050" t="s">
        <v>27257</v>
      </c>
      <c r="AA4050">
        <v>0.664452752879377</v>
      </c>
      <c r="AB4050" t="str">
        <f>HYPERLINK("Melting_Curves/meltCurve_Q8IZL2_MAML2.pdf", "Melting_Curves/meltCurve_Q8IZL2_MAML2.pdf")</f>
        <v>Melting_Curves/meltCurve_Q8IZL2_MAML2.pdf</v>
      </c>
    </row>
    <row r="4051" spans="1:28" x14ac:dyDescent="0.25">
      <c r="A4051" t="s">
        <v>4055</v>
      </c>
      <c r="B4051">
        <v>0.99334974765950101</v>
      </c>
      <c r="C4051">
        <v>0.95887236716081103</v>
      </c>
      <c r="D4051">
        <v>0.80782704472910405</v>
      </c>
      <c r="E4051">
        <v>0.96729416849539196</v>
      </c>
      <c r="F4051">
        <v>0.77850015656521698</v>
      </c>
      <c r="G4051">
        <v>0.92160548869254799</v>
      </c>
      <c r="H4051">
        <v>0.89826627326572905</v>
      </c>
      <c r="I4051">
        <v>1.4757774717138601</v>
      </c>
      <c r="J4051">
        <v>1.73021631552035</v>
      </c>
      <c r="K4051">
        <v>1.2452582181174101</v>
      </c>
      <c r="L4051">
        <v>15000</v>
      </c>
      <c r="M4051">
        <v>237.91259824779399</v>
      </c>
      <c r="O4051">
        <v>63.043908611781497</v>
      </c>
      <c r="P4051">
        <v>0.46070789572163601</v>
      </c>
      <c r="Q4051">
        <v>1.48832767387107</v>
      </c>
      <c r="R4051">
        <v>0.74218479729290798</v>
      </c>
      <c r="S4051" t="s">
        <v>9912</v>
      </c>
      <c r="T4051" t="s">
        <v>11720</v>
      </c>
      <c r="U4051" t="s">
        <v>11720</v>
      </c>
      <c r="V4051" t="s">
        <v>11720</v>
      </c>
      <c r="W4051" t="s">
        <v>15717</v>
      </c>
      <c r="X4051">
        <v>2</v>
      </c>
      <c r="Y4051" t="s">
        <v>21431</v>
      </c>
      <c r="Z4051" t="s">
        <v>27258</v>
      </c>
      <c r="AA4051">
        <v>1.1130962168832319</v>
      </c>
      <c r="AB4051" t="str">
        <f>HYPERLINK("Melting_Curves/meltCurve_Q8IZR5_3_CMTM4.pdf", "Melting_Curves/meltCurve_Q8IZR5_3_CMTM4.pdf")</f>
        <v>Melting_Curves/meltCurve_Q8IZR5_3_CMTM4.pdf</v>
      </c>
    </row>
    <row r="4052" spans="1:28" x14ac:dyDescent="0.25">
      <c r="A4052" t="s">
        <v>4056</v>
      </c>
      <c r="B4052">
        <v>0.99334974765950101</v>
      </c>
      <c r="C4052">
        <v>1.00193719604206</v>
      </c>
      <c r="D4052">
        <v>0.94323340700976499</v>
      </c>
      <c r="E4052">
        <v>0.67842126009827197</v>
      </c>
      <c r="F4052">
        <v>0.34558197646744998</v>
      </c>
      <c r="G4052">
        <v>0.18235146055475199</v>
      </c>
      <c r="H4052">
        <v>0.13285607381697701</v>
      </c>
      <c r="I4052">
        <v>0.107894234605498</v>
      </c>
      <c r="J4052">
        <v>9.2524752393161797E-2</v>
      </c>
      <c r="K4052">
        <v>7.3209979526214705E-2</v>
      </c>
      <c r="L4052">
        <v>1254.8772090109701</v>
      </c>
      <c r="M4052">
        <v>24.5480566039721</v>
      </c>
      <c r="N4052">
        <v>51.5717505589068</v>
      </c>
      <c r="O4052">
        <v>50.783594408777901</v>
      </c>
      <c r="P4052">
        <v>-0.109138635159702</v>
      </c>
      <c r="Q4052">
        <v>9.6894367538329099E-2</v>
      </c>
      <c r="R4052">
        <v>0.99866551387995905</v>
      </c>
      <c r="S4052" t="s">
        <v>9913</v>
      </c>
      <c r="T4052" t="s">
        <v>11720</v>
      </c>
      <c r="U4052" t="s">
        <v>11720</v>
      </c>
      <c r="V4052" t="s">
        <v>11720</v>
      </c>
      <c r="W4052" t="s">
        <v>15718</v>
      </c>
      <c r="X4052">
        <v>13</v>
      </c>
      <c r="Y4052" t="s">
        <v>21432</v>
      </c>
      <c r="Z4052" t="s">
        <v>27259</v>
      </c>
      <c r="AA4052">
        <v>0.44008822072353992</v>
      </c>
      <c r="AB4052" t="str">
        <f>HYPERLINK("Melting_Curves/meltCurve_Q8IZV5_RDH10.pdf", "Melting_Curves/meltCurve_Q8IZV5_RDH10.pdf")</f>
        <v>Melting_Curves/meltCurve_Q8IZV5_RDH10.pdf</v>
      </c>
    </row>
    <row r="4053" spans="1:28" x14ac:dyDescent="0.25">
      <c r="A4053" t="s">
        <v>4057</v>
      </c>
      <c r="B4053">
        <v>0.99334974765950101</v>
      </c>
      <c r="C4053">
        <v>1.0256669725227801</v>
      </c>
      <c r="D4053">
        <v>0.77402893632904701</v>
      </c>
      <c r="E4053">
        <v>0.73175420248563605</v>
      </c>
      <c r="F4053">
        <v>0.55176341013476404</v>
      </c>
      <c r="G4053">
        <v>0.246251226986024</v>
      </c>
      <c r="H4053">
        <v>0.187181210656442</v>
      </c>
      <c r="I4053">
        <v>0.172460736353373</v>
      </c>
      <c r="J4053">
        <v>0.165110488725983</v>
      </c>
      <c r="K4053">
        <v>0.115068493510536</v>
      </c>
      <c r="L4053">
        <v>741.06798623977897</v>
      </c>
      <c r="M4053">
        <v>14.1738217375232</v>
      </c>
      <c r="N4053">
        <v>53.092773008288297</v>
      </c>
      <c r="O4053">
        <v>51.276536396481198</v>
      </c>
      <c r="P4053">
        <v>-6.24048478971349E-2</v>
      </c>
      <c r="Q4053">
        <v>9.7067534475485204E-2</v>
      </c>
      <c r="R4053">
        <v>0.97788949877301301</v>
      </c>
      <c r="S4053" t="s">
        <v>9914</v>
      </c>
      <c r="T4053" t="s">
        <v>11720</v>
      </c>
      <c r="U4053" t="s">
        <v>11720</v>
      </c>
      <c r="V4053" t="s">
        <v>11720</v>
      </c>
      <c r="W4053" t="s">
        <v>15719</v>
      </c>
      <c r="X4053">
        <v>3</v>
      </c>
      <c r="Y4053" t="s">
        <v>21433</v>
      </c>
      <c r="Z4053" t="s">
        <v>27260</v>
      </c>
      <c r="AA4053">
        <v>0.48850161871701231</v>
      </c>
      <c r="AB4053" t="str">
        <f>HYPERLINK("Melting_Curves/meltCurve_Q8N0T1_C8orf59.pdf", "Melting_Curves/meltCurve_Q8N0T1_C8orf59.pdf")</f>
        <v>Melting_Curves/meltCurve_Q8N0T1_C8orf59.pdf</v>
      </c>
    </row>
    <row r="4054" spans="1:28" x14ac:dyDescent="0.25">
      <c r="A4054" t="s">
        <v>4058</v>
      </c>
      <c r="B4054">
        <v>0.99334974765950101</v>
      </c>
      <c r="C4054">
        <v>0.98830968155878296</v>
      </c>
      <c r="D4054">
        <v>1.0949324111002801</v>
      </c>
      <c r="E4054">
        <v>0.84026684367145699</v>
      </c>
      <c r="F4054">
        <v>0.76501647899764502</v>
      </c>
      <c r="G4054">
        <v>0.53675620984957695</v>
      </c>
      <c r="H4054">
        <v>0.25865397218432401</v>
      </c>
      <c r="I4054">
        <v>0.16781692681959501</v>
      </c>
      <c r="J4054">
        <v>0.320994680054073</v>
      </c>
      <c r="K4054">
        <v>0.15088077717579701</v>
      </c>
      <c r="L4054">
        <v>1045.27302327814</v>
      </c>
      <c r="M4054">
        <v>18.812170866876102</v>
      </c>
      <c r="N4054">
        <v>56.8370248639362</v>
      </c>
      <c r="O4054">
        <v>54.947218050130999</v>
      </c>
      <c r="P4054">
        <v>-7.0876764786844001E-2</v>
      </c>
      <c r="Q4054">
        <v>0.17195742522153201</v>
      </c>
      <c r="R4054">
        <v>0.96633196020317702</v>
      </c>
      <c r="S4054" t="s">
        <v>9915</v>
      </c>
      <c r="T4054" t="s">
        <v>11720</v>
      </c>
      <c r="U4054" t="s">
        <v>11720</v>
      </c>
      <c r="V4054" t="s">
        <v>11720</v>
      </c>
      <c r="W4054" t="s">
        <v>15720</v>
      </c>
      <c r="X4054">
        <v>1</v>
      </c>
      <c r="Y4054" t="s">
        <v>21434</v>
      </c>
      <c r="Z4054" t="s">
        <v>27261</v>
      </c>
      <c r="AA4054">
        <v>0.61333163446074968</v>
      </c>
      <c r="AB4054" t="str">
        <f>HYPERLINK("Melting_Curves/meltCurve_Q8N0U4_FAM185A.pdf", "Melting_Curves/meltCurve_Q8N0U4_FAM185A.pdf")</f>
        <v>Melting_Curves/meltCurve_Q8N0U4_FAM185A.pdf</v>
      </c>
    </row>
    <row r="4055" spans="1:28" x14ac:dyDescent="0.25">
      <c r="A4055" t="s">
        <v>4059</v>
      </c>
      <c r="B4055">
        <v>0.99334974765950101</v>
      </c>
      <c r="C4055">
        <v>0.81022506896730295</v>
      </c>
      <c r="D4055">
        <v>0.82440031952802195</v>
      </c>
      <c r="E4055">
        <v>0.743667196591421</v>
      </c>
      <c r="F4055">
        <v>0.50647364507849302</v>
      </c>
      <c r="G4055">
        <v>0.405368140482396</v>
      </c>
      <c r="H4055">
        <v>0.341821331240309</v>
      </c>
      <c r="I4055">
        <v>0.34960112566594298</v>
      </c>
      <c r="J4055">
        <v>0.36073276655705599</v>
      </c>
      <c r="K4055">
        <v>0.28614645050228599</v>
      </c>
      <c r="L4055">
        <v>533.05469177035695</v>
      </c>
      <c r="M4055">
        <v>10.5228791725593</v>
      </c>
      <c r="N4055">
        <v>54.524788172377598</v>
      </c>
      <c r="O4055">
        <v>48.929887577464399</v>
      </c>
      <c r="P4055">
        <v>-3.9641264057389602E-2</v>
      </c>
      <c r="Q4055">
        <v>0.26298998887691</v>
      </c>
      <c r="R4055">
        <v>0.95969717636336704</v>
      </c>
      <c r="S4055" t="s">
        <v>9916</v>
      </c>
      <c r="T4055" t="s">
        <v>11720</v>
      </c>
      <c r="U4055" t="s">
        <v>11720</v>
      </c>
      <c r="V4055" t="s">
        <v>11720</v>
      </c>
      <c r="W4055" t="s">
        <v>15721</v>
      </c>
      <c r="X4055">
        <v>2</v>
      </c>
      <c r="Y4055" t="s">
        <v>21435</v>
      </c>
      <c r="Z4055" t="s">
        <v>27262</v>
      </c>
      <c r="AA4055">
        <v>0.55431898644104394</v>
      </c>
      <c r="AB4055" t="str">
        <f>HYPERLINK("Melting_Curves/meltCurve_Q8N0U8_VKORC1L1.pdf", "Melting_Curves/meltCurve_Q8N0U8_VKORC1L1.pdf")</f>
        <v>Melting_Curves/meltCurve_Q8N0U8_VKORC1L1.pdf</v>
      </c>
    </row>
    <row r="4056" spans="1:28" x14ac:dyDescent="0.25">
      <c r="A4056" t="s">
        <v>4060</v>
      </c>
      <c r="B4056">
        <v>0.99334974765950101</v>
      </c>
      <c r="C4056">
        <v>1.14389231521773</v>
      </c>
      <c r="D4056">
        <v>1.18601171432744</v>
      </c>
      <c r="E4056">
        <v>1.4696653141251499</v>
      </c>
      <c r="F4056">
        <v>0.89380827693492904</v>
      </c>
      <c r="G4056">
        <v>1.3435700238797199</v>
      </c>
      <c r="H4056">
        <v>0.74700320329911396</v>
      </c>
      <c r="I4056">
        <v>0.31533355841639399</v>
      </c>
      <c r="J4056">
        <v>0.30727016467448598</v>
      </c>
      <c r="K4056">
        <v>0.28897329740714001</v>
      </c>
      <c r="L4056">
        <v>7600.7954742716502</v>
      </c>
      <c r="M4056">
        <v>124.03781585412</v>
      </c>
      <c r="N4056">
        <v>61.740696316569498</v>
      </c>
      <c r="O4056">
        <v>61.262125357848198</v>
      </c>
      <c r="P4056">
        <v>-0.35299535084762801</v>
      </c>
      <c r="Q4056">
        <v>0.30262412986171899</v>
      </c>
      <c r="R4056">
        <v>0.76844184652834602</v>
      </c>
      <c r="S4056" t="s">
        <v>9917</v>
      </c>
      <c r="T4056" t="s">
        <v>11720</v>
      </c>
      <c r="U4056" t="s">
        <v>11720</v>
      </c>
      <c r="V4056" t="s">
        <v>11720</v>
      </c>
      <c r="W4056" t="s">
        <v>15722</v>
      </c>
      <c r="X4056">
        <v>1</v>
      </c>
      <c r="Y4056" t="s">
        <v>21436</v>
      </c>
      <c r="Z4056" t="s">
        <v>27263</v>
      </c>
      <c r="AA4056">
        <v>0.79755561438275346</v>
      </c>
      <c r="AB4056" t="str">
        <f>HYPERLINK("Melting_Curves/meltCurve_Q8N0W3_FUK.pdf", "Melting_Curves/meltCurve_Q8N0W3_FUK.pdf")</f>
        <v>Melting_Curves/meltCurve_Q8N0W3_FUK.pdf</v>
      </c>
    </row>
    <row r="4057" spans="1:28" x14ac:dyDescent="0.25">
      <c r="A4057" t="s">
        <v>4061</v>
      </c>
      <c r="B4057">
        <v>0.99334974765950101</v>
      </c>
      <c r="C4057">
        <v>0.90092447080733196</v>
      </c>
      <c r="D4057">
        <v>1.17715104319762</v>
      </c>
      <c r="E4057">
        <v>0.85282677309728305</v>
      </c>
      <c r="F4057">
        <v>0.73320624503063203</v>
      </c>
      <c r="G4057">
        <v>0.35908186364092198</v>
      </c>
      <c r="H4057">
        <v>0.19540426801552599</v>
      </c>
      <c r="I4057">
        <v>0.25301986740340698</v>
      </c>
      <c r="J4057">
        <v>0.17141607715729201</v>
      </c>
      <c r="K4057">
        <v>0.19882344017533601</v>
      </c>
      <c r="L4057">
        <v>1430.3497972463099</v>
      </c>
      <c r="M4057">
        <v>26.4119679543529</v>
      </c>
      <c r="N4057">
        <v>55.155687326627501</v>
      </c>
      <c r="O4057">
        <v>53.847772063469499</v>
      </c>
      <c r="P4057">
        <v>-9.9288712891832304E-2</v>
      </c>
      <c r="Q4057">
        <v>0.19030366919811201</v>
      </c>
      <c r="R4057">
        <v>0.96059427305406997</v>
      </c>
      <c r="S4057" t="s">
        <v>9918</v>
      </c>
      <c r="T4057" t="s">
        <v>11720</v>
      </c>
      <c r="U4057" t="s">
        <v>11720</v>
      </c>
      <c r="V4057" t="s">
        <v>11720</v>
      </c>
      <c r="W4057" t="s">
        <v>15723</v>
      </c>
      <c r="X4057">
        <v>1</v>
      </c>
      <c r="Y4057" t="s">
        <v>21437</v>
      </c>
      <c r="Z4057" t="s">
        <v>27264</v>
      </c>
      <c r="AA4057">
        <v>0.57913310763132964</v>
      </c>
      <c r="AB4057" t="str">
        <f>HYPERLINK("Melting_Curves/meltCurve_Q8N0X4_CLYBL.pdf", "Melting_Curves/meltCurve_Q8N0X4_CLYBL.pdf")</f>
        <v>Melting_Curves/meltCurve_Q8N0X4_CLYBL.pdf</v>
      </c>
    </row>
    <row r="4058" spans="1:28" x14ac:dyDescent="0.25">
      <c r="A4058" t="s">
        <v>4062</v>
      </c>
      <c r="B4058">
        <v>0.99334974765950101</v>
      </c>
      <c r="C4058">
        <v>0.97801520736030101</v>
      </c>
      <c r="D4058">
        <v>0.82367291023087297</v>
      </c>
      <c r="E4058">
        <v>0.52621301772059503</v>
      </c>
      <c r="F4058">
        <v>0.210009075657033</v>
      </c>
      <c r="G4058">
        <v>0.116815781776623</v>
      </c>
      <c r="H4058">
        <v>7.8148393185676901E-2</v>
      </c>
      <c r="I4058">
        <v>7.4053373207708106E-2</v>
      </c>
      <c r="J4058">
        <v>8.24272841738736E-2</v>
      </c>
      <c r="K4058">
        <v>6.1175965227353697E-2</v>
      </c>
      <c r="L4058">
        <v>1082.22288994887</v>
      </c>
      <c r="M4058">
        <v>21.834277235990999</v>
      </c>
      <c r="N4058">
        <v>49.879247188427897</v>
      </c>
      <c r="O4058">
        <v>49.1551718598812</v>
      </c>
      <c r="P4058">
        <v>-0.103921073697162</v>
      </c>
      <c r="Q4058">
        <v>6.4197938935444204E-2</v>
      </c>
      <c r="R4058">
        <v>0.99709365489045099</v>
      </c>
      <c r="S4058" t="s">
        <v>9919</v>
      </c>
      <c r="T4058" t="s">
        <v>11720</v>
      </c>
      <c r="U4058" t="s">
        <v>11720</v>
      </c>
      <c r="V4058" t="s">
        <v>11720</v>
      </c>
      <c r="W4058" t="s">
        <v>15724</v>
      </c>
      <c r="X4058">
        <v>12</v>
      </c>
      <c r="Y4058" t="s">
        <v>21438</v>
      </c>
      <c r="Z4058" t="s">
        <v>27265</v>
      </c>
      <c r="AA4058">
        <v>0.37352619996164282</v>
      </c>
      <c r="AB4058" t="str">
        <f>HYPERLINK("Melting_Curves/meltCurve_Q8N0X7_SPG20.pdf", "Melting_Curves/meltCurve_Q8N0X7_SPG20.pdf")</f>
        <v>Melting_Curves/meltCurve_Q8N0X7_SPG20.pdf</v>
      </c>
    </row>
    <row r="4059" spans="1:28" x14ac:dyDescent="0.25">
      <c r="A4059" t="s">
        <v>4063</v>
      </c>
      <c r="B4059">
        <v>0.99334974765950101</v>
      </c>
      <c r="C4059">
        <v>1.0823514926968101</v>
      </c>
      <c r="D4059">
        <v>0.79099804384931205</v>
      </c>
      <c r="E4059">
        <v>0.31218625775758202</v>
      </c>
      <c r="F4059">
        <v>0.28743184390598298</v>
      </c>
      <c r="G4059">
        <v>0.16592226556849199</v>
      </c>
      <c r="H4059">
        <v>0.121768547824785</v>
      </c>
      <c r="I4059">
        <v>0.11107317314293801</v>
      </c>
      <c r="J4059">
        <v>9.7010609520312194E-2</v>
      </c>
      <c r="K4059">
        <v>3.9981006647820297E-2</v>
      </c>
      <c r="L4059">
        <v>1261.3890584539599</v>
      </c>
      <c r="M4059">
        <v>26.164966213049102</v>
      </c>
      <c r="N4059">
        <v>48.688818992021503</v>
      </c>
      <c r="O4059">
        <v>47.930121594123598</v>
      </c>
      <c r="P4059">
        <v>-0.12096867655948799</v>
      </c>
      <c r="Q4059">
        <v>0.113627243071107</v>
      </c>
      <c r="R4059">
        <v>0.97698102331675596</v>
      </c>
      <c r="S4059" t="s">
        <v>9920</v>
      </c>
      <c r="T4059" t="s">
        <v>11720</v>
      </c>
      <c r="U4059" t="s">
        <v>11720</v>
      </c>
      <c r="V4059" t="s">
        <v>11720</v>
      </c>
      <c r="W4059" t="s">
        <v>15725</v>
      </c>
      <c r="X4059">
        <v>3</v>
      </c>
      <c r="Y4059" t="s">
        <v>21439</v>
      </c>
      <c r="Z4059" t="s">
        <v>27266</v>
      </c>
      <c r="AA4059">
        <v>0.36328688257478048</v>
      </c>
      <c r="AB4059" t="str">
        <f>HYPERLINK("Melting_Curves/meltCurve_Q8N0Z6_TTC5.pdf", "Melting_Curves/meltCurve_Q8N0Z6_TTC5.pdf")</f>
        <v>Melting_Curves/meltCurve_Q8N0Z6_TTC5.pdf</v>
      </c>
    </row>
    <row r="4060" spans="1:28" x14ac:dyDescent="0.25">
      <c r="A4060" t="s">
        <v>4064</v>
      </c>
      <c r="B4060">
        <v>0.99334974765950101</v>
      </c>
      <c r="C4060">
        <v>1.0156625986471199</v>
      </c>
      <c r="D4060">
        <v>1.08722322706584</v>
      </c>
      <c r="E4060">
        <v>1.1741749589631301</v>
      </c>
      <c r="F4060">
        <v>1.08075921217452</v>
      </c>
      <c r="G4060">
        <v>1.1218529492748399</v>
      </c>
      <c r="H4060">
        <v>1.07673456871485</v>
      </c>
      <c r="I4060">
        <v>1.70597176737962</v>
      </c>
      <c r="J4060">
        <v>1.42194872977216</v>
      </c>
      <c r="K4060">
        <v>0.94688245952274797</v>
      </c>
      <c r="L4060">
        <v>580.48995656718796</v>
      </c>
      <c r="M4060">
        <v>10.9520038947212</v>
      </c>
      <c r="O4060">
        <v>51.327879658899903</v>
      </c>
      <c r="P4060">
        <v>1.62201619310339E-2</v>
      </c>
      <c r="Q4060">
        <v>1.3039666192444299</v>
      </c>
      <c r="R4060">
        <v>0.21344149447100599</v>
      </c>
      <c r="S4060" t="s">
        <v>9921</v>
      </c>
      <c r="T4060" t="s">
        <v>11720</v>
      </c>
      <c r="U4060" t="s">
        <v>11720</v>
      </c>
      <c r="V4060" t="s">
        <v>11720</v>
      </c>
      <c r="W4060" t="s">
        <v>15726</v>
      </c>
      <c r="X4060">
        <v>6</v>
      </c>
      <c r="Y4060" t="s">
        <v>21440</v>
      </c>
      <c r="Z4060" t="s">
        <v>27267</v>
      </c>
      <c r="AA4060">
        <v>1.162683847715839</v>
      </c>
      <c r="AB4060" t="str">
        <f>HYPERLINK("Melting_Curves/meltCurve_Q8N108_17_MIER1.pdf", "Melting_Curves/meltCurve_Q8N108_17_MIER1.pdf")</f>
        <v>Melting_Curves/meltCurve_Q8N108_17_MIER1.pdf</v>
      </c>
    </row>
    <row r="4061" spans="1:28" x14ac:dyDescent="0.25">
      <c r="A4061" t="s">
        <v>4065</v>
      </c>
      <c r="B4061">
        <v>0.99334974765950101</v>
      </c>
      <c r="C4061">
        <v>0.92416636525358997</v>
      </c>
      <c r="D4061">
        <v>0.79158857055183096</v>
      </c>
      <c r="E4061">
        <v>0.83884176556022305</v>
      </c>
      <c r="F4061">
        <v>0.95641058115285205</v>
      </c>
      <c r="G4061">
        <v>0.80537414206999702</v>
      </c>
      <c r="H4061">
        <v>0.87674299830620295</v>
      </c>
      <c r="I4061">
        <v>1.0055826111145401</v>
      </c>
      <c r="J4061">
        <v>1.17537763630657</v>
      </c>
      <c r="K4061">
        <v>0.85649379877880605</v>
      </c>
      <c r="L4061">
        <v>3032.9997967798799</v>
      </c>
      <c r="M4061">
        <v>72.963007942678203</v>
      </c>
      <c r="O4061">
        <v>41.537812661637403</v>
      </c>
      <c r="P4061">
        <v>-3.7954425248058303E-2</v>
      </c>
      <c r="Q4061">
        <v>0.91357025731508001</v>
      </c>
      <c r="R4061">
        <v>4.6732842842021297E-2</v>
      </c>
      <c r="S4061" t="s">
        <v>9922</v>
      </c>
      <c r="T4061" t="s">
        <v>11720</v>
      </c>
      <c r="U4061" t="s">
        <v>11720</v>
      </c>
      <c r="V4061" t="s">
        <v>11720</v>
      </c>
      <c r="W4061" t="s">
        <v>15727</v>
      </c>
      <c r="X4061">
        <v>2</v>
      </c>
      <c r="Y4061" t="s">
        <v>21441</v>
      </c>
      <c r="Z4061" t="s">
        <v>27268</v>
      </c>
      <c r="AA4061">
        <v>0.91824705514375549</v>
      </c>
      <c r="AB4061" t="str">
        <f>HYPERLINK("Melting_Curves/meltCurve_Q8N111_CEND1.pdf", "Melting_Curves/meltCurve_Q8N111_CEND1.pdf")</f>
        <v>Melting_Curves/meltCurve_Q8N111_CEND1.pdf</v>
      </c>
    </row>
    <row r="4062" spans="1:28" x14ac:dyDescent="0.25">
      <c r="A4062" t="s">
        <v>4066</v>
      </c>
      <c r="B4062">
        <v>0.99334974765950101</v>
      </c>
      <c r="C4062">
        <v>0.98731569437761002</v>
      </c>
      <c r="D4062">
        <v>1.02134909939614</v>
      </c>
      <c r="E4062">
        <v>0.91183851307358199</v>
      </c>
      <c r="F4062">
        <v>0.41046473766293201</v>
      </c>
      <c r="G4062">
        <v>0.274034440128683</v>
      </c>
      <c r="H4062">
        <v>0.21082280030358599</v>
      </c>
      <c r="I4062">
        <v>0.18702722906771399</v>
      </c>
      <c r="J4062">
        <v>0.16792848441150901</v>
      </c>
      <c r="K4062">
        <v>0.119608481471649</v>
      </c>
      <c r="L4062">
        <v>2552.63890008711</v>
      </c>
      <c r="M4062">
        <v>49.0735306531408</v>
      </c>
      <c r="N4062">
        <v>52.521699131341101</v>
      </c>
      <c r="O4062">
        <v>51.930454262424497</v>
      </c>
      <c r="P4062">
        <v>-0.191808669709957</v>
      </c>
      <c r="Q4062">
        <v>0.188099818922008</v>
      </c>
      <c r="R4062">
        <v>0.99138374458283496</v>
      </c>
      <c r="S4062" t="s">
        <v>9923</v>
      </c>
      <c r="T4062" t="s">
        <v>11720</v>
      </c>
      <c r="U4062" t="s">
        <v>11720</v>
      </c>
      <c r="V4062" t="s">
        <v>11720</v>
      </c>
      <c r="W4062" t="s">
        <v>15728</v>
      </c>
      <c r="X4062">
        <v>7</v>
      </c>
      <c r="Y4062" t="s">
        <v>21442</v>
      </c>
      <c r="Z4062" t="s">
        <v>27269</v>
      </c>
      <c r="AA4062">
        <v>0.51524364799624078</v>
      </c>
      <c r="AB4062" t="str">
        <f>HYPERLINK("Melting_Curves/meltCurve_Q8N122_RPTOR.pdf", "Melting_Curves/meltCurve_Q8N122_RPTOR.pdf")</f>
        <v>Melting_Curves/meltCurve_Q8N122_RPTOR.pdf</v>
      </c>
    </row>
    <row r="4063" spans="1:28" x14ac:dyDescent="0.25">
      <c r="A4063" t="s">
        <v>4067</v>
      </c>
      <c r="B4063">
        <v>0.99334974765950101</v>
      </c>
      <c r="C4063">
        <v>1.0080676181500301</v>
      </c>
      <c r="D4063">
        <v>0.961752103846085</v>
      </c>
      <c r="E4063">
        <v>0.85815409862871295</v>
      </c>
      <c r="F4063">
        <v>0.79437185840400104</v>
      </c>
      <c r="G4063">
        <v>0.69147002560588799</v>
      </c>
      <c r="H4063">
        <v>0.686426526295843</v>
      </c>
      <c r="I4063">
        <v>0.742665298126023</v>
      </c>
      <c r="J4063">
        <v>0.80688303919247195</v>
      </c>
      <c r="K4063">
        <v>0.72361386907228897</v>
      </c>
      <c r="L4063">
        <v>1343.63369288628</v>
      </c>
      <c r="M4063">
        <v>26.985253052382401</v>
      </c>
      <c r="O4063">
        <v>49.520398046501299</v>
      </c>
      <c r="P4063">
        <v>-3.6608657365624603E-2</v>
      </c>
      <c r="Q4063">
        <v>0.73128187117710097</v>
      </c>
      <c r="R4063">
        <v>0.91924776971044997</v>
      </c>
      <c r="S4063" t="s">
        <v>9924</v>
      </c>
      <c r="T4063" t="s">
        <v>11720</v>
      </c>
      <c r="U4063" t="s">
        <v>11720</v>
      </c>
      <c r="V4063" t="s">
        <v>11720</v>
      </c>
      <c r="W4063" t="s">
        <v>15729</v>
      </c>
      <c r="X4063">
        <v>10</v>
      </c>
      <c r="Y4063" t="s">
        <v>21443</v>
      </c>
      <c r="Z4063" t="s">
        <v>27270</v>
      </c>
      <c r="AA4063">
        <v>0.82103950506943213</v>
      </c>
      <c r="AB4063" t="str">
        <f>HYPERLINK("Melting_Curves/meltCurve_Q8N129_CNPY4.pdf", "Melting_Curves/meltCurve_Q8N129_CNPY4.pdf")</f>
        <v>Melting_Curves/meltCurve_Q8N129_CNPY4.pdf</v>
      </c>
    </row>
    <row r="4064" spans="1:28" x14ac:dyDescent="0.25">
      <c r="A4064" t="s">
        <v>4068</v>
      </c>
      <c r="B4064">
        <v>0.99334974765950101</v>
      </c>
      <c r="C4064">
        <v>1.02805690140289</v>
      </c>
      <c r="D4064">
        <v>0.99531905659094499</v>
      </c>
      <c r="E4064">
        <v>0.92051407924835604</v>
      </c>
      <c r="F4064">
        <v>0.73372053941144599</v>
      </c>
      <c r="G4064">
        <v>0.73552182026357205</v>
      </c>
      <c r="H4064">
        <v>0.50516247118172797</v>
      </c>
      <c r="I4064">
        <v>0.45748981805497402</v>
      </c>
      <c r="J4064">
        <v>0.36927020450300602</v>
      </c>
      <c r="K4064">
        <v>0.391498701794954</v>
      </c>
      <c r="L4064">
        <v>708.36280202636897</v>
      </c>
      <c r="M4064">
        <v>12.343319372076101</v>
      </c>
      <c r="N4064">
        <v>61.974796795560003</v>
      </c>
      <c r="O4064">
        <v>55.944453346468698</v>
      </c>
      <c r="P4064">
        <v>-3.8650716829375799E-2</v>
      </c>
      <c r="Q4064">
        <v>0.29943445417584902</v>
      </c>
      <c r="R4064">
        <v>0.97428256374622402</v>
      </c>
      <c r="S4064" t="s">
        <v>9925</v>
      </c>
      <c r="T4064" t="s">
        <v>11720</v>
      </c>
      <c r="U4064" t="s">
        <v>11720</v>
      </c>
      <c r="V4064" t="s">
        <v>11720</v>
      </c>
      <c r="W4064" t="s">
        <v>15730</v>
      </c>
      <c r="X4064">
        <v>1</v>
      </c>
      <c r="Y4064" t="s">
        <v>21444</v>
      </c>
      <c r="Z4064" t="s">
        <v>27271</v>
      </c>
      <c r="AA4064">
        <v>0.71627466726516031</v>
      </c>
      <c r="AB4064" t="str">
        <f>HYPERLINK("Melting_Curves/meltCurve_Q8N130_SLC34A3.pdf", "Melting_Curves/meltCurve_Q8N130_SLC34A3.pdf")</f>
        <v>Melting_Curves/meltCurve_Q8N130_SLC34A3.pdf</v>
      </c>
    </row>
    <row r="4065" spans="1:28" x14ac:dyDescent="0.25">
      <c r="A4065" t="s">
        <v>4069</v>
      </c>
      <c r="B4065">
        <v>0.99334974765950101</v>
      </c>
      <c r="C4065">
        <v>1.0789107455587801</v>
      </c>
      <c r="D4065">
        <v>1.3626505243710301</v>
      </c>
      <c r="E4065">
        <v>0.76159025309821304</v>
      </c>
      <c r="F4065">
        <v>0.57264650289503205</v>
      </c>
      <c r="G4065">
        <v>0.29279079187085599</v>
      </c>
      <c r="H4065">
        <v>0.218975702053711</v>
      </c>
      <c r="I4065">
        <v>0.214377086721528</v>
      </c>
      <c r="J4065">
        <v>0.24617127414658699</v>
      </c>
      <c r="K4065">
        <v>0.17754910611835401</v>
      </c>
      <c r="L4065">
        <v>1566.3897873718199</v>
      </c>
      <c r="M4065">
        <v>29.8817049240985</v>
      </c>
      <c r="N4065">
        <v>53.421776714518103</v>
      </c>
      <c r="O4065">
        <v>52.186606516257598</v>
      </c>
      <c r="P4065">
        <v>-0.112437475139881</v>
      </c>
      <c r="Q4065">
        <v>0.214543959070607</v>
      </c>
      <c r="R4065">
        <v>0.90614759277025803</v>
      </c>
      <c r="S4065" t="s">
        <v>9926</v>
      </c>
      <c r="T4065" t="s">
        <v>11720</v>
      </c>
      <c r="U4065" t="s">
        <v>11720</v>
      </c>
      <c r="V4065" t="s">
        <v>11720</v>
      </c>
      <c r="W4065" t="s">
        <v>15731</v>
      </c>
      <c r="X4065">
        <v>2</v>
      </c>
      <c r="Y4065" t="s">
        <v>21445</v>
      </c>
      <c r="Z4065" t="s">
        <v>27272</v>
      </c>
      <c r="AA4065">
        <v>0.5448051517490643</v>
      </c>
      <c r="AB4065" t="str">
        <f>HYPERLINK("Melting_Curves/meltCurve_Q8N138_4_ORMDL3.pdf", "Melting_Curves/meltCurve_Q8N138_4_ORMDL3.pdf")</f>
        <v>Melting_Curves/meltCurve_Q8N138_4_ORMDL3.pdf</v>
      </c>
    </row>
    <row r="4066" spans="1:28" x14ac:dyDescent="0.25">
      <c r="A4066" t="s">
        <v>4070</v>
      </c>
      <c r="B4066">
        <v>0.99334974765950101</v>
      </c>
      <c r="C4066">
        <v>0.93897338639541905</v>
      </c>
      <c r="D4066">
        <v>0.92255074974551099</v>
      </c>
      <c r="E4066">
        <v>0.86334604002105697</v>
      </c>
      <c r="F4066">
        <v>0.65558330047465996</v>
      </c>
      <c r="G4066">
        <v>0.47911541155524801</v>
      </c>
      <c r="H4066">
        <v>0.36675009798633701</v>
      </c>
      <c r="I4066">
        <v>0.28737065906350501</v>
      </c>
      <c r="J4066">
        <v>0.21357559535567699</v>
      </c>
      <c r="K4066">
        <v>0.18898385514329599</v>
      </c>
      <c r="L4066">
        <v>656.37882351177996</v>
      </c>
      <c r="M4066">
        <v>11.8121886496525</v>
      </c>
      <c r="N4066">
        <v>56.909382220848897</v>
      </c>
      <c r="O4066">
        <v>54.047055698856397</v>
      </c>
      <c r="P4066">
        <v>-4.8011294765306398E-2</v>
      </c>
      <c r="Q4066">
        <v>0.121516111589641</v>
      </c>
      <c r="R4066">
        <v>0.99421537627530399</v>
      </c>
      <c r="S4066" t="s">
        <v>9927</v>
      </c>
      <c r="T4066" t="s">
        <v>11720</v>
      </c>
      <c r="U4066" t="s">
        <v>11720</v>
      </c>
      <c r="V4066" t="s">
        <v>11720</v>
      </c>
      <c r="W4066" t="s">
        <v>15732</v>
      </c>
      <c r="X4066">
        <v>7</v>
      </c>
      <c r="Y4066" t="s">
        <v>21446</v>
      </c>
      <c r="Z4066" t="s">
        <v>27273</v>
      </c>
      <c r="AA4066">
        <v>0.59666400860887492</v>
      </c>
      <c r="AB4066" t="str">
        <f>HYPERLINK("Melting_Curves/meltCurve_Q8N142_ADSSL1.pdf", "Melting_Curves/meltCurve_Q8N142_ADSSL1.pdf")</f>
        <v>Melting_Curves/meltCurve_Q8N142_ADSSL1.pdf</v>
      </c>
    </row>
    <row r="4067" spans="1:28" x14ac:dyDescent="0.25">
      <c r="A4067" t="s">
        <v>4071</v>
      </c>
      <c r="B4067">
        <v>0.99334974765950101</v>
      </c>
      <c r="C4067">
        <v>1.0276762389626</v>
      </c>
      <c r="D4067">
        <v>0.69326270781216404</v>
      </c>
      <c r="E4067">
        <v>0.51823613335212504</v>
      </c>
      <c r="F4067">
        <v>0.252247360342713</v>
      </c>
      <c r="G4067">
        <v>0.26862777461444598</v>
      </c>
      <c r="H4067">
        <v>0.208190603267605</v>
      </c>
      <c r="I4067">
        <v>0.181895412793043</v>
      </c>
      <c r="J4067">
        <v>0.16284920086924801</v>
      </c>
      <c r="K4067">
        <v>8.51336011251594E-2</v>
      </c>
      <c r="L4067">
        <v>867.38864976138495</v>
      </c>
      <c r="M4067">
        <v>17.868317220859101</v>
      </c>
      <c r="N4067">
        <v>49.574628732388</v>
      </c>
      <c r="O4067">
        <v>47.9476219281201</v>
      </c>
      <c r="P4067">
        <v>-7.8708893481214598E-2</v>
      </c>
      <c r="Q4067">
        <v>0.155217014402108</v>
      </c>
      <c r="R4067">
        <v>0.97123790530031395</v>
      </c>
      <c r="S4067" t="s">
        <v>9928</v>
      </c>
      <c r="T4067" t="s">
        <v>11720</v>
      </c>
      <c r="U4067" t="s">
        <v>11720</v>
      </c>
      <c r="V4067" t="s">
        <v>11720</v>
      </c>
      <c r="W4067" t="s">
        <v>15733</v>
      </c>
      <c r="X4067">
        <v>2</v>
      </c>
      <c r="Y4067" t="s">
        <v>21447</v>
      </c>
      <c r="Z4067" t="s">
        <v>27274</v>
      </c>
      <c r="AA4067">
        <v>0.41078955729379962</v>
      </c>
      <c r="AB4067" t="str">
        <f>HYPERLINK("Melting_Curves/meltCurve_Q8N163_2_KIAA1967.pdf", "Melting_Curves/meltCurve_Q8N163_2_KIAA1967.pdf")</f>
        <v>Melting_Curves/meltCurve_Q8N163_2_KIAA1967.pdf</v>
      </c>
    </row>
    <row r="4068" spans="1:28" x14ac:dyDescent="0.25">
      <c r="A4068" t="s">
        <v>4072</v>
      </c>
      <c r="B4068">
        <v>0.99334974765950101</v>
      </c>
      <c r="C4068">
        <v>1.0335305089794899</v>
      </c>
      <c r="D4068">
        <v>0.92795751976529905</v>
      </c>
      <c r="E4068">
        <v>0.742217497892522</v>
      </c>
      <c r="F4068">
        <v>0.66826541966086495</v>
      </c>
      <c r="G4068">
        <v>0.51508790828099604</v>
      </c>
      <c r="H4068">
        <v>0.47314413667368999</v>
      </c>
      <c r="I4068">
        <v>0.606618053832781</v>
      </c>
      <c r="J4068">
        <v>0.66521027701003799</v>
      </c>
      <c r="K4068">
        <v>0.56345930745798201</v>
      </c>
      <c r="L4068">
        <v>1288.3029961371001</v>
      </c>
      <c r="M4068">
        <v>26.098987851596899</v>
      </c>
      <c r="O4068">
        <v>49.075119282642</v>
      </c>
      <c r="P4068">
        <v>-5.7510657221932597E-2</v>
      </c>
      <c r="Q4068">
        <v>0.56744527310171</v>
      </c>
      <c r="R4068">
        <v>0.92216948862241699</v>
      </c>
      <c r="S4068" t="s">
        <v>9929</v>
      </c>
      <c r="T4068" t="s">
        <v>11720</v>
      </c>
      <c r="U4068" t="s">
        <v>11720</v>
      </c>
      <c r="V4068" t="s">
        <v>11720</v>
      </c>
      <c r="W4068" t="s">
        <v>15734</v>
      </c>
      <c r="X4068">
        <v>16</v>
      </c>
      <c r="Y4068" t="s">
        <v>21448</v>
      </c>
      <c r="Z4068" t="s">
        <v>27275</v>
      </c>
      <c r="AA4068">
        <v>0.7059538287214745</v>
      </c>
      <c r="AB4068" t="str">
        <f>HYPERLINK("Melting_Curves/meltCurve_Q8N183_NDUFAF2.pdf", "Melting_Curves/meltCurve_Q8N183_NDUFAF2.pdf")</f>
        <v>Melting_Curves/meltCurve_Q8N183_NDUFAF2.pdf</v>
      </c>
    </row>
    <row r="4069" spans="1:28" x14ac:dyDescent="0.25">
      <c r="A4069" t="s">
        <v>4073</v>
      </c>
      <c r="B4069">
        <v>0.99334974765950101</v>
      </c>
      <c r="C4069">
        <v>0.94441352390054101</v>
      </c>
      <c r="D4069">
        <v>0.84966136356045496</v>
      </c>
      <c r="E4069">
        <v>0.67778472397988199</v>
      </c>
      <c r="F4069">
        <v>0.39331199506574799</v>
      </c>
      <c r="G4069">
        <v>0.19652958543791299</v>
      </c>
      <c r="H4069">
        <v>0.14808143595978701</v>
      </c>
      <c r="I4069">
        <v>0.105153315891022</v>
      </c>
      <c r="J4069">
        <v>7.76169476373402E-2</v>
      </c>
      <c r="K4069">
        <v>8.0785390793894393E-2</v>
      </c>
      <c r="L4069">
        <v>845.48364957065496</v>
      </c>
      <c r="M4069">
        <v>16.472294175549301</v>
      </c>
      <c r="N4069">
        <v>51.771078343094601</v>
      </c>
      <c r="O4069">
        <v>50.5890361564636</v>
      </c>
      <c r="P4069">
        <v>-7.6051733075036695E-2</v>
      </c>
      <c r="Q4069">
        <v>6.5797469564035399E-2</v>
      </c>
      <c r="R4069">
        <v>0.99649377350881496</v>
      </c>
      <c r="S4069" t="s">
        <v>9930</v>
      </c>
      <c r="T4069" t="s">
        <v>11720</v>
      </c>
      <c r="U4069" t="s">
        <v>11720</v>
      </c>
      <c r="V4069" t="s">
        <v>11720</v>
      </c>
      <c r="W4069" t="s">
        <v>15735</v>
      </c>
      <c r="X4069">
        <v>4</v>
      </c>
      <c r="Y4069" t="s">
        <v>21449</v>
      </c>
      <c r="Z4069" t="s">
        <v>27276</v>
      </c>
      <c r="AA4069">
        <v>0.43683109459107811</v>
      </c>
      <c r="AB4069" t="str">
        <f>HYPERLINK("Melting_Curves/meltCurve_Q8N1A6_C4orf33.pdf", "Melting_Curves/meltCurve_Q8N1A6_C4orf33.pdf")</f>
        <v>Melting_Curves/meltCurve_Q8N1A6_C4orf33.pdf</v>
      </c>
    </row>
    <row r="4070" spans="1:28" x14ac:dyDescent="0.25">
      <c r="A4070" t="s">
        <v>4074</v>
      </c>
      <c r="B4070">
        <v>0.99334974765950101</v>
      </c>
      <c r="C4070">
        <v>1.1522191495529901</v>
      </c>
      <c r="D4070">
        <v>1.13574830564913</v>
      </c>
      <c r="E4070">
        <v>0.77301334723112203</v>
      </c>
      <c r="F4070">
        <v>0.30839063537112099</v>
      </c>
      <c r="G4070">
        <v>0.189992194690521</v>
      </c>
      <c r="H4070">
        <v>0.18837322250664601</v>
      </c>
      <c r="I4070">
        <v>0.16457587161072701</v>
      </c>
      <c r="J4070">
        <v>0.110078991729417</v>
      </c>
      <c r="K4070">
        <v>0.10127377115068401</v>
      </c>
      <c r="L4070">
        <v>2275.7279558076202</v>
      </c>
      <c r="M4070">
        <v>44.440747527449602</v>
      </c>
      <c r="N4070">
        <v>51.619602630147398</v>
      </c>
      <c r="O4070">
        <v>51.104773330310202</v>
      </c>
      <c r="P4070">
        <v>-0.184974742506024</v>
      </c>
      <c r="Q4070">
        <v>0.149152074327112</v>
      </c>
      <c r="R4070">
        <v>0.97227949715753303</v>
      </c>
      <c r="S4070" t="s">
        <v>9931</v>
      </c>
      <c r="T4070" t="s">
        <v>11720</v>
      </c>
      <c r="U4070" t="s">
        <v>11720</v>
      </c>
      <c r="V4070" t="s">
        <v>11720</v>
      </c>
      <c r="W4070" t="s">
        <v>15736</v>
      </c>
      <c r="X4070">
        <v>1</v>
      </c>
      <c r="Y4070" t="s">
        <v>21450</v>
      </c>
      <c r="Z4070" t="s">
        <v>27277</v>
      </c>
      <c r="AA4070">
        <v>0.46946891169390997</v>
      </c>
      <c r="AB4070" t="str">
        <f>HYPERLINK("Melting_Curves/meltCurve_Q8N1B4_VPS52.pdf", "Melting_Curves/meltCurve_Q8N1B4_VPS52.pdf")</f>
        <v>Melting_Curves/meltCurve_Q8N1B4_VPS52.pdf</v>
      </c>
    </row>
    <row r="4071" spans="1:28" x14ac:dyDescent="0.25">
      <c r="A4071" t="s">
        <v>4075</v>
      </c>
      <c r="B4071">
        <v>0.99334974765950101</v>
      </c>
      <c r="C4071">
        <v>0.95058502742552797</v>
      </c>
      <c r="D4071">
        <v>0.81950858782589997</v>
      </c>
      <c r="E4071">
        <v>0.54029879566358496</v>
      </c>
      <c r="F4071">
        <v>0.33101581252283901</v>
      </c>
      <c r="G4071">
        <v>0.25194220964612901</v>
      </c>
      <c r="H4071">
        <v>0.224993180238025</v>
      </c>
      <c r="I4071">
        <v>0.24538324180658999</v>
      </c>
      <c r="J4071">
        <v>0.25867045218755302</v>
      </c>
      <c r="K4071">
        <v>0.221063726869103</v>
      </c>
      <c r="L4071">
        <v>1020.69925590769</v>
      </c>
      <c r="M4071">
        <v>20.9266202507388</v>
      </c>
      <c r="N4071">
        <v>50.2388396313345</v>
      </c>
      <c r="O4071">
        <v>48.336313438169903</v>
      </c>
      <c r="P4071">
        <v>-8.3533412487355393E-2</v>
      </c>
      <c r="Q4071">
        <v>0.22823901565938001</v>
      </c>
      <c r="R4071">
        <v>0.99733265197449295</v>
      </c>
      <c r="S4071" t="s">
        <v>9932</v>
      </c>
      <c r="T4071" t="s">
        <v>11720</v>
      </c>
      <c r="U4071" t="s">
        <v>11720</v>
      </c>
      <c r="V4071" t="s">
        <v>11720</v>
      </c>
      <c r="W4071" t="s">
        <v>15737</v>
      </c>
      <c r="X4071">
        <v>11</v>
      </c>
      <c r="Y4071" t="s">
        <v>21451</v>
      </c>
      <c r="Z4071" t="s">
        <v>27278</v>
      </c>
      <c r="AA4071">
        <v>0.46385487157619198</v>
      </c>
      <c r="AB4071" t="str">
        <f>HYPERLINK("Melting_Curves/meltCurve_Q8N1F7_NUP93.pdf", "Melting_Curves/meltCurve_Q8N1F7_NUP93.pdf")</f>
        <v>Melting_Curves/meltCurve_Q8N1F7_NUP93.pdf</v>
      </c>
    </row>
    <row r="4072" spans="1:28" x14ac:dyDescent="0.25">
      <c r="A4072" t="s">
        <v>4076</v>
      </c>
      <c r="B4072">
        <v>0.99334974765950101</v>
      </c>
      <c r="C4072">
        <v>1.0922434377593999</v>
      </c>
      <c r="D4072">
        <v>1.03600487906506</v>
      </c>
      <c r="E4072">
        <v>1.3147207678071899</v>
      </c>
      <c r="F4072">
        <v>1.28601969459048</v>
      </c>
      <c r="G4072">
        <v>0.43259717566429801</v>
      </c>
      <c r="H4072">
        <v>0.38248965650370798</v>
      </c>
      <c r="I4072">
        <v>0.37489721439470802</v>
      </c>
      <c r="J4072">
        <v>0.37566981858783999</v>
      </c>
      <c r="K4072">
        <v>0.28699039572656398</v>
      </c>
      <c r="L4072">
        <v>14136.587819394799</v>
      </c>
      <c r="M4072">
        <v>250</v>
      </c>
      <c r="N4072">
        <v>56.827752967463297</v>
      </c>
      <c r="O4072">
        <v>56.542732704443502</v>
      </c>
      <c r="P4072">
        <v>-0.71294337172887001</v>
      </c>
      <c r="Q4072">
        <v>0.35501173694744198</v>
      </c>
      <c r="R4072">
        <v>0.876531856288425</v>
      </c>
      <c r="S4072" t="s">
        <v>9933</v>
      </c>
      <c r="T4072" t="s">
        <v>11720</v>
      </c>
      <c r="U4072" t="s">
        <v>11720</v>
      </c>
      <c r="V4072" t="s">
        <v>11720</v>
      </c>
      <c r="W4072" t="s">
        <v>15738</v>
      </c>
      <c r="X4072">
        <v>5</v>
      </c>
      <c r="Y4072" t="s">
        <v>21452</v>
      </c>
      <c r="Z4072" t="s">
        <v>27279</v>
      </c>
      <c r="AA4072">
        <v>0.71081582328381887</v>
      </c>
      <c r="AB4072" t="str">
        <f>HYPERLINK("Melting_Curves/meltCurve_Q8N1G2_FTSJD2.pdf", "Melting_Curves/meltCurve_Q8N1G2_FTSJD2.pdf")</f>
        <v>Melting_Curves/meltCurve_Q8N1G2_FTSJD2.pdf</v>
      </c>
    </row>
    <row r="4073" spans="1:28" x14ac:dyDescent="0.25">
      <c r="A4073" t="s">
        <v>4077</v>
      </c>
      <c r="B4073">
        <v>0.99334974765950101</v>
      </c>
      <c r="C4073">
        <v>1.09513681048842</v>
      </c>
      <c r="D4073">
        <v>1.04827109264227</v>
      </c>
      <c r="E4073">
        <v>0.52435646134296898</v>
      </c>
      <c r="F4073">
        <v>0.338523813738908</v>
      </c>
      <c r="G4073">
        <v>0.13591388800083201</v>
      </c>
      <c r="H4073">
        <v>9.9595643061369296E-2</v>
      </c>
      <c r="I4073">
        <v>8.4498206212402505E-2</v>
      </c>
      <c r="J4073">
        <v>7.2419114753987004E-2</v>
      </c>
      <c r="K4073">
        <v>6.3089783362450302E-2</v>
      </c>
      <c r="L4073">
        <v>1416.49522299266</v>
      </c>
      <c r="M4073">
        <v>28.092247428701501</v>
      </c>
      <c r="N4073">
        <v>50.770569560177996</v>
      </c>
      <c r="O4073">
        <v>50.1695608215026</v>
      </c>
      <c r="P4073">
        <v>-0.12774187097067799</v>
      </c>
      <c r="Q4073">
        <v>8.7477910121005406E-2</v>
      </c>
      <c r="R4073">
        <v>0.98135136188659</v>
      </c>
      <c r="S4073" t="s">
        <v>9934</v>
      </c>
      <c r="T4073" t="s">
        <v>11720</v>
      </c>
      <c r="U4073" t="s">
        <v>11720</v>
      </c>
      <c r="V4073" t="s">
        <v>11720</v>
      </c>
      <c r="W4073" t="s">
        <v>15739</v>
      </c>
      <c r="X4073">
        <v>20</v>
      </c>
      <c r="Y4073" t="s">
        <v>21453</v>
      </c>
      <c r="Z4073" t="s">
        <v>27280</v>
      </c>
      <c r="AA4073">
        <v>0.41100485206164772</v>
      </c>
      <c r="AB4073" t="str">
        <f>HYPERLINK("Melting_Curves/meltCurve_Q8N1G4_LRRC47.pdf", "Melting_Curves/meltCurve_Q8N1G4_LRRC47.pdf")</f>
        <v>Melting_Curves/meltCurve_Q8N1G4_LRRC47.pdf</v>
      </c>
    </row>
    <row r="4074" spans="1:28" x14ac:dyDescent="0.25">
      <c r="A4074" t="s">
        <v>4078</v>
      </c>
      <c r="B4074">
        <v>0.99334974765950101</v>
      </c>
      <c r="C4074">
        <v>0.95672960232453397</v>
      </c>
      <c r="D4074">
        <v>0.82792975093146903</v>
      </c>
      <c r="E4074">
        <v>0.764842480488373</v>
      </c>
      <c r="F4074">
        <v>0.47742904927289498</v>
      </c>
      <c r="G4074">
        <v>0.27018293929808201</v>
      </c>
      <c r="H4074">
        <v>0.19281361804400099</v>
      </c>
      <c r="I4074">
        <v>0.162527728201355</v>
      </c>
      <c r="J4074">
        <v>0.12867643245479701</v>
      </c>
      <c r="K4074">
        <v>9.0271380429374395E-2</v>
      </c>
      <c r="L4074">
        <v>756.35897848460797</v>
      </c>
      <c r="M4074">
        <v>14.4405594275269</v>
      </c>
      <c r="N4074">
        <v>53.028184355721102</v>
      </c>
      <c r="O4074">
        <v>51.403683882046202</v>
      </c>
      <c r="P4074">
        <v>-6.4535782951532894E-2</v>
      </c>
      <c r="Q4074">
        <v>8.1202312894647105E-2</v>
      </c>
      <c r="R4074">
        <v>0.99049874522430303</v>
      </c>
      <c r="S4074" t="s">
        <v>9935</v>
      </c>
      <c r="T4074" t="s">
        <v>11720</v>
      </c>
      <c r="U4074" t="s">
        <v>11720</v>
      </c>
      <c r="V4074" t="s">
        <v>11720</v>
      </c>
      <c r="W4074" t="s">
        <v>15740</v>
      </c>
      <c r="X4074">
        <v>4</v>
      </c>
      <c r="Y4074" t="s">
        <v>21454</v>
      </c>
      <c r="Z4074" t="s">
        <v>27281</v>
      </c>
      <c r="AA4074">
        <v>0.48169788154950838</v>
      </c>
      <c r="AB4074" t="str">
        <f>HYPERLINK("Melting_Curves/meltCurve_Q8N1Q1_CA13.pdf", "Melting_Curves/meltCurve_Q8N1Q1_CA13.pdf")</f>
        <v>Melting_Curves/meltCurve_Q8N1Q1_CA13.pdf</v>
      </c>
    </row>
    <row r="4075" spans="1:28" x14ac:dyDescent="0.25">
      <c r="A4075" t="s">
        <v>4079</v>
      </c>
      <c r="B4075">
        <v>0.99334974765950101</v>
      </c>
      <c r="C4075">
        <v>1.20170533219135</v>
      </c>
      <c r="D4075">
        <v>1.2014990564467101</v>
      </c>
      <c r="E4075">
        <v>1.25962654903111</v>
      </c>
      <c r="F4075">
        <v>1.3472849310425199</v>
      </c>
      <c r="G4075">
        <v>1.06317856557679</v>
      </c>
      <c r="H4075">
        <v>1.2286359313700801</v>
      </c>
      <c r="I4075">
        <v>2.1878611155377499</v>
      </c>
      <c r="J4075">
        <v>1.3510180768389199</v>
      </c>
      <c r="K4075">
        <v>0.87416316249177906</v>
      </c>
      <c r="L4075">
        <v>544.02449832021296</v>
      </c>
      <c r="M4075">
        <v>12.074731709947301</v>
      </c>
      <c r="O4075">
        <v>43.872411748500603</v>
      </c>
      <c r="P4075">
        <v>2.48705441167014E-2</v>
      </c>
      <c r="Q4075">
        <v>1.3613741714483201</v>
      </c>
      <c r="R4075">
        <v>9.6396660412456897E-2</v>
      </c>
      <c r="S4075" t="s">
        <v>9936</v>
      </c>
      <c r="T4075" t="s">
        <v>11720</v>
      </c>
      <c r="U4075" t="s">
        <v>11720</v>
      </c>
      <c r="V4075" t="s">
        <v>11720</v>
      </c>
      <c r="W4075" t="s">
        <v>15741</v>
      </c>
      <c r="X4075">
        <v>2</v>
      </c>
      <c r="Y4075" t="s">
        <v>21455</v>
      </c>
      <c r="Z4075" t="s">
        <v>27282</v>
      </c>
      <c r="AA4075">
        <v>1.282739271904648</v>
      </c>
      <c r="AB4075" t="str">
        <f>HYPERLINK("Melting_Curves/meltCurve_Q8N1S5_2_SLC39A11.pdf", "Melting_Curves/meltCurve_Q8N1S5_2_SLC39A11.pdf")</f>
        <v>Melting_Curves/meltCurve_Q8N1S5_2_SLC39A11.pdf</v>
      </c>
    </row>
    <row r="4076" spans="1:28" x14ac:dyDescent="0.25">
      <c r="A4076" t="s">
        <v>4080</v>
      </c>
      <c r="B4076">
        <v>0.99334974765950101</v>
      </c>
      <c r="C4076">
        <v>0.887045766753362</v>
      </c>
      <c r="D4076">
        <v>0.66562923220301795</v>
      </c>
      <c r="E4076">
        <v>0.39957168535886001</v>
      </c>
      <c r="F4076">
        <v>0.30731091970593499</v>
      </c>
      <c r="G4076">
        <v>0.23486100063055601</v>
      </c>
      <c r="H4076">
        <v>0.197910788855512</v>
      </c>
      <c r="I4076">
        <v>0.136043077626989</v>
      </c>
      <c r="J4076">
        <v>0.14337561934172899</v>
      </c>
      <c r="K4076">
        <v>0.12312077135937299</v>
      </c>
      <c r="L4076">
        <v>741.60637523059097</v>
      </c>
      <c r="M4076">
        <v>15.5751277206623</v>
      </c>
      <c r="N4076">
        <v>48.663822820452602</v>
      </c>
      <c r="O4076">
        <v>46.850582240084499</v>
      </c>
      <c r="P4076">
        <v>-7.1265352865992004E-2</v>
      </c>
      <c r="Q4076">
        <v>0.142599158901492</v>
      </c>
      <c r="R4076">
        <v>0.99402692609166299</v>
      </c>
      <c r="S4076" t="s">
        <v>9937</v>
      </c>
      <c r="T4076" t="s">
        <v>11720</v>
      </c>
      <c r="U4076" t="s">
        <v>11720</v>
      </c>
      <c r="V4076" t="s">
        <v>11720</v>
      </c>
      <c r="W4076" t="s">
        <v>15742</v>
      </c>
      <c r="X4076">
        <v>3</v>
      </c>
      <c r="Y4076" t="s">
        <v>21456</v>
      </c>
      <c r="Z4076" t="s">
        <v>27283</v>
      </c>
      <c r="AA4076">
        <v>0.38106883368825761</v>
      </c>
      <c r="AB4076" t="str">
        <f>HYPERLINK("Melting_Curves/meltCurve_Q8N1W1_3_ARHGEF28.pdf", "Melting_Curves/meltCurve_Q8N1W1_3_ARHGEF28.pdf")</f>
        <v>Melting_Curves/meltCurve_Q8N1W1_3_ARHGEF28.pdf</v>
      </c>
    </row>
    <row r="4077" spans="1:28" x14ac:dyDescent="0.25">
      <c r="A4077" t="s">
        <v>4081</v>
      </c>
      <c r="B4077">
        <v>0.99334974765950101</v>
      </c>
      <c r="C4077">
        <v>0.93007781003534895</v>
      </c>
      <c r="D4077">
        <v>0.85671238610780498</v>
      </c>
      <c r="E4077">
        <v>0.72667637823385201</v>
      </c>
      <c r="F4077">
        <v>0.487949660171133</v>
      </c>
      <c r="G4077">
        <v>0.34432917256926798</v>
      </c>
      <c r="H4077">
        <v>0.24294777945347701</v>
      </c>
      <c r="I4077">
        <v>0.21824726500281699</v>
      </c>
      <c r="J4077">
        <v>0.20487985373111101</v>
      </c>
      <c r="K4077">
        <v>0.19350948480230101</v>
      </c>
      <c r="L4077">
        <v>731.78104932062297</v>
      </c>
      <c r="M4077">
        <v>14.151067024756999</v>
      </c>
      <c r="N4077">
        <v>53.243622690360802</v>
      </c>
      <c r="O4077">
        <v>50.712258287149901</v>
      </c>
      <c r="P4077">
        <v>-5.8105024614340597E-2</v>
      </c>
      <c r="Q4077">
        <v>0.16719686374369699</v>
      </c>
      <c r="R4077">
        <v>0.99587279834157805</v>
      </c>
      <c r="S4077" t="s">
        <v>9938</v>
      </c>
      <c r="T4077" t="s">
        <v>11720</v>
      </c>
      <c r="U4077" t="s">
        <v>11720</v>
      </c>
      <c r="V4077" t="s">
        <v>11720</v>
      </c>
      <c r="W4077" t="s">
        <v>15743</v>
      </c>
      <c r="X4077">
        <v>5</v>
      </c>
      <c r="Y4077" t="s">
        <v>21457</v>
      </c>
      <c r="Z4077" t="s">
        <v>27284</v>
      </c>
      <c r="AA4077">
        <v>0.5128876921607497</v>
      </c>
      <c r="AB4077" t="str">
        <f>HYPERLINK("Melting_Curves/meltCurve_Q8N283_ANKRD35.pdf", "Melting_Curves/meltCurve_Q8N283_ANKRD35.pdf")</f>
        <v>Melting_Curves/meltCurve_Q8N283_ANKRD35.pdf</v>
      </c>
    </row>
    <row r="4078" spans="1:28" x14ac:dyDescent="0.25">
      <c r="A4078" t="s">
        <v>4082</v>
      </c>
      <c r="B4078">
        <v>0.99334974765950101</v>
      </c>
      <c r="C4078">
        <v>0.84923556570106096</v>
      </c>
      <c r="D4078">
        <v>0.70177728238152504</v>
      </c>
      <c r="E4078">
        <v>0.246926680950213</v>
      </c>
      <c r="F4078">
        <v>8.8899121794312003E-2</v>
      </c>
      <c r="G4078">
        <v>5.9154385462462399E-2</v>
      </c>
      <c r="H4078">
        <v>4.4419363091973203E-2</v>
      </c>
      <c r="I4078">
        <v>3.4378560129012303E-2</v>
      </c>
      <c r="J4078">
        <v>4.4096459974314099E-2</v>
      </c>
      <c r="K4078">
        <v>5.1158613331574697E-2</v>
      </c>
      <c r="L4078">
        <v>1063.2675341408999</v>
      </c>
      <c r="M4078">
        <v>22.4854598058728</v>
      </c>
      <c r="N4078">
        <v>47.443827459168702</v>
      </c>
      <c r="O4078">
        <v>46.917644047920803</v>
      </c>
      <c r="P4078">
        <v>-0.115521980757001</v>
      </c>
      <c r="Q4078">
        <v>3.5837692101491597E-2</v>
      </c>
      <c r="R4078">
        <v>0.99510272299724301</v>
      </c>
      <c r="S4078" t="s">
        <v>9939</v>
      </c>
      <c r="T4078" t="s">
        <v>11720</v>
      </c>
      <c r="U4078" t="s">
        <v>11720</v>
      </c>
      <c r="V4078" t="s">
        <v>11720</v>
      </c>
      <c r="W4078" t="s">
        <v>15744</v>
      </c>
      <c r="X4078">
        <v>7</v>
      </c>
      <c r="Y4078" t="s">
        <v>21458</v>
      </c>
      <c r="Z4078" t="s">
        <v>27285</v>
      </c>
      <c r="AA4078">
        <v>0.2808335933448517</v>
      </c>
      <c r="AB4078" t="str">
        <f>HYPERLINK("Melting_Curves/meltCurve_Q8N2F6_3_ARMC10.pdf", "Melting_Curves/meltCurve_Q8N2F6_3_ARMC10.pdf")</f>
        <v>Melting_Curves/meltCurve_Q8N2F6_3_ARMC10.pdf</v>
      </c>
    </row>
    <row r="4079" spans="1:28" x14ac:dyDescent="0.25">
      <c r="A4079" t="s">
        <v>4083</v>
      </c>
      <c r="B4079">
        <v>0.99334974765950101</v>
      </c>
      <c r="C4079">
        <v>0.97306395704811699</v>
      </c>
      <c r="D4079">
        <v>0.91412532402149105</v>
      </c>
      <c r="E4079">
        <v>0.81580746549664196</v>
      </c>
      <c r="F4079">
        <v>0.42031826180334603</v>
      </c>
      <c r="G4079">
        <v>0.244860497238164</v>
      </c>
      <c r="H4079">
        <v>0.17496021298157199</v>
      </c>
      <c r="I4079">
        <v>0.11595140347322599</v>
      </c>
      <c r="J4079">
        <v>0.109810104841279</v>
      </c>
      <c r="K4079">
        <v>9.7820321731860296E-2</v>
      </c>
      <c r="L4079">
        <v>1248.6131812057199</v>
      </c>
      <c r="M4079">
        <v>23.964258910217499</v>
      </c>
      <c r="N4079">
        <v>52.682532048559203</v>
      </c>
      <c r="O4079">
        <v>51.744371046318797</v>
      </c>
      <c r="P4079">
        <v>-0.102371171359551</v>
      </c>
      <c r="Q4079">
        <v>0.115841677565225</v>
      </c>
      <c r="R4079">
        <v>0.99218295596509598</v>
      </c>
      <c r="S4079" t="s">
        <v>9940</v>
      </c>
      <c r="T4079" t="s">
        <v>11720</v>
      </c>
      <c r="U4079" t="s">
        <v>11720</v>
      </c>
      <c r="V4079" t="s">
        <v>11720</v>
      </c>
      <c r="W4079" t="s">
        <v>15745</v>
      </c>
      <c r="X4079">
        <v>10</v>
      </c>
      <c r="Y4079" t="s">
        <v>21459</v>
      </c>
      <c r="Z4079" t="s">
        <v>27286</v>
      </c>
      <c r="AA4079">
        <v>0.4813044691254425</v>
      </c>
      <c r="AB4079" t="str">
        <f>HYPERLINK("Melting_Curves/meltCurve_Q8N2G8_3_GHDC.pdf", "Melting_Curves/meltCurve_Q8N2G8_3_GHDC.pdf")</f>
        <v>Melting_Curves/meltCurve_Q8N2G8_3_GHDC.pdf</v>
      </c>
    </row>
    <row r="4080" spans="1:28" x14ac:dyDescent="0.25">
      <c r="A4080" t="s">
        <v>4084</v>
      </c>
      <c r="B4080">
        <v>0.99334974765950101</v>
      </c>
      <c r="C4080">
        <v>0.903446735013408</v>
      </c>
      <c r="D4080">
        <v>0.912425941659472</v>
      </c>
      <c r="E4080">
        <v>0.76031294579814801</v>
      </c>
      <c r="F4080">
        <v>0.61316554623242803</v>
      </c>
      <c r="G4080">
        <v>0.46353550995352499</v>
      </c>
      <c r="H4080">
        <v>0.31223947664593599</v>
      </c>
      <c r="I4080">
        <v>0.21338904731335001</v>
      </c>
      <c r="J4080">
        <v>0.153730781506658</v>
      </c>
      <c r="K4080">
        <v>0.12486161200878</v>
      </c>
      <c r="L4080">
        <v>544.73264492926398</v>
      </c>
      <c r="M4080">
        <v>9.7580948027204197</v>
      </c>
      <c r="N4080">
        <v>55.823668034741999</v>
      </c>
      <c r="O4080">
        <v>53.630635746006199</v>
      </c>
      <c r="P4080">
        <v>-4.5511803419327597E-2</v>
      </c>
      <c r="Q4080">
        <v>0</v>
      </c>
      <c r="R4080">
        <v>0.99650445562464995</v>
      </c>
      <c r="S4080" t="s">
        <v>9941</v>
      </c>
      <c r="T4080" t="s">
        <v>11720</v>
      </c>
      <c r="U4080" t="s">
        <v>11720</v>
      </c>
      <c r="V4080" t="s">
        <v>11720</v>
      </c>
      <c r="W4080" t="s">
        <v>15746</v>
      </c>
      <c r="X4080">
        <v>12</v>
      </c>
      <c r="Y4080" t="s">
        <v>21460</v>
      </c>
      <c r="Z4080" t="s">
        <v>27287</v>
      </c>
      <c r="AA4080">
        <v>0.54945427379321177</v>
      </c>
      <c r="AB4080" t="str">
        <f>HYPERLINK("Melting_Curves/meltCurve_Q8N2H3_PYROXD2.pdf", "Melting_Curves/meltCurve_Q8N2H3_PYROXD2.pdf")</f>
        <v>Melting_Curves/meltCurve_Q8N2H3_PYROXD2.pdf</v>
      </c>
    </row>
    <row r="4081" spans="1:28" x14ac:dyDescent="0.25">
      <c r="A4081" t="s">
        <v>4085</v>
      </c>
      <c r="B4081">
        <v>0.99334974765950101</v>
      </c>
      <c r="C4081">
        <v>1.05113335415238</v>
      </c>
      <c r="D4081">
        <v>0.90762257656887801</v>
      </c>
      <c r="E4081">
        <v>0.80543092156774598</v>
      </c>
      <c r="F4081">
        <v>0.403767038748304</v>
      </c>
      <c r="G4081">
        <v>0.20264023459012401</v>
      </c>
      <c r="H4081">
        <v>0.167343387200734</v>
      </c>
      <c r="I4081">
        <v>0.13056995403854699</v>
      </c>
      <c r="J4081">
        <v>0.15533810396794001</v>
      </c>
      <c r="K4081">
        <v>0.11448656941509</v>
      </c>
      <c r="L4081">
        <v>1577.8112397012601</v>
      </c>
      <c r="M4081">
        <v>30.485192261668999</v>
      </c>
      <c r="N4081">
        <v>52.321003360870897</v>
      </c>
      <c r="O4081">
        <v>51.535463177972197</v>
      </c>
      <c r="P4081">
        <v>-0.12716499414641899</v>
      </c>
      <c r="Q4081">
        <v>0.140111466559632</v>
      </c>
      <c r="R4081">
        <v>0.99238134450502002</v>
      </c>
      <c r="S4081" t="s">
        <v>9942</v>
      </c>
      <c r="T4081" t="s">
        <v>11720</v>
      </c>
      <c r="U4081" t="s">
        <v>11720</v>
      </c>
      <c r="V4081" t="s">
        <v>11720</v>
      </c>
      <c r="W4081" t="s">
        <v>15747</v>
      </c>
      <c r="X4081">
        <v>15</v>
      </c>
      <c r="Y4081" t="s">
        <v>21461</v>
      </c>
      <c r="Z4081" t="s">
        <v>27288</v>
      </c>
      <c r="AA4081">
        <v>0.48239276315270052</v>
      </c>
      <c r="AB4081" t="str">
        <f>HYPERLINK("Melting_Curves/meltCurve_Q8N2K0_ABHD12.pdf", "Melting_Curves/meltCurve_Q8N2K0_ABHD12.pdf")</f>
        <v>Melting_Curves/meltCurve_Q8N2K0_ABHD12.pdf</v>
      </c>
    </row>
    <row r="4082" spans="1:28" x14ac:dyDescent="0.25">
      <c r="A4082" t="s">
        <v>4086</v>
      </c>
      <c r="B4082">
        <v>0.99334974765950101</v>
      </c>
      <c r="C4082">
        <v>1.0169111194940501</v>
      </c>
      <c r="D4082">
        <v>0.97535635493770001</v>
      </c>
      <c r="E4082">
        <v>0.82511536652265705</v>
      </c>
      <c r="F4082">
        <v>0.92746516639987397</v>
      </c>
      <c r="G4082">
        <v>0.67671482982745401</v>
      </c>
      <c r="H4082">
        <v>0.60232492510670699</v>
      </c>
      <c r="I4082">
        <v>0.82697745341326501</v>
      </c>
      <c r="J4082">
        <v>0.81544351529270898</v>
      </c>
      <c r="K4082">
        <v>0.80237376682462402</v>
      </c>
      <c r="L4082">
        <v>1099.7895592396201</v>
      </c>
      <c r="M4082">
        <v>21.932458070685598</v>
      </c>
      <c r="O4082">
        <v>49.733097233473003</v>
      </c>
      <c r="P4082">
        <v>-2.71205464276447E-2</v>
      </c>
      <c r="Q4082">
        <v>0.75401602524845801</v>
      </c>
      <c r="R4082">
        <v>0.63040289731282895</v>
      </c>
      <c r="S4082" t="s">
        <v>9943</v>
      </c>
      <c r="T4082" t="s">
        <v>11720</v>
      </c>
      <c r="U4082" t="s">
        <v>11720</v>
      </c>
      <c r="V4082" t="s">
        <v>11720</v>
      </c>
      <c r="W4082" t="s">
        <v>15748</v>
      </c>
      <c r="X4082">
        <v>2</v>
      </c>
      <c r="Y4082" t="s">
        <v>21462</v>
      </c>
      <c r="Z4082" t="s">
        <v>27289</v>
      </c>
      <c r="AA4082">
        <v>0.84005181242373539</v>
      </c>
      <c r="AB4082" t="str">
        <f>HYPERLINK("Melting_Curves/meltCurve_Q8N300_CCDC23.pdf", "Melting_Curves/meltCurve_Q8N300_CCDC23.pdf")</f>
        <v>Melting_Curves/meltCurve_Q8N300_CCDC23.pdf</v>
      </c>
    </row>
    <row r="4083" spans="1:28" x14ac:dyDescent="0.25">
      <c r="A4083" t="s">
        <v>4087</v>
      </c>
      <c r="B4083">
        <v>0.99334974765950101</v>
      </c>
      <c r="C4083">
        <v>0.98967841081496</v>
      </c>
      <c r="D4083">
        <v>0.953865308197687</v>
      </c>
      <c r="E4083">
        <v>0.673419193134565</v>
      </c>
      <c r="F4083">
        <v>0.31677649362810401</v>
      </c>
      <c r="G4083">
        <v>0.15180068389149101</v>
      </c>
      <c r="H4083">
        <v>0.11442819871858199</v>
      </c>
      <c r="I4083">
        <v>9.4856164729737499E-2</v>
      </c>
      <c r="J4083">
        <v>8.7497927983909193E-2</v>
      </c>
      <c r="K4083">
        <v>7.4945096473051406E-2</v>
      </c>
      <c r="L4083">
        <v>1404.9054401298399</v>
      </c>
      <c r="M4083">
        <v>27.549977038052699</v>
      </c>
      <c r="N4083">
        <v>51.368854175838102</v>
      </c>
      <c r="O4083">
        <v>50.728386392412503</v>
      </c>
      <c r="P4083">
        <v>-0.123433388085605</v>
      </c>
      <c r="Q4083">
        <v>9.0885741609461307E-2</v>
      </c>
      <c r="R4083">
        <v>0.99939946369372401</v>
      </c>
      <c r="S4083" t="s">
        <v>9944</v>
      </c>
      <c r="T4083" t="s">
        <v>11720</v>
      </c>
      <c r="U4083" t="s">
        <v>11720</v>
      </c>
      <c r="V4083" t="s">
        <v>11720</v>
      </c>
      <c r="W4083" t="s">
        <v>15749</v>
      </c>
      <c r="X4083">
        <v>12</v>
      </c>
      <c r="Y4083" t="s">
        <v>21463</v>
      </c>
      <c r="Z4083" t="s">
        <v>27290</v>
      </c>
      <c r="AA4083">
        <v>0.43084562592325631</v>
      </c>
      <c r="AB4083" t="str">
        <f>HYPERLINK("Melting_Curves/meltCurve_Q8N335_GPD1L.pdf", "Melting_Curves/meltCurve_Q8N335_GPD1L.pdf")</f>
        <v>Melting_Curves/meltCurve_Q8N335_GPD1L.pdf</v>
      </c>
    </row>
    <row r="4084" spans="1:28" x14ac:dyDescent="0.25">
      <c r="A4084" t="s">
        <v>4088</v>
      </c>
      <c r="B4084">
        <v>0.99334974765950101</v>
      </c>
      <c r="C4084">
        <v>0.98713064847827003</v>
      </c>
      <c r="D4084">
        <v>0.94435079193601801</v>
      </c>
      <c r="E4084">
        <v>0.81779617809702698</v>
      </c>
      <c r="F4084">
        <v>0.78871371233537602</v>
      </c>
      <c r="G4084">
        <v>0.745235176687842</v>
      </c>
      <c r="H4084">
        <v>0.71804105281058495</v>
      </c>
      <c r="I4084">
        <v>0.72220818206391502</v>
      </c>
      <c r="J4084">
        <v>0.71060745383933199</v>
      </c>
      <c r="K4084">
        <v>0.63549355125475004</v>
      </c>
      <c r="L4084">
        <v>684.43512651980495</v>
      </c>
      <c r="M4084">
        <v>13.6172883988284</v>
      </c>
      <c r="O4084">
        <v>49.215431702012303</v>
      </c>
      <c r="P4084">
        <v>-2.2035879974921201E-2</v>
      </c>
      <c r="Q4084">
        <v>0.68147980957871102</v>
      </c>
      <c r="R4084">
        <v>0.96377387294098804</v>
      </c>
      <c r="S4084" t="s">
        <v>9945</v>
      </c>
      <c r="T4084" t="s">
        <v>11720</v>
      </c>
      <c r="U4084" t="s">
        <v>11720</v>
      </c>
      <c r="V4084" t="s">
        <v>11720</v>
      </c>
      <c r="W4084" t="s">
        <v>15750</v>
      </c>
      <c r="X4084">
        <v>7</v>
      </c>
      <c r="Y4084" t="s">
        <v>21464</v>
      </c>
      <c r="Z4084" t="s">
        <v>27291</v>
      </c>
      <c r="AA4084">
        <v>0.79931415850858345</v>
      </c>
      <c r="AB4084" t="str">
        <f>HYPERLINK("Melting_Curves/meltCurve_Q8N350_DOS.pdf", "Melting_Curves/meltCurve_Q8N350_DOS.pdf")</f>
        <v>Melting_Curves/meltCurve_Q8N350_DOS.pdf</v>
      </c>
    </row>
    <row r="4085" spans="1:28" x14ac:dyDescent="0.25">
      <c r="A4085" t="s">
        <v>4089</v>
      </c>
      <c r="B4085">
        <v>0.99334974765950101</v>
      </c>
      <c r="C4085">
        <v>1.0391987642379501</v>
      </c>
      <c r="D4085">
        <v>1.00473843595447</v>
      </c>
      <c r="E4085">
        <v>1.01736209589038</v>
      </c>
      <c r="F4085">
        <v>0.94495315344302999</v>
      </c>
      <c r="G4085">
        <v>0.97708514001419899</v>
      </c>
      <c r="H4085">
        <v>0.97864908912651405</v>
      </c>
      <c r="I4085">
        <v>1.0233765422430801</v>
      </c>
      <c r="J4085">
        <v>1.0279042570094901</v>
      </c>
      <c r="K4085">
        <v>0.83833288960310703</v>
      </c>
      <c r="L4085">
        <v>15000</v>
      </c>
      <c r="M4085">
        <v>212.63981841564299</v>
      </c>
      <c r="Q4085">
        <v>0</v>
      </c>
      <c r="R4085">
        <v>0.76619656620485999</v>
      </c>
      <c r="S4085" t="s">
        <v>9946</v>
      </c>
      <c r="T4085" t="s">
        <v>11720</v>
      </c>
      <c r="U4085" t="s">
        <v>11720</v>
      </c>
      <c r="V4085" t="s">
        <v>11720</v>
      </c>
      <c r="W4085" t="s">
        <v>15751</v>
      </c>
      <c r="X4085">
        <v>4</v>
      </c>
      <c r="Y4085" t="s">
        <v>21465</v>
      </c>
      <c r="Z4085" t="s">
        <v>27292</v>
      </c>
      <c r="AA4085">
        <v>0.99809835168684757</v>
      </c>
      <c r="AB4085" t="str">
        <f>HYPERLINK("Melting_Curves/meltCurve_Q8N357_SLC35F6.pdf", "Melting_Curves/meltCurve_Q8N357_SLC35F6.pdf")</f>
        <v>Melting_Curves/meltCurve_Q8N357_SLC35F6.pdf</v>
      </c>
    </row>
    <row r="4086" spans="1:28" x14ac:dyDescent="0.25">
      <c r="A4086" t="s">
        <v>4090</v>
      </c>
      <c r="B4086">
        <v>0.99334974765950101</v>
      </c>
      <c r="C4086">
        <v>0.93245255357416101</v>
      </c>
      <c r="D4086">
        <v>0.89931017853180595</v>
      </c>
      <c r="E4086">
        <v>0.43001223885865503</v>
      </c>
      <c r="F4086">
        <v>0.13235144126888801</v>
      </c>
      <c r="G4086">
        <v>8.7384401872342504E-2</v>
      </c>
      <c r="H4086">
        <v>7.02748939384083E-2</v>
      </c>
      <c r="I4086">
        <v>6.22031974467286E-2</v>
      </c>
      <c r="J4086">
        <v>5.2610987819302603E-2</v>
      </c>
      <c r="K4086">
        <v>4.3153689583376197E-2</v>
      </c>
      <c r="L4086">
        <v>1472.4894217527501</v>
      </c>
      <c r="M4086">
        <v>29.915307348227099</v>
      </c>
      <c r="N4086">
        <v>49.418089470304999</v>
      </c>
      <c r="O4086">
        <v>49.003558998954901</v>
      </c>
      <c r="P4086">
        <v>-0.14407547873882601</v>
      </c>
      <c r="Q4086">
        <v>5.5979653400344602E-2</v>
      </c>
      <c r="R4086">
        <v>0.99707104112796296</v>
      </c>
      <c r="S4086" t="s">
        <v>9947</v>
      </c>
      <c r="T4086" t="s">
        <v>11720</v>
      </c>
      <c r="U4086" t="s">
        <v>11720</v>
      </c>
      <c r="V4086" t="s">
        <v>11720</v>
      </c>
      <c r="W4086" t="s">
        <v>15752</v>
      </c>
      <c r="X4086">
        <v>34</v>
      </c>
      <c r="Y4086" t="s">
        <v>21466</v>
      </c>
      <c r="Z4086" t="s">
        <v>27293</v>
      </c>
      <c r="AA4086">
        <v>0.35197128107644371</v>
      </c>
      <c r="AB4086" t="str">
        <f>HYPERLINK("Melting_Curves/meltCurve_Q8N392_ARHGAP18.pdf", "Melting_Curves/meltCurve_Q8N392_ARHGAP18.pdf")</f>
        <v>Melting_Curves/meltCurve_Q8N392_ARHGAP18.pdf</v>
      </c>
    </row>
    <row r="4087" spans="1:28" x14ac:dyDescent="0.25">
      <c r="A4087" t="s">
        <v>4091</v>
      </c>
      <c r="B4087">
        <v>0.99334974765950101</v>
      </c>
      <c r="C4087">
        <v>0.96016403606019296</v>
      </c>
      <c r="D4087">
        <v>0.76100194032331703</v>
      </c>
      <c r="E4087">
        <v>0.36239392223554501</v>
      </c>
      <c r="F4087">
        <v>0.29821621594276498</v>
      </c>
      <c r="G4087">
        <v>0.20373076518529401</v>
      </c>
      <c r="H4087">
        <v>0.17995484601029799</v>
      </c>
      <c r="I4087">
        <v>0.162348495972884</v>
      </c>
      <c r="J4087">
        <v>0.15314380347668899</v>
      </c>
      <c r="K4087">
        <v>0.12892322361603401</v>
      </c>
      <c r="L4087">
        <v>1052.9250011868101</v>
      </c>
      <c r="M4087">
        <v>21.993240771647699</v>
      </c>
      <c r="N4087">
        <v>48.742087991476502</v>
      </c>
      <c r="O4087">
        <v>47.4843901317629</v>
      </c>
      <c r="P4087">
        <v>-9.7047096162301005E-2</v>
      </c>
      <c r="Q4087">
        <v>0.161902412477857</v>
      </c>
      <c r="R4087">
        <v>0.99477745614411195</v>
      </c>
      <c r="S4087" t="s">
        <v>9948</v>
      </c>
      <c r="T4087" t="s">
        <v>11720</v>
      </c>
      <c r="U4087" t="s">
        <v>11720</v>
      </c>
      <c r="V4087" t="s">
        <v>11720</v>
      </c>
      <c r="W4087" t="s">
        <v>15753</v>
      </c>
      <c r="X4087">
        <v>31</v>
      </c>
      <c r="Y4087" t="s">
        <v>21467</v>
      </c>
      <c r="Z4087" t="s">
        <v>27294</v>
      </c>
      <c r="AA4087">
        <v>0.39164865774997731</v>
      </c>
      <c r="AB4087" t="str">
        <f>HYPERLINK("Melting_Curves/meltCurve_Q8N3D4_EHBP1L1.pdf", "Melting_Curves/meltCurve_Q8N3D4_EHBP1L1.pdf")</f>
        <v>Melting_Curves/meltCurve_Q8N3D4_EHBP1L1.pdf</v>
      </c>
    </row>
    <row r="4088" spans="1:28" x14ac:dyDescent="0.25">
      <c r="A4088" t="s">
        <v>4092</v>
      </c>
      <c r="B4088">
        <v>0.99334974765950101</v>
      </c>
      <c r="C4088">
        <v>0.97249593920954502</v>
      </c>
      <c r="D4088">
        <v>0.90658631827439096</v>
      </c>
      <c r="E4088">
        <v>0.82518989698532197</v>
      </c>
      <c r="F4088">
        <v>0.80145660020137999</v>
      </c>
      <c r="G4088">
        <v>1.10290883080132</v>
      </c>
      <c r="H4088">
        <v>0.42156647691367</v>
      </c>
      <c r="I4088">
        <v>0.25671261768428699</v>
      </c>
      <c r="J4088">
        <v>0.22472616339767101</v>
      </c>
      <c r="K4088">
        <v>0.18027188673396199</v>
      </c>
      <c r="L4088">
        <v>9333.2998938198107</v>
      </c>
      <c r="M4088">
        <v>154.06093887392399</v>
      </c>
      <c r="N4088">
        <v>60.811414816713501</v>
      </c>
      <c r="O4088">
        <v>60.571649092150999</v>
      </c>
      <c r="P4088">
        <v>-0.49566799342418599</v>
      </c>
      <c r="Q4088">
        <v>0.220478986359391</v>
      </c>
      <c r="R4088">
        <v>0.91919702092695899</v>
      </c>
      <c r="S4088" t="s">
        <v>9949</v>
      </c>
      <c r="T4088" t="s">
        <v>11720</v>
      </c>
      <c r="U4088" t="s">
        <v>11720</v>
      </c>
      <c r="V4088" t="s">
        <v>11720</v>
      </c>
      <c r="W4088" t="s">
        <v>15754</v>
      </c>
      <c r="X4088">
        <v>15</v>
      </c>
      <c r="Y4088" t="s">
        <v>21468</v>
      </c>
      <c r="Z4088" t="s">
        <v>27295</v>
      </c>
      <c r="AA4088">
        <v>0.75549733369210914</v>
      </c>
      <c r="AB4088" t="str">
        <f>HYPERLINK("Melting_Curves/meltCurve_Q8N3F8_MICALL1.pdf", "Melting_Curves/meltCurve_Q8N3F8_MICALL1.pdf")</f>
        <v>Melting_Curves/meltCurve_Q8N3F8_MICALL1.pdf</v>
      </c>
    </row>
    <row r="4089" spans="1:28" x14ac:dyDescent="0.25">
      <c r="A4089" t="s">
        <v>4093</v>
      </c>
      <c r="B4089">
        <v>0.99334974765950101</v>
      </c>
      <c r="C4089">
        <v>1.0490549437233301</v>
      </c>
      <c r="D4089">
        <v>0.91819696954358798</v>
      </c>
      <c r="E4089">
        <v>0.87719841713305702</v>
      </c>
      <c r="F4089">
        <v>0.86517100640206002</v>
      </c>
      <c r="G4089">
        <v>0.59974994323103903</v>
      </c>
      <c r="H4089">
        <v>0.52462988636331398</v>
      </c>
      <c r="I4089">
        <v>0.549854818921929</v>
      </c>
      <c r="J4089">
        <v>0.66692010644271205</v>
      </c>
      <c r="K4089">
        <v>0.75939875606665197</v>
      </c>
      <c r="L4089">
        <v>1565.46011906893</v>
      </c>
      <c r="M4089">
        <v>29.626750190856299</v>
      </c>
      <c r="O4089">
        <v>52.600430612115197</v>
      </c>
      <c r="P4089">
        <v>-5.4013967797753602E-2</v>
      </c>
      <c r="Q4089">
        <v>0.61640902284058796</v>
      </c>
      <c r="R4089">
        <v>0.81991780738327302</v>
      </c>
      <c r="S4089" t="s">
        <v>9950</v>
      </c>
      <c r="T4089" t="s">
        <v>11720</v>
      </c>
      <c r="U4089" t="s">
        <v>11720</v>
      </c>
      <c r="V4089" t="s">
        <v>11720</v>
      </c>
      <c r="W4089" t="s">
        <v>15755</v>
      </c>
      <c r="X4089">
        <v>8</v>
      </c>
      <c r="Y4089" t="s">
        <v>21469</v>
      </c>
      <c r="Z4089" t="s">
        <v>27296</v>
      </c>
      <c r="AA4089">
        <v>0.78312210850073716</v>
      </c>
      <c r="AB4089" t="str">
        <f>HYPERLINK("Melting_Curves/meltCurve_Q8N3V7_2_SYNPO.pdf", "Melting_Curves/meltCurve_Q8N3V7_2_SYNPO.pdf")</f>
        <v>Melting_Curves/meltCurve_Q8N3V7_2_SYNPO.pdf</v>
      </c>
    </row>
    <row r="4090" spans="1:28" x14ac:dyDescent="0.25">
      <c r="A4090" t="s">
        <v>4094</v>
      </c>
      <c r="B4090">
        <v>0.99334974765950101</v>
      </c>
      <c r="C4090">
        <v>0.98585040168831295</v>
      </c>
      <c r="D4090">
        <v>0.92577874435941998</v>
      </c>
      <c r="E4090">
        <v>0.95070232023032597</v>
      </c>
      <c r="F4090">
        <v>1.08312687451979</v>
      </c>
      <c r="G4090">
        <v>0.78024427633917304</v>
      </c>
      <c r="H4090">
        <v>0.67842228192466003</v>
      </c>
      <c r="I4090">
        <v>0.83237037871990105</v>
      </c>
      <c r="J4090">
        <v>0.77274845618531396</v>
      </c>
      <c r="K4090">
        <v>0.70822168459189005</v>
      </c>
      <c r="L4090">
        <v>14140.711775480901</v>
      </c>
      <c r="M4090">
        <v>250</v>
      </c>
      <c r="O4090">
        <v>56.559227471905103</v>
      </c>
      <c r="P4090">
        <v>-0.278534686146369</v>
      </c>
      <c r="Q4090">
        <v>0.74794069361022097</v>
      </c>
      <c r="R4090">
        <v>0.82325080332460399</v>
      </c>
      <c r="S4090" t="s">
        <v>9951</v>
      </c>
      <c r="T4090" t="s">
        <v>11720</v>
      </c>
      <c r="U4090" t="s">
        <v>11720</v>
      </c>
      <c r="V4090" t="s">
        <v>11720</v>
      </c>
      <c r="W4090" t="s">
        <v>15756</v>
      </c>
      <c r="X4090">
        <v>7</v>
      </c>
      <c r="Y4090" t="s">
        <v>21470</v>
      </c>
      <c r="Z4090" t="s">
        <v>27297</v>
      </c>
      <c r="AA4090">
        <v>0.88712637317199794</v>
      </c>
      <c r="AB4090" t="str">
        <f>HYPERLINK("Melting_Curves/meltCurve_Q8N3X1_FNBP4.pdf", "Melting_Curves/meltCurve_Q8N3X1_FNBP4.pdf")</f>
        <v>Melting_Curves/meltCurve_Q8N3X1_FNBP4.pdf</v>
      </c>
    </row>
    <row r="4091" spans="1:28" x14ac:dyDescent="0.25">
      <c r="A4091" t="s">
        <v>4095</v>
      </c>
      <c r="B4091">
        <v>0.99334974765950101</v>
      </c>
      <c r="C4091">
        <v>0.95960676287829805</v>
      </c>
      <c r="D4091">
        <v>1.1652237426066501</v>
      </c>
      <c r="E4091">
        <v>0.99248938005212295</v>
      </c>
      <c r="F4091">
        <v>0.78890084615936995</v>
      </c>
      <c r="G4091">
        <v>0.45659682891029402</v>
      </c>
      <c r="H4091">
        <v>0.18730715746177701</v>
      </c>
      <c r="I4091">
        <v>0.137567419262076</v>
      </c>
      <c r="J4091">
        <v>9.0173189844888299E-2</v>
      </c>
      <c r="K4091">
        <v>3.81856206884554E-2</v>
      </c>
      <c r="L4091">
        <v>1331.8714685125401</v>
      </c>
      <c r="M4091">
        <v>23.698898279909901</v>
      </c>
      <c r="N4091">
        <v>56.513649743319398</v>
      </c>
      <c r="O4091">
        <v>55.804151862555699</v>
      </c>
      <c r="P4091">
        <v>-9.9623674058040401E-2</v>
      </c>
      <c r="Q4091">
        <v>6.1674148432042497E-2</v>
      </c>
      <c r="R4091">
        <v>0.98031070279223698</v>
      </c>
      <c r="S4091" t="s">
        <v>9952</v>
      </c>
      <c r="T4091" t="s">
        <v>11720</v>
      </c>
      <c r="U4091" t="s">
        <v>11720</v>
      </c>
      <c r="V4091" t="s">
        <v>11720</v>
      </c>
      <c r="W4091" t="s">
        <v>15757</v>
      </c>
      <c r="X4091">
        <v>5</v>
      </c>
      <c r="Y4091" t="s">
        <v>21471</v>
      </c>
      <c r="Z4091" t="s">
        <v>27298</v>
      </c>
      <c r="AA4091">
        <v>0.57772231824536213</v>
      </c>
      <c r="AB4091" t="str">
        <f>HYPERLINK("Melting_Curves/meltCurve_Q8N465_D2HGDH.pdf", "Melting_Curves/meltCurve_Q8N465_D2HGDH.pdf")</f>
        <v>Melting_Curves/meltCurve_Q8N465_D2HGDH.pdf</v>
      </c>
    </row>
    <row r="4092" spans="1:28" x14ac:dyDescent="0.25">
      <c r="A4092" t="s">
        <v>4096</v>
      </c>
      <c r="B4092">
        <v>0.99334974765950101</v>
      </c>
      <c r="C4092">
        <v>0.92029188306744902</v>
      </c>
      <c r="D4092">
        <v>0.91367993374974898</v>
      </c>
      <c r="E4092">
        <v>0.72976134077822497</v>
      </c>
      <c r="F4092">
        <v>0.58513953991693402</v>
      </c>
      <c r="G4092">
        <v>0.67963296796392103</v>
      </c>
      <c r="H4092">
        <v>0.48267689990749002</v>
      </c>
      <c r="I4092">
        <v>0.49001395851264801</v>
      </c>
      <c r="J4092">
        <v>0.40036404251320101</v>
      </c>
      <c r="K4092">
        <v>0.35509507961902897</v>
      </c>
      <c r="L4092">
        <v>415.55962862168002</v>
      </c>
      <c r="M4092">
        <v>7.5448809031744801</v>
      </c>
      <c r="N4092">
        <v>60.943685440872201</v>
      </c>
      <c r="O4092">
        <v>51.607905261956397</v>
      </c>
      <c r="P4092">
        <v>-2.7153443842082601E-2</v>
      </c>
      <c r="Q4092">
        <v>0.25811188866817197</v>
      </c>
      <c r="R4092">
        <v>0.94353590868228698</v>
      </c>
      <c r="S4092" t="s">
        <v>9953</v>
      </c>
      <c r="T4092" t="s">
        <v>11720</v>
      </c>
      <c r="U4092" t="s">
        <v>11720</v>
      </c>
      <c r="V4092" t="s">
        <v>11720</v>
      </c>
      <c r="W4092" t="s">
        <v>15758</v>
      </c>
      <c r="X4092">
        <v>2</v>
      </c>
      <c r="Y4092" t="s">
        <v>21472</v>
      </c>
      <c r="Z4092" t="s">
        <v>27299</v>
      </c>
      <c r="AA4092">
        <v>0.65070121630804389</v>
      </c>
      <c r="AB4092" t="str">
        <f>HYPERLINK("Melting_Curves/meltCurve_Q8N474_SFRP1.pdf", "Melting_Curves/meltCurve_Q8N474_SFRP1.pdf")</f>
        <v>Melting_Curves/meltCurve_Q8N474_SFRP1.pdf</v>
      </c>
    </row>
    <row r="4093" spans="1:28" x14ac:dyDescent="0.25">
      <c r="A4093" t="s">
        <v>4097</v>
      </c>
      <c r="B4093">
        <v>0.99334974765950101</v>
      </c>
      <c r="C4093">
        <v>1.0932973782341799</v>
      </c>
      <c r="D4093">
        <v>0.89040302052670794</v>
      </c>
      <c r="E4093">
        <v>0.87515454901338696</v>
      </c>
      <c r="F4093">
        <v>0.75238040381178795</v>
      </c>
      <c r="G4093">
        <v>0.47660373845617698</v>
      </c>
      <c r="H4093">
        <v>0.38955388113703299</v>
      </c>
      <c r="I4093">
        <v>0.32728142283877099</v>
      </c>
      <c r="J4093">
        <v>0.40379899034477301</v>
      </c>
      <c r="K4093">
        <v>0.33934509029824</v>
      </c>
      <c r="L4093">
        <v>1103.7528291088399</v>
      </c>
      <c r="M4093">
        <v>20.524004961685499</v>
      </c>
      <c r="N4093">
        <v>56.942731396415397</v>
      </c>
      <c r="O4093">
        <v>53.275899350210103</v>
      </c>
      <c r="P4093">
        <v>-6.3550919265194503E-2</v>
      </c>
      <c r="Q4093">
        <v>0.34016147872469099</v>
      </c>
      <c r="R4093">
        <v>0.97066482680213595</v>
      </c>
      <c r="S4093" t="s">
        <v>9954</v>
      </c>
      <c r="T4093" t="s">
        <v>11720</v>
      </c>
      <c r="U4093" t="s">
        <v>11720</v>
      </c>
      <c r="V4093" t="s">
        <v>11720</v>
      </c>
      <c r="W4093" t="s">
        <v>15759</v>
      </c>
      <c r="X4093">
        <v>2</v>
      </c>
      <c r="Y4093" t="s">
        <v>21473</v>
      </c>
      <c r="Z4093" t="s">
        <v>27300</v>
      </c>
      <c r="AA4093">
        <v>0.65183944820509843</v>
      </c>
      <c r="AB4093" t="str">
        <f>HYPERLINK("Melting_Curves/meltCurve_Q8N488_RYBP.pdf", "Melting_Curves/meltCurve_Q8N488_RYBP.pdf")</f>
        <v>Melting_Curves/meltCurve_Q8N488_RYBP.pdf</v>
      </c>
    </row>
    <row r="4094" spans="1:28" x14ac:dyDescent="0.25">
      <c r="A4094" t="s">
        <v>4098</v>
      </c>
      <c r="B4094">
        <v>0.99334974765950101</v>
      </c>
      <c r="C4094">
        <v>1.00165277871972</v>
      </c>
      <c r="D4094">
        <v>0.81070535459570603</v>
      </c>
      <c r="E4094">
        <v>0.98159138422871595</v>
      </c>
      <c r="F4094">
        <v>0.77519433113249803</v>
      </c>
      <c r="G4094">
        <v>0.66321543722422005</v>
      </c>
      <c r="H4094">
        <v>0.54435528783465903</v>
      </c>
      <c r="I4094">
        <v>0.49140644231431602</v>
      </c>
      <c r="J4094">
        <v>0.52130864964732204</v>
      </c>
      <c r="K4094">
        <v>0.392793801382955</v>
      </c>
      <c r="L4094">
        <v>546.28525429340903</v>
      </c>
      <c r="M4094">
        <v>9.4860805518397395</v>
      </c>
      <c r="N4094">
        <v>64.345012798185095</v>
      </c>
      <c r="O4094">
        <v>55.203035402238299</v>
      </c>
      <c r="P4094">
        <v>-2.9430072833955399E-2</v>
      </c>
      <c r="Q4094">
        <v>0.31534912772248103</v>
      </c>
      <c r="R4094">
        <v>0.92088238417825496</v>
      </c>
      <c r="S4094" t="s">
        <v>9955</v>
      </c>
      <c r="T4094" t="s">
        <v>11720</v>
      </c>
      <c r="U4094" t="s">
        <v>11720</v>
      </c>
      <c r="V4094" t="s">
        <v>11720</v>
      </c>
      <c r="W4094" t="s">
        <v>15760</v>
      </c>
      <c r="X4094">
        <v>1</v>
      </c>
      <c r="Y4094" t="s">
        <v>21474</v>
      </c>
      <c r="Z4094" t="s">
        <v>27301</v>
      </c>
      <c r="AA4094">
        <v>0.72457111086568582</v>
      </c>
      <c r="AB4094" t="str">
        <f>HYPERLINK("Melting_Curves/meltCurve_Q8N490_2_PNKD.pdf", "Melting_Curves/meltCurve_Q8N490_2_PNKD.pdf")</f>
        <v>Melting_Curves/meltCurve_Q8N490_2_PNKD.pdf</v>
      </c>
    </row>
    <row r="4095" spans="1:28" x14ac:dyDescent="0.25">
      <c r="A4095" t="s">
        <v>4099</v>
      </c>
      <c r="B4095">
        <v>0.99334974765950101</v>
      </c>
      <c r="C4095">
        <v>0.91689984557358195</v>
      </c>
      <c r="D4095">
        <v>0.70121738800484401</v>
      </c>
      <c r="E4095">
        <v>0.55565238182937404</v>
      </c>
      <c r="F4095">
        <v>0.22937850568064799</v>
      </c>
      <c r="G4095">
        <v>0.13850060915582901</v>
      </c>
      <c r="H4095">
        <v>0.13251989724428401</v>
      </c>
      <c r="I4095">
        <v>0.121746356671551</v>
      </c>
      <c r="J4095">
        <v>0.150180294047774</v>
      </c>
      <c r="K4095">
        <v>0.11411926015696</v>
      </c>
      <c r="L4095">
        <v>809.71529624969105</v>
      </c>
      <c r="M4095">
        <v>16.6140108888276</v>
      </c>
      <c r="N4095">
        <v>49.428741267593203</v>
      </c>
      <c r="O4095">
        <v>48.047228531071298</v>
      </c>
      <c r="P4095">
        <v>-7.7483349462745904E-2</v>
      </c>
      <c r="Q4095">
        <v>0.103742469283311</v>
      </c>
      <c r="R4095">
        <v>0.98282414570384602</v>
      </c>
      <c r="S4095" t="s">
        <v>9956</v>
      </c>
      <c r="T4095" t="s">
        <v>11720</v>
      </c>
      <c r="U4095" t="s">
        <v>11720</v>
      </c>
      <c r="V4095" t="s">
        <v>11720</v>
      </c>
      <c r="W4095" t="s">
        <v>15761</v>
      </c>
      <c r="X4095">
        <v>11</v>
      </c>
      <c r="Y4095" t="s">
        <v>21475</v>
      </c>
      <c r="Z4095" t="s">
        <v>27302</v>
      </c>
      <c r="AA4095">
        <v>0.38307668282865109</v>
      </c>
      <c r="AB4095" t="str">
        <f>HYPERLINK("Melting_Curves/meltCurve_Q8N4C8_MINK1.pdf", "Melting_Curves/meltCurve_Q8N4C8_MINK1.pdf")</f>
        <v>Melting_Curves/meltCurve_Q8N4C8_MINK1.pdf</v>
      </c>
    </row>
    <row r="4096" spans="1:28" x14ac:dyDescent="0.25">
      <c r="A4096" t="s">
        <v>4100</v>
      </c>
      <c r="B4096">
        <v>0.99334974765950101</v>
      </c>
      <c r="C4096">
        <v>1.0221726094913</v>
      </c>
      <c r="D4096">
        <v>1.0941416774717201</v>
      </c>
      <c r="E4096">
        <v>0.82965769831929903</v>
      </c>
      <c r="F4096">
        <v>0.31456438008547999</v>
      </c>
      <c r="G4096">
        <v>0.26510424743188499</v>
      </c>
      <c r="H4096">
        <v>0.26287509102032403</v>
      </c>
      <c r="I4096">
        <v>0.43067612751646001</v>
      </c>
      <c r="J4096">
        <v>0.36426922498498099</v>
      </c>
      <c r="K4096">
        <v>0.39184080320625098</v>
      </c>
      <c r="L4096">
        <v>12552.9760240258</v>
      </c>
      <c r="M4096">
        <v>250</v>
      </c>
      <c r="N4096">
        <v>50.439578294395197</v>
      </c>
      <c r="O4096">
        <v>50.208691096979599</v>
      </c>
      <c r="P4096">
        <v>-0.82378486242126603</v>
      </c>
      <c r="Q4096">
        <v>0.33822144880011001</v>
      </c>
      <c r="R4096">
        <v>0.96892540865250698</v>
      </c>
      <c r="S4096" t="s">
        <v>9957</v>
      </c>
      <c r="T4096" t="s">
        <v>11720</v>
      </c>
      <c r="U4096" t="s">
        <v>11720</v>
      </c>
      <c r="V4096" t="s">
        <v>11720</v>
      </c>
      <c r="W4096" t="s">
        <v>15762</v>
      </c>
      <c r="X4096">
        <v>3</v>
      </c>
      <c r="Y4096" t="s">
        <v>21476</v>
      </c>
      <c r="Z4096" t="s">
        <v>27303</v>
      </c>
      <c r="AA4096">
        <v>0.56354706871780746</v>
      </c>
      <c r="AB4096" t="str">
        <f>HYPERLINK("Melting_Curves/meltCurve_Q8N4H5_TOMM5.pdf", "Melting_Curves/meltCurve_Q8N4H5_TOMM5.pdf")</f>
        <v>Melting_Curves/meltCurve_Q8N4H5_TOMM5.pdf</v>
      </c>
    </row>
    <row r="4097" spans="1:28" x14ac:dyDescent="0.25">
      <c r="A4097" t="s">
        <v>4101</v>
      </c>
      <c r="B4097">
        <v>0.99334974765950101</v>
      </c>
      <c r="C4097">
        <v>0.907198977717385</v>
      </c>
      <c r="D4097">
        <v>0.89402006925232202</v>
      </c>
      <c r="E4097">
        <v>0.55847982425554399</v>
      </c>
      <c r="F4097">
        <v>0.42724186893530097</v>
      </c>
      <c r="G4097">
        <v>0.15251016380709001</v>
      </c>
      <c r="H4097">
        <v>0.16243370143062899</v>
      </c>
      <c r="I4097">
        <v>0.115701633844541</v>
      </c>
      <c r="J4097">
        <v>0.128996592396738</v>
      </c>
      <c r="K4097">
        <v>0.13165479541284</v>
      </c>
      <c r="L4097">
        <v>890.79314829509701</v>
      </c>
      <c r="M4097">
        <v>17.662362180520699</v>
      </c>
      <c r="N4097">
        <v>51.142292364235601</v>
      </c>
      <c r="O4097">
        <v>49.801351398299602</v>
      </c>
      <c r="P4097">
        <v>-7.9055053948752493E-2</v>
      </c>
      <c r="Q4097">
        <v>0.108422990248394</v>
      </c>
      <c r="R4097">
        <v>0.99012048314999901</v>
      </c>
      <c r="S4097" t="s">
        <v>9958</v>
      </c>
      <c r="T4097" t="s">
        <v>11720</v>
      </c>
      <c r="U4097" t="s">
        <v>11720</v>
      </c>
      <c r="V4097" t="s">
        <v>11720</v>
      </c>
      <c r="W4097" t="s">
        <v>15763</v>
      </c>
      <c r="X4097">
        <v>2</v>
      </c>
      <c r="Y4097" t="s">
        <v>21477</v>
      </c>
      <c r="Z4097" t="s">
        <v>27304</v>
      </c>
      <c r="AA4097">
        <v>0.43419161804371192</v>
      </c>
      <c r="AB4097" t="str">
        <f>HYPERLINK("Melting_Curves/meltCurve_Q8N4N3_2_KLHL36.pdf", "Melting_Curves/meltCurve_Q8N4N3_2_KLHL36.pdf")</f>
        <v>Melting_Curves/meltCurve_Q8N4N3_2_KLHL36.pdf</v>
      </c>
    </row>
    <row r="4098" spans="1:28" x14ac:dyDescent="0.25">
      <c r="A4098" t="s">
        <v>4102</v>
      </c>
      <c r="B4098">
        <v>0.99334974765950101</v>
      </c>
      <c r="C4098">
        <v>0.94915814904595497</v>
      </c>
      <c r="D4098">
        <v>0.74841462942244796</v>
      </c>
      <c r="E4098">
        <v>0.62836562193010304</v>
      </c>
      <c r="F4098">
        <v>0.426077333972391</v>
      </c>
      <c r="G4098">
        <v>0.27206144055877002</v>
      </c>
      <c r="H4098">
        <v>0.20986716686236701</v>
      </c>
      <c r="I4098">
        <v>0.16350869687224101</v>
      </c>
      <c r="J4098">
        <v>0.16384823956192901</v>
      </c>
      <c r="K4098">
        <v>0.12372568052333199</v>
      </c>
      <c r="L4098">
        <v>637.68812809923202</v>
      </c>
      <c r="M4098">
        <v>12.586739930659</v>
      </c>
      <c r="N4098">
        <v>51.6637358500274</v>
      </c>
      <c r="O4098">
        <v>49.435662909060902</v>
      </c>
      <c r="P4098">
        <v>-5.6780523192722199E-2</v>
      </c>
      <c r="Q4098">
        <v>0.10813422571042799</v>
      </c>
      <c r="R4098">
        <v>0.99327462396204602</v>
      </c>
      <c r="S4098" t="s">
        <v>9959</v>
      </c>
      <c r="T4098" t="s">
        <v>11720</v>
      </c>
      <c r="U4098" t="s">
        <v>11720</v>
      </c>
      <c r="V4098" t="s">
        <v>11720</v>
      </c>
      <c r="W4098" t="s">
        <v>15764</v>
      </c>
      <c r="X4098">
        <v>4</v>
      </c>
      <c r="Y4098" t="s">
        <v>21478</v>
      </c>
      <c r="Z4098" t="s">
        <v>27305</v>
      </c>
      <c r="AA4098">
        <v>0.45277864205469631</v>
      </c>
      <c r="AB4098" t="str">
        <f>HYPERLINK("Melting_Curves/meltCurve_Q8N4P3_HDDC3.pdf", "Melting_Curves/meltCurve_Q8N4P3_HDDC3.pdf")</f>
        <v>Melting_Curves/meltCurve_Q8N4P3_HDDC3.pdf</v>
      </c>
    </row>
    <row r="4099" spans="1:28" x14ac:dyDescent="0.25">
      <c r="A4099" t="s">
        <v>4103</v>
      </c>
      <c r="B4099">
        <v>0.99334974765950101</v>
      </c>
      <c r="C4099">
        <v>0.91456116046223002</v>
      </c>
      <c r="D4099">
        <v>0.90754074846703603</v>
      </c>
      <c r="E4099">
        <v>0.58755400263910396</v>
      </c>
      <c r="F4099">
        <v>0.310012935788258</v>
      </c>
      <c r="G4099">
        <v>0.12684005551059199</v>
      </c>
      <c r="H4099">
        <v>9.7995859570020993E-2</v>
      </c>
      <c r="I4099">
        <v>8.0256592215971506E-2</v>
      </c>
      <c r="J4099">
        <v>2.51952081196266E-2</v>
      </c>
      <c r="K4099">
        <v>1.9122488216995401E-2</v>
      </c>
      <c r="L4099">
        <v>992.21571968967601</v>
      </c>
      <c r="M4099">
        <v>19.580428956568301</v>
      </c>
      <c r="N4099">
        <v>50.871286570115601</v>
      </c>
      <c r="O4099">
        <v>50.154174770844897</v>
      </c>
      <c r="P4099">
        <v>-9.4033396956570398E-2</v>
      </c>
      <c r="Q4099">
        <v>3.6588930716992298E-2</v>
      </c>
      <c r="R4099">
        <v>0.99549346760191504</v>
      </c>
      <c r="S4099" t="s">
        <v>9960</v>
      </c>
      <c r="T4099" t="s">
        <v>11720</v>
      </c>
      <c r="U4099" t="s">
        <v>11720</v>
      </c>
      <c r="V4099" t="s">
        <v>11720</v>
      </c>
      <c r="W4099" t="s">
        <v>15765</v>
      </c>
      <c r="X4099">
        <v>3</v>
      </c>
      <c r="Y4099" t="s">
        <v>21479</v>
      </c>
      <c r="Z4099" t="s">
        <v>27306</v>
      </c>
      <c r="AA4099">
        <v>0.39329793634592319</v>
      </c>
      <c r="AB4099" t="str">
        <f>HYPERLINK("Melting_Curves/meltCurve_Q8N4Q0_ZADH2.pdf", "Melting_Curves/meltCurve_Q8N4Q0_ZADH2.pdf")</f>
        <v>Melting_Curves/meltCurve_Q8N4Q0_ZADH2.pdf</v>
      </c>
    </row>
    <row r="4100" spans="1:28" x14ac:dyDescent="0.25">
      <c r="A4100" t="s">
        <v>4104</v>
      </c>
      <c r="B4100">
        <v>0.99334974765950101</v>
      </c>
      <c r="C4100">
        <v>1.4832821285064699</v>
      </c>
      <c r="D4100">
        <v>2.2340492677159198</v>
      </c>
      <c r="E4100">
        <v>3.1796395686957402</v>
      </c>
      <c r="F4100">
        <v>3.41914627910064</v>
      </c>
      <c r="G4100">
        <v>2.7386654464295401</v>
      </c>
      <c r="H4100">
        <v>2.4905171551868599</v>
      </c>
      <c r="I4100">
        <v>2.2375291826115702</v>
      </c>
      <c r="J4100">
        <v>0.54794856966319805</v>
      </c>
      <c r="K4100">
        <v>0.291843619550957</v>
      </c>
      <c r="L4100">
        <v>15000</v>
      </c>
      <c r="M4100">
        <v>224.44668652431699</v>
      </c>
      <c r="N4100">
        <v>67.092779149232399</v>
      </c>
      <c r="O4100">
        <v>66.825709723355004</v>
      </c>
      <c r="P4100">
        <v>-0.59473127700066297</v>
      </c>
      <c r="Q4100">
        <v>0.291709934127306</v>
      </c>
      <c r="R4100">
        <v>-0.80614413083301395</v>
      </c>
      <c r="S4100" t="s">
        <v>9961</v>
      </c>
      <c r="T4100" t="s">
        <v>11720</v>
      </c>
      <c r="U4100" t="s">
        <v>11720</v>
      </c>
      <c r="V4100" t="s">
        <v>11720</v>
      </c>
      <c r="W4100" t="s">
        <v>15766</v>
      </c>
      <c r="X4100">
        <v>2</v>
      </c>
      <c r="Y4100" t="s">
        <v>21480</v>
      </c>
      <c r="Z4100" t="s">
        <v>27307</v>
      </c>
      <c r="AA4100">
        <v>0.92528409754300711</v>
      </c>
      <c r="AB4100" t="str">
        <f>HYPERLINK("Melting_Curves/meltCurve_Q8N4S0_2_CCDC82.pdf", "Melting_Curves/meltCurve_Q8N4S0_2_CCDC82.pdf")</f>
        <v>Melting_Curves/meltCurve_Q8N4S0_2_CCDC82.pdf</v>
      </c>
    </row>
    <row r="4101" spans="1:28" x14ac:dyDescent="0.25">
      <c r="A4101" t="s">
        <v>4105</v>
      </c>
      <c r="B4101">
        <v>0.99334974765950101</v>
      </c>
      <c r="C4101">
        <v>1.1951793866426901</v>
      </c>
      <c r="D4101">
        <v>1.0275915211648301</v>
      </c>
      <c r="E4101">
        <v>0.97577322561254598</v>
      </c>
      <c r="F4101">
        <v>1.2584476170099601</v>
      </c>
      <c r="G4101">
        <v>1.1922330527276801</v>
      </c>
      <c r="H4101">
        <v>1.5193653716325</v>
      </c>
      <c r="I4101">
        <v>2.1264057598235202</v>
      </c>
      <c r="J4101">
        <v>2.6175766978264101</v>
      </c>
      <c r="K4101">
        <v>2.2389193910780101</v>
      </c>
      <c r="L4101">
        <v>1698.9704765460599</v>
      </c>
      <c r="M4101">
        <v>31.099171894299602</v>
      </c>
      <c r="O4101">
        <v>54.406332952616403</v>
      </c>
      <c r="P4101">
        <v>7.1451580433608497E-2</v>
      </c>
      <c r="Q4101">
        <v>1.5</v>
      </c>
      <c r="R4101">
        <v>0.27958244835179202</v>
      </c>
      <c r="S4101" t="s">
        <v>9962</v>
      </c>
      <c r="T4101" t="s">
        <v>11720</v>
      </c>
      <c r="U4101" t="s">
        <v>11720</v>
      </c>
      <c r="V4101" t="s">
        <v>11720</v>
      </c>
      <c r="W4101" t="s">
        <v>15767</v>
      </c>
      <c r="X4101">
        <v>1</v>
      </c>
      <c r="Y4101" t="s">
        <v>21481</v>
      </c>
      <c r="Z4101" t="s">
        <v>27308</v>
      </c>
      <c r="AA4101">
        <v>1.2530683221526531</v>
      </c>
      <c r="AB4101" t="str">
        <f>HYPERLINK("Melting_Curves/meltCurve_Q8N4V1_MMGT1.pdf", "Melting_Curves/meltCurve_Q8N4V1_MMGT1.pdf")</f>
        <v>Melting_Curves/meltCurve_Q8N4V1_MMGT1.pdf</v>
      </c>
    </row>
    <row r="4102" spans="1:28" x14ac:dyDescent="0.25">
      <c r="A4102" t="s">
        <v>4106</v>
      </c>
      <c r="B4102">
        <v>0.99334974765950101</v>
      </c>
      <c r="C4102">
        <v>0.91467752474542696</v>
      </c>
      <c r="D4102">
        <v>0.62664735351757495</v>
      </c>
      <c r="E4102">
        <v>0.34992056155669898</v>
      </c>
      <c r="F4102">
        <v>0.15605844469558799</v>
      </c>
      <c r="G4102">
        <v>0.107296366848127</v>
      </c>
      <c r="H4102">
        <v>7.1625835779053307E-2</v>
      </c>
      <c r="I4102">
        <v>7.4816158876132202E-2</v>
      </c>
      <c r="J4102">
        <v>0.100358217834843</v>
      </c>
      <c r="K4102">
        <v>0.113602933677464</v>
      </c>
      <c r="L4102">
        <v>943.67408615700799</v>
      </c>
      <c r="M4102">
        <v>19.987811475369298</v>
      </c>
      <c r="N4102">
        <v>47.653527045452101</v>
      </c>
      <c r="O4102">
        <v>46.747515444779403</v>
      </c>
      <c r="P4102">
        <v>-9.7868989888165003E-2</v>
      </c>
      <c r="Q4102">
        <v>8.4445469439711499E-2</v>
      </c>
      <c r="R4102">
        <v>0.99519663857474205</v>
      </c>
      <c r="S4102" t="s">
        <v>9963</v>
      </c>
      <c r="T4102" t="s">
        <v>11720</v>
      </c>
      <c r="U4102" t="s">
        <v>11720</v>
      </c>
      <c r="V4102" t="s">
        <v>11720</v>
      </c>
      <c r="W4102" t="s">
        <v>15768</v>
      </c>
      <c r="X4102">
        <v>4</v>
      </c>
      <c r="Y4102" t="s">
        <v>21482</v>
      </c>
      <c r="Z4102" t="s">
        <v>27309</v>
      </c>
      <c r="AA4102">
        <v>0.31787325715145209</v>
      </c>
      <c r="AB4102" t="str">
        <f>HYPERLINK("Melting_Curves/meltCurve_Q8N556_AFAP1.pdf", "Melting_Curves/meltCurve_Q8N556_AFAP1.pdf")</f>
        <v>Melting_Curves/meltCurve_Q8N556_AFAP1.pdf</v>
      </c>
    </row>
    <row r="4103" spans="1:28" x14ac:dyDescent="0.25">
      <c r="A4103" t="s">
        <v>4107</v>
      </c>
      <c r="B4103">
        <v>0.99334974765950101</v>
      </c>
      <c r="C4103">
        <v>0.98170735547273502</v>
      </c>
      <c r="D4103">
        <v>1.0089629602444601</v>
      </c>
      <c r="E4103">
        <v>0.74009632965168803</v>
      </c>
      <c r="F4103">
        <v>0.55630624818040098</v>
      </c>
      <c r="G4103">
        <v>0.27924003922581297</v>
      </c>
      <c r="H4103">
        <v>0.104436156854947</v>
      </c>
      <c r="I4103">
        <v>8.6805538818877204E-2</v>
      </c>
      <c r="J4103">
        <v>8.3330002371110504E-2</v>
      </c>
      <c r="K4103">
        <v>7.94818084518015E-2</v>
      </c>
      <c r="L4103">
        <v>1009.27148899383</v>
      </c>
      <c r="M4103">
        <v>18.992574913494199</v>
      </c>
      <c r="N4103">
        <v>53.487201489107598</v>
      </c>
      <c r="O4103">
        <v>52.561707576866397</v>
      </c>
      <c r="P4103">
        <v>-8.5103673828947096E-2</v>
      </c>
      <c r="Q4103">
        <v>5.7944260533024899E-2</v>
      </c>
      <c r="R4103">
        <v>0.99574620792178803</v>
      </c>
      <c r="S4103" t="s">
        <v>9964</v>
      </c>
      <c r="T4103" t="s">
        <v>11720</v>
      </c>
      <c r="U4103" t="s">
        <v>11720</v>
      </c>
      <c r="V4103" t="s">
        <v>11720</v>
      </c>
      <c r="W4103" t="s">
        <v>15769</v>
      </c>
      <c r="X4103">
        <v>19</v>
      </c>
      <c r="Y4103" t="s">
        <v>21483</v>
      </c>
      <c r="Z4103" t="s">
        <v>27310</v>
      </c>
      <c r="AA4103">
        <v>0.48468072285215158</v>
      </c>
      <c r="AB4103" t="str">
        <f>HYPERLINK("Melting_Curves/meltCurve_Q8N573_2_OXR1.pdf", "Melting_Curves/meltCurve_Q8N573_2_OXR1.pdf")</f>
        <v>Melting_Curves/meltCurve_Q8N573_2_OXR1.pdf</v>
      </c>
    </row>
    <row r="4104" spans="1:28" x14ac:dyDescent="0.25">
      <c r="A4104" t="s">
        <v>4108</v>
      </c>
      <c r="B4104">
        <v>0.99334974765950101</v>
      </c>
      <c r="C4104">
        <v>0.87660730662136199</v>
      </c>
      <c r="D4104">
        <v>0.87141816677969797</v>
      </c>
      <c r="E4104">
        <v>0.82043313346243396</v>
      </c>
      <c r="F4104">
        <v>0.69703886715858698</v>
      </c>
      <c r="G4104">
        <v>0.403669324983366</v>
      </c>
      <c r="H4104">
        <v>0.227293155942563</v>
      </c>
      <c r="I4104">
        <v>0.19699179807706699</v>
      </c>
      <c r="J4104">
        <v>0.122017944828112</v>
      </c>
      <c r="K4104">
        <v>0.13699725462788701</v>
      </c>
      <c r="L4104">
        <v>681.63901708255696</v>
      </c>
      <c r="M4104">
        <v>12.339431625424</v>
      </c>
      <c r="N4104">
        <v>55.595154124279603</v>
      </c>
      <c r="O4104">
        <v>53.850004381232502</v>
      </c>
      <c r="P4104">
        <v>-5.5131090934318401E-2</v>
      </c>
      <c r="Q4104">
        <v>3.7826843070632603E-2</v>
      </c>
      <c r="R4104">
        <v>0.982215994593023</v>
      </c>
      <c r="S4104" t="s">
        <v>9965</v>
      </c>
      <c r="T4104" t="s">
        <v>11720</v>
      </c>
      <c r="U4104" t="s">
        <v>11720</v>
      </c>
      <c r="V4104" t="s">
        <v>11720</v>
      </c>
      <c r="W4104" t="s">
        <v>15770</v>
      </c>
      <c r="X4104">
        <v>22</v>
      </c>
      <c r="Y4104" t="s">
        <v>21483</v>
      </c>
      <c r="Z4104" t="s">
        <v>27311</v>
      </c>
      <c r="AA4104">
        <v>0.54813281092861099</v>
      </c>
      <c r="AB4104" t="str">
        <f>HYPERLINK("Melting_Curves/meltCurve_Q8N573_8_OXR1.pdf", "Melting_Curves/meltCurve_Q8N573_8_OXR1.pdf")</f>
        <v>Melting_Curves/meltCurve_Q8N573_8_OXR1.pdf</v>
      </c>
    </row>
    <row r="4105" spans="1:28" x14ac:dyDescent="0.25">
      <c r="A4105" t="s">
        <v>4109</v>
      </c>
      <c r="B4105">
        <v>0.99334974765950101</v>
      </c>
      <c r="C4105">
        <v>1.07271251820956</v>
      </c>
      <c r="D4105">
        <v>0.94978357360822097</v>
      </c>
      <c r="E4105">
        <v>0.90619685001413797</v>
      </c>
      <c r="F4105">
        <v>0.54503707903960896</v>
      </c>
      <c r="G4105">
        <v>0.21300090759177001</v>
      </c>
      <c r="H4105">
        <v>0.12820794230404201</v>
      </c>
      <c r="I4105">
        <v>0.10748530306955199</v>
      </c>
      <c r="J4105">
        <v>0.106649026527893</v>
      </c>
      <c r="K4105">
        <v>8.6538093307192407E-2</v>
      </c>
      <c r="L4105">
        <v>1641.5572751513901</v>
      </c>
      <c r="M4105">
        <v>30.934682136916699</v>
      </c>
      <c r="N4105">
        <v>53.466972160307201</v>
      </c>
      <c r="O4105">
        <v>52.8449945782328</v>
      </c>
      <c r="P4105">
        <v>-0.13117287307904699</v>
      </c>
      <c r="Q4105">
        <v>0.103686954915753</v>
      </c>
      <c r="R4105">
        <v>0.99475428073963701</v>
      </c>
      <c r="S4105" t="s">
        <v>9966</v>
      </c>
      <c r="T4105" t="s">
        <v>11720</v>
      </c>
      <c r="U4105" t="s">
        <v>11720</v>
      </c>
      <c r="V4105" t="s">
        <v>11720</v>
      </c>
      <c r="W4105" t="s">
        <v>15771</v>
      </c>
      <c r="X4105">
        <v>9</v>
      </c>
      <c r="Y4105" t="s">
        <v>21484</v>
      </c>
      <c r="Z4105" t="s">
        <v>27312</v>
      </c>
      <c r="AA4105">
        <v>0.49951738061398893</v>
      </c>
      <c r="AB4105" t="str">
        <f>HYPERLINK("Melting_Curves/meltCurve_Q8N584_TTC39C.pdf", "Melting_Curves/meltCurve_Q8N584_TTC39C.pdf")</f>
        <v>Melting_Curves/meltCurve_Q8N584_TTC39C.pdf</v>
      </c>
    </row>
    <row r="4106" spans="1:28" x14ac:dyDescent="0.25">
      <c r="A4106" t="s">
        <v>4110</v>
      </c>
      <c r="B4106">
        <v>0.99334974765950101</v>
      </c>
      <c r="C4106">
        <v>1.20252492573572</v>
      </c>
      <c r="D4106">
        <v>1.0133157014929499</v>
      </c>
      <c r="E4106">
        <v>0.83839354062022897</v>
      </c>
      <c r="F4106">
        <v>0.65361590688104099</v>
      </c>
      <c r="G4106">
        <v>0.55291218576178003</v>
      </c>
      <c r="H4106">
        <v>0.442341365339944</v>
      </c>
      <c r="I4106">
        <v>0.82381789790418702</v>
      </c>
      <c r="J4106">
        <v>0.95544867347451501</v>
      </c>
      <c r="K4106">
        <v>0.48645079846380102</v>
      </c>
      <c r="L4106">
        <v>5646.0443027523797</v>
      </c>
      <c r="M4106">
        <v>112.779822056348</v>
      </c>
      <c r="O4106">
        <v>50.046804268097603</v>
      </c>
      <c r="P4106">
        <v>-0.19587372306967099</v>
      </c>
      <c r="Q4106">
        <v>0.65231888745613897</v>
      </c>
      <c r="R4106">
        <v>0.57904601686940005</v>
      </c>
      <c r="S4106" t="s">
        <v>9967</v>
      </c>
      <c r="T4106" t="s">
        <v>11720</v>
      </c>
      <c r="U4106" t="s">
        <v>11720</v>
      </c>
      <c r="V4106" t="s">
        <v>11720</v>
      </c>
      <c r="W4106" t="s">
        <v>15772</v>
      </c>
      <c r="X4106">
        <v>1</v>
      </c>
      <c r="Y4106" t="s">
        <v>21485</v>
      </c>
      <c r="Z4106" t="s">
        <v>27313</v>
      </c>
      <c r="AA4106">
        <v>0.76908761724386288</v>
      </c>
      <c r="AB4106" t="str">
        <f>HYPERLINK("Melting_Curves/meltCurve_Q8N5C1_FAM26E.pdf", "Melting_Curves/meltCurve_Q8N5C1_FAM26E.pdf")</f>
        <v>Melting_Curves/meltCurve_Q8N5C1_FAM26E.pdf</v>
      </c>
    </row>
    <row r="4107" spans="1:28" x14ac:dyDescent="0.25">
      <c r="A4107" t="s">
        <v>4111</v>
      </c>
      <c r="B4107">
        <v>0.99334974765950101</v>
      </c>
      <c r="C4107">
        <v>0.86760816996811996</v>
      </c>
      <c r="D4107">
        <v>0.84178542438759496</v>
      </c>
      <c r="E4107">
        <v>0.74714805357702996</v>
      </c>
      <c r="F4107">
        <v>0.58292588279652402</v>
      </c>
      <c r="G4107">
        <v>0.57878029805295494</v>
      </c>
      <c r="H4107">
        <v>0.50492148087476596</v>
      </c>
      <c r="I4107">
        <v>0.52460600936756696</v>
      </c>
      <c r="J4107">
        <v>0.59576881322362496</v>
      </c>
      <c r="K4107">
        <v>0.477584460137983</v>
      </c>
      <c r="L4107">
        <v>605.51223460024096</v>
      </c>
      <c r="M4107">
        <v>12.524082347739601</v>
      </c>
      <c r="O4107">
        <v>47.164849069720198</v>
      </c>
      <c r="P4107">
        <v>-3.28454712924564E-2</v>
      </c>
      <c r="Q4107">
        <v>0.50532572047698998</v>
      </c>
      <c r="R4107">
        <v>0.94452296767159205</v>
      </c>
      <c r="S4107" t="s">
        <v>9968</v>
      </c>
      <c r="T4107" t="s">
        <v>11720</v>
      </c>
      <c r="U4107" t="s">
        <v>11720</v>
      </c>
      <c r="V4107" t="s">
        <v>11720</v>
      </c>
      <c r="W4107" t="s">
        <v>15773</v>
      </c>
      <c r="X4107">
        <v>4</v>
      </c>
      <c r="Y4107" t="s">
        <v>21486</v>
      </c>
      <c r="Z4107" t="s">
        <v>27314</v>
      </c>
      <c r="AA4107">
        <v>0.66052845003979721</v>
      </c>
      <c r="AB4107" t="str">
        <f>HYPERLINK("Melting_Curves/meltCurve_Q8N5G0_2_SMIM20.pdf", "Melting_Curves/meltCurve_Q8N5G0_2_SMIM20.pdf")</f>
        <v>Melting_Curves/meltCurve_Q8N5G0_2_SMIM20.pdf</v>
      </c>
    </row>
    <row r="4108" spans="1:28" x14ac:dyDescent="0.25">
      <c r="A4108" t="s">
        <v>4112</v>
      </c>
      <c r="B4108">
        <v>0.99334974765950101</v>
      </c>
      <c r="C4108">
        <v>0.96691128371103396</v>
      </c>
      <c r="D4108">
        <v>1.19128686207489</v>
      </c>
      <c r="E4108">
        <v>0.99370588268634796</v>
      </c>
      <c r="F4108">
        <v>0.85482250712206898</v>
      </c>
      <c r="G4108">
        <v>0.47736338014621199</v>
      </c>
      <c r="H4108">
        <v>0.31280530100485998</v>
      </c>
      <c r="I4108">
        <v>0.29616151443877498</v>
      </c>
      <c r="J4108">
        <v>0.34942753396318299</v>
      </c>
      <c r="K4108">
        <v>0.27576818983949802</v>
      </c>
      <c r="L4108">
        <v>1940.92458821886</v>
      </c>
      <c r="M4108">
        <v>35.202660749861899</v>
      </c>
      <c r="N4108">
        <v>56.627969325252998</v>
      </c>
      <c r="O4108">
        <v>54.9587330321717</v>
      </c>
      <c r="P4108">
        <v>-0.111731430344748</v>
      </c>
      <c r="Q4108">
        <v>0.302257844215087</v>
      </c>
      <c r="R4108">
        <v>0.964529102099971</v>
      </c>
      <c r="S4108" t="s">
        <v>9969</v>
      </c>
      <c r="T4108" t="s">
        <v>11720</v>
      </c>
      <c r="U4108" t="s">
        <v>11720</v>
      </c>
      <c r="V4108" t="s">
        <v>11720</v>
      </c>
      <c r="W4108" t="s">
        <v>15774</v>
      </c>
      <c r="X4108">
        <v>3</v>
      </c>
      <c r="Y4108" t="s">
        <v>21487</v>
      </c>
      <c r="Z4108" t="s">
        <v>27315</v>
      </c>
      <c r="AA4108">
        <v>0.65769322013828324</v>
      </c>
      <c r="AB4108" t="str">
        <f>HYPERLINK("Melting_Curves/meltCurve_Q8N5G2_2_TMEM57.pdf", "Melting_Curves/meltCurve_Q8N5G2_2_TMEM57.pdf")</f>
        <v>Melting_Curves/meltCurve_Q8N5G2_2_TMEM57.pdf</v>
      </c>
    </row>
    <row r="4109" spans="1:28" x14ac:dyDescent="0.25">
      <c r="A4109" t="s">
        <v>4113</v>
      </c>
      <c r="B4109">
        <v>0.99334974765950101</v>
      </c>
      <c r="C4109">
        <v>0.85933094200530702</v>
      </c>
      <c r="D4109">
        <v>0.78753633759363095</v>
      </c>
      <c r="E4109">
        <v>0.70889563387503396</v>
      </c>
      <c r="F4109">
        <v>0.63779096073719599</v>
      </c>
      <c r="G4109">
        <v>0.57780118537761704</v>
      </c>
      <c r="H4109">
        <v>0.48177763447303301</v>
      </c>
      <c r="I4109">
        <v>0.409088341025522</v>
      </c>
      <c r="J4109">
        <v>0.36710901350890901</v>
      </c>
      <c r="K4109">
        <v>0.30750407704781002</v>
      </c>
      <c r="L4109">
        <v>310.39342744560798</v>
      </c>
      <c r="M4109">
        <v>5.2987260730334302</v>
      </c>
      <c r="N4109">
        <v>59.4117877636399</v>
      </c>
      <c r="O4109">
        <v>51.794588149481299</v>
      </c>
      <c r="P4109">
        <v>-2.4783872374140901E-2</v>
      </c>
      <c r="Q4109">
        <v>3.5796132168385897E-2</v>
      </c>
      <c r="R4109">
        <v>0.98398801998646901</v>
      </c>
      <c r="S4109" t="s">
        <v>9970</v>
      </c>
      <c r="T4109" t="s">
        <v>11720</v>
      </c>
      <c r="U4109" t="s">
        <v>11720</v>
      </c>
      <c r="V4109" t="s">
        <v>11720</v>
      </c>
      <c r="W4109" t="s">
        <v>15775</v>
      </c>
      <c r="X4109">
        <v>2</v>
      </c>
      <c r="Y4109" t="s">
        <v>21488</v>
      </c>
      <c r="Z4109" t="s">
        <v>27316</v>
      </c>
      <c r="AA4109">
        <v>0.61098914656733205</v>
      </c>
      <c r="AB4109" t="str">
        <f>HYPERLINK("Melting_Curves/meltCurve_Q8N5H3_4_FAM89B.pdf", "Melting_Curves/meltCurve_Q8N5H3_4_FAM89B.pdf")</f>
        <v>Melting_Curves/meltCurve_Q8N5H3_4_FAM89B.pdf</v>
      </c>
    </row>
    <row r="4110" spans="1:28" x14ac:dyDescent="0.25">
      <c r="A4110" t="s">
        <v>4114</v>
      </c>
      <c r="B4110">
        <v>0.99334974765950101</v>
      </c>
      <c r="C4110">
        <v>0.78704111704734203</v>
      </c>
      <c r="D4110">
        <v>0.63427303511949795</v>
      </c>
      <c r="E4110">
        <v>0.31105864537394301</v>
      </c>
      <c r="F4110">
        <v>0.238309231300767</v>
      </c>
      <c r="G4110">
        <v>0.18526649839072401</v>
      </c>
      <c r="H4110">
        <v>0.18478156627987999</v>
      </c>
      <c r="I4110">
        <v>0.183974355886312</v>
      </c>
      <c r="J4110">
        <v>0.155477833997788</v>
      </c>
      <c r="K4110">
        <v>9.1267422750014704E-2</v>
      </c>
      <c r="L4110">
        <v>802.91579492277901</v>
      </c>
      <c r="M4110">
        <v>17.3145722316894</v>
      </c>
      <c r="N4110">
        <v>47.320821255610497</v>
      </c>
      <c r="O4110">
        <v>45.766948623898699</v>
      </c>
      <c r="P4110">
        <v>-8.0716951677107698E-2</v>
      </c>
      <c r="Q4110">
        <v>0.14662483891286701</v>
      </c>
      <c r="R4110">
        <v>0.98811808777384103</v>
      </c>
      <c r="S4110" t="s">
        <v>9971</v>
      </c>
      <c r="T4110" t="s">
        <v>11720</v>
      </c>
      <c r="U4110" t="s">
        <v>11720</v>
      </c>
      <c r="V4110" t="s">
        <v>11720</v>
      </c>
      <c r="W4110" t="s">
        <v>15776</v>
      </c>
      <c r="X4110">
        <v>2</v>
      </c>
      <c r="Y4110" t="s">
        <v>21489</v>
      </c>
      <c r="Z4110" t="s">
        <v>27317</v>
      </c>
      <c r="AA4110">
        <v>0.34566903688832312</v>
      </c>
      <c r="AB4110" t="str">
        <f>HYPERLINK("Melting_Curves/meltCurve_Q8N5I4_DHRSX.pdf", "Melting_Curves/meltCurve_Q8N5I4_DHRSX.pdf")</f>
        <v>Melting_Curves/meltCurve_Q8N5I4_DHRSX.pdf</v>
      </c>
    </row>
    <row r="4111" spans="1:28" x14ac:dyDescent="0.25">
      <c r="A4111" t="s">
        <v>4115</v>
      </c>
      <c r="B4111">
        <v>0.99334974765950101</v>
      </c>
      <c r="C4111">
        <v>0.93623194239696805</v>
      </c>
      <c r="D4111">
        <v>0.73437099392614003</v>
      </c>
      <c r="E4111">
        <v>0.74357863828986204</v>
      </c>
      <c r="F4111">
        <v>0.701679926850586</v>
      </c>
      <c r="G4111">
        <v>0.75179802100434601</v>
      </c>
      <c r="H4111">
        <v>0.69413343329211596</v>
      </c>
      <c r="I4111">
        <v>0.760060467799614</v>
      </c>
      <c r="J4111">
        <v>0.97344637219864005</v>
      </c>
      <c r="K4111">
        <v>0.98763778451339301</v>
      </c>
      <c r="L4111">
        <v>10759.613790515899</v>
      </c>
      <c r="M4111">
        <v>250</v>
      </c>
      <c r="O4111">
        <v>43.035685717874898</v>
      </c>
      <c r="P4111">
        <v>-0.30013133170318201</v>
      </c>
      <c r="Q4111">
        <v>0.79333820387002696</v>
      </c>
      <c r="R4111">
        <v>0.33328018082449201</v>
      </c>
      <c r="S4111" t="s">
        <v>9972</v>
      </c>
      <c r="T4111" t="s">
        <v>11720</v>
      </c>
      <c r="U4111" t="s">
        <v>11720</v>
      </c>
      <c r="V4111" t="s">
        <v>11720</v>
      </c>
      <c r="W4111" t="s">
        <v>15777</v>
      </c>
      <c r="X4111">
        <v>5</v>
      </c>
      <c r="Y4111" t="s">
        <v>21490</v>
      </c>
      <c r="Z4111" t="s">
        <v>27318</v>
      </c>
      <c r="AA4111">
        <v>0.81428490012557053</v>
      </c>
      <c r="AB4111" t="str">
        <f>HYPERLINK("Melting_Curves/meltCurve_Q8N5I9_C12orf45.pdf", "Melting_Curves/meltCurve_Q8N5I9_C12orf45.pdf")</f>
        <v>Melting_Curves/meltCurve_Q8N5I9_C12orf45.pdf</v>
      </c>
    </row>
    <row r="4112" spans="1:28" x14ac:dyDescent="0.25">
      <c r="A4112" t="s">
        <v>4116</v>
      </c>
      <c r="B4112">
        <v>0.99334974765950101</v>
      </c>
      <c r="C4112">
        <v>1.00627831183284</v>
      </c>
      <c r="D4112">
        <v>0.79822788097810404</v>
      </c>
      <c r="E4112">
        <v>0.40159394178992802</v>
      </c>
      <c r="F4112">
        <v>0.29048154432595702</v>
      </c>
      <c r="G4112">
        <v>0.17469949911251501</v>
      </c>
      <c r="H4112">
        <v>0.13878927646057601</v>
      </c>
      <c r="I4112">
        <v>0.119419886226868</v>
      </c>
      <c r="J4112">
        <v>0.116160603390442</v>
      </c>
      <c r="K4112">
        <v>9.9003241729404806E-2</v>
      </c>
      <c r="L4112">
        <v>1051.69001411055</v>
      </c>
      <c r="M4112">
        <v>21.623551834409099</v>
      </c>
      <c r="N4112">
        <v>49.272500778418397</v>
      </c>
      <c r="O4112">
        <v>48.226104972007498</v>
      </c>
      <c r="P4112">
        <v>-9.8443635491268403E-2</v>
      </c>
      <c r="Q4112">
        <v>0.12180238605892101</v>
      </c>
      <c r="R4112">
        <v>0.99467369331018196</v>
      </c>
      <c r="S4112" t="s">
        <v>9973</v>
      </c>
      <c r="T4112" t="s">
        <v>11720</v>
      </c>
      <c r="U4112" t="s">
        <v>11720</v>
      </c>
      <c r="V4112" t="s">
        <v>11720</v>
      </c>
      <c r="W4112" t="s">
        <v>15778</v>
      </c>
      <c r="X4112">
        <v>4</v>
      </c>
      <c r="Y4112" t="s">
        <v>21491</v>
      </c>
      <c r="Z4112" t="s">
        <v>27319</v>
      </c>
      <c r="AA4112">
        <v>0.38512205826336249</v>
      </c>
      <c r="AB4112" t="str">
        <f>HYPERLINK("Melting_Curves/meltCurve_Q8N5J2_FAM63A.pdf", "Melting_Curves/meltCurve_Q8N5J2_FAM63A.pdf")</f>
        <v>Melting_Curves/meltCurve_Q8N5J2_FAM63A.pdf</v>
      </c>
    </row>
    <row r="4113" spans="1:28" x14ac:dyDescent="0.25">
      <c r="A4113" t="s">
        <v>4117</v>
      </c>
      <c r="B4113">
        <v>0.99334974765950101</v>
      </c>
      <c r="C4113">
        <v>0.92440692395171598</v>
      </c>
      <c r="D4113">
        <v>0.88378513124045899</v>
      </c>
      <c r="E4113">
        <v>0.98826784954106495</v>
      </c>
      <c r="F4113">
        <v>0.61862065803149002</v>
      </c>
      <c r="G4113">
        <v>0.643113482527914</v>
      </c>
      <c r="H4113">
        <v>0.53494964733982697</v>
      </c>
      <c r="I4113">
        <v>0.770898458217254</v>
      </c>
      <c r="J4113">
        <v>0.52802058270304297</v>
      </c>
      <c r="K4113">
        <v>0.34503216508125301</v>
      </c>
      <c r="L4113">
        <v>317.11281566815097</v>
      </c>
      <c r="M4113">
        <v>4.7392990845710496</v>
      </c>
      <c r="N4113">
        <v>66.911333376508296</v>
      </c>
      <c r="O4113">
        <v>57.643788544802398</v>
      </c>
      <c r="P4113">
        <v>-2.0705359378763399E-2</v>
      </c>
      <c r="Q4113">
        <v>0</v>
      </c>
      <c r="R4113">
        <v>0.73551967143876795</v>
      </c>
      <c r="S4113" t="s">
        <v>9974</v>
      </c>
      <c r="T4113" t="s">
        <v>11720</v>
      </c>
      <c r="U4113" t="s">
        <v>11720</v>
      </c>
      <c r="V4113" t="s">
        <v>11720</v>
      </c>
      <c r="W4113" t="s">
        <v>15779</v>
      </c>
      <c r="X4113">
        <v>2</v>
      </c>
      <c r="Y4113" t="s">
        <v>21492</v>
      </c>
      <c r="Z4113" t="s">
        <v>27320</v>
      </c>
      <c r="AA4113">
        <v>0.7256364020297893</v>
      </c>
      <c r="AB4113" t="str">
        <f>HYPERLINK("Melting_Curves/meltCurve_Q8N5K1_CISD2.pdf", "Melting_Curves/meltCurve_Q8N5K1_CISD2.pdf")</f>
        <v>Melting_Curves/meltCurve_Q8N5K1_CISD2.pdf</v>
      </c>
    </row>
    <row r="4114" spans="1:28" x14ac:dyDescent="0.25">
      <c r="A4114" t="s">
        <v>4118</v>
      </c>
      <c r="B4114">
        <v>0.99334974765950101</v>
      </c>
      <c r="C4114">
        <v>0.96489765830945595</v>
      </c>
      <c r="D4114">
        <v>0.94891863038064195</v>
      </c>
      <c r="E4114">
        <v>1.06590847595744</v>
      </c>
      <c r="F4114">
        <v>1.0167173598689401</v>
      </c>
      <c r="G4114">
        <v>0.88802357530014198</v>
      </c>
      <c r="H4114">
        <v>0.71705226234425301</v>
      </c>
      <c r="I4114">
        <v>0.75766240156048403</v>
      </c>
      <c r="J4114">
        <v>0.52436673585881699</v>
      </c>
      <c r="K4114">
        <v>0.58171421071878204</v>
      </c>
      <c r="L4114">
        <v>1199.7069244428001</v>
      </c>
      <c r="M4114">
        <v>19.670978130299599</v>
      </c>
      <c r="O4114">
        <v>60.368867641585297</v>
      </c>
      <c r="P4114">
        <v>-3.8444342844185998E-2</v>
      </c>
      <c r="Q4114">
        <v>0.52808431152983804</v>
      </c>
      <c r="R4114">
        <v>0.91397644709430803</v>
      </c>
      <c r="S4114" t="s">
        <v>9975</v>
      </c>
      <c r="T4114" t="s">
        <v>11720</v>
      </c>
      <c r="U4114" t="s">
        <v>11720</v>
      </c>
      <c r="V4114" t="s">
        <v>11720</v>
      </c>
      <c r="W4114" t="s">
        <v>15780</v>
      </c>
      <c r="X4114">
        <v>2</v>
      </c>
      <c r="Y4114" t="s">
        <v>21493</v>
      </c>
      <c r="Z4114" t="s">
        <v>27321</v>
      </c>
      <c r="AA4114">
        <v>0.86108702268423343</v>
      </c>
      <c r="AB4114" t="str">
        <f>HYPERLINK("Melting_Curves/meltCurve_Q8N5L8_RPP25L.pdf", "Melting_Curves/meltCurve_Q8N5L8_RPP25L.pdf")</f>
        <v>Melting_Curves/meltCurve_Q8N5L8_RPP25L.pdf</v>
      </c>
    </row>
    <row r="4115" spans="1:28" x14ac:dyDescent="0.25">
      <c r="A4115" t="s">
        <v>4119</v>
      </c>
      <c r="B4115">
        <v>0.99334974765950101</v>
      </c>
      <c r="C4115">
        <v>0.88622248309294605</v>
      </c>
      <c r="D4115">
        <v>0.92889856518674496</v>
      </c>
      <c r="E4115">
        <v>0.82156168564751797</v>
      </c>
      <c r="F4115">
        <v>0.89690726150840505</v>
      </c>
      <c r="G4115">
        <v>0.67518244403155003</v>
      </c>
      <c r="H4115">
        <v>0.48199796054717298</v>
      </c>
      <c r="I4115">
        <v>0.25939068275194599</v>
      </c>
      <c r="J4115">
        <v>0.15614910769120899</v>
      </c>
      <c r="K4115">
        <v>0.14098749831987101</v>
      </c>
      <c r="L4115">
        <v>784.45685320127302</v>
      </c>
      <c r="M4115">
        <v>13.1121101148787</v>
      </c>
      <c r="N4115">
        <v>59.826896500773501</v>
      </c>
      <c r="O4115">
        <v>58.486657920862697</v>
      </c>
      <c r="P4115">
        <v>-5.6057017965839499E-2</v>
      </c>
      <c r="Q4115">
        <v>0</v>
      </c>
      <c r="R4115">
        <v>0.96615264414780799</v>
      </c>
      <c r="S4115" t="s">
        <v>9976</v>
      </c>
      <c r="T4115" t="s">
        <v>11720</v>
      </c>
      <c r="U4115" t="s">
        <v>11720</v>
      </c>
      <c r="V4115" t="s">
        <v>11720</v>
      </c>
      <c r="W4115" t="s">
        <v>15781</v>
      </c>
      <c r="X4115">
        <v>3</v>
      </c>
      <c r="Y4115" t="s">
        <v>21494</v>
      </c>
      <c r="Z4115" t="s">
        <v>27322</v>
      </c>
      <c r="AA4115">
        <v>0.66634352653375761</v>
      </c>
      <c r="AB4115" t="str">
        <f>HYPERLINK("Melting_Curves/meltCurve_Q8N5M1_ATPAF2.pdf", "Melting_Curves/meltCurve_Q8N5M1_ATPAF2.pdf")</f>
        <v>Melting_Curves/meltCurve_Q8N5M1_ATPAF2.pdf</v>
      </c>
    </row>
    <row r="4116" spans="1:28" x14ac:dyDescent="0.25">
      <c r="A4116" t="s">
        <v>4120</v>
      </c>
      <c r="B4116">
        <v>0.99334974765950101</v>
      </c>
      <c r="C4116">
        <v>0.96894059089657703</v>
      </c>
      <c r="D4116">
        <v>0.80930483972686496</v>
      </c>
      <c r="E4116">
        <v>0.83246339157091997</v>
      </c>
      <c r="F4116">
        <v>0.75476589483252798</v>
      </c>
      <c r="G4116">
        <v>0.41772931789817402</v>
      </c>
      <c r="H4116">
        <v>0.40567836275392399</v>
      </c>
      <c r="I4116">
        <v>0.33425256884651</v>
      </c>
      <c r="J4116">
        <v>0.52113191081172106</v>
      </c>
      <c r="K4116">
        <v>0.23001401263694801</v>
      </c>
      <c r="L4116">
        <v>636.08359404354906</v>
      </c>
      <c r="M4116">
        <v>11.861787968085901</v>
      </c>
      <c r="N4116">
        <v>57.673035890489899</v>
      </c>
      <c r="O4116">
        <v>52.168616253202401</v>
      </c>
      <c r="P4116">
        <v>-4.0792461883288299E-2</v>
      </c>
      <c r="Q4116">
        <v>0.28255339736278601</v>
      </c>
      <c r="R4116">
        <v>0.89402341283092601</v>
      </c>
      <c r="S4116" t="s">
        <v>9977</v>
      </c>
      <c r="T4116" t="s">
        <v>11720</v>
      </c>
      <c r="U4116" t="s">
        <v>11720</v>
      </c>
      <c r="V4116" t="s">
        <v>11720</v>
      </c>
      <c r="W4116" t="s">
        <v>15782</v>
      </c>
      <c r="X4116">
        <v>2</v>
      </c>
      <c r="Y4116" t="s">
        <v>21495</v>
      </c>
      <c r="Z4116" t="s">
        <v>27323</v>
      </c>
      <c r="AA4116">
        <v>0.62800290603714515</v>
      </c>
      <c r="AB4116" t="str">
        <f>HYPERLINK("Melting_Curves/meltCurve_Q8N5M9_JAGN1.pdf", "Melting_Curves/meltCurve_Q8N5M9_JAGN1.pdf")</f>
        <v>Melting_Curves/meltCurve_Q8N5M9_JAGN1.pdf</v>
      </c>
    </row>
    <row r="4117" spans="1:28" x14ac:dyDescent="0.25">
      <c r="A4117" t="s">
        <v>4121</v>
      </c>
      <c r="B4117">
        <v>0.99334974765950101</v>
      </c>
      <c r="C4117">
        <v>1.01181387319379</v>
      </c>
      <c r="D4117">
        <v>0.95988079805219695</v>
      </c>
      <c r="E4117">
        <v>0.86454750657317203</v>
      </c>
      <c r="F4117">
        <v>1.31893750938799</v>
      </c>
      <c r="G4117">
        <v>1.5198858060507601</v>
      </c>
      <c r="H4117">
        <v>1.4856134281353299</v>
      </c>
      <c r="I4117">
        <v>1.51714156364645</v>
      </c>
      <c r="J4117">
        <v>1.2590420135114599</v>
      </c>
      <c r="K4117">
        <v>1.06719356456186</v>
      </c>
      <c r="L4117">
        <v>13152.6766824643</v>
      </c>
      <c r="M4117">
        <v>250</v>
      </c>
      <c r="O4117">
        <v>52.6073399908543</v>
      </c>
      <c r="P4117">
        <v>0.43931092143667</v>
      </c>
      <c r="Q4117">
        <v>1.3697756636772001</v>
      </c>
      <c r="R4117">
        <v>0.68026443243547197</v>
      </c>
      <c r="S4117" t="s">
        <v>9978</v>
      </c>
      <c r="T4117" t="s">
        <v>11720</v>
      </c>
      <c r="U4117" t="s">
        <v>11720</v>
      </c>
      <c r="V4117" t="s">
        <v>11720</v>
      </c>
      <c r="W4117" t="s">
        <v>15783</v>
      </c>
      <c r="X4117">
        <v>8</v>
      </c>
      <c r="Y4117" t="s">
        <v>21496</v>
      </c>
      <c r="Z4117" t="s">
        <v>27324</v>
      </c>
      <c r="AA4117">
        <v>1.2143037735818829</v>
      </c>
      <c r="AB4117" t="str">
        <f>HYPERLINK("Melting_Curves/meltCurve_Q8N5N7_MRPL50.pdf", "Melting_Curves/meltCurve_Q8N5N7_MRPL50.pdf")</f>
        <v>Melting_Curves/meltCurve_Q8N5N7_MRPL50.pdf</v>
      </c>
    </row>
    <row r="4118" spans="1:28" x14ac:dyDescent="0.25">
      <c r="A4118" t="s">
        <v>4122</v>
      </c>
      <c r="B4118">
        <v>0.99334974765950101</v>
      </c>
      <c r="C4118">
        <v>1.01556747353254</v>
      </c>
      <c r="D4118">
        <v>1.0009198571367099</v>
      </c>
      <c r="E4118">
        <v>0.75607329602826601</v>
      </c>
      <c r="F4118">
        <v>0.667306486769628</v>
      </c>
      <c r="G4118">
        <v>0.39043979353019298</v>
      </c>
      <c r="H4118">
        <v>0.37154354541387402</v>
      </c>
      <c r="I4118">
        <v>0.45564383390761098</v>
      </c>
      <c r="J4118">
        <v>0.87578409710588201</v>
      </c>
      <c r="K4118">
        <v>2.0230045711875402</v>
      </c>
      <c r="L4118">
        <v>11893.1884236613</v>
      </c>
      <c r="M4118">
        <v>250</v>
      </c>
      <c r="O4118">
        <v>47.569709378162401</v>
      </c>
      <c r="P4118">
        <v>-0.27407244836564398</v>
      </c>
      <c r="Q4118">
        <v>0.791399252873634</v>
      </c>
      <c r="R4118">
        <v>4.5201955588575898E-2</v>
      </c>
      <c r="S4118" t="s">
        <v>9979</v>
      </c>
      <c r="T4118" t="s">
        <v>11720</v>
      </c>
      <c r="U4118" t="s">
        <v>11720</v>
      </c>
      <c r="V4118" t="s">
        <v>11720</v>
      </c>
      <c r="W4118" t="s">
        <v>15784</v>
      </c>
      <c r="X4118">
        <v>1</v>
      </c>
      <c r="Y4118" t="s">
        <v>21497</v>
      </c>
      <c r="Z4118" t="s">
        <v>27325</v>
      </c>
      <c r="AA4118">
        <v>0.8440727381172477</v>
      </c>
      <c r="AB4118" t="str">
        <f>HYPERLINK("Melting_Curves/meltCurve_Q8N5W9_FAM101B.pdf", "Melting_Curves/meltCurve_Q8N5W9_FAM101B.pdf")</f>
        <v>Melting_Curves/meltCurve_Q8N5W9_FAM101B.pdf</v>
      </c>
    </row>
    <row r="4119" spans="1:28" x14ac:dyDescent="0.25">
      <c r="A4119" t="s">
        <v>4123</v>
      </c>
      <c r="B4119">
        <v>0.99334974765950101</v>
      </c>
      <c r="C4119">
        <v>0.93952195031386498</v>
      </c>
      <c r="D4119">
        <v>0.79962400743459905</v>
      </c>
      <c r="E4119">
        <v>0.81386371055621998</v>
      </c>
      <c r="F4119">
        <v>0.65619436438368195</v>
      </c>
      <c r="G4119">
        <v>0.25899485635577901</v>
      </c>
      <c r="H4119">
        <v>0.19855335337890301</v>
      </c>
      <c r="I4119">
        <v>0.14317845286370801</v>
      </c>
      <c r="J4119">
        <v>0.184974049347646</v>
      </c>
      <c r="K4119">
        <v>0.16038886495836599</v>
      </c>
      <c r="L4119">
        <v>893.41127118174199</v>
      </c>
      <c r="M4119">
        <v>16.770919911460801</v>
      </c>
      <c r="N4119">
        <v>54.150145204469602</v>
      </c>
      <c r="O4119">
        <v>52.531335474557899</v>
      </c>
      <c r="P4119">
        <v>-7.0310523074414905E-2</v>
      </c>
      <c r="Q4119">
        <v>0.11912650962250999</v>
      </c>
      <c r="R4119">
        <v>0.96567944612108902</v>
      </c>
      <c r="S4119" t="s">
        <v>9980</v>
      </c>
      <c r="T4119" t="s">
        <v>11720</v>
      </c>
      <c r="U4119" t="s">
        <v>11720</v>
      </c>
      <c r="V4119" t="s">
        <v>11720</v>
      </c>
      <c r="W4119" t="s">
        <v>15785</v>
      </c>
      <c r="X4119">
        <v>1</v>
      </c>
      <c r="Y4119" t="s">
        <v>21498</v>
      </c>
      <c r="Z4119" t="s">
        <v>27326</v>
      </c>
      <c r="AA4119">
        <v>0.52479371811243047</v>
      </c>
      <c r="AB4119" t="str">
        <f>HYPERLINK("Melting_Curves/meltCurve_Q8N5X7_EIF4E3.pdf", "Melting_Curves/meltCurve_Q8N5X7_EIF4E3.pdf")</f>
        <v>Melting_Curves/meltCurve_Q8N5X7_EIF4E3.pdf</v>
      </c>
    </row>
    <row r="4120" spans="1:28" x14ac:dyDescent="0.25">
      <c r="A4120" t="s">
        <v>4124</v>
      </c>
      <c r="B4120">
        <v>0.99334974765950101</v>
      </c>
      <c r="C4120">
        <v>0.98578695238179603</v>
      </c>
      <c r="D4120">
        <v>0.93802904203767601</v>
      </c>
      <c r="E4120">
        <v>0.80374367402723401</v>
      </c>
      <c r="F4120">
        <v>0.699293892798585</v>
      </c>
      <c r="G4120">
        <v>0.324862589442522</v>
      </c>
      <c r="H4120">
        <v>0.177900516401192</v>
      </c>
      <c r="I4120">
        <v>0.139767498243382</v>
      </c>
      <c r="J4120">
        <v>0.11143262277442199</v>
      </c>
      <c r="K4120">
        <v>8.7539594993681094E-2</v>
      </c>
      <c r="L4120">
        <v>969.68426121473499</v>
      </c>
      <c r="M4120">
        <v>17.823636320617101</v>
      </c>
      <c r="N4120">
        <v>54.873564772174802</v>
      </c>
      <c r="O4120">
        <v>53.7333990667736</v>
      </c>
      <c r="P4120">
        <v>-7.7069563227616295E-2</v>
      </c>
      <c r="Q4120">
        <v>7.0672497942124504E-2</v>
      </c>
      <c r="R4120">
        <v>0.99523572713932595</v>
      </c>
      <c r="S4120" t="s">
        <v>9981</v>
      </c>
      <c r="T4120" t="s">
        <v>11720</v>
      </c>
      <c r="U4120" t="s">
        <v>11720</v>
      </c>
      <c r="V4120" t="s">
        <v>11720</v>
      </c>
      <c r="W4120" t="s">
        <v>15786</v>
      </c>
      <c r="X4120">
        <v>9</v>
      </c>
      <c r="Y4120" t="s">
        <v>21499</v>
      </c>
      <c r="Z4120" t="s">
        <v>27327</v>
      </c>
      <c r="AA4120">
        <v>0.53178379969222755</v>
      </c>
      <c r="AB4120" t="str">
        <f>HYPERLINK("Melting_Curves/meltCurve_Q8N668_COMMD1.pdf", "Melting_Curves/meltCurve_Q8N668_COMMD1.pdf")</f>
        <v>Melting_Curves/meltCurve_Q8N668_COMMD1.pdf</v>
      </c>
    </row>
    <row r="4121" spans="1:28" x14ac:dyDescent="0.25">
      <c r="A4121" t="s">
        <v>4125</v>
      </c>
      <c r="B4121">
        <v>0.99334974765950101</v>
      </c>
      <c r="C4121">
        <v>0.92136849128201403</v>
      </c>
      <c r="D4121">
        <v>0.88239481412151299</v>
      </c>
      <c r="E4121">
        <v>0.85720048217031397</v>
      </c>
      <c r="F4121">
        <v>0.67657686970952702</v>
      </c>
      <c r="G4121">
        <v>0.30477245064980302</v>
      </c>
      <c r="H4121">
        <v>0.25455038020683501</v>
      </c>
      <c r="I4121">
        <v>0.20229682600853099</v>
      </c>
      <c r="J4121">
        <v>0.24679961173110501</v>
      </c>
      <c r="K4121">
        <v>0.23887223720276801</v>
      </c>
      <c r="L4121">
        <v>1294.3075954423</v>
      </c>
      <c r="M4121">
        <v>24.2836942060481</v>
      </c>
      <c r="N4121">
        <v>54.570611664125799</v>
      </c>
      <c r="O4121">
        <v>52.941958420662303</v>
      </c>
      <c r="P4121">
        <v>-8.9902783420029594E-2</v>
      </c>
      <c r="Q4121">
        <v>0.216007787464671</v>
      </c>
      <c r="R4121">
        <v>0.97835397837846405</v>
      </c>
      <c r="S4121" t="s">
        <v>9982</v>
      </c>
      <c r="T4121" t="s">
        <v>11720</v>
      </c>
      <c r="U4121" t="s">
        <v>11720</v>
      </c>
      <c r="V4121" t="s">
        <v>11720</v>
      </c>
      <c r="W4121" t="s">
        <v>15787</v>
      </c>
      <c r="X4121">
        <v>3</v>
      </c>
      <c r="Y4121" t="s">
        <v>21500</v>
      </c>
      <c r="Z4121" t="s">
        <v>27328</v>
      </c>
      <c r="AA4121">
        <v>0.57119591460566221</v>
      </c>
      <c r="AB4121" t="str">
        <f>HYPERLINK("Melting_Curves/meltCurve_Q8N684_2_CPSF7.pdf", "Melting_Curves/meltCurve_Q8N684_2_CPSF7.pdf")</f>
        <v>Melting_Curves/meltCurve_Q8N684_2_CPSF7.pdf</v>
      </c>
    </row>
    <row r="4122" spans="1:28" x14ac:dyDescent="0.25">
      <c r="A4122" t="s">
        <v>4126</v>
      </c>
      <c r="B4122">
        <v>0.99334974765950101</v>
      </c>
      <c r="C4122">
        <v>0.94153396939912903</v>
      </c>
      <c r="D4122">
        <v>0.84602862458650796</v>
      </c>
      <c r="E4122">
        <v>0.876851174965114</v>
      </c>
      <c r="F4122">
        <v>0.866637996566192</v>
      </c>
      <c r="G4122">
        <v>0.77318029643394903</v>
      </c>
      <c r="H4122">
        <v>0.73887490380551202</v>
      </c>
      <c r="I4122">
        <v>0.955681339756556</v>
      </c>
      <c r="J4122">
        <v>0.97339300360249503</v>
      </c>
      <c r="K4122">
        <v>0.69341527282454896</v>
      </c>
      <c r="L4122">
        <v>2000.5971292301699</v>
      </c>
      <c r="M4122">
        <v>46.101338165367103</v>
      </c>
      <c r="O4122">
        <v>43.314228064392303</v>
      </c>
      <c r="P4122">
        <v>-4.2801795552823797E-2</v>
      </c>
      <c r="Q4122">
        <v>0.83914355398830898</v>
      </c>
      <c r="R4122">
        <v>0.28115237068051602</v>
      </c>
      <c r="S4122" t="s">
        <v>9983</v>
      </c>
      <c r="T4122" t="s">
        <v>11720</v>
      </c>
      <c r="U4122" t="s">
        <v>11720</v>
      </c>
      <c r="V4122" t="s">
        <v>11720</v>
      </c>
      <c r="W4122" t="s">
        <v>15788</v>
      </c>
      <c r="X4122">
        <v>8</v>
      </c>
      <c r="Y4122" t="s">
        <v>21501</v>
      </c>
      <c r="Z4122" t="s">
        <v>27329</v>
      </c>
      <c r="AA4122">
        <v>0.85779470152426307</v>
      </c>
      <c r="AB4122" t="str">
        <f>HYPERLINK("Melting_Curves/meltCurve_Q8N697_SLC15A4.pdf", "Melting_Curves/meltCurve_Q8N697_SLC15A4.pdf")</f>
        <v>Melting_Curves/meltCurve_Q8N697_SLC15A4.pdf</v>
      </c>
    </row>
    <row r="4123" spans="1:28" x14ac:dyDescent="0.25">
      <c r="A4123" t="s">
        <v>4127</v>
      </c>
      <c r="B4123">
        <v>0.99334974765950101</v>
      </c>
      <c r="C4123">
        <v>0.94668149468082197</v>
      </c>
      <c r="D4123">
        <v>0.84321328890963299</v>
      </c>
      <c r="E4123">
        <v>0.45504284526187699</v>
      </c>
      <c r="F4123">
        <v>0.199354279831884</v>
      </c>
      <c r="G4123">
        <v>0.15039821759081001</v>
      </c>
      <c r="H4123">
        <v>0.106300271374416</v>
      </c>
      <c r="I4123">
        <v>9.5110971677966005E-2</v>
      </c>
      <c r="J4123">
        <v>8.7010272703978805E-2</v>
      </c>
      <c r="K4123">
        <v>8.5330597548269896E-2</v>
      </c>
      <c r="L4123">
        <v>1145.6960176268601</v>
      </c>
      <c r="M4123">
        <v>23.3692512888008</v>
      </c>
      <c r="N4123">
        <v>49.454398443674698</v>
      </c>
      <c r="O4123">
        <v>48.671029932066702</v>
      </c>
      <c r="P4123">
        <v>-0.109034826474091</v>
      </c>
      <c r="Q4123">
        <v>9.1670674985964901E-2</v>
      </c>
      <c r="R4123">
        <v>0.99841926554162097</v>
      </c>
      <c r="S4123" t="s">
        <v>9984</v>
      </c>
      <c r="T4123" t="s">
        <v>11720</v>
      </c>
      <c r="U4123" t="s">
        <v>11720</v>
      </c>
      <c r="V4123" t="s">
        <v>11720</v>
      </c>
      <c r="W4123" t="s">
        <v>15789</v>
      </c>
      <c r="X4123">
        <v>18</v>
      </c>
      <c r="Y4123" t="s">
        <v>21502</v>
      </c>
      <c r="Z4123" t="s">
        <v>27330</v>
      </c>
      <c r="AA4123">
        <v>0.3741999297999265</v>
      </c>
      <c r="AB4123" t="str">
        <f>HYPERLINK("Melting_Curves/meltCurve_Q8N6H7_ARFGAP2.pdf", "Melting_Curves/meltCurve_Q8N6H7_ARFGAP2.pdf")</f>
        <v>Melting_Curves/meltCurve_Q8N6H7_ARFGAP2.pdf</v>
      </c>
    </row>
    <row r="4124" spans="1:28" x14ac:dyDescent="0.25">
      <c r="A4124" t="s">
        <v>4128</v>
      </c>
      <c r="B4124">
        <v>0.99334974765950101</v>
      </c>
      <c r="C4124">
        <v>0.99663059815316202</v>
      </c>
      <c r="D4124">
        <v>0.76243433574935404</v>
      </c>
      <c r="E4124">
        <v>0.38387938122419402</v>
      </c>
      <c r="F4124">
        <v>0.28715821680977699</v>
      </c>
      <c r="G4124">
        <v>0.188075266245329</v>
      </c>
      <c r="H4124">
        <v>0.14040528382863601</v>
      </c>
      <c r="I4124">
        <v>0.105563057212338</v>
      </c>
      <c r="J4124">
        <v>0.11428768447566</v>
      </c>
      <c r="K4124">
        <v>8.8312146586987397E-2</v>
      </c>
      <c r="L4124">
        <v>986.05679888671602</v>
      </c>
      <c r="M4124">
        <v>20.372486568186101</v>
      </c>
      <c r="N4124">
        <v>49.043613139919898</v>
      </c>
      <c r="O4124">
        <v>47.942275746652399</v>
      </c>
      <c r="P4124">
        <v>-9.3799698356056296E-2</v>
      </c>
      <c r="Q4124">
        <v>0.11707684481078801</v>
      </c>
      <c r="R4124">
        <v>0.99286082625896399</v>
      </c>
      <c r="S4124" t="s">
        <v>9985</v>
      </c>
      <c r="T4124" t="s">
        <v>11720</v>
      </c>
      <c r="U4124" t="s">
        <v>11720</v>
      </c>
      <c r="V4124" t="s">
        <v>11720</v>
      </c>
      <c r="W4124" t="s">
        <v>15790</v>
      </c>
      <c r="X4124">
        <v>6</v>
      </c>
      <c r="Y4124" t="s">
        <v>21503</v>
      </c>
      <c r="Z4124" t="s">
        <v>27331</v>
      </c>
      <c r="AA4124">
        <v>0.37632365626531822</v>
      </c>
      <c r="AB4124" t="str">
        <f>HYPERLINK("Melting_Curves/meltCurve_Q8N6M0_OTUD6B.pdf", "Melting_Curves/meltCurve_Q8N6M0_OTUD6B.pdf")</f>
        <v>Melting_Curves/meltCurve_Q8N6M0_OTUD6B.pdf</v>
      </c>
    </row>
    <row r="4125" spans="1:28" x14ac:dyDescent="0.25">
      <c r="A4125" t="s">
        <v>4129</v>
      </c>
      <c r="B4125">
        <v>0.99334974765950101</v>
      </c>
      <c r="C4125">
        <v>1.0116995372028901</v>
      </c>
      <c r="D4125">
        <v>0.86653518253874295</v>
      </c>
      <c r="E4125">
        <v>0.81846364046344999</v>
      </c>
      <c r="F4125">
        <v>0.89577312344934301</v>
      </c>
      <c r="G4125">
        <v>0.83746077694085597</v>
      </c>
      <c r="H4125">
        <v>0.84008408137271195</v>
      </c>
      <c r="I4125">
        <v>1.29120851544514</v>
      </c>
      <c r="J4125">
        <v>1.22327798111064</v>
      </c>
      <c r="K4125">
        <v>0.96135623603737796</v>
      </c>
      <c r="L4125">
        <v>2222.4923769489301</v>
      </c>
      <c r="M4125">
        <v>35.541619153464303</v>
      </c>
      <c r="O4125">
        <v>62.335131647538901</v>
      </c>
      <c r="P4125">
        <v>1.9178200299941599E-2</v>
      </c>
      <c r="Q4125">
        <v>1.1345433091952299</v>
      </c>
      <c r="R4125">
        <v>0.146807154589741</v>
      </c>
      <c r="S4125" t="s">
        <v>9986</v>
      </c>
      <c r="T4125" t="s">
        <v>11720</v>
      </c>
      <c r="U4125" t="s">
        <v>11720</v>
      </c>
      <c r="V4125" t="s">
        <v>11720</v>
      </c>
      <c r="W4125" t="s">
        <v>15791</v>
      </c>
      <c r="X4125">
        <v>6</v>
      </c>
      <c r="Y4125" t="s">
        <v>21504</v>
      </c>
      <c r="Z4125" t="s">
        <v>27332</v>
      </c>
      <c r="AA4125">
        <v>1.0329893039647939</v>
      </c>
      <c r="AB4125" t="str">
        <f>HYPERLINK("Melting_Curves/meltCurve_Q8N6N3_C1orf52.pdf", "Melting_Curves/meltCurve_Q8N6N3_C1orf52.pdf")</f>
        <v>Melting_Curves/meltCurve_Q8N6N3_C1orf52.pdf</v>
      </c>
    </row>
    <row r="4126" spans="1:28" x14ac:dyDescent="0.25">
      <c r="A4126" t="s">
        <v>4130</v>
      </c>
      <c r="B4126">
        <v>0.99334974765950101</v>
      </c>
      <c r="C4126">
        <v>0.74887346324844195</v>
      </c>
      <c r="D4126">
        <v>0.94055609896041403</v>
      </c>
      <c r="E4126">
        <v>0.85111379926053299</v>
      </c>
      <c r="F4126">
        <v>1.4328897058493499</v>
      </c>
      <c r="G4126">
        <v>0.63807726010690802</v>
      </c>
      <c r="H4126">
        <v>0.30619298389704902</v>
      </c>
      <c r="I4126">
        <v>0</v>
      </c>
      <c r="J4126">
        <v>0.13274499990385</v>
      </c>
      <c r="K4126">
        <v>0</v>
      </c>
      <c r="L4126">
        <v>2225.9814838096099</v>
      </c>
      <c r="M4126">
        <v>38.103271246790698</v>
      </c>
      <c r="N4126">
        <v>58.587983708927801</v>
      </c>
      <c r="O4126">
        <v>58.259483247944601</v>
      </c>
      <c r="P4126">
        <v>-0.15503172431482901</v>
      </c>
      <c r="Q4126">
        <v>5.18352414104509E-2</v>
      </c>
      <c r="R4126">
        <v>0.84256709815727904</v>
      </c>
      <c r="S4126" t="s">
        <v>9987</v>
      </c>
      <c r="T4126" t="s">
        <v>11720</v>
      </c>
      <c r="U4126" t="s">
        <v>11720</v>
      </c>
      <c r="V4126" t="s">
        <v>11720</v>
      </c>
      <c r="W4126" t="s">
        <v>15792</v>
      </c>
      <c r="X4126">
        <v>2</v>
      </c>
      <c r="Y4126" t="s">
        <v>21505</v>
      </c>
      <c r="Z4126" t="s">
        <v>27333</v>
      </c>
      <c r="AA4126">
        <v>0.63808725952232337</v>
      </c>
      <c r="AB4126" t="str">
        <f>HYPERLINK("Melting_Curves/meltCurve_Q8N6Q8_METTL25.pdf", "Melting_Curves/meltCurve_Q8N6Q8_METTL25.pdf")</f>
        <v>Melting_Curves/meltCurve_Q8N6Q8_METTL25.pdf</v>
      </c>
    </row>
    <row r="4127" spans="1:28" x14ac:dyDescent="0.25">
      <c r="A4127" t="s">
        <v>4131</v>
      </c>
      <c r="B4127">
        <v>0.99334974765950101</v>
      </c>
      <c r="C4127">
        <v>0.96029380817057597</v>
      </c>
      <c r="D4127">
        <v>0.84212112511430304</v>
      </c>
      <c r="E4127">
        <v>0.43674602521865802</v>
      </c>
      <c r="F4127">
        <v>0.165025570613723</v>
      </c>
      <c r="G4127">
        <v>0.12089921092275201</v>
      </c>
      <c r="H4127">
        <v>9.2587549096130303E-2</v>
      </c>
      <c r="I4127">
        <v>8.2331636093016497E-2</v>
      </c>
      <c r="J4127">
        <v>6.78194908659632E-2</v>
      </c>
      <c r="K4127">
        <v>6.3022106032798203E-2</v>
      </c>
      <c r="L4127">
        <v>1221.2660074554799</v>
      </c>
      <c r="M4127">
        <v>24.937766480773998</v>
      </c>
      <c r="N4127">
        <v>49.289865451450403</v>
      </c>
      <c r="O4127">
        <v>48.660874703944899</v>
      </c>
      <c r="P4127">
        <v>-0.118620496537514</v>
      </c>
      <c r="Q4127">
        <v>7.4159091810781105E-2</v>
      </c>
      <c r="R4127">
        <v>0.99850304172887705</v>
      </c>
      <c r="S4127" t="s">
        <v>9988</v>
      </c>
      <c r="T4127" t="s">
        <v>11720</v>
      </c>
      <c r="U4127" t="s">
        <v>11720</v>
      </c>
      <c r="V4127" t="s">
        <v>11720</v>
      </c>
      <c r="W4127" t="s">
        <v>15793</v>
      </c>
      <c r="X4127">
        <v>22</v>
      </c>
      <c r="Y4127" t="s">
        <v>21506</v>
      </c>
      <c r="Z4127" t="s">
        <v>27334</v>
      </c>
      <c r="AA4127">
        <v>0.35930931756255852</v>
      </c>
      <c r="AB4127" t="str">
        <f>HYPERLINK("Melting_Curves/meltCurve_Q8N6T3_ARFGAP1.pdf", "Melting_Curves/meltCurve_Q8N6T3_ARFGAP1.pdf")</f>
        <v>Melting_Curves/meltCurve_Q8N6T3_ARFGAP1.pdf</v>
      </c>
    </row>
    <row r="4128" spans="1:28" x14ac:dyDescent="0.25">
      <c r="A4128" t="s">
        <v>4132</v>
      </c>
      <c r="B4128">
        <v>0.99334974765950101</v>
      </c>
      <c r="C4128">
        <v>1.05198572695994</v>
      </c>
      <c r="D4128">
        <v>0.91152533101920097</v>
      </c>
      <c r="E4128">
        <v>0.72716605848558602</v>
      </c>
      <c r="F4128">
        <v>0.69004350593096397</v>
      </c>
      <c r="G4128">
        <v>0.23574530874410399</v>
      </c>
      <c r="H4128">
        <v>0.17105924970601799</v>
      </c>
      <c r="I4128">
        <v>0.31757018069581699</v>
      </c>
      <c r="J4128">
        <v>0.19761052429722401</v>
      </c>
      <c r="K4128">
        <v>5.9683169632694703E-2</v>
      </c>
      <c r="L4128">
        <v>950.44767829263299</v>
      </c>
      <c r="M4128">
        <v>17.894076122081</v>
      </c>
      <c r="N4128">
        <v>54.102270733352398</v>
      </c>
      <c r="O4128">
        <v>52.465176157112303</v>
      </c>
      <c r="P4128">
        <v>-7.3395571529566606E-2</v>
      </c>
      <c r="Q4128">
        <v>0.13926439335427199</v>
      </c>
      <c r="R4128">
        <v>0.95128074882398606</v>
      </c>
      <c r="S4128" t="s">
        <v>9989</v>
      </c>
      <c r="T4128" t="s">
        <v>11720</v>
      </c>
      <c r="U4128" t="s">
        <v>11720</v>
      </c>
      <c r="V4128" t="s">
        <v>11720</v>
      </c>
      <c r="W4128" t="s">
        <v>15794</v>
      </c>
      <c r="X4128">
        <v>1</v>
      </c>
      <c r="Y4128" t="s">
        <v>21507</v>
      </c>
      <c r="Z4128" t="s">
        <v>27335</v>
      </c>
      <c r="AA4128">
        <v>0.52974961825937683</v>
      </c>
      <c r="AB4128" t="str">
        <f>HYPERLINK("Melting_Curves/meltCurve_Q8N755_PQLC3.pdf", "Melting_Curves/meltCurve_Q8N755_PQLC3.pdf")</f>
        <v>Melting_Curves/meltCurve_Q8N755_PQLC3.pdf</v>
      </c>
    </row>
    <row r="4129" spans="1:28" x14ac:dyDescent="0.25">
      <c r="A4129" t="s">
        <v>4133</v>
      </c>
      <c r="B4129">
        <v>0.99334974765950101</v>
      </c>
      <c r="C4129">
        <v>1.02555030453117</v>
      </c>
      <c r="D4129">
        <v>1.06848563257623</v>
      </c>
      <c r="E4129">
        <v>1.2519879704413399</v>
      </c>
      <c r="F4129">
        <v>1.11782184898388</v>
      </c>
      <c r="G4129">
        <v>0.55851486219525703</v>
      </c>
      <c r="H4129">
        <v>0.34014109200790499</v>
      </c>
      <c r="I4129">
        <v>0.31534912717431302</v>
      </c>
      <c r="J4129">
        <v>0.206825322590314</v>
      </c>
      <c r="K4129">
        <v>0.17836982031858301</v>
      </c>
      <c r="L4129">
        <v>7534.8191040332003</v>
      </c>
      <c r="M4129">
        <v>132.581196667966</v>
      </c>
      <c r="N4129">
        <v>57.1483436630445</v>
      </c>
      <c r="O4129">
        <v>56.818812746776203</v>
      </c>
      <c r="P4129">
        <v>-0.43159873428545398</v>
      </c>
      <c r="Q4129">
        <v>0.26013870991299798</v>
      </c>
      <c r="R4129">
        <v>0.93717886859590405</v>
      </c>
      <c r="S4129" t="s">
        <v>9990</v>
      </c>
      <c r="T4129" t="s">
        <v>11720</v>
      </c>
      <c r="U4129" t="s">
        <v>11720</v>
      </c>
      <c r="V4129" t="s">
        <v>11720</v>
      </c>
      <c r="W4129" t="s">
        <v>15795</v>
      </c>
      <c r="X4129">
        <v>7</v>
      </c>
      <c r="Y4129" t="s">
        <v>21508</v>
      </c>
      <c r="Z4129" t="s">
        <v>27336</v>
      </c>
      <c r="AA4129">
        <v>0.67550614921165741</v>
      </c>
      <c r="AB4129" t="str">
        <f>HYPERLINK("Melting_Curves/meltCurve_Q8N766_4_EMC1.pdf", "Melting_Curves/meltCurve_Q8N766_4_EMC1.pdf")</f>
        <v>Melting_Curves/meltCurve_Q8N766_4_EMC1.pdf</v>
      </c>
    </row>
    <row r="4130" spans="1:28" x14ac:dyDescent="0.25">
      <c r="A4130" t="s">
        <v>4134</v>
      </c>
      <c r="B4130">
        <v>0.99334974765950101</v>
      </c>
      <c r="C4130">
        <v>0.89218221820881904</v>
      </c>
      <c r="D4130">
        <v>0.69663338672903297</v>
      </c>
      <c r="E4130">
        <v>0.29015014567820102</v>
      </c>
      <c r="F4130">
        <v>0.201041916039853</v>
      </c>
      <c r="G4130">
        <v>0.13880345555035101</v>
      </c>
      <c r="H4130">
        <v>0.122005558076009</v>
      </c>
      <c r="I4130">
        <v>0.104054446882273</v>
      </c>
      <c r="J4130">
        <v>9.2928073907875705E-2</v>
      </c>
      <c r="K4130">
        <v>7.3260968313459102E-2</v>
      </c>
      <c r="L4130">
        <v>1003.6150451288501</v>
      </c>
      <c r="M4130">
        <v>21.221593873963599</v>
      </c>
      <c r="N4130">
        <v>47.789299053804001</v>
      </c>
      <c r="O4130">
        <v>46.878232870365302</v>
      </c>
      <c r="P4130">
        <v>-0.10196678009456001</v>
      </c>
      <c r="Q4130">
        <v>9.90498777333257E-2</v>
      </c>
      <c r="R4130">
        <v>0.99743937502352698</v>
      </c>
      <c r="S4130" t="s">
        <v>9991</v>
      </c>
      <c r="T4130" t="s">
        <v>11720</v>
      </c>
      <c r="U4130" t="s">
        <v>11720</v>
      </c>
      <c r="V4130" t="s">
        <v>11720</v>
      </c>
      <c r="W4130" t="s">
        <v>15796</v>
      </c>
      <c r="X4130">
        <v>6</v>
      </c>
      <c r="Y4130" t="s">
        <v>21509</v>
      </c>
      <c r="Z4130" t="s">
        <v>27337</v>
      </c>
      <c r="AA4130">
        <v>0.32950586365035839</v>
      </c>
      <c r="AB4130" t="str">
        <f>HYPERLINK("Melting_Curves/meltCurve_Q8N7R7_3_CCNYL1.pdf", "Melting_Curves/meltCurve_Q8N7R7_3_CCNYL1.pdf")</f>
        <v>Melting_Curves/meltCurve_Q8N7R7_3_CCNYL1.pdf</v>
      </c>
    </row>
    <row r="4131" spans="1:28" x14ac:dyDescent="0.25">
      <c r="A4131" t="s">
        <v>4135</v>
      </c>
      <c r="B4131">
        <v>0.99334974765950101</v>
      </c>
      <c r="C4131">
        <v>0.812200222589613</v>
      </c>
      <c r="D4131">
        <v>0.68760861282833396</v>
      </c>
      <c r="E4131">
        <v>0.61011012363614903</v>
      </c>
      <c r="F4131">
        <v>0.326988720888235</v>
      </c>
      <c r="G4131">
        <v>0.21745805038268701</v>
      </c>
      <c r="H4131">
        <v>0.141418523023844</v>
      </c>
      <c r="I4131">
        <v>0.10581037748545501</v>
      </c>
      <c r="J4131">
        <v>9.5398868915139101E-2</v>
      </c>
      <c r="K4131">
        <v>4.9691168416348498E-2</v>
      </c>
      <c r="L4131">
        <v>523.19131255979005</v>
      </c>
      <c r="M4131">
        <v>10.403861467854901</v>
      </c>
      <c r="N4131">
        <v>50.355283560999602</v>
      </c>
      <c r="O4131">
        <v>48.536706737109199</v>
      </c>
      <c r="P4131">
        <v>-5.32409559763833E-2</v>
      </c>
      <c r="Q4131">
        <v>6.88373919970044E-3</v>
      </c>
      <c r="R4131">
        <v>0.98268881184797396</v>
      </c>
      <c r="S4131" t="s">
        <v>9992</v>
      </c>
      <c r="T4131" t="s">
        <v>11720</v>
      </c>
      <c r="U4131" t="s">
        <v>11720</v>
      </c>
      <c r="V4131" t="s">
        <v>11720</v>
      </c>
      <c r="W4131" t="s">
        <v>15797</v>
      </c>
      <c r="X4131">
        <v>2</v>
      </c>
      <c r="Y4131" t="s">
        <v>21510</v>
      </c>
      <c r="Z4131" t="s">
        <v>27338</v>
      </c>
      <c r="AA4131">
        <v>0.38903144183669841</v>
      </c>
      <c r="AB4131" t="str">
        <f>HYPERLINK("Melting_Curves/meltCurve_Q8N8L6_ARL10.pdf", "Melting_Curves/meltCurve_Q8N8L6_ARL10.pdf")</f>
        <v>Melting_Curves/meltCurve_Q8N8L6_ARL10.pdf</v>
      </c>
    </row>
    <row r="4132" spans="1:28" x14ac:dyDescent="0.25">
      <c r="A4132" t="s">
        <v>4136</v>
      </c>
      <c r="B4132">
        <v>0.99334974765950101</v>
      </c>
      <c r="C4132">
        <v>0.98462794177272495</v>
      </c>
      <c r="D4132">
        <v>0.85863031186107597</v>
      </c>
      <c r="E4132">
        <v>0.43329816005159599</v>
      </c>
      <c r="F4132">
        <v>0.21274520994854901</v>
      </c>
      <c r="G4132">
        <v>0.15076489964649301</v>
      </c>
      <c r="H4132">
        <v>0.107944060607106</v>
      </c>
      <c r="I4132">
        <v>9.2698572381459607E-2</v>
      </c>
      <c r="J4132">
        <v>7.0247411760370304E-2</v>
      </c>
      <c r="K4132">
        <v>5.7966198073282502E-2</v>
      </c>
      <c r="L4132">
        <v>1199.8036441382001</v>
      </c>
      <c r="M4132">
        <v>24.443335333937899</v>
      </c>
      <c r="N4132">
        <v>49.467041263564802</v>
      </c>
      <c r="O4132">
        <v>48.760096594139</v>
      </c>
      <c r="P4132">
        <v>-0.11454901522004</v>
      </c>
      <c r="Q4132">
        <v>8.5993771188534199E-2</v>
      </c>
      <c r="R4132">
        <v>0.99799115897919399</v>
      </c>
      <c r="S4132" t="s">
        <v>9993</v>
      </c>
      <c r="T4132" t="s">
        <v>11720</v>
      </c>
      <c r="U4132" t="s">
        <v>11720</v>
      </c>
      <c r="V4132" t="s">
        <v>11720</v>
      </c>
      <c r="W4132" t="s">
        <v>15798</v>
      </c>
      <c r="X4132">
        <v>5</v>
      </c>
      <c r="Y4132" t="s">
        <v>21511</v>
      </c>
      <c r="Z4132" t="s">
        <v>27339</v>
      </c>
      <c r="AA4132">
        <v>0.37127641629651648</v>
      </c>
      <c r="AB4132" t="str">
        <f>HYPERLINK("Melting_Curves/meltCurve_Q8N8N7_PTGR2.pdf", "Melting_Curves/meltCurve_Q8N8N7_PTGR2.pdf")</f>
        <v>Melting_Curves/meltCurve_Q8N8N7_PTGR2.pdf</v>
      </c>
    </row>
    <row r="4133" spans="1:28" x14ac:dyDescent="0.25">
      <c r="A4133" t="s">
        <v>4137</v>
      </c>
      <c r="B4133">
        <v>0.99334974765950101</v>
      </c>
      <c r="C4133">
        <v>0.96260182401889305</v>
      </c>
      <c r="D4133">
        <v>0.89068463501184103</v>
      </c>
      <c r="E4133">
        <v>0.71522512252757298</v>
      </c>
      <c r="F4133">
        <v>0.50320228050336602</v>
      </c>
      <c r="G4133">
        <v>0.23758066180888199</v>
      </c>
      <c r="H4133">
        <v>0.18608575154059101</v>
      </c>
      <c r="I4133">
        <v>0.16444636083554201</v>
      </c>
      <c r="J4133">
        <v>0.144040639605584</v>
      </c>
      <c r="K4133">
        <v>0.136700449851233</v>
      </c>
      <c r="L4133">
        <v>911.61680041832199</v>
      </c>
      <c r="M4133">
        <v>17.562879782911601</v>
      </c>
      <c r="N4133">
        <v>52.763306861121897</v>
      </c>
      <c r="O4133">
        <v>51.2469512055319</v>
      </c>
      <c r="P4133">
        <v>-7.5045562356288897E-2</v>
      </c>
      <c r="Q4133">
        <v>0.12414166243385601</v>
      </c>
      <c r="R4133">
        <v>0.99749208309972004</v>
      </c>
      <c r="S4133" t="s">
        <v>9994</v>
      </c>
      <c r="T4133" t="s">
        <v>11720</v>
      </c>
      <c r="U4133" t="s">
        <v>11720</v>
      </c>
      <c r="V4133" t="s">
        <v>11720</v>
      </c>
      <c r="W4133" t="s">
        <v>15799</v>
      </c>
      <c r="X4133">
        <v>6</v>
      </c>
      <c r="Y4133" t="s">
        <v>21512</v>
      </c>
      <c r="Z4133" t="s">
        <v>27340</v>
      </c>
      <c r="AA4133">
        <v>0.48695547389451449</v>
      </c>
      <c r="AB4133" t="str">
        <f>HYPERLINK("Melting_Curves/meltCurve_Q8N8R5_C2orf69.pdf", "Melting_Curves/meltCurve_Q8N8R5_C2orf69.pdf")</f>
        <v>Melting_Curves/meltCurve_Q8N8R5_C2orf69.pdf</v>
      </c>
    </row>
    <row r="4134" spans="1:28" x14ac:dyDescent="0.25">
      <c r="A4134" t="s">
        <v>4138</v>
      </c>
      <c r="B4134">
        <v>0.99334974765950101</v>
      </c>
      <c r="C4134">
        <v>0.94809396234409204</v>
      </c>
      <c r="D4134">
        <v>0.92470593729877204</v>
      </c>
      <c r="E4134">
        <v>0.91418955212786202</v>
      </c>
      <c r="F4134">
        <v>0.67262646107407298</v>
      </c>
      <c r="G4134">
        <v>0.487886556735457</v>
      </c>
      <c r="H4134">
        <v>0.37353798408106798</v>
      </c>
      <c r="I4134">
        <v>0.33234469675407602</v>
      </c>
      <c r="J4134">
        <v>0.28499900267538603</v>
      </c>
      <c r="K4134">
        <v>0.25239311805690301</v>
      </c>
      <c r="L4134">
        <v>862.87647953315297</v>
      </c>
      <c r="M4134">
        <v>15.8447322275474</v>
      </c>
      <c r="N4134">
        <v>56.921144922441897</v>
      </c>
      <c r="O4134">
        <v>53.6129563457079</v>
      </c>
      <c r="P4134">
        <v>-5.5558509524191502E-2</v>
      </c>
      <c r="Q4134">
        <v>0.24810023831147099</v>
      </c>
      <c r="R4134">
        <v>0.989584671985278</v>
      </c>
      <c r="S4134" t="s">
        <v>9995</v>
      </c>
      <c r="T4134" t="s">
        <v>11720</v>
      </c>
      <c r="U4134" t="s">
        <v>11720</v>
      </c>
      <c r="V4134" t="s">
        <v>11720</v>
      </c>
      <c r="W4134" t="s">
        <v>15800</v>
      </c>
      <c r="X4134">
        <v>28</v>
      </c>
      <c r="Y4134" t="s">
        <v>21513</v>
      </c>
      <c r="Z4134" t="s">
        <v>27341</v>
      </c>
      <c r="AA4134">
        <v>0.6245401942600195</v>
      </c>
      <c r="AB4134" t="str">
        <f>HYPERLINK("Melting_Curves/meltCurve_Q8N8S7_2_ENAH.pdf", "Melting_Curves/meltCurve_Q8N8S7_2_ENAH.pdf")</f>
        <v>Melting_Curves/meltCurve_Q8N8S7_2_ENAH.pdf</v>
      </c>
    </row>
    <row r="4135" spans="1:28" x14ac:dyDescent="0.25">
      <c r="A4135" t="s">
        <v>4139</v>
      </c>
      <c r="B4135">
        <v>0.99334974765950101</v>
      </c>
      <c r="C4135">
        <v>0.93586305141076798</v>
      </c>
      <c r="D4135">
        <v>0.78781177716534401</v>
      </c>
      <c r="E4135">
        <v>0.55815197154206597</v>
      </c>
      <c r="F4135">
        <v>0.30326264721512503</v>
      </c>
      <c r="G4135">
        <v>0.17657652358340101</v>
      </c>
      <c r="H4135">
        <v>0.13169535577112701</v>
      </c>
      <c r="I4135">
        <v>0.13737358607335101</v>
      </c>
      <c r="J4135">
        <v>0.15411746721238401</v>
      </c>
      <c r="K4135">
        <v>0.16743763093424199</v>
      </c>
      <c r="L4135">
        <v>894.20669066679397</v>
      </c>
      <c r="M4135">
        <v>18.123382729719999</v>
      </c>
      <c r="N4135">
        <v>50.175159071957701</v>
      </c>
      <c r="O4135">
        <v>48.750992248949601</v>
      </c>
      <c r="P4135">
        <v>-8.0840622901088899E-2</v>
      </c>
      <c r="Q4135">
        <v>0.130212861626504</v>
      </c>
      <c r="R4135">
        <v>0.99466812753439404</v>
      </c>
      <c r="S4135" t="s">
        <v>9996</v>
      </c>
      <c r="T4135" t="s">
        <v>11720</v>
      </c>
      <c r="U4135" t="s">
        <v>11720</v>
      </c>
      <c r="V4135" t="s">
        <v>11720</v>
      </c>
      <c r="W4135" t="s">
        <v>15801</v>
      </c>
      <c r="X4135">
        <v>2</v>
      </c>
      <c r="Y4135" t="s">
        <v>21514</v>
      </c>
      <c r="Z4135" t="s">
        <v>27342</v>
      </c>
      <c r="AA4135">
        <v>0.41578132688271352</v>
      </c>
      <c r="AB4135" t="str">
        <f>HYPERLINK("Melting_Curves/meltCurve_Q8N954_GPATCH11.pdf", "Melting_Curves/meltCurve_Q8N954_GPATCH11.pdf")</f>
        <v>Melting_Curves/meltCurve_Q8N954_GPATCH11.pdf</v>
      </c>
    </row>
    <row r="4136" spans="1:28" x14ac:dyDescent="0.25">
      <c r="A4136" t="s">
        <v>4140</v>
      </c>
      <c r="B4136">
        <v>0.99334974765950101</v>
      </c>
      <c r="C4136">
        <v>0.95776499193199505</v>
      </c>
      <c r="D4136">
        <v>0.87166219954119395</v>
      </c>
      <c r="E4136">
        <v>0.77394029538443099</v>
      </c>
      <c r="F4136">
        <v>0.56851369313997602</v>
      </c>
      <c r="G4136">
        <v>0.24667337347252699</v>
      </c>
      <c r="H4136">
        <v>8.0646696621105504E-2</v>
      </c>
      <c r="I4136">
        <v>5.4424762113615403E-2</v>
      </c>
      <c r="J4136">
        <v>4.79977643280926E-2</v>
      </c>
      <c r="K4136">
        <v>4.1259205864765502E-2</v>
      </c>
      <c r="L4136">
        <v>889.17626511989704</v>
      </c>
      <c r="M4136">
        <v>16.630111703547801</v>
      </c>
      <c r="N4136">
        <v>53.470227120689202</v>
      </c>
      <c r="O4136">
        <v>52.712658966465398</v>
      </c>
      <c r="P4136">
        <v>-7.8847677922531001E-2</v>
      </c>
      <c r="Q4136">
        <v>3.6972503730024699E-4</v>
      </c>
      <c r="R4136">
        <v>0.99454328556492499</v>
      </c>
      <c r="S4136" t="s">
        <v>9997</v>
      </c>
      <c r="T4136" t="s">
        <v>11720</v>
      </c>
      <c r="U4136" t="s">
        <v>11720</v>
      </c>
      <c r="V4136" t="s">
        <v>11720</v>
      </c>
      <c r="W4136" t="s">
        <v>15802</v>
      </c>
      <c r="X4136">
        <v>3</v>
      </c>
      <c r="Y4136" t="s">
        <v>21515</v>
      </c>
      <c r="Z4136" t="s">
        <v>27343</v>
      </c>
      <c r="AA4136">
        <v>0.46738680575580471</v>
      </c>
      <c r="AB4136" t="str">
        <f>HYPERLINK("Melting_Curves/meltCurve_Q8N999_C12orf29.pdf", "Melting_Curves/meltCurve_Q8N999_C12orf29.pdf")</f>
        <v>Melting_Curves/meltCurve_Q8N999_C12orf29.pdf</v>
      </c>
    </row>
    <row r="4137" spans="1:28" x14ac:dyDescent="0.25">
      <c r="A4137" t="s">
        <v>4141</v>
      </c>
      <c r="B4137">
        <v>0.99334974765950101</v>
      </c>
      <c r="C4137">
        <v>0.96116025997299104</v>
      </c>
      <c r="D4137">
        <v>0.92976580278231502</v>
      </c>
      <c r="E4137">
        <v>0.90170380594468502</v>
      </c>
      <c r="F4137">
        <v>0.78942468946257405</v>
      </c>
      <c r="G4137">
        <v>0.57472490883740901</v>
      </c>
      <c r="H4137">
        <v>0.474950896357896</v>
      </c>
      <c r="I4137">
        <v>0.34265138642558202</v>
      </c>
      <c r="J4137">
        <v>0.35517544896053999</v>
      </c>
      <c r="K4137">
        <v>0.40553353635509398</v>
      </c>
      <c r="L4137">
        <v>913.61900025355305</v>
      </c>
      <c r="M4137">
        <v>16.579370316710101</v>
      </c>
      <c r="N4137">
        <v>59.147872982810902</v>
      </c>
      <c r="O4137">
        <v>54.322791720672001</v>
      </c>
      <c r="P4137">
        <v>-5.0440214269206099E-2</v>
      </c>
      <c r="Q4137">
        <v>0.33896973430598898</v>
      </c>
      <c r="R4137">
        <v>0.98472012713421797</v>
      </c>
      <c r="S4137" t="s">
        <v>9998</v>
      </c>
      <c r="T4137" t="s">
        <v>11720</v>
      </c>
      <c r="U4137" t="s">
        <v>11720</v>
      </c>
      <c r="V4137" t="s">
        <v>11720</v>
      </c>
      <c r="W4137" t="s">
        <v>15803</v>
      </c>
      <c r="X4137">
        <v>2</v>
      </c>
      <c r="Y4137" t="s">
        <v>21516</v>
      </c>
      <c r="Z4137" t="s">
        <v>27344</v>
      </c>
      <c r="AA4137">
        <v>0.68311768293212205</v>
      </c>
      <c r="AB4137" t="str">
        <f>HYPERLINK("Melting_Curves/meltCurve_Q8N9A8_2_CNEP1R1.pdf", "Melting_Curves/meltCurve_Q8N9A8_2_CNEP1R1.pdf")</f>
        <v>Melting_Curves/meltCurve_Q8N9A8_2_CNEP1R1.pdf</v>
      </c>
    </row>
    <row r="4138" spans="1:28" x14ac:dyDescent="0.25">
      <c r="A4138" t="s">
        <v>4142</v>
      </c>
      <c r="B4138">
        <v>0.99334974765950101</v>
      </c>
      <c r="C4138">
        <v>0.90706070490990998</v>
      </c>
      <c r="D4138">
        <v>0.62372325986543697</v>
      </c>
      <c r="E4138">
        <v>0.33526532735960102</v>
      </c>
      <c r="F4138">
        <v>0.29493725021376799</v>
      </c>
      <c r="G4138">
        <v>0.175332736683664</v>
      </c>
      <c r="H4138">
        <v>0.123914818867693</v>
      </c>
      <c r="I4138">
        <v>0.12226292863944301</v>
      </c>
      <c r="J4138">
        <v>0.111934133694193</v>
      </c>
      <c r="K4138">
        <v>0.11049665326486401</v>
      </c>
      <c r="L4138">
        <v>821.81247332772205</v>
      </c>
      <c r="M4138">
        <v>17.4109619530999</v>
      </c>
      <c r="N4138">
        <v>47.951547156850097</v>
      </c>
      <c r="O4138">
        <v>46.5913983174609</v>
      </c>
      <c r="P4138">
        <v>-8.2283611734408402E-2</v>
      </c>
      <c r="Q4138">
        <v>0.11929204152383199</v>
      </c>
      <c r="R4138">
        <v>0.99171159983171098</v>
      </c>
      <c r="S4138" t="s">
        <v>9999</v>
      </c>
      <c r="T4138" t="s">
        <v>11720</v>
      </c>
      <c r="U4138" t="s">
        <v>11720</v>
      </c>
      <c r="V4138" t="s">
        <v>11720</v>
      </c>
      <c r="W4138" t="s">
        <v>15804</v>
      </c>
      <c r="X4138">
        <v>1</v>
      </c>
      <c r="Y4138" t="s">
        <v>21517</v>
      </c>
      <c r="Z4138" t="s">
        <v>27345</v>
      </c>
      <c r="AA4138">
        <v>0.3479784199573881</v>
      </c>
      <c r="AB4138" t="str">
        <f>HYPERLINK("Melting_Curves/meltCurve_Q8N9B5_2_JMY.pdf", "Melting_Curves/meltCurve_Q8N9B5_2_JMY.pdf")</f>
        <v>Melting_Curves/meltCurve_Q8N9B5_2_JMY.pdf</v>
      </c>
    </row>
    <row r="4139" spans="1:28" x14ac:dyDescent="0.25">
      <c r="A4139" t="s">
        <v>4143</v>
      </c>
      <c r="B4139">
        <v>0.99334974765950101</v>
      </c>
      <c r="C4139">
        <v>1.13773487757583</v>
      </c>
      <c r="D4139">
        <v>1.2437067474318699</v>
      </c>
      <c r="E4139">
        <v>1.9593119777194199</v>
      </c>
      <c r="F4139">
        <v>0.33987152095296902</v>
      </c>
      <c r="G4139">
        <v>0.24725072186694599</v>
      </c>
      <c r="H4139">
        <v>0.1350636126832</v>
      </c>
      <c r="I4139">
        <v>0.13962236270924999</v>
      </c>
      <c r="J4139">
        <v>9.8273731765092798E-2</v>
      </c>
      <c r="K4139">
        <v>8.6939107353540504E-2</v>
      </c>
      <c r="L4139">
        <v>13186.299579344401</v>
      </c>
      <c r="M4139">
        <v>250</v>
      </c>
      <c r="N4139">
        <v>52.8154629968355</v>
      </c>
      <c r="O4139">
        <v>52.741822994247698</v>
      </c>
      <c r="P4139">
        <v>-1.0174217506165799</v>
      </c>
      <c r="Q4139">
        <v>0.14142915522295901</v>
      </c>
      <c r="R4139">
        <v>0.73481465920116495</v>
      </c>
      <c r="S4139" t="s">
        <v>10000</v>
      </c>
      <c r="T4139" t="s">
        <v>11720</v>
      </c>
      <c r="U4139" t="s">
        <v>11720</v>
      </c>
      <c r="V4139" t="s">
        <v>11720</v>
      </c>
      <c r="W4139" t="s">
        <v>15805</v>
      </c>
      <c r="X4139">
        <v>5</v>
      </c>
      <c r="Y4139" t="s">
        <v>21518</v>
      </c>
      <c r="Z4139" t="s">
        <v>27346</v>
      </c>
      <c r="AA4139">
        <v>0.50626382009225401</v>
      </c>
      <c r="AB4139" t="str">
        <f>HYPERLINK("Melting_Curves/meltCurve_Q8N9N2_2_ASCC1.pdf", "Melting_Curves/meltCurve_Q8N9N2_2_ASCC1.pdf")</f>
        <v>Melting_Curves/meltCurve_Q8N9N2_2_ASCC1.pdf</v>
      </c>
    </row>
    <row r="4140" spans="1:28" x14ac:dyDescent="0.25">
      <c r="A4140" t="s">
        <v>4144</v>
      </c>
      <c r="B4140">
        <v>0.99334974765950101</v>
      </c>
      <c r="C4140">
        <v>0.95897217695957304</v>
      </c>
      <c r="D4140">
        <v>0.90485757661485899</v>
      </c>
      <c r="E4140">
        <v>0.782758067283021</v>
      </c>
      <c r="F4140">
        <v>0.54247885098836701</v>
      </c>
      <c r="G4140">
        <v>0.16800996578534999</v>
      </c>
      <c r="H4140">
        <v>8.5289625398848198E-2</v>
      </c>
      <c r="I4140">
        <v>7.48678854470958E-2</v>
      </c>
      <c r="J4140">
        <v>6.3498915732771999E-2</v>
      </c>
      <c r="K4140">
        <v>4.99900316103115E-2</v>
      </c>
      <c r="L4140">
        <v>1132.56354499037</v>
      </c>
      <c r="M4140">
        <v>21.418921373991299</v>
      </c>
      <c r="N4140">
        <v>53.089049707700198</v>
      </c>
      <c r="O4140">
        <v>52.422333265885698</v>
      </c>
      <c r="P4140">
        <v>-9.7956450269637299E-2</v>
      </c>
      <c r="Q4140">
        <v>4.1038817464249797E-2</v>
      </c>
      <c r="R4140">
        <v>0.99498605691029396</v>
      </c>
      <c r="S4140" t="s">
        <v>10001</v>
      </c>
      <c r="T4140" t="s">
        <v>11720</v>
      </c>
      <c r="U4140" t="s">
        <v>11720</v>
      </c>
      <c r="V4140" t="s">
        <v>11720</v>
      </c>
      <c r="W4140" t="s">
        <v>15806</v>
      </c>
      <c r="X4140">
        <v>11</v>
      </c>
      <c r="Y4140" t="s">
        <v>21519</v>
      </c>
      <c r="Z4140" t="s">
        <v>27347</v>
      </c>
      <c r="AA4140">
        <v>0.46436197949876162</v>
      </c>
      <c r="AB4140" t="str">
        <f>HYPERLINK("Melting_Curves/meltCurve_Q8N9N7_LRRC57.pdf", "Melting_Curves/meltCurve_Q8N9N7_LRRC57.pdf")</f>
        <v>Melting_Curves/meltCurve_Q8N9N7_LRRC57.pdf</v>
      </c>
    </row>
    <row r="4141" spans="1:28" x14ac:dyDescent="0.25">
      <c r="A4141" t="s">
        <v>4145</v>
      </c>
      <c r="B4141">
        <v>0.99334974765950101</v>
      </c>
      <c r="C4141">
        <v>1.0245515521686599</v>
      </c>
      <c r="D4141">
        <v>1.0132366558269501</v>
      </c>
      <c r="E4141">
        <v>0.83640882013489104</v>
      </c>
      <c r="F4141">
        <v>0.63307730704802101</v>
      </c>
      <c r="G4141">
        <v>0.37149455057950698</v>
      </c>
      <c r="H4141">
        <v>0.233018649350412</v>
      </c>
      <c r="I4141">
        <v>0.10532778479226</v>
      </c>
      <c r="J4141">
        <v>8.3508590134497199E-2</v>
      </c>
      <c r="K4141">
        <v>8.8576196683525094E-2</v>
      </c>
      <c r="L4141">
        <v>940.41794188720905</v>
      </c>
      <c r="M4141">
        <v>17.210817027390799</v>
      </c>
      <c r="N4141">
        <v>55.049412185501502</v>
      </c>
      <c r="O4141">
        <v>53.919418192555803</v>
      </c>
      <c r="P4141">
        <v>-7.5021497273784807E-2</v>
      </c>
      <c r="Q4141">
        <v>5.9922000998409802E-2</v>
      </c>
      <c r="R4141">
        <v>0.99575315380242702</v>
      </c>
      <c r="S4141" t="s">
        <v>10002</v>
      </c>
      <c r="T4141" t="s">
        <v>11720</v>
      </c>
      <c r="U4141" t="s">
        <v>11720</v>
      </c>
      <c r="V4141" t="s">
        <v>11720</v>
      </c>
      <c r="W4141" t="s">
        <v>15807</v>
      </c>
      <c r="X4141">
        <v>6</v>
      </c>
      <c r="Y4141" t="s">
        <v>21520</v>
      </c>
      <c r="Z4141" t="s">
        <v>27348</v>
      </c>
      <c r="AA4141">
        <v>0.53438887282654934</v>
      </c>
      <c r="AB4141" t="str">
        <f>HYPERLINK("Melting_Curves/meltCurve_Q8N9V3_2_WDSUB1.pdf", "Melting_Curves/meltCurve_Q8N9V3_2_WDSUB1.pdf")</f>
        <v>Melting_Curves/meltCurve_Q8N9V3_2_WDSUB1.pdf</v>
      </c>
    </row>
    <row r="4142" spans="1:28" x14ac:dyDescent="0.25">
      <c r="A4142" t="s">
        <v>4146</v>
      </c>
      <c r="B4142">
        <v>0.99334974765950101</v>
      </c>
      <c r="C4142">
        <v>0.98258352088054202</v>
      </c>
      <c r="D4142">
        <v>0.88331930118462298</v>
      </c>
      <c r="E4142">
        <v>0.71831355950276099</v>
      </c>
      <c r="F4142">
        <v>0.32809225514363999</v>
      </c>
      <c r="G4142">
        <v>0.288278568961788</v>
      </c>
      <c r="H4142">
        <v>0.211984756758784</v>
      </c>
      <c r="I4142">
        <v>0.20700246459388699</v>
      </c>
      <c r="J4142">
        <v>0.17010049297047</v>
      </c>
      <c r="K4142">
        <v>0.14454302352700299</v>
      </c>
      <c r="L4142">
        <v>1186.7270539967601</v>
      </c>
      <c r="M4142">
        <v>23.393857437715099</v>
      </c>
      <c r="N4142">
        <v>51.716733037705403</v>
      </c>
      <c r="O4142">
        <v>50.361827658250199</v>
      </c>
      <c r="P4142">
        <v>-9.5194107934162497E-2</v>
      </c>
      <c r="Q4142">
        <v>0.18028641340395599</v>
      </c>
      <c r="R4142">
        <v>0.98620492071281896</v>
      </c>
      <c r="S4142" t="s">
        <v>10003</v>
      </c>
      <c r="T4142" t="s">
        <v>11720</v>
      </c>
      <c r="U4142" t="s">
        <v>11720</v>
      </c>
      <c r="V4142" t="s">
        <v>11720</v>
      </c>
      <c r="W4142" t="s">
        <v>15808</v>
      </c>
      <c r="X4142">
        <v>1</v>
      </c>
      <c r="Y4142" t="s">
        <v>21521</v>
      </c>
      <c r="Z4142" t="s">
        <v>27349</v>
      </c>
      <c r="AA4142">
        <v>0.48183514782138481</v>
      </c>
      <c r="AB4142" t="str">
        <f>HYPERLINK("Melting_Curves/meltCurve_Q8NAF0_ZNF579.pdf", "Melting_Curves/meltCurve_Q8NAF0_ZNF579.pdf")</f>
        <v>Melting_Curves/meltCurve_Q8NAF0_ZNF579.pdf</v>
      </c>
    </row>
    <row r="4143" spans="1:28" x14ac:dyDescent="0.25">
      <c r="A4143" t="s">
        <v>4147</v>
      </c>
      <c r="B4143">
        <v>0.99334974765950101</v>
      </c>
      <c r="C4143">
        <v>0.96080122854118899</v>
      </c>
      <c r="D4143">
        <v>0.89014143081951003</v>
      </c>
      <c r="E4143">
        <v>0.436593066276458</v>
      </c>
      <c r="F4143">
        <v>0.23844273095537799</v>
      </c>
      <c r="G4143">
        <v>0.20330138626973299</v>
      </c>
      <c r="H4143">
        <v>0.159168838270902</v>
      </c>
      <c r="I4143">
        <v>0.124297459491051</v>
      </c>
      <c r="J4143">
        <v>0.131981039065169</v>
      </c>
      <c r="K4143">
        <v>0.107086480852078</v>
      </c>
      <c r="L4143">
        <v>1325.0966564661301</v>
      </c>
      <c r="M4143">
        <v>27.069660012925802</v>
      </c>
      <c r="N4143">
        <v>49.548394259514701</v>
      </c>
      <c r="O4143">
        <v>48.686563766113601</v>
      </c>
      <c r="P4143">
        <v>-0.119657403047115</v>
      </c>
      <c r="Q4143">
        <v>0.139161824782287</v>
      </c>
      <c r="R4143">
        <v>0.99624166554652405</v>
      </c>
      <c r="S4143" t="s">
        <v>10004</v>
      </c>
      <c r="T4143" t="s">
        <v>11720</v>
      </c>
      <c r="U4143" t="s">
        <v>11720</v>
      </c>
      <c r="V4143" t="s">
        <v>11720</v>
      </c>
      <c r="W4143" t="s">
        <v>15809</v>
      </c>
      <c r="X4143">
        <v>4</v>
      </c>
      <c r="Y4143" t="s">
        <v>21522</v>
      </c>
      <c r="Z4143" t="s">
        <v>27350</v>
      </c>
      <c r="AA4143">
        <v>0.40248991818885482</v>
      </c>
      <c r="AB4143" t="str">
        <f>HYPERLINK("Melting_Curves/meltCurve_Q8NB16_MLKL.pdf", "Melting_Curves/meltCurve_Q8NB16_MLKL.pdf")</f>
        <v>Melting_Curves/meltCurve_Q8NB16_MLKL.pdf</v>
      </c>
    </row>
    <row r="4144" spans="1:28" x14ac:dyDescent="0.25">
      <c r="A4144" t="s">
        <v>4148</v>
      </c>
      <c r="B4144">
        <v>0.99334974765950101</v>
      </c>
      <c r="C4144">
        <v>1.0145556378273699</v>
      </c>
      <c r="D4144">
        <v>1.1028525923638199</v>
      </c>
      <c r="E4144">
        <v>1.6482826735003</v>
      </c>
      <c r="F4144">
        <v>2.04517793551913</v>
      </c>
      <c r="G4144">
        <v>1.1755125204672201</v>
      </c>
      <c r="H4144">
        <v>0.73539936721639698</v>
      </c>
      <c r="I4144">
        <v>0.42276581784067302</v>
      </c>
      <c r="J4144">
        <v>0.30750328155255002</v>
      </c>
      <c r="K4144">
        <v>0.25454871902125698</v>
      </c>
      <c r="L4144">
        <v>3158.54880309894</v>
      </c>
      <c r="M4144">
        <v>51.0572286817386</v>
      </c>
      <c r="N4144">
        <v>62.886157938361698</v>
      </c>
      <c r="O4144">
        <v>61.768229845094197</v>
      </c>
      <c r="P4144">
        <v>-0.14834386581991199</v>
      </c>
      <c r="Q4144">
        <v>0.28214429298384802</v>
      </c>
      <c r="R4144">
        <v>0.47694068653948002</v>
      </c>
      <c r="S4144" t="s">
        <v>10005</v>
      </c>
      <c r="T4144" t="s">
        <v>11720</v>
      </c>
      <c r="U4144" t="s">
        <v>11720</v>
      </c>
      <c r="V4144" t="s">
        <v>11720</v>
      </c>
      <c r="W4144" t="s">
        <v>11923</v>
      </c>
      <c r="X4144">
        <v>7</v>
      </c>
      <c r="Y4144" t="s">
        <v>17720</v>
      </c>
      <c r="Z4144" t="s">
        <v>27351</v>
      </c>
      <c r="AA4144">
        <v>0.8070669234611072</v>
      </c>
      <c r="AB4144" t="str">
        <f>HYPERLINK("Melting_Curves/meltCurve_Q8NB37_PDDC1.pdf", "Melting_Curves/meltCurve_Q8NB37_PDDC1.pdf")</f>
        <v>Melting_Curves/meltCurve_Q8NB37_PDDC1.pdf</v>
      </c>
    </row>
    <row r="4145" spans="1:28" x14ac:dyDescent="0.25">
      <c r="A4145" t="s">
        <v>4149</v>
      </c>
      <c r="B4145">
        <v>0.99334974765950101</v>
      </c>
      <c r="C4145">
        <v>0.95709531472555598</v>
      </c>
      <c r="D4145">
        <v>1.0154418917935699</v>
      </c>
      <c r="E4145">
        <v>1.2104339957952599</v>
      </c>
      <c r="F4145">
        <v>1.1143723930063301</v>
      </c>
      <c r="G4145">
        <v>0.60979459428192195</v>
      </c>
      <c r="H4145">
        <v>0.22005260505056601</v>
      </c>
      <c r="I4145">
        <v>0.17360852919629</v>
      </c>
      <c r="J4145">
        <v>0.141931022817084</v>
      </c>
      <c r="K4145">
        <v>0.11806942950652199</v>
      </c>
      <c r="L4145">
        <v>4040.9001237594398</v>
      </c>
      <c r="M4145">
        <v>70.731860157229406</v>
      </c>
      <c r="N4145">
        <v>57.444171947186497</v>
      </c>
      <c r="O4145">
        <v>57.0842307823224</v>
      </c>
      <c r="P4145">
        <v>-0.26006193011311202</v>
      </c>
      <c r="Q4145">
        <v>0.160467074117464</v>
      </c>
      <c r="R4145">
        <v>0.96440249842958403</v>
      </c>
      <c r="S4145" t="s">
        <v>10006</v>
      </c>
      <c r="T4145" t="s">
        <v>11720</v>
      </c>
      <c r="U4145" t="s">
        <v>11720</v>
      </c>
      <c r="V4145" t="s">
        <v>11720</v>
      </c>
      <c r="W4145" t="s">
        <v>15810</v>
      </c>
      <c r="X4145">
        <v>20</v>
      </c>
      <c r="Y4145" t="s">
        <v>21523</v>
      </c>
      <c r="Z4145" t="s">
        <v>27352</v>
      </c>
      <c r="AA4145">
        <v>0.64089014972101277</v>
      </c>
      <c r="AB4145" t="str">
        <f>HYPERLINK("Melting_Curves/meltCurve_Q8NB49_3_ATP11C.pdf", "Melting_Curves/meltCurve_Q8NB49_3_ATP11C.pdf")</f>
        <v>Melting_Curves/meltCurve_Q8NB49_3_ATP11C.pdf</v>
      </c>
    </row>
    <row r="4146" spans="1:28" x14ac:dyDescent="0.25">
      <c r="A4146" t="s">
        <v>4150</v>
      </c>
      <c r="B4146">
        <v>0.99334974765950101</v>
      </c>
      <c r="C4146">
        <v>0.93901357011779596</v>
      </c>
      <c r="D4146">
        <v>0.96826313962656596</v>
      </c>
      <c r="E4146">
        <v>0.77453322905018596</v>
      </c>
      <c r="F4146">
        <v>0.234067021567818</v>
      </c>
      <c r="G4146">
        <v>0.101756764263445</v>
      </c>
      <c r="H4146">
        <v>7.5772419113582595E-2</v>
      </c>
      <c r="I4146">
        <v>7.2765787223031994E-2</v>
      </c>
      <c r="J4146">
        <v>6.4377229469381694E-2</v>
      </c>
      <c r="K4146">
        <v>5.3650364374140502E-2</v>
      </c>
      <c r="L4146">
        <v>2320.4021057393502</v>
      </c>
      <c r="M4146">
        <v>45.291189061489902</v>
      </c>
      <c r="N4146">
        <v>51.406581315820297</v>
      </c>
      <c r="O4146">
        <v>51.1333884627958</v>
      </c>
      <c r="P4146">
        <v>-0.20573344144036901</v>
      </c>
      <c r="Q4146">
        <v>7.0915552334743906E-2</v>
      </c>
      <c r="R4146">
        <v>0.99680479266218502</v>
      </c>
      <c r="S4146" t="s">
        <v>10007</v>
      </c>
      <c r="T4146" t="s">
        <v>11720</v>
      </c>
      <c r="U4146" t="s">
        <v>11720</v>
      </c>
      <c r="V4146" t="s">
        <v>11720</v>
      </c>
      <c r="W4146" t="s">
        <v>15811</v>
      </c>
      <c r="X4146">
        <v>14</v>
      </c>
      <c r="Y4146" t="s">
        <v>21524</v>
      </c>
      <c r="Z4146" t="s">
        <v>27353</v>
      </c>
      <c r="AA4146">
        <v>0.42135658043688828</v>
      </c>
      <c r="AB4146" t="str">
        <f>HYPERLINK("Melting_Curves/meltCurve_Q8NBF2_NHLRC2.pdf", "Melting_Curves/meltCurve_Q8NBF2_NHLRC2.pdf")</f>
        <v>Melting_Curves/meltCurve_Q8NBF2_NHLRC2.pdf</v>
      </c>
    </row>
    <row r="4147" spans="1:28" x14ac:dyDescent="0.25">
      <c r="A4147" t="s">
        <v>4151</v>
      </c>
      <c r="B4147">
        <v>0.99334974765950101</v>
      </c>
      <c r="C4147">
        <v>0.95961726308344097</v>
      </c>
      <c r="D4147">
        <v>1.0093776536265799</v>
      </c>
      <c r="E4147">
        <v>0.77864775894474503</v>
      </c>
      <c r="F4147">
        <v>0.53329417687771596</v>
      </c>
      <c r="G4147">
        <v>0.26745343652918202</v>
      </c>
      <c r="H4147">
        <v>8.4621161519890006E-2</v>
      </c>
      <c r="I4147">
        <v>5.5446446874500503E-2</v>
      </c>
      <c r="J4147">
        <v>4.2599246968445303E-2</v>
      </c>
      <c r="K4147">
        <v>2.8878118406068801E-2</v>
      </c>
      <c r="L4147">
        <v>1025.86251345709</v>
      </c>
      <c r="M4147">
        <v>19.211341385116299</v>
      </c>
      <c r="N4147">
        <v>53.504744743211802</v>
      </c>
      <c r="O4147">
        <v>52.830307491137603</v>
      </c>
      <c r="P4147">
        <v>-8.9217308634891801E-2</v>
      </c>
      <c r="Q4147">
        <v>1.8663423279618101E-2</v>
      </c>
      <c r="R4147">
        <v>0.99703118995305495</v>
      </c>
      <c r="S4147" t="s">
        <v>10008</v>
      </c>
      <c r="T4147" t="s">
        <v>11720</v>
      </c>
      <c r="U4147" t="s">
        <v>11720</v>
      </c>
      <c r="V4147" t="s">
        <v>11720</v>
      </c>
      <c r="W4147" t="s">
        <v>15812</v>
      </c>
      <c r="X4147">
        <v>8</v>
      </c>
      <c r="Y4147" t="s">
        <v>21525</v>
      </c>
      <c r="Z4147" t="s">
        <v>27354</v>
      </c>
      <c r="AA4147">
        <v>0.47132132097679491</v>
      </c>
      <c r="AB4147" t="str">
        <f>HYPERLINK("Melting_Curves/meltCurve_Q8NBF6_AVL9.pdf", "Melting_Curves/meltCurve_Q8NBF6_AVL9.pdf")</f>
        <v>Melting_Curves/meltCurve_Q8NBF6_AVL9.pdf</v>
      </c>
    </row>
    <row r="4148" spans="1:28" x14ac:dyDescent="0.25">
      <c r="A4148" t="s">
        <v>4152</v>
      </c>
      <c r="B4148">
        <v>0.99334974765950101</v>
      </c>
      <c r="C4148">
        <v>0.95956800277613297</v>
      </c>
      <c r="D4148">
        <v>0.85318315972898395</v>
      </c>
      <c r="E4148">
        <v>0.835440917136275</v>
      </c>
      <c r="F4148">
        <v>0.62182239944986395</v>
      </c>
      <c r="G4148">
        <v>0.44140405481698702</v>
      </c>
      <c r="H4148">
        <v>0.33551782508800598</v>
      </c>
      <c r="I4148">
        <v>0.27837316817483798</v>
      </c>
      <c r="J4148">
        <v>0.29352706342561402</v>
      </c>
      <c r="K4148">
        <v>0.149038224478582</v>
      </c>
      <c r="L4148">
        <v>602.20658362670599</v>
      </c>
      <c r="M4148">
        <v>11.011715082038</v>
      </c>
      <c r="N4148">
        <v>56.188534243162003</v>
      </c>
      <c r="O4148">
        <v>52.977091896340703</v>
      </c>
      <c r="P4148">
        <v>-4.5359332065422898E-2</v>
      </c>
      <c r="Q4148">
        <v>0.12740264109336999</v>
      </c>
      <c r="R4148">
        <v>0.98385268873583998</v>
      </c>
      <c r="S4148" t="s">
        <v>10009</v>
      </c>
      <c r="T4148" t="s">
        <v>11720</v>
      </c>
      <c r="U4148" t="s">
        <v>11720</v>
      </c>
      <c r="V4148" t="s">
        <v>11720</v>
      </c>
      <c r="W4148" t="s">
        <v>15813</v>
      </c>
      <c r="X4148">
        <v>6</v>
      </c>
      <c r="Y4148" t="s">
        <v>21526</v>
      </c>
      <c r="Z4148" t="s">
        <v>27355</v>
      </c>
      <c r="AA4148">
        <v>0.57716270932487157</v>
      </c>
      <c r="AB4148" t="str">
        <f>HYPERLINK("Melting_Curves/meltCurve_Q8NBI6_XXYLT1.pdf", "Melting_Curves/meltCurve_Q8NBI6_XXYLT1.pdf")</f>
        <v>Melting_Curves/meltCurve_Q8NBI6_XXYLT1.pdf</v>
      </c>
    </row>
    <row r="4149" spans="1:28" x14ac:dyDescent="0.25">
      <c r="A4149" t="s">
        <v>4153</v>
      </c>
      <c r="B4149">
        <v>0.99334974765950101</v>
      </c>
      <c r="C4149">
        <v>0.95057327471220499</v>
      </c>
      <c r="D4149">
        <v>0.87484893927065399</v>
      </c>
      <c r="E4149">
        <v>0.93995097373901404</v>
      </c>
      <c r="F4149">
        <v>0.90553109549020805</v>
      </c>
      <c r="G4149">
        <v>0.84843053004020796</v>
      </c>
      <c r="H4149">
        <v>0.86937188033769297</v>
      </c>
      <c r="I4149">
        <v>1.1570115563599701</v>
      </c>
      <c r="J4149">
        <v>1.27733740642782</v>
      </c>
      <c r="K4149">
        <v>0.97262791329804998</v>
      </c>
      <c r="L4149">
        <v>8423.9397366634003</v>
      </c>
      <c r="M4149">
        <v>134.04527507421801</v>
      </c>
      <c r="O4149">
        <v>62.830003697867703</v>
      </c>
      <c r="P4149">
        <v>7.3731071417007105E-2</v>
      </c>
      <c r="Q4149">
        <v>1.1382375741091599</v>
      </c>
      <c r="R4149">
        <v>0.29395780549887401</v>
      </c>
      <c r="S4149" t="s">
        <v>10010</v>
      </c>
      <c r="T4149" t="s">
        <v>11720</v>
      </c>
      <c r="U4149" t="s">
        <v>11720</v>
      </c>
      <c r="V4149" t="s">
        <v>11720</v>
      </c>
      <c r="W4149" t="s">
        <v>15814</v>
      </c>
      <c r="X4149">
        <v>14</v>
      </c>
      <c r="Y4149" t="s">
        <v>21527</v>
      </c>
      <c r="Z4149" t="s">
        <v>27356</v>
      </c>
      <c r="AA4149">
        <v>1.0329212636192551</v>
      </c>
      <c r="AB4149" t="str">
        <f>HYPERLINK("Melting_Curves/meltCurve_Q8NBJ4_2_GOLM1.pdf", "Melting_Curves/meltCurve_Q8NBJ4_2_GOLM1.pdf")</f>
        <v>Melting_Curves/meltCurve_Q8NBJ4_2_GOLM1.pdf</v>
      </c>
    </row>
    <row r="4150" spans="1:28" x14ac:dyDescent="0.25">
      <c r="A4150" t="s">
        <v>4154</v>
      </c>
      <c r="B4150">
        <v>0.99334974765950101</v>
      </c>
      <c r="C4150">
        <v>1.02837886069828</v>
      </c>
      <c r="D4150">
        <v>1.0123831195170301</v>
      </c>
      <c r="E4150">
        <v>0.95084128173688098</v>
      </c>
      <c r="F4150">
        <v>0.52667625335191903</v>
      </c>
      <c r="G4150">
        <v>0.40127711494033202</v>
      </c>
      <c r="H4150">
        <v>0.28715643833810001</v>
      </c>
      <c r="I4150">
        <v>0.26308116648751301</v>
      </c>
      <c r="J4150">
        <v>0.21269706707620301</v>
      </c>
      <c r="K4150">
        <v>0.172052086177406</v>
      </c>
      <c r="L4150">
        <v>1611.1448834165401</v>
      </c>
      <c r="M4150">
        <v>30.532927273823201</v>
      </c>
      <c r="N4150">
        <v>53.940779497887398</v>
      </c>
      <c r="O4150">
        <v>52.542631400387897</v>
      </c>
      <c r="P4150">
        <v>-0.110026724043091</v>
      </c>
      <c r="Q4150">
        <v>0.24264568477402099</v>
      </c>
      <c r="R4150">
        <v>0.97876989627219002</v>
      </c>
      <c r="S4150" t="s">
        <v>10011</v>
      </c>
      <c r="T4150" t="s">
        <v>11720</v>
      </c>
      <c r="U4150" t="s">
        <v>11720</v>
      </c>
      <c r="V4150" t="s">
        <v>11720</v>
      </c>
      <c r="W4150" t="s">
        <v>15815</v>
      </c>
      <c r="X4150">
        <v>9</v>
      </c>
      <c r="Y4150" t="s">
        <v>21528</v>
      </c>
      <c r="Z4150" t="s">
        <v>27357</v>
      </c>
      <c r="AA4150">
        <v>0.56969048828854385</v>
      </c>
      <c r="AB4150" t="str">
        <f>HYPERLINK("Melting_Curves/meltCurve_Q8NBJ5_COLGALT1.pdf", "Melting_Curves/meltCurve_Q8NBJ5_COLGALT1.pdf")</f>
        <v>Melting_Curves/meltCurve_Q8NBJ5_COLGALT1.pdf</v>
      </c>
    </row>
    <row r="4151" spans="1:28" x14ac:dyDescent="0.25">
      <c r="A4151" t="s">
        <v>4155</v>
      </c>
      <c r="B4151">
        <v>0.99334974765950101</v>
      </c>
      <c r="C4151">
        <v>0.91507958856889104</v>
      </c>
      <c r="D4151">
        <v>0.80738333121003603</v>
      </c>
      <c r="E4151">
        <v>0.63315472438032705</v>
      </c>
      <c r="F4151">
        <v>0.64312124718942598</v>
      </c>
      <c r="G4151">
        <v>0.35949921925198702</v>
      </c>
      <c r="H4151">
        <v>0.23651502317510401</v>
      </c>
      <c r="I4151">
        <v>0.195279405184064</v>
      </c>
      <c r="J4151">
        <v>0.152633747768989</v>
      </c>
      <c r="K4151">
        <v>0.10961720156508301</v>
      </c>
      <c r="L4151">
        <v>497.97007528245098</v>
      </c>
      <c r="M4151">
        <v>9.2013348040838103</v>
      </c>
      <c r="N4151">
        <v>54.119329901125298</v>
      </c>
      <c r="O4151">
        <v>51.747125676177497</v>
      </c>
      <c r="P4151">
        <v>-4.4483046570973003E-2</v>
      </c>
      <c r="Q4151">
        <v>0</v>
      </c>
      <c r="R4151">
        <v>0.98569579721979705</v>
      </c>
      <c r="S4151" t="s">
        <v>10012</v>
      </c>
      <c r="T4151" t="s">
        <v>11720</v>
      </c>
      <c r="U4151" t="s">
        <v>11720</v>
      </c>
      <c r="V4151" t="s">
        <v>11720</v>
      </c>
      <c r="W4151" t="s">
        <v>15816</v>
      </c>
      <c r="X4151">
        <v>9</v>
      </c>
      <c r="Y4151" t="s">
        <v>21529</v>
      </c>
      <c r="Z4151" t="s">
        <v>27358</v>
      </c>
      <c r="AA4151">
        <v>0.50186298665675066</v>
      </c>
      <c r="AB4151" t="str">
        <f>HYPERLINK("Melting_Curves/meltCurve_Q8NBK3_SUMF1.pdf", "Melting_Curves/meltCurve_Q8NBK3_SUMF1.pdf")</f>
        <v>Melting_Curves/meltCurve_Q8NBK3_SUMF1.pdf</v>
      </c>
    </row>
    <row r="4152" spans="1:28" x14ac:dyDescent="0.25">
      <c r="A4152" t="s">
        <v>4156</v>
      </c>
      <c r="B4152">
        <v>0.99334974765950101</v>
      </c>
      <c r="C4152">
        <v>1.01898667247007</v>
      </c>
      <c r="D4152">
        <v>1.0006003893956801</v>
      </c>
      <c r="E4152">
        <v>0.71918112444759397</v>
      </c>
      <c r="F4152">
        <v>0.26470617261960899</v>
      </c>
      <c r="G4152">
        <v>0.15379418374481801</v>
      </c>
      <c r="H4152">
        <v>0.112269204600322</v>
      </c>
      <c r="I4152">
        <v>0.118566795857782</v>
      </c>
      <c r="J4152">
        <v>9.4200546542414304E-2</v>
      </c>
      <c r="K4152">
        <v>8.6284982106419494E-2</v>
      </c>
      <c r="L4152">
        <v>2022.9757717217101</v>
      </c>
      <c r="M4152">
        <v>39.685632039351901</v>
      </c>
      <c r="N4152">
        <v>51.293532685327001</v>
      </c>
      <c r="O4152">
        <v>50.846098063561101</v>
      </c>
      <c r="P4152">
        <v>-0.17381658542607101</v>
      </c>
      <c r="Q4152">
        <v>0.10921149207745</v>
      </c>
      <c r="R4152">
        <v>0.99848074894173</v>
      </c>
      <c r="S4152" t="s">
        <v>10013</v>
      </c>
      <c r="T4152" t="s">
        <v>11720</v>
      </c>
      <c r="U4152" t="s">
        <v>11720</v>
      </c>
      <c r="V4152" t="s">
        <v>11720</v>
      </c>
      <c r="W4152" t="s">
        <v>15817</v>
      </c>
      <c r="X4152">
        <v>11</v>
      </c>
      <c r="Y4152" t="s">
        <v>21530</v>
      </c>
      <c r="Z4152" t="s">
        <v>27359</v>
      </c>
      <c r="AA4152">
        <v>0.43828097124598542</v>
      </c>
      <c r="AB4152" t="str">
        <f>HYPERLINK("Melting_Curves/meltCurve_Q8NBL1_POGLUT1.pdf", "Melting_Curves/meltCurve_Q8NBL1_POGLUT1.pdf")</f>
        <v>Melting_Curves/meltCurve_Q8NBL1_POGLUT1.pdf</v>
      </c>
    </row>
    <row r="4153" spans="1:28" x14ac:dyDescent="0.25">
      <c r="A4153" t="s">
        <v>4157</v>
      </c>
      <c r="B4153">
        <v>0.99334974765950101</v>
      </c>
      <c r="C4153">
        <v>0.989301669950714</v>
      </c>
      <c r="D4153">
        <v>0.99081344290029705</v>
      </c>
      <c r="E4153">
        <v>0.76221478501540696</v>
      </c>
      <c r="F4153">
        <v>0.46084098397120798</v>
      </c>
      <c r="G4153">
        <v>0.28953872745923298</v>
      </c>
      <c r="H4153">
        <v>0.17619227050050601</v>
      </c>
      <c r="I4153">
        <v>0.12852322615447101</v>
      </c>
      <c r="J4153">
        <v>0.12915984935212399</v>
      </c>
      <c r="K4153">
        <v>8.9994238528202194E-2</v>
      </c>
      <c r="L4153">
        <v>1084.18161598707</v>
      </c>
      <c r="M4153">
        <v>20.727529204137099</v>
      </c>
      <c r="N4153">
        <v>52.976927974606802</v>
      </c>
      <c r="O4153">
        <v>51.826795371024303</v>
      </c>
      <c r="P4153">
        <v>-8.8450730409411996E-2</v>
      </c>
      <c r="Q4153">
        <v>0.115381613953689</v>
      </c>
      <c r="R4153">
        <v>0.995845408449058</v>
      </c>
      <c r="S4153" t="s">
        <v>10014</v>
      </c>
      <c r="T4153" t="s">
        <v>11720</v>
      </c>
      <c r="U4153" t="s">
        <v>11720</v>
      </c>
      <c r="V4153" t="s">
        <v>11720</v>
      </c>
      <c r="W4153" t="s">
        <v>15818</v>
      </c>
      <c r="X4153">
        <v>3</v>
      </c>
      <c r="Y4153" t="s">
        <v>21531</v>
      </c>
      <c r="Z4153" t="s">
        <v>27360</v>
      </c>
      <c r="AA4153">
        <v>0.48973350128145199</v>
      </c>
      <c r="AB4153" t="str">
        <f>HYPERLINK("Melting_Curves/meltCurve_Q8NBM4_4_UBAC2.pdf", "Melting_Curves/meltCurve_Q8NBM4_4_UBAC2.pdf")</f>
        <v>Melting_Curves/meltCurve_Q8NBM4_4_UBAC2.pdf</v>
      </c>
    </row>
    <row r="4154" spans="1:28" x14ac:dyDescent="0.25">
      <c r="A4154" t="s">
        <v>4158</v>
      </c>
      <c r="B4154">
        <v>0.99334974765950101</v>
      </c>
      <c r="C4154">
        <v>0.94402793660367801</v>
      </c>
      <c r="D4154">
        <v>0.95063757827347795</v>
      </c>
      <c r="E4154">
        <v>0.84731636084558903</v>
      </c>
      <c r="F4154">
        <v>0.75535766528009596</v>
      </c>
      <c r="G4154">
        <v>0.66305434254005702</v>
      </c>
      <c r="H4154">
        <v>0.41967576341267498</v>
      </c>
      <c r="I4154">
        <v>0.16049979861663399</v>
      </c>
      <c r="J4154">
        <v>0.109538353195958</v>
      </c>
      <c r="K4154">
        <v>8.6490783277341998E-2</v>
      </c>
      <c r="L4154">
        <v>791.87343487114504</v>
      </c>
      <c r="M4154">
        <v>13.552338241141699</v>
      </c>
      <c r="N4154">
        <v>58.430760951159797</v>
      </c>
      <c r="O4154">
        <v>57.202543514265798</v>
      </c>
      <c r="P4154">
        <v>-5.9238497012300502E-2</v>
      </c>
      <c r="Q4154">
        <v>0</v>
      </c>
      <c r="R4154">
        <v>0.97891264774766795</v>
      </c>
      <c r="S4154" t="s">
        <v>10015</v>
      </c>
      <c r="T4154" t="s">
        <v>11720</v>
      </c>
      <c r="U4154" t="s">
        <v>11720</v>
      </c>
      <c r="V4154" t="s">
        <v>11720</v>
      </c>
      <c r="W4154" t="s">
        <v>15819</v>
      </c>
      <c r="X4154">
        <v>7</v>
      </c>
      <c r="Y4154" t="s">
        <v>21532</v>
      </c>
      <c r="Z4154" t="s">
        <v>27361</v>
      </c>
      <c r="AA4154">
        <v>0.62626093021782236</v>
      </c>
      <c r="AB4154" t="str">
        <f>HYPERLINK("Melting_Curves/meltCurve_Q8NBM8_PCYOX1L.pdf", "Melting_Curves/meltCurve_Q8NBM8_PCYOX1L.pdf")</f>
        <v>Melting_Curves/meltCurve_Q8NBM8_PCYOX1L.pdf</v>
      </c>
    </row>
    <row r="4155" spans="1:28" x14ac:dyDescent="0.25">
      <c r="A4155" t="s">
        <v>4159</v>
      </c>
      <c r="B4155">
        <v>0.99334974765950101</v>
      </c>
      <c r="C4155">
        <v>0.98091459338867304</v>
      </c>
      <c r="D4155">
        <v>1.0877199165503399</v>
      </c>
      <c r="E4155">
        <v>1.1194404581092201</v>
      </c>
      <c r="F4155">
        <v>1.12988952779901</v>
      </c>
      <c r="G4155">
        <v>1.09321054629131</v>
      </c>
      <c r="H4155">
        <v>0.95770596147276299</v>
      </c>
      <c r="I4155">
        <v>0.86173730363283796</v>
      </c>
      <c r="J4155">
        <v>0.55275917643007799</v>
      </c>
      <c r="K4155">
        <v>0.35072273162302497</v>
      </c>
      <c r="L4155">
        <v>2681.8885681851102</v>
      </c>
      <c r="M4155">
        <v>40.506023465727701</v>
      </c>
      <c r="N4155">
        <v>67.562161376497698</v>
      </c>
      <c r="O4155">
        <v>66.048868602135698</v>
      </c>
      <c r="P4155">
        <v>-0.110731317737918</v>
      </c>
      <c r="Q4155">
        <v>0.27777031536852398</v>
      </c>
      <c r="R4155">
        <v>0.92093669526830602</v>
      </c>
      <c r="S4155" t="s">
        <v>10016</v>
      </c>
      <c r="T4155" t="s">
        <v>11720</v>
      </c>
      <c r="U4155" t="s">
        <v>11720</v>
      </c>
      <c r="V4155" t="s">
        <v>11720</v>
      </c>
      <c r="W4155" t="s">
        <v>15820</v>
      </c>
      <c r="X4155">
        <v>6</v>
      </c>
      <c r="Y4155" t="s">
        <v>21533</v>
      </c>
      <c r="Z4155" t="s">
        <v>27362</v>
      </c>
      <c r="AA4155">
        <v>0.90704976130337911</v>
      </c>
      <c r="AB4155" t="str">
        <f>HYPERLINK("Melting_Curves/meltCurve_Q8NBN3_TMEM87A.pdf", "Melting_Curves/meltCurve_Q8NBN3_TMEM87A.pdf")</f>
        <v>Melting_Curves/meltCurve_Q8NBN3_TMEM87A.pdf</v>
      </c>
    </row>
    <row r="4156" spans="1:28" x14ac:dyDescent="0.25">
      <c r="A4156" t="s">
        <v>4160</v>
      </c>
      <c r="B4156">
        <v>0.99334974765950101</v>
      </c>
      <c r="C4156">
        <v>0.95178162209285</v>
      </c>
      <c r="D4156">
        <v>0.58408499194196695</v>
      </c>
      <c r="E4156">
        <v>0.268085858491933</v>
      </c>
      <c r="F4156">
        <v>0.25911663653513101</v>
      </c>
      <c r="G4156">
        <v>8.6014287029513303E-2</v>
      </c>
      <c r="H4156">
        <v>0.172847979083739</v>
      </c>
      <c r="I4156">
        <v>0.11111946772121201</v>
      </c>
      <c r="J4156">
        <v>0.13540078385419599</v>
      </c>
      <c r="K4156">
        <v>6.7209995198235201E-2</v>
      </c>
      <c r="L4156">
        <v>1091.10192862334</v>
      </c>
      <c r="M4156">
        <v>23.436457744211399</v>
      </c>
      <c r="N4156">
        <v>47.134345769018999</v>
      </c>
      <c r="O4156">
        <v>46.220751018173303</v>
      </c>
      <c r="P4156">
        <v>-0.110919282681086</v>
      </c>
      <c r="Q4156">
        <v>0.12500670915276299</v>
      </c>
      <c r="R4156">
        <v>0.98172884007683803</v>
      </c>
      <c r="S4156" t="s">
        <v>10017</v>
      </c>
      <c r="T4156" t="s">
        <v>11720</v>
      </c>
      <c r="U4156" t="s">
        <v>11720</v>
      </c>
      <c r="V4156" t="s">
        <v>11720</v>
      </c>
      <c r="W4156" t="s">
        <v>15821</v>
      </c>
      <c r="X4156">
        <v>3</v>
      </c>
      <c r="Y4156" t="s">
        <v>21534</v>
      </c>
      <c r="Z4156" t="s">
        <v>27363</v>
      </c>
      <c r="AA4156">
        <v>0.32535405091715131</v>
      </c>
      <c r="AB4156" t="str">
        <f>HYPERLINK("Melting_Curves/meltCurve_Q8NBN7_RDH13.pdf", "Melting_Curves/meltCurve_Q8NBN7_RDH13.pdf")</f>
        <v>Melting_Curves/meltCurve_Q8NBN7_RDH13.pdf</v>
      </c>
    </row>
    <row r="4157" spans="1:28" x14ac:dyDescent="0.25">
      <c r="A4157" t="s">
        <v>4161</v>
      </c>
      <c r="B4157">
        <v>0.99334974765950101</v>
      </c>
      <c r="C4157">
        <v>0.81297737264293102</v>
      </c>
      <c r="D4157">
        <v>0.66581739638903903</v>
      </c>
      <c r="E4157">
        <v>0.45023060748956301</v>
      </c>
      <c r="F4157">
        <v>0.21532603717475299</v>
      </c>
      <c r="G4157">
        <v>0.13012844707021001</v>
      </c>
      <c r="H4157">
        <v>0.101963260130175</v>
      </c>
      <c r="I4157">
        <v>9.4226810379866396E-2</v>
      </c>
      <c r="J4157">
        <v>8.9949203897037297E-2</v>
      </c>
      <c r="K4157">
        <v>6.3375998593128299E-2</v>
      </c>
      <c r="L4157">
        <v>684.27648199689304</v>
      </c>
      <c r="M4157">
        <v>14.2512628574618</v>
      </c>
      <c r="N4157">
        <v>48.435369871832997</v>
      </c>
      <c r="O4157">
        <v>47.099402490913299</v>
      </c>
      <c r="P4157">
        <v>-7.1254326428276796E-2</v>
      </c>
      <c r="Q4157">
        <v>5.8154400891240299E-2</v>
      </c>
      <c r="R4157">
        <v>0.99214035787993404</v>
      </c>
      <c r="S4157" t="s">
        <v>10018</v>
      </c>
      <c r="T4157" t="s">
        <v>11720</v>
      </c>
      <c r="U4157" t="s">
        <v>11720</v>
      </c>
      <c r="V4157" t="s">
        <v>11720</v>
      </c>
      <c r="W4157" t="s">
        <v>15822</v>
      </c>
      <c r="X4157">
        <v>5</v>
      </c>
      <c r="Y4157" t="s">
        <v>21535</v>
      </c>
      <c r="Z4157" t="s">
        <v>27364</v>
      </c>
      <c r="AA4157">
        <v>0.33656123536568522</v>
      </c>
      <c r="AB4157" t="str">
        <f>HYPERLINK("Melting_Curves/meltCurve_Q8NBU5_ATAD1.pdf", "Melting_Curves/meltCurve_Q8NBU5_ATAD1.pdf")</f>
        <v>Melting_Curves/meltCurve_Q8NBU5_ATAD1.pdf</v>
      </c>
    </row>
    <row r="4158" spans="1:28" x14ac:dyDescent="0.25">
      <c r="A4158" t="s">
        <v>4162</v>
      </c>
      <c r="B4158">
        <v>0.99334974765950101</v>
      </c>
      <c r="C4158">
        <v>0.92005730232704697</v>
      </c>
      <c r="D4158">
        <v>0.90158689326200503</v>
      </c>
      <c r="E4158">
        <v>0.68454963543602898</v>
      </c>
      <c r="F4158">
        <v>0.248496711075787</v>
      </c>
      <c r="G4158">
        <v>0.126705207832505</v>
      </c>
      <c r="H4158">
        <v>8.3729441455059603E-2</v>
      </c>
      <c r="I4158">
        <v>8.1810415301089706E-2</v>
      </c>
      <c r="J4158">
        <v>6.6896040417946598E-2</v>
      </c>
      <c r="K4158">
        <v>5.7260514442361202E-2</v>
      </c>
      <c r="L4158">
        <v>1507.1290593425699</v>
      </c>
      <c r="M4158">
        <v>29.642036329103099</v>
      </c>
      <c r="N4158">
        <v>51.106086453660502</v>
      </c>
      <c r="O4158">
        <v>50.614592350345198</v>
      </c>
      <c r="P4158">
        <v>-0.13609956563151199</v>
      </c>
      <c r="Q4158">
        <v>7.0431362668577996E-2</v>
      </c>
      <c r="R4158">
        <v>0.99147063409258196</v>
      </c>
      <c r="S4158" t="s">
        <v>10019</v>
      </c>
      <c r="T4158" t="s">
        <v>11720</v>
      </c>
      <c r="U4158" t="s">
        <v>11720</v>
      </c>
      <c r="V4158" t="s">
        <v>11720</v>
      </c>
      <c r="W4158" t="s">
        <v>15823</v>
      </c>
      <c r="X4158">
        <v>17</v>
      </c>
      <c r="Y4158" t="s">
        <v>21536</v>
      </c>
      <c r="Z4158" t="s">
        <v>27365</v>
      </c>
      <c r="AA4158">
        <v>0.41242094502096799</v>
      </c>
      <c r="AB4158" t="str">
        <f>HYPERLINK("Melting_Curves/meltCurve_Q8NBX0_SCCPDH.pdf", "Melting_Curves/meltCurve_Q8NBX0_SCCPDH.pdf")</f>
        <v>Melting_Curves/meltCurve_Q8NBX0_SCCPDH.pdf</v>
      </c>
    </row>
    <row r="4159" spans="1:28" x14ac:dyDescent="0.25">
      <c r="A4159" t="s">
        <v>4163</v>
      </c>
      <c r="B4159">
        <v>0.99334974765950101</v>
      </c>
      <c r="C4159">
        <v>0.96207881008499496</v>
      </c>
      <c r="D4159">
        <v>0.93450607089878202</v>
      </c>
      <c r="E4159">
        <v>0.80343095635086503</v>
      </c>
      <c r="F4159">
        <v>1.1474273691530299</v>
      </c>
      <c r="G4159">
        <v>0.55365541331888202</v>
      </c>
      <c r="H4159">
        <v>0.36550739300388702</v>
      </c>
      <c r="I4159">
        <v>0.38024584620464003</v>
      </c>
      <c r="J4159">
        <v>0.34088442001286801</v>
      </c>
      <c r="K4159">
        <v>0.272952765264946</v>
      </c>
      <c r="L4159">
        <v>14208.0338927754</v>
      </c>
      <c r="M4159">
        <v>250</v>
      </c>
      <c r="N4159">
        <v>57.0922134431922</v>
      </c>
      <c r="O4159">
        <v>56.828500341187201</v>
      </c>
      <c r="P4159">
        <v>-0.72598082283554299</v>
      </c>
      <c r="Q4159">
        <v>0.33989759691747401</v>
      </c>
      <c r="R4159">
        <v>0.92416419307481501</v>
      </c>
      <c r="S4159" t="s">
        <v>10020</v>
      </c>
      <c r="T4159" t="s">
        <v>11720</v>
      </c>
      <c r="U4159" t="s">
        <v>11720</v>
      </c>
      <c r="V4159" t="s">
        <v>11720</v>
      </c>
      <c r="W4159" t="s">
        <v>15824</v>
      </c>
      <c r="X4159">
        <v>5</v>
      </c>
      <c r="Y4159" t="s">
        <v>21537</v>
      </c>
      <c r="Z4159" t="s">
        <v>27366</v>
      </c>
      <c r="AA4159">
        <v>0.71032787319313506</v>
      </c>
      <c r="AB4159" t="str">
        <f>HYPERLINK("Melting_Curves/meltCurve_Q8NC44_FAM134A.pdf", "Melting_Curves/meltCurve_Q8NC44_FAM134A.pdf")</f>
        <v>Melting_Curves/meltCurve_Q8NC44_FAM134A.pdf</v>
      </c>
    </row>
    <row r="4160" spans="1:28" x14ac:dyDescent="0.25">
      <c r="A4160" t="s">
        <v>4164</v>
      </c>
      <c r="B4160">
        <v>0.99334974765950101</v>
      </c>
      <c r="C4160">
        <v>1.16145101179927</v>
      </c>
      <c r="D4160">
        <v>1.00290708843668</v>
      </c>
      <c r="E4160">
        <v>0.86275371071802298</v>
      </c>
      <c r="F4160">
        <v>1.01744477978214</v>
      </c>
      <c r="G4160">
        <v>0.68754193423644405</v>
      </c>
      <c r="H4160">
        <v>0.80938556591673605</v>
      </c>
      <c r="I4160">
        <v>0.86815062241546603</v>
      </c>
      <c r="J4160">
        <v>1.2114077480283301</v>
      </c>
      <c r="K4160">
        <v>1.1608304262003</v>
      </c>
      <c r="L4160">
        <v>2216.2022361775398</v>
      </c>
      <c r="M4160">
        <v>32.506071035401803</v>
      </c>
      <c r="O4160">
        <v>67.921626311976397</v>
      </c>
      <c r="P4160">
        <v>3.0514859074532299E-2</v>
      </c>
      <c r="Q4160">
        <v>1.2550427007799401</v>
      </c>
      <c r="R4160">
        <v>0.155016687402798</v>
      </c>
      <c r="S4160" t="s">
        <v>10021</v>
      </c>
      <c r="T4160" t="s">
        <v>11720</v>
      </c>
      <c r="U4160" t="s">
        <v>11720</v>
      </c>
      <c r="V4160" t="s">
        <v>11720</v>
      </c>
      <c r="W4160" t="s">
        <v>15825</v>
      </c>
      <c r="X4160">
        <v>17</v>
      </c>
      <c r="Y4160" t="s">
        <v>21538</v>
      </c>
      <c r="Z4160" t="s">
        <v>27367</v>
      </c>
      <c r="AA4160">
        <v>1.0208875438514351</v>
      </c>
      <c r="AB4160" t="str">
        <f>HYPERLINK("Melting_Curves/meltCurve_Q8NC51_2_SERBP1.pdf", "Melting_Curves/meltCurve_Q8NC51_2_SERBP1.pdf")</f>
        <v>Melting_Curves/meltCurve_Q8NC51_2_SERBP1.pdf</v>
      </c>
    </row>
    <row r="4161" spans="1:28" x14ac:dyDescent="0.25">
      <c r="A4161" t="s">
        <v>4165</v>
      </c>
      <c r="B4161">
        <v>0.99334974765950101</v>
      </c>
      <c r="C4161">
        <v>0.89846073045403296</v>
      </c>
      <c r="D4161">
        <v>0.97135325069170997</v>
      </c>
      <c r="E4161">
        <v>0.94706461102267503</v>
      </c>
      <c r="F4161">
        <v>1.0622851658907</v>
      </c>
      <c r="G4161">
        <v>0.82591619323947896</v>
      </c>
      <c r="H4161">
        <v>0.86682885501045603</v>
      </c>
      <c r="I4161">
        <v>1.0558136611461</v>
      </c>
      <c r="J4161">
        <v>1.0047880631655199</v>
      </c>
      <c r="K4161">
        <v>0.864850356885981</v>
      </c>
      <c r="L4161">
        <v>63.969009659229201</v>
      </c>
      <c r="M4161">
        <v>1.0000010609484E-5</v>
      </c>
      <c r="Q4161">
        <v>0.78210325834484096</v>
      </c>
      <c r="R4161">
        <v>1.16346524089068E-2</v>
      </c>
      <c r="S4161" t="s">
        <v>10022</v>
      </c>
      <c r="T4161" t="s">
        <v>11720</v>
      </c>
      <c r="U4161" t="s">
        <v>11720</v>
      </c>
      <c r="V4161" t="s">
        <v>11720</v>
      </c>
      <c r="W4161" t="s">
        <v>15826</v>
      </c>
      <c r="X4161">
        <v>2</v>
      </c>
      <c r="Y4161" t="s">
        <v>21539</v>
      </c>
      <c r="Z4161" t="s">
        <v>27368</v>
      </c>
      <c r="AA4161">
        <v>0.94891139022335658</v>
      </c>
      <c r="AB4161" t="str">
        <f>HYPERLINK("Melting_Curves/meltCurve_Q8NC54_KCT2.pdf", "Melting_Curves/meltCurve_Q8NC54_KCT2.pdf")</f>
        <v>Melting_Curves/meltCurve_Q8NC54_KCT2.pdf</v>
      </c>
    </row>
    <row r="4162" spans="1:28" x14ac:dyDescent="0.25">
      <c r="A4162" t="s">
        <v>4166</v>
      </c>
      <c r="B4162">
        <v>0.99334974765950101</v>
      </c>
      <c r="C4162">
        <v>0.96899171918472204</v>
      </c>
      <c r="D4162">
        <v>0.72936087635561098</v>
      </c>
      <c r="E4162">
        <v>0.53684957155795099</v>
      </c>
      <c r="F4162">
        <v>0.43322540691392902</v>
      </c>
      <c r="G4162">
        <v>0.34714301918177198</v>
      </c>
      <c r="H4162">
        <v>0.28336860998479502</v>
      </c>
      <c r="I4162">
        <v>0.26027686671649097</v>
      </c>
      <c r="J4162">
        <v>0.30705448686198</v>
      </c>
      <c r="K4162">
        <v>0.26739115446352901</v>
      </c>
      <c r="L4162">
        <v>783.79247265260801</v>
      </c>
      <c r="M4162">
        <v>16.239120344114301</v>
      </c>
      <c r="N4162">
        <v>50.745783194961597</v>
      </c>
      <c r="O4162">
        <v>47.551600083143498</v>
      </c>
      <c r="P4162">
        <v>-6.1995974593541003E-2</v>
      </c>
      <c r="Q4162">
        <v>0.273904445187584</v>
      </c>
      <c r="R4162">
        <v>0.989610082333237</v>
      </c>
      <c r="S4162" t="s">
        <v>10023</v>
      </c>
      <c r="T4162" t="s">
        <v>11720</v>
      </c>
      <c r="U4162" t="s">
        <v>11720</v>
      </c>
      <c r="V4162" t="s">
        <v>11720</v>
      </c>
      <c r="W4162" t="s">
        <v>15827</v>
      </c>
      <c r="X4162">
        <v>3</v>
      </c>
      <c r="Y4162" t="s">
        <v>21540</v>
      </c>
      <c r="Z4162" t="s">
        <v>27369</v>
      </c>
      <c r="AA4162">
        <v>0.48973206478900388</v>
      </c>
      <c r="AB4162" t="str">
        <f>HYPERLINK("Melting_Curves/meltCurve_Q8NC56_LEMD2.pdf", "Melting_Curves/meltCurve_Q8NC56_LEMD2.pdf")</f>
        <v>Melting_Curves/meltCurve_Q8NC56_LEMD2.pdf</v>
      </c>
    </row>
    <row r="4163" spans="1:28" x14ac:dyDescent="0.25">
      <c r="A4163" t="s">
        <v>4167</v>
      </c>
      <c r="B4163">
        <v>0.99334974765950101</v>
      </c>
      <c r="C4163">
        <v>1.0264988010323499</v>
      </c>
      <c r="D4163">
        <v>0.87596380312784305</v>
      </c>
      <c r="E4163">
        <v>0.70434594286741703</v>
      </c>
      <c r="F4163">
        <v>0.49934386092613797</v>
      </c>
      <c r="G4163">
        <v>0.22425476206015199</v>
      </c>
      <c r="H4163">
        <v>0.14704850118229301</v>
      </c>
      <c r="I4163">
        <v>0.146658295049375</v>
      </c>
      <c r="J4163">
        <v>0.14029379764970701</v>
      </c>
      <c r="K4163">
        <v>0.100839278505769</v>
      </c>
      <c r="L4163">
        <v>932.33004759104904</v>
      </c>
      <c r="M4163">
        <v>17.9467897825491</v>
      </c>
      <c r="N4163">
        <v>52.624115453084997</v>
      </c>
      <c r="O4163">
        <v>51.317563866243198</v>
      </c>
      <c r="P4163">
        <v>-7.8451873722806903E-2</v>
      </c>
      <c r="Q4163">
        <v>0.102734667828746</v>
      </c>
      <c r="R4163">
        <v>0.99487969877987803</v>
      </c>
      <c r="S4163" t="s">
        <v>10024</v>
      </c>
      <c r="T4163" t="s">
        <v>11720</v>
      </c>
      <c r="U4163" t="s">
        <v>11720</v>
      </c>
      <c r="V4163" t="s">
        <v>11720</v>
      </c>
      <c r="W4163" t="s">
        <v>15828</v>
      </c>
      <c r="X4163">
        <v>6</v>
      </c>
      <c r="Y4163" t="s">
        <v>21541</v>
      </c>
      <c r="Z4163" t="s">
        <v>27370</v>
      </c>
      <c r="AA4163">
        <v>0.47515326968346999</v>
      </c>
      <c r="AB4163" t="str">
        <f>HYPERLINK("Melting_Curves/meltCurve_Q8NC96_NECAP1.pdf", "Melting_Curves/meltCurve_Q8NC96_NECAP1.pdf")</f>
        <v>Melting_Curves/meltCurve_Q8NC96_NECAP1.pdf</v>
      </c>
    </row>
    <row r="4164" spans="1:28" x14ac:dyDescent="0.25">
      <c r="A4164" t="s">
        <v>4168</v>
      </c>
      <c r="B4164">
        <v>0.99334974765950101</v>
      </c>
      <c r="C4164">
        <v>0.97344571465274199</v>
      </c>
      <c r="D4164">
        <v>0.94083588740935398</v>
      </c>
      <c r="E4164">
        <v>0.82097961723558299</v>
      </c>
      <c r="F4164">
        <v>0.72246612711687397</v>
      </c>
      <c r="G4164">
        <v>0.66148878504971698</v>
      </c>
      <c r="H4164">
        <v>0.61633489875122505</v>
      </c>
      <c r="I4164">
        <v>0.75940601172764999</v>
      </c>
      <c r="J4164">
        <v>0.66608306103567805</v>
      </c>
      <c r="K4164">
        <v>0.55690236263135595</v>
      </c>
      <c r="L4164">
        <v>947.39119995568001</v>
      </c>
      <c r="M4164">
        <v>19.021311942191499</v>
      </c>
      <c r="O4164">
        <v>49.2661143225111</v>
      </c>
      <c r="P4164">
        <v>-3.4560114904332903E-2</v>
      </c>
      <c r="Q4164">
        <v>0.64196469899714204</v>
      </c>
      <c r="R4164">
        <v>0.89784466035631805</v>
      </c>
      <c r="S4164" t="s">
        <v>10025</v>
      </c>
      <c r="T4164" t="s">
        <v>11720</v>
      </c>
      <c r="U4164" t="s">
        <v>11720</v>
      </c>
      <c r="V4164" t="s">
        <v>11720</v>
      </c>
      <c r="W4164" t="s">
        <v>15829</v>
      </c>
      <c r="X4164">
        <v>9</v>
      </c>
      <c r="Y4164" t="s">
        <v>21542</v>
      </c>
      <c r="Z4164" t="s">
        <v>27371</v>
      </c>
      <c r="AA4164">
        <v>0.76450706063437857</v>
      </c>
      <c r="AB4164" t="str">
        <f>HYPERLINK("Melting_Curves/meltCurve_Q8NCC3_PLA2G15.pdf", "Melting_Curves/meltCurve_Q8NCC3_PLA2G15.pdf")</f>
        <v>Melting_Curves/meltCurve_Q8NCC3_PLA2G15.pdf</v>
      </c>
    </row>
    <row r="4165" spans="1:28" x14ac:dyDescent="0.25">
      <c r="A4165" t="s">
        <v>4169</v>
      </c>
      <c r="B4165">
        <v>0.99334974765950101</v>
      </c>
      <c r="C4165">
        <v>1.01741019409782</v>
      </c>
      <c r="D4165">
        <v>1.0084038879812001</v>
      </c>
      <c r="E4165">
        <v>0.72707629949910502</v>
      </c>
      <c r="F4165">
        <v>0.25326911166586702</v>
      </c>
      <c r="G4165">
        <v>0.142619007478933</v>
      </c>
      <c r="H4165">
        <v>9.5985802037439505E-2</v>
      </c>
      <c r="I4165">
        <v>7.7148127735623101E-2</v>
      </c>
      <c r="J4165">
        <v>7.8260771582302005E-2</v>
      </c>
      <c r="K4165">
        <v>7.8227260593763503E-2</v>
      </c>
      <c r="L4165">
        <v>2055.9296108926401</v>
      </c>
      <c r="M4165">
        <v>40.272910955307999</v>
      </c>
      <c r="N4165">
        <v>51.3042371346179</v>
      </c>
      <c r="O4165">
        <v>50.924552203197401</v>
      </c>
      <c r="P4165">
        <v>-0.17982032911387799</v>
      </c>
      <c r="Q4165">
        <v>9.0480319909424206E-2</v>
      </c>
      <c r="R4165">
        <v>0.99835150000753903</v>
      </c>
      <c r="S4165" t="s">
        <v>10026</v>
      </c>
      <c r="T4165" t="s">
        <v>11720</v>
      </c>
      <c r="U4165" t="s">
        <v>11720</v>
      </c>
      <c r="V4165" t="s">
        <v>11720</v>
      </c>
      <c r="W4165" t="s">
        <v>15830</v>
      </c>
      <c r="X4165">
        <v>7</v>
      </c>
      <c r="Y4165" t="s">
        <v>21543</v>
      </c>
      <c r="Z4165" t="s">
        <v>27372</v>
      </c>
      <c r="AA4165">
        <v>0.42865038133896682</v>
      </c>
      <c r="AB4165" t="str">
        <f>HYPERLINK("Melting_Curves/meltCurve_Q8NCE2_2_MTMR14.pdf", "Melting_Curves/meltCurve_Q8NCE2_2_MTMR14.pdf")</f>
        <v>Melting_Curves/meltCurve_Q8NCE2_2_MTMR14.pdf</v>
      </c>
    </row>
    <row r="4166" spans="1:28" x14ac:dyDescent="0.25">
      <c r="A4166" t="s">
        <v>4170</v>
      </c>
      <c r="B4166">
        <v>0.99334974765950101</v>
      </c>
      <c r="C4166">
        <v>0.99703210890969796</v>
      </c>
      <c r="D4166">
        <v>0.84518576958025105</v>
      </c>
      <c r="E4166">
        <v>0.52157011225490701</v>
      </c>
      <c r="F4166">
        <v>0.38241191628596599</v>
      </c>
      <c r="G4166">
        <v>0.29170872548448301</v>
      </c>
      <c r="H4166">
        <v>0.21615681059709799</v>
      </c>
      <c r="I4166">
        <v>0.25978309387769599</v>
      </c>
      <c r="J4166">
        <v>0.199537664558357</v>
      </c>
      <c r="K4166">
        <v>0.19609375178264901</v>
      </c>
      <c r="L4166">
        <v>989.74320670150405</v>
      </c>
      <c r="M4166">
        <v>20.123826944056599</v>
      </c>
      <c r="N4166">
        <v>50.619786332841301</v>
      </c>
      <c r="O4166">
        <v>48.704709524113198</v>
      </c>
      <c r="P4166">
        <v>-8.0819441468843997E-2</v>
      </c>
      <c r="Q4166">
        <v>0.21761156200357401</v>
      </c>
      <c r="R4166">
        <v>0.99453495235761902</v>
      </c>
      <c r="S4166" t="s">
        <v>10027</v>
      </c>
      <c r="T4166" t="s">
        <v>11720</v>
      </c>
      <c r="U4166" t="s">
        <v>11720</v>
      </c>
      <c r="V4166" t="s">
        <v>11720</v>
      </c>
      <c r="W4166" t="s">
        <v>15831</v>
      </c>
      <c r="X4166">
        <v>2</v>
      </c>
      <c r="Y4166" t="s">
        <v>21544</v>
      </c>
      <c r="Z4166" t="s">
        <v>27373</v>
      </c>
      <c r="AA4166">
        <v>0.46789835434814131</v>
      </c>
      <c r="AB4166" t="str">
        <f>HYPERLINK("Melting_Curves/meltCurve_Q8NCF5_NFATC2IP.pdf", "Melting_Curves/meltCurve_Q8NCF5_NFATC2IP.pdf")</f>
        <v>Melting_Curves/meltCurve_Q8NCF5_NFATC2IP.pdf</v>
      </c>
    </row>
    <row r="4167" spans="1:28" x14ac:dyDescent="0.25">
      <c r="A4167" t="s">
        <v>4171</v>
      </c>
      <c r="B4167">
        <v>0.99334974765950101</v>
      </c>
      <c r="C4167">
        <v>0.94534434989979799</v>
      </c>
      <c r="D4167">
        <v>0.93623946827147597</v>
      </c>
      <c r="E4167">
        <v>0.86562504422699105</v>
      </c>
      <c r="F4167">
        <v>0.80624386594503505</v>
      </c>
      <c r="G4167">
        <v>0.56546385156971601</v>
      </c>
      <c r="H4167">
        <v>0.31432578683572998</v>
      </c>
      <c r="I4167">
        <v>0.245785361993754</v>
      </c>
      <c r="J4167">
        <v>0.26150807440672003</v>
      </c>
      <c r="K4167">
        <v>0.21201622180948199</v>
      </c>
      <c r="L4167">
        <v>902.14993297227102</v>
      </c>
      <c r="M4167">
        <v>16.041536631184101</v>
      </c>
      <c r="N4167">
        <v>57.731966657234203</v>
      </c>
      <c r="O4167">
        <v>55.386186019720299</v>
      </c>
      <c r="P4167">
        <v>-6.0115041124344203E-2</v>
      </c>
      <c r="Q4167">
        <v>0.16983404781176401</v>
      </c>
      <c r="R4167">
        <v>0.98907609489968895</v>
      </c>
      <c r="S4167" t="s">
        <v>10028</v>
      </c>
      <c r="T4167" t="s">
        <v>11720</v>
      </c>
      <c r="U4167" t="s">
        <v>11720</v>
      </c>
      <c r="V4167" t="s">
        <v>11720</v>
      </c>
      <c r="W4167" t="s">
        <v>15832</v>
      </c>
      <c r="X4167">
        <v>10</v>
      </c>
      <c r="Y4167" t="s">
        <v>21545</v>
      </c>
      <c r="Z4167" t="s">
        <v>27374</v>
      </c>
      <c r="AA4167">
        <v>0.63276169480009747</v>
      </c>
      <c r="AB4167" t="str">
        <f>HYPERLINK("Melting_Curves/meltCurve_Q8NCG7_4_DAGLB.pdf", "Melting_Curves/meltCurve_Q8NCG7_4_DAGLB.pdf")</f>
        <v>Melting_Curves/meltCurve_Q8NCG7_4_DAGLB.pdf</v>
      </c>
    </row>
    <row r="4168" spans="1:28" x14ac:dyDescent="0.25">
      <c r="A4168" t="s">
        <v>4172</v>
      </c>
      <c r="B4168">
        <v>0.99334974765950101</v>
      </c>
      <c r="C4168">
        <v>0.98885426159523904</v>
      </c>
      <c r="D4168">
        <v>1.0015160340373701</v>
      </c>
      <c r="E4168">
        <v>0.91567161682143905</v>
      </c>
      <c r="F4168">
        <v>0.42615947619841699</v>
      </c>
      <c r="G4168">
        <v>0.19981058021051601</v>
      </c>
      <c r="H4168">
        <v>0.16928460493095401</v>
      </c>
      <c r="I4168">
        <v>0.149083855947404</v>
      </c>
      <c r="J4168">
        <v>0.17139377306325199</v>
      </c>
      <c r="K4168">
        <v>0.149873395747843</v>
      </c>
      <c r="L4168">
        <v>2562.7506472079299</v>
      </c>
      <c r="M4168">
        <v>49.1212684276761</v>
      </c>
      <c r="N4168">
        <v>52.599869403894701</v>
      </c>
      <c r="O4168">
        <v>52.085669020025001</v>
      </c>
      <c r="P4168">
        <v>-0.19693464160770699</v>
      </c>
      <c r="Q4168">
        <v>0.16472332788164101</v>
      </c>
      <c r="R4168">
        <v>0.99916162373161399</v>
      </c>
      <c r="S4168" t="s">
        <v>10029</v>
      </c>
      <c r="T4168" t="s">
        <v>11720</v>
      </c>
      <c r="U4168" t="s">
        <v>11720</v>
      </c>
      <c r="V4168" t="s">
        <v>11720</v>
      </c>
      <c r="W4168" t="s">
        <v>15833</v>
      </c>
      <c r="X4168">
        <v>4</v>
      </c>
      <c r="Y4168" t="s">
        <v>21546</v>
      </c>
      <c r="Z4168" t="s">
        <v>27375</v>
      </c>
      <c r="AA4168">
        <v>0.50561238980286916</v>
      </c>
      <c r="AB4168" t="str">
        <f>HYPERLINK("Melting_Curves/meltCurve_Q8NCL4_GALNT6.pdf", "Melting_Curves/meltCurve_Q8NCL4_GALNT6.pdf")</f>
        <v>Melting_Curves/meltCurve_Q8NCL4_GALNT6.pdf</v>
      </c>
    </row>
    <row r="4169" spans="1:28" x14ac:dyDescent="0.25">
      <c r="A4169" t="s">
        <v>4173</v>
      </c>
      <c r="B4169">
        <v>0.99334974765950101</v>
      </c>
      <c r="C4169">
        <v>1.00623323219119</v>
      </c>
      <c r="D4169">
        <v>1.09674654358541</v>
      </c>
      <c r="E4169">
        <v>1.0435189362261199</v>
      </c>
      <c r="F4169">
        <v>0.86548105955183996</v>
      </c>
      <c r="G4169">
        <v>0.23592804565824099</v>
      </c>
      <c r="H4169">
        <v>0.141705753139547</v>
      </c>
      <c r="I4169">
        <v>0.12929044839407899</v>
      </c>
      <c r="J4169">
        <v>0.116892072578253</v>
      </c>
      <c r="K4169">
        <v>0.100218921140015</v>
      </c>
      <c r="L4169">
        <v>2763.73362946614</v>
      </c>
      <c r="M4169">
        <v>50.390355522885301</v>
      </c>
      <c r="N4169">
        <v>55.148682608252898</v>
      </c>
      <c r="O4169">
        <v>54.760302605156497</v>
      </c>
      <c r="P4169">
        <v>-0.20229614475680999</v>
      </c>
      <c r="Q4169">
        <v>0.120642068602079</v>
      </c>
      <c r="R4169">
        <v>0.99320438210991902</v>
      </c>
      <c r="S4169" t="s">
        <v>10030</v>
      </c>
      <c r="T4169" t="s">
        <v>11720</v>
      </c>
      <c r="U4169" t="s">
        <v>11720</v>
      </c>
      <c r="V4169" t="s">
        <v>11720</v>
      </c>
      <c r="W4169" t="s">
        <v>15834</v>
      </c>
      <c r="X4169">
        <v>16</v>
      </c>
      <c r="Y4169" t="s">
        <v>21547</v>
      </c>
      <c r="Z4169" t="s">
        <v>27376</v>
      </c>
      <c r="AA4169">
        <v>0.55791448276530098</v>
      </c>
      <c r="AB4169" t="str">
        <f>HYPERLINK("Melting_Curves/meltCurve_Q8NCN5_PDPR.pdf", "Melting_Curves/meltCurve_Q8NCN5_PDPR.pdf")</f>
        <v>Melting_Curves/meltCurve_Q8NCN5_PDPR.pdf</v>
      </c>
    </row>
    <row r="4170" spans="1:28" x14ac:dyDescent="0.25">
      <c r="A4170" t="s">
        <v>4174</v>
      </c>
      <c r="B4170">
        <v>0.99334974765950101</v>
      </c>
      <c r="C4170">
        <v>1.00599074817575</v>
      </c>
      <c r="D4170">
        <v>0.95581363877328296</v>
      </c>
      <c r="E4170">
        <v>0.85555384588708305</v>
      </c>
      <c r="F4170">
        <v>0.77987839910935897</v>
      </c>
      <c r="G4170">
        <v>0.68775241175606805</v>
      </c>
      <c r="H4170">
        <v>0.58689972534398505</v>
      </c>
      <c r="I4170">
        <v>0.55151450549924796</v>
      </c>
      <c r="J4170">
        <v>0.26137058754920001</v>
      </c>
      <c r="K4170">
        <v>0.12664888607961</v>
      </c>
      <c r="L4170">
        <v>604.90989105385597</v>
      </c>
      <c r="M4170">
        <v>9.7908312176154109</v>
      </c>
      <c r="N4170">
        <v>61.783326859387302</v>
      </c>
      <c r="O4170">
        <v>59.371305259351701</v>
      </c>
      <c r="P4170">
        <v>-4.1248855011217701E-2</v>
      </c>
      <c r="Q4170">
        <v>0</v>
      </c>
      <c r="R4170">
        <v>0.94668119042047205</v>
      </c>
      <c r="S4170" t="s">
        <v>10031</v>
      </c>
      <c r="T4170" t="s">
        <v>11720</v>
      </c>
      <c r="U4170" t="s">
        <v>11720</v>
      </c>
      <c r="V4170" t="s">
        <v>11720</v>
      </c>
      <c r="W4170" t="s">
        <v>15835</v>
      </c>
      <c r="X4170">
        <v>16</v>
      </c>
      <c r="Y4170" t="s">
        <v>21548</v>
      </c>
      <c r="Z4170" t="s">
        <v>27377</v>
      </c>
      <c r="AA4170">
        <v>0.70567256505460074</v>
      </c>
      <c r="AB4170" t="str">
        <f>HYPERLINK("Melting_Curves/meltCurve_Q8NCW5_APOA1BP.pdf", "Melting_Curves/meltCurve_Q8NCW5_APOA1BP.pdf")</f>
        <v>Melting_Curves/meltCurve_Q8NCW5_APOA1BP.pdf</v>
      </c>
    </row>
    <row r="4171" spans="1:28" x14ac:dyDescent="0.25">
      <c r="A4171" t="s">
        <v>4175</v>
      </c>
      <c r="B4171">
        <v>0.99334974765950101</v>
      </c>
      <c r="C4171">
        <v>0.94383403903647201</v>
      </c>
      <c r="D4171">
        <v>0.74152718928478001</v>
      </c>
      <c r="E4171">
        <v>0.44380471726265103</v>
      </c>
      <c r="F4171">
        <v>0.34423534693344499</v>
      </c>
      <c r="G4171">
        <v>0.19543042925578599</v>
      </c>
      <c r="H4171">
        <v>0.18955941866808901</v>
      </c>
      <c r="I4171">
        <v>0.18217641789431099</v>
      </c>
      <c r="J4171">
        <v>0.19490156596904401</v>
      </c>
      <c r="K4171">
        <v>0.16531361626681601</v>
      </c>
      <c r="L4171">
        <v>877.43574550798496</v>
      </c>
      <c r="M4171">
        <v>18.2022104700584</v>
      </c>
      <c r="N4171">
        <v>49.3614270451042</v>
      </c>
      <c r="O4171">
        <v>47.6343727504443</v>
      </c>
      <c r="P4171">
        <v>-7.8950773895060694E-2</v>
      </c>
      <c r="Q4171">
        <v>0.17359640640194399</v>
      </c>
      <c r="R4171">
        <v>0.99648998025540902</v>
      </c>
      <c r="S4171" t="s">
        <v>10032</v>
      </c>
      <c r="T4171" t="s">
        <v>11720</v>
      </c>
      <c r="U4171" t="s">
        <v>11720</v>
      </c>
      <c r="V4171" t="s">
        <v>11720</v>
      </c>
      <c r="W4171" t="s">
        <v>15836</v>
      </c>
      <c r="X4171">
        <v>16</v>
      </c>
      <c r="Y4171" t="s">
        <v>21549</v>
      </c>
      <c r="Z4171" t="s">
        <v>27378</v>
      </c>
      <c r="AA4171">
        <v>0.41385762845987362</v>
      </c>
      <c r="AB4171" t="str">
        <f>HYPERLINK("Melting_Curves/meltCurve_Q8ND24_RNF214.pdf", "Melting_Curves/meltCurve_Q8ND24_RNF214.pdf")</f>
        <v>Melting_Curves/meltCurve_Q8ND24_RNF214.pdf</v>
      </c>
    </row>
    <row r="4172" spans="1:28" x14ac:dyDescent="0.25">
      <c r="A4172" t="s">
        <v>4176</v>
      </c>
      <c r="B4172">
        <v>0.99334974765950101</v>
      </c>
      <c r="C4172">
        <v>1.0145232080945701</v>
      </c>
      <c r="D4172">
        <v>1.32300044451961</v>
      </c>
      <c r="E4172">
        <v>0.83263971262413405</v>
      </c>
      <c r="F4172">
        <v>0.64664177447605997</v>
      </c>
      <c r="G4172">
        <v>0.51879279449519999</v>
      </c>
      <c r="H4172">
        <v>0.44597547511966601</v>
      </c>
      <c r="I4172">
        <v>0.37241940452324301</v>
      </c>
      <c r="J4172">
        <v>0.13796645652844999</v>
      </c>
      <c r="K4172">
        <v>0</v>
      </c>
      <c r="L4172">
        <v>708.69125225308801</v>
      </c>
      <c r="M4172">
        <v>12.1660793209515</v>
      </c>
      <c r="N4172">
        <v>58.251408174801703</v>
      </c>
      <c r="O4172">
        <v>56.744610582960398</v>
      </c>
      <c r="P4172">
        <v>-5.3612407304022003E-2</v>
      </c>
      <c r="Q4172">
        <v>0</v>
      </c>
      <c r="R4172">
        <v>0.88032496545579697</v>
      </c>
      <c r="S4172" t="s">
        <v>10033</v>
      </c>
      <c r="T4172" t="s">
        <v>11720</v>
      </c>
      <c r="U4172" t="s">
        <v>11720</v>
      </c>
      <c r="V4172" t="s">
        <v>11720</v>
      </c>
      <c r="W4172" t="s">
        <v>15837</v>
      </c>
      <c r="X4172">
        <v>4</v>
      </c>
      <c r="Y4172" t="s">
        <v>21550</v>
      </c>
      <c r="Z4172" t="s">
        <v>27379</v>
      </c>
      <c r="AA4172">
        <v>0.6201016848123021</v>
      </c>
      <c r="AB4172" t="str">
        <f>HYPERLINK("Melting_Curves/meltCurve_Q8ND30_PPFIBP2.pdf", "Melting_Curves/meltCurve_Q8ND30_PPFIBP2.pdf")</f>
        <v>Melting_Curves/meltCurve_Q8ND30_PPFIBP2.pdf</v>
      </c>
    </row>
    <row r="4173" spans="1:28" x14ac:dyDescent="0.25">
      <c r="A4173" t="s">
        <v>4177</v>
      </c>
      <c r="B4173">
        <v>0.99334974765950101</v>
      </c>
      <c r="C4173">
        <v>1.02509606960716</v>
      </c>
      <c r="D4173">
        <v>0.86887154286022195</v>
      </c>
      <c r="E4173">
        <v>0.66880615338985805</v>
      </c>
      <c r="F4173">
        <v>0.45691068356615899</v>
      </c>
      <c r="G4173">
        <v>0.306051258829799</v>
      </c>
      <c r="H4173">
        <v>0.28341411752418899</v>
      </c>
      <c r="I4173">
        <v>0.25192969425223899</v>
      </c>
      <c r="J4173">
        <v>0.26831021003282202</v>
      </c>
      <c r="K4173">
        <v>0.233819712942505</v>
      </c>
      <c r="L4173">
        <v>982.64040041597605</v>
      </c>
      <c r="M4173">
        <v>19.474380056325401</v>
      </c>
      <c r="N4173">
        <v>52.269164594453798</v>
      </c>
      <c r="O4173">
        <v>49.935092616497698</v>
      </c>
      <c r="P4173">
        <v>-7.3578828027121998E-2</v>
      </c>
      <c r="Q4173">
        <v>0.24536078157569799</v>
      </c>
      <c r="R4173">
        <v>0.99533292041281896</v>
      </c>
      <c r="S4173" t="s">
        <v>10034</v>
      </c>
      <c r="T4173" t="s">
        <v>11720</v>
      </c>
      <c r="U4173" t="s">
        <v>11720</v>
      </c>
      <c r="V4173" t="s">
        <v>11720</v>
      </c>
      <c r="W4173" t="s">
        <v>15838</v>
      </c>
      <c r="X4173">
        <v>7</v>
      </c>
      <c r="Y4173" t="s">
        <v>21551</v>
      </c>
      <c r="Z4173" t="s">
        <v>27380</v>
      </c>
      <c r="AA4173">
        <v>0.5194674896015008</v>
      </c>
      <c r="AB4173" t="str">
        <f>HYPERLINK("Melting_Curves/meltCurve_Q8ND56_2_LSM14A.pdf", "Melting_Curves/meltCurve_Q8ND56_2_LSM14A.pdf")</f>
        <v>Melting_Curves/meltCurve_Q8ND56_2_LSM14A.pdf</v>
      </c>
    </row>
    <row r="4174" spans="1:28" x14ac:dyDescent="0.25">
      <c r="A4174" t="s">
        <v>4178</v>
      </c>
      <c r="B4174">
        <v>0.99334974765950101</v>
      </c>
      <c r="C4174">
        <v>1.01512315443156</v>
      </c>
      <c r="D4174">
        <v>0.84140968872198396</v>
      </c>
      <c r="E4174">
        <v>0.65667651624588697</v>
      </c>
      <c r="F4174">
        <v>0.27090028059321503</v>
      </c>
      <c r="G4174">
        <v>0.19937518750133701</v>
      </c>
      <c r="H4174">
        <v>0.162865319035113</v>
      </c>
      <c r="I4174">
        <v>0.15952798581688399</v>
      </c>
      <c r="J4174">
        <v>0.14430199854046399</v>
      </c>
      <c r="K4174">
        <v>0.114749432454353</v>
      </c>
      <c r="L4174">
        <v>1181.28442749633</v>
      </c>
      <c r="M4174">
        <v>23.510722841488299</v>
      </c>
      <c r="N4174">
        <v>50.935265682191698</v>
      </c>
      <c r="O4174">
        <v>49.885227102867397</v>
      </c>
      <c r="P4174">
        <v>-0.101741898726969</v>
      </c>
      <c r="Q4174">
        <v>0.13650792651070001</v>
      </c>
      <c r="R4174">
        <v>0.988310471195739</v>
      </c>
      <c r="S4174" t="s">
        <v>10035</v>
      </c>
      <c r="T4174" t="s">
        <v>11720</v>
      </c>
      <c r="U4174" t="s">
        <v>11720</v>
      </c>
      <c r="V4174" t="s">
        <v>11720</v>
      </c>
      <c r="W4174" t="s">
        <v>15839</v>
      </c>
      <c r="X4174">
        <v>6</v>
      </c>
      <c r="Y4174" t="s">
        <v>21552</v>
      </c>
      <c r="Z4174" t="s">
        <v>27381</v>
      </c>
      <c r="AA4174">
        <v>0.44012112201355957</v>
      </c>
      <c r="AB4174" t="str">
        <f>HYPERLINK("Melting_Curves/meltCurve_Q8ND76_3_CCNY.pdf", "Melting_Curves/meltCurve_Q8ND76_3_CCNY.pdf")</f>
        <v>Melting_Curves/meltCurve_Q8ND76_3_CCNY.pdf</v>
      </c>
    </row>
    <row r="4175" spans="1:28" x14ac:dyDescent="0.25">
      <c r="A4175" t="s">
        <v>4179</v>
      </c>
      <c r="B4175">
        <v>0.99334974765950101</v>
      </c>
      <c r="C4175">
        <v>0.70686779316025306</v>
      </c>
      <c r="D4175">
        <v>0.29839474455458898</v>
      </c>
      <c r="E4175">
        <v>0.141996109431235</v>
      </c>
      <c r="F4175">
        <v>8.7390607471718798E-2</v>
      </c>
      <c r="G4175">
        <v>5.3997922874755903E-2</v>
      </c>
      <c r="H4175">
        <v>4.9864622248993802E-2</v>
      </c>
      <c r="I4175">
        <v>4.1232823654456303E-2</v>
      </c>
      <c r="J4175">
        <v>4.4017888192204202E-2</v>
      </c>
      <c r="K4175">
        <v>3.7368198239614799E-2</v>
      </c>
      <c r="L4175">
        <v>1181.3584811048199</v>
      </c>
      <c r="M4175">
        <v>26.6830836857619</v>
      </c>
      <c r="N4175">
        <v>44.469182163490999</v>
      </c>
      <c r="O4175">
        <v>44.027259748383401</v>
      </c>
      <c r="P4175">
        <v>-0.14313016445147</v>
      </c>
      <c r="Q4175">
        <v>5.5347085756737198E-2</v>
      </c>
      <c r="R4175">
        <v>0.99471185600297496</v>
      </c>
      <c r="S4175" t="s">
        <v>10036</v>
      </c>
      <c r="T4175" t="s">
        <v>11720</v>
      </c>
      <c r="U4175" t="s">
        <v>11720</v>
      </c>
      <c r="V4175" t="s">
        <v>11720</v>
      </c>
      <c r="W4175" t="s">
        <v>15840</v>
      </c>
      <c r="X4175">
        <v>6</v>
      </c>
      <c r="Y4175" t="s">
        <v>21553</v>
      </c>
      <c r="Z4175" t="s">
        <v>27382</v>
      </c>
      <c r="AA4175">
        <v>0.19872969958435269</v>
      </c>
      <c r="AB4175" t="str">
        <f>HYPERLINK("Melting_Curves/meltCurve_Q8ND90_PNMA1.pdf", "Melting_Curves/meltCurve_Q8ND90_PNMA1.pdf")</f>
        <v>Melting_Curves/meltCurve_Q8ND90_PNMA1.pdf</v>
      </c>
    </row>
    <row r="4176" spans="1:28" x14ac:dyDescent="0.25">
      <c r="A4176" t="s">
        <v>4180</v>
      </c>
      <c r="B4176">
        <v>0.99334974765950101</v>
      </c>
      <c r="C4176">
        <v>1.06144510371845</v>
      </c>
      <c r="D4176">
        <v>0.87878432593206801</v>
      </c>
      <c r="E4176">
        <v>1.0065572742198301</v>
      </c>
      <c r="F4176">
        <v>0.90591596139747699</v>
      </c>
      <c r="G4176">
        <v>0.87295016921366198</v>
      </c>
      <c r="H4176">
        <v>0.72922192424997301</v>
      </c>
      <c r="I4176">
        <v>0.68354514159291602</v>
      </c>
      <c r="J4176">
        <v>0.57669002442434603</v>
      </c>
      <c r="K4176">
        <v>0.40871082789128399</v>
      </c>
      <c r="L4176">
        <v>633.026811459074</v>
      </c>
      <c r="M4176">
        <v>9.2590994558727893</v>
      </c>
      <c r="N4176">
        <v>68.368075550073698</v>
      </c>
      <c r="O4176">
        <v>65.405953494422207</v>
      </c>
      <c r="P4176">
        <v>-3.5413969385832397E-2</v>
      </c>
      <c r="Q4176">
        <v>0</v>
      </c>
      <c r="R4176">
        <v>0.94173670382625096</v>
      </c>
      <c r="S4176" t="s">
        <v>10037</v>
      </c>
      <c r="T4176" t="s">
        <v>11720</v>
      </c>
      <c r="U4176" t="s">
        <v>11720</v>
      </c>
      <c r="V4176" t="s">
        <v>11720</v>
      </c>
      <c r="W4176" t="s">
        <v>15841</v>
      </c>
      <c r="X4176">
        <v>7</v>
      </c>
      <c r="Y4176" t="s">
        <v>21554</v>
      </c>
      <c r="Z4176" t="s">
        <v>27383</v>
      </c>
      <c r="AA4176">
        <v>0.83365745141684344</v>
      </c>
      <c r="AB4176" t="str">
        <f>HYPERLINK("Melting_Curves/meltCurve_Q8ND94_LRRN4CL.pdf", "Melting_Curves/meltCurve_Q8ND94_LRRN4CL.pdf")</f>
        <v>Melting_Curves/meltCurve_Q8ND94_LRRN4CL.pdf</v>
      </c>
    </row>
    <row r="4177" spans="1:28" x14ac:dyDescent="0.25">
      <c r="A4177" t="s">
        <v>4181</v>
      </c>
      <c r="B4177">
        <v>0.99334974765950101</v>
      </c>
      <c r="C4177">
        <v>0.97359142566385504</v>
      </c>
      <c r="D4177">
        <v>0.93516664981935704</v>
      </c>
      <c r="E4177">
        <v>0.87802040475231502</v>
      </c>
      <c r="F4177">
        <v>0.89948941906340196</v>
      </c>
      <c r="G4177">
        <v>0.70092604511620304</v>
      </c>
      <c r="H4177">
        <v>0.50811032193149397</v>
      </c>
      <c r="I4177">
        <v>0.67449553791176697</v>
      </c>
      <c r="J4177">
        <v>0.68955593713779095</v>
      </c>
      <c r="K4177">
        <v>0.77759003832199602</v>
      </c>
      <c r="L4177">
        <v>1336.57474958642</v>
      </c>
      <c r="M4177">
        <v>25.206894837909299</v>
      </c>
      <c r="O4177">
        <v>52.6938273108223</v>
      </c>
      <c r="P4177">
        <v>-4.0415082166666803E-2</v>
      </c>
      <c r="Q4177">
        <v>0.66206109335747598</v>
      </c>
      <c r="R4177">
        <v>0.760336214589445</v>
      </c>
      <c r="S4177" t="s">
        <v>10038</v>
      </c>
      <c r="T4177" t="s">
        <v>11720</v>
      </c>
      <c r="U4177" t="s">
        <v>11720</v>
      </c>
      <c r="V4177" t="s">
        <v>11720</v>
      </c>
      <c r="W4177" t="s">
        <v>15842</v>
      </c>
      <c r="X4177">
        <v>2</v>
      </c>
      <c r="Y4177" t="s">
        <v>21555</v>
      </c>
      <c r="Z4177" t="s">
        <v>27384</v>
      </c>
      <c r="AA4177">
        <v>0.81183776818231024</v>
      </c>
      <c r="AB4177" t="str">
        <f>HYPERLINK("Melting_Curves/meltCurve_Q8NDC0_MAPK1IP1L.pdf", "Melting_Curves/meltCurve_Q8NDC0_MAPK1IP1L.pdf")</f>
        <v>Melting_Curves/meltCurve_Q8NDC0_MAPK1IP1L.pdf</v>
      </c>
    </row>
    <row r="4178" spans="1:28" x14ac:dyDescent="0.25">
      <c r="A4178" t="s">
        <v>4182</v>
      </c>
      <c r="B4178">
        <v>0.99334974765950101</v>
      </c>
      <c r="C4178">
        <v>1.0995232748964801</v>
      </c>
      <c r="D4178">
        <v>1.0966039715798901</v>
      </c>
      <c r="E4178">
        <v>1.0649708184873199</v>
      </c>
      <c r="F4178">
        <v>0.70262093151290395</v>
      </c>
      <c r="G4178">
        <v>0.44410003651397401</v>
      </c>
      <c r="H4178">
        <v>0.35371513233105201</v>
      </c>
      <c r="I4178">
        <v>0.34052791040161701</v>
      </c>
      <c r="J4178">
        <v>0.22724390362194599</v>
      </c>
      <c r="K4178">
        <v>0.16009673024211399</v>
      </c>
      <c r="L4178">
        <v>1455.9442373729401</v>
      </c>
      <c r="M4178">
        <v>26.639786735895299</v>
      </c>
      <c r="N4178">
        <v>56.120838402448499</v>
      </c>
      <c r="O4178">
        <v>54.347813394981301</v>
      </c>
      <c r="P4178">
        <v>-9.1797643762410494E-2</v>
      </c>
      <c r="Q4178">
        <v>0.25090248572241403</v>
      </c>
      <c r="R4178">
        <v>0.95599757535401197</v>
      </c>
      <c r="S4178" t="s">
        <v>10039</v>
      </c>
      <c r="T4178" t="s">
        <v>11720</v>
      </c>
      <c r="U4178" t="s">
        <v>11720</v>
      </c>
      <c r="V4178" t="s">
        <v>11720</v>
      </c>
      <c r="W4178" t="s">
        <v>15843</v>
      </c>
      <c r="X4178">
        <v>7</v>
      </c>
      <c r="Y4178" t="s">
        <v>21556</v>
      </c>
      <c r="Z4178" t="s">
        <v>27385</v>
      </c>
      <c r="AA4178">
        <v>0.62297183548391122</v>
      </c>
      <c r="AB4178" t="str">
        <f>HYPERLINK("Melting_Curves/meltCurve_Q8NDH3_NPEPL1.pdf", "Melting_Curves/meltCurve_Q8NDH3_NPEPL1.pdf")</f>
        <v>Melting_Curves/meltCurve_Q8NDH3_NPEPL1.pdf</v>
      </c>
    </row>
    <row r="4179" spans="1:28" x14ac:dyDescent="0.25">
      <c r="A4179" t="s">
        <v>4183</v>
      </c>
      <c r="B4179">
        <v>0.99334974765950101</v>
      </c>
      <c r="C4179">
        <v>0.95817835842099697</v>
      </c>
      <c r="D4179">
        <v>0.80406039504105997</v>
      </c>
      <c r="E4179">
        <v>0.35805991314861801</v>
      </c>
      <c r="F4179">
        <v>0.27035718234223799</v>
      </c>
      <c r="G4179">
        <v>0.16877120361615</v>
      </c>
      <c r="H4179">
        <v>0.138869218336585</v>
      </c>
      <c r="I4179">
        <v>0.130974519618173</v>
      </c>
      <c r="J4179">
        <v>0.1381874877706</v>
      </c>
      <c r="K4179">
        <v>0.10992474466416</v>
      </c>
      <c r="L4179">
        <v>1139.92052549552</v>
      </c>
      <c r="M4179">
        <v>23.650671464587401</v>
      </c>
      <c r="N4179">
        <v>48.8465786879718</v>
      </c>
      <c r="O4179">
        <v>47.857615934582299</v>
      </c>
      <c r="P4179">
        <v>-0.10690571252573</v>
      </c>
      <c r="Q4179">
        <v>0.134711001045968</v>
      </c>
      <c r="R4179">
        <v>0.996364784062724</v>
      </c>
      <c r="S4179" t="s">
        <v>10040</v>
      </c>
      <c r="T4179" t="s">
        <v>11720</v>
      </c>
      <c r="U4179" t="s">
        <v>11720</v>
      </c>
      <c r="V4179" t="s">
        <v>11720</v>
      </c>
      <c r="W4179" t="s">
        <v>15844</v>
      </c>
      <c r="X4179">
        <v>28</v>
      </c>
      <c r="Y4179" t="s">
        <v>21557</v>
      </c>
      <c r="Z4179" t="s">
        <v>27386</v>
      </c>
      <c r="AA4179">
        <v>0.37976925099229208</v>
      </c>
      <c r="AB4179" t="str">
        <f>HYPERLINK("Melting_Curves/meltCurve_Q8NDI1_3_EHBP1.pdf", "Melting_Curves/meltCurve_Q8NDI1_3_EHBP1.pdf")</f>
        <v>Melting_Curves/meltCurve_Q8NDI1_3_EHBP1.pdf</v>
      </c>
    </row>
    <row r="4180" spans="1:28" x14ac:dyDescent="0.25">
      <c r="A4180" t="s">
        <v>4184</v>
      </c>
      <c r="B4180">
        <v>0.99334974765950101</v>
      </c>
      <c r="C4180">
        <v>0.92418025224217504</v>
      </c>
      <c r="D4180">
        <v>1.0326766316212099</v>
      </c>
      <c r="E4180">
        <v>0.99808395513544501</v>
      </c>
      <c r="F4180">
        <v>1.00624078038693</v>
      </c>
      <c r="G4180">
        <v>0.94405325201871904</v>
      </c>
      <c r="H4180">
        <v>0.53242762347245898</v>
      </c>
      <c r="I4180">
        <v>0.321579639707746</v>
      </c>
      <c r="J4180">
        <v>0.18764315663074799</v>
      </c>
      <c r="K4180">
        <v>0.11212418167565801</v>
      </c>
      <c r="L4180">
        <v>1878.0900752729201</v>
      </c>
      <c r="M4180">
        <v>30.7653389110611</v>
      </c>
      <c r="N4180">
        <v>61.596278946625702</v>
      </c>
      <c r="O4180">
        <v>60.789468193923703</v>
      </c>
      <c r="P4180">
        <v>-0.111313373589327</v>
      </c>
      <c r="Q4180">
        <v>0.120225403971797</v>
      </c>
      <c r="R4180">
        <v>0.99135859708376695</v>
      </c>
      <c r="S4180" t="s">
        <v>10041</v>
      </c>
      <c r="T4180" t="s">
        <v>11720</v>
      </c>
      <c r="U4180" t="s">
        <v>11720</v>
      </c>
      <c r="V4180" t="s">
        <v>11720</v>
      </c>
      <c r="W4180" t="s">
        <v>15845</v>
      </c>
      <c r="X4180">
        <v>2</v>
      </c>
      <c r="Y4180" t="s">
        <v>21558</v>
      </c>
      <c r="Z4180" t="s">
        <v>27387</v>
      </c>
      <c r="AA4180">
        <v>0.7421168028399322</v>
      </c>
      <c r="AB4180" t="str">
        <f>HYPERLINK("Melting_Curves/meltCurve_Q8NDZ4_C3orf58.pdf", "Melting_Curves/meltCurve_Q8NDZ4_C3orf58.pdf")</f>
        <v>Melting_Curves/meltCurve_Q8NDZ4_C3orf58.pdf</v>
      </c>
    </row>
    <row r="4181" spans="1:28" x14ac:dyDescent="0.25">
      <c r="A4181" t="s">
        <v>4185</v>
      </c>
      <c r="B4181">
        <v>0.99334974765950101</v>
      </c>
      <c r="C4181">
        <v>0.95622186409431198</v>
      </c>
      <c r="D4181">
        <v>0.94018836312527498</v>
      </c>
      <c r="E4181">
        <v>1.0409870611616601</v>
      </c>
      <c r="F4181">
        <v>1.0064478209268399</v>
      </c>
      <c r="G4181">
        <v>0.77839812717398005</v>
      </c>
      <c r="H4181">
        <v>0.76945046492041402</v>
      </c>
      <c r="I4181">
        <v>1.1134220687220899</v>
      </c>
      <c r="J4181">
        <v>0.71778927475557597</v>
      </c>
      <c r="K4181">
        <v>0.57186308541795805</v>
      </c>
      <c r="L4181">
        <v>1475.8412305070899</v>
      </c>
      <c r="M4181">
        <v>20.7911963203521</v>
      </c>
      <c r="Q4181">
        <v>0</v>
      </c>
      <c r="R4181">
        <v>0.46785059624337999</v>
      </c>
      <c r="S4181" t="s">
        <v>10042</v>
      </c>
      <c r="T4181" t="s">
        <v>11720</v>
      </c>
      <c r="U4181" t="s">
        <v>11720</v>
      </c>
      <c r="V4181" t="s">
        <v>11720</v>
      </c>
      <c r="W4181" t="s">
        <v>15846</v>
      </c>
      <c r="X4181">
        <v>2</v>
      </c>
      <c r="Y4181" t="s">
        <v>21559</v>
      </c>
      <c r="Z4181" t="s">
        <v>27388</v>
      </c>
      <c r="AA4181">
        <v>0.9441396870346469</v>
      </c>
      <c r="AB4181" t="str">
        <f>HYPERLINK("Melting_Curves/meltCurve_Q8NE00_TMEM104.pdf", "Melting_Curves/meltCurve_Q8NE00_TMEM104.pdf")</f>
        <v>Melting_Curves/meltCurve_Q8NE00_TMEM104.pdf</v>
      </c>
    </row>
    <row r="4182" spans="1:28" x14ac:dyDescent="0.25">
      <c r="A4182" t="s">
        <v>4186</v>
      </c>
      <c r="B4182">
        <v>0.99334974765950101</v>
      </c>
      <c r="C4182">
        <v>0.96281713548708003</v>
      </c>
      <c r="D4182">
        <v>0.70791457313466599</v>
      </c>
      <c r="E4182">
        <v>0.55983459398754398</v>
      </c>
      <c r="F4182">
        <v>0.25417640878639303</v>
      </c>
      <c r="G4182">
        <v>0.114333291225308</v>
      </c>
      <c r="H4182">
        <v>9.9544699619693797E-2</v>
      </c>
      <c r="I4182">
        <v>9.5427575886258095E-2</v>
      </c>
      <c r="J4182">
        <v>9.5654026053945906E-2</v>
      </c>
      <c r="K4182">
        <v>8.0814136323138705E-2</v>
      </c>
      <c r="L4182">
        <v>820.86307844809699</v>
      </c>
      <c r="M4182">
        <v>16.651112411612701</v>
      </c>
      <c r="N4182">
        <v>49.720792659366403</v>
      </c>
      <c r="O4182">
        <v>48.603220043656897</v>
      </c>
      <c r="P4182">
        <v>-7.9997213559139094E-2</v>
      </c>
      <c r="Q4182">
        <v>6.6041660980978897E-2</v>
      </c>
      <c r="R4182">
        <v>0.98669733408776705</v>
      </c>
      <c r="S4182" t="s">
        <v>10043</v>
      </c>
      <c r="T4182" t="s">
        <v>11720</v>
      </c>
      <c r="U4182" t="s">
        <v>11720</v>
      </c>
      <c r="V4182" t="s">
        <v>11720</v>
      </c>
      <c r="W4182" t="s">
        <v>15847</v>
      </c>
      <c r="X4182">
        <v>15</v>
      </c>
      <c r="Y4182" t="s">
        <v>21560</v>
      </c>
      <c r="Z4182" t="s">
        <v>27389</v>
      </c>
      <c r="AA4182">
        <v>0.37422412422375301</v>
      </c>
      <c r="AB4182" t="str">
        <f>HYPERLINK("Melting_Curves/meltCurve_Q8NE71_2_ABCF1.pdf", "Melting_Curves/meltCurve_Q8NE71_2_ABCF1.pdf")</f>
        <v>Melting_Curves/meltCurve_Q8NE71_2_ABCF1.pdf</v>
      </c>
    </row>
    <row r="4183" spans="1:28" x14ac:dyDescent="0.25">
      <c r="A4183" t="s">
        <v>4187</v>
      </c>
      <c r="B4183">
        <v>0.99334974765950101</v>
      </c>
      <c r="C4183">
        <v>0.90113137747068295</v>
      </c>
      <c r="D4183">
        <v>0.83634011174183998</v>
      </c>
      <c r="E4183">
        <v>0.90192495466515699</v>
      </c>
      <c r="F4183">
        <v>0.65927294665959302</v>
      </c>
      <c r="G4183">
        <v>0.239922232560323</v>
      </c>
      <c r="H4183">
        <v>0.152248101418584</v>
      </c>
      <c r="I4183">
        <v>0.119918100054722</v>
      </c>
      <c r="J4183">
        <v>0.133309813824012</v>
      </c>
      <c r="K4183">
        <v>7.955245213006E-2</v>
      </c>
      <c r="L4183">
        <v>1405.09571503129</v>
      </c>
      <c r="M4183">
        <v>26.113375250258901</v>
      </c>
      <c r="N4183">
        <v>54.279488367043101</v>
      </c>
      <c r="O4183">
        <v>53.494945084397997</v>
      </c>
      <c r="P4183">
        <v>-0.109643232225099</v>
      </c>
      <c r="Q4183">
        <v>0.101565237262827</v>
      </c>
      <c r="R4183">
        <v>0.97337140816631396</v>
      </c>
      <c r="S4183" t="s">
        <v>10044</v>
      </c>
      <c r="T4183" t="s">
        <v>11720</v>
      </c>
      <c r="U4183" t="s">
        <v>11720</v>
      </c>
      <c r="V4183" t="s">
        <v>11720</v>
      </c>
      <c r="W4183" t="s">
        <v>15848</v>
      </c>
      <c r="X4183">
        <v>4</v>
      </c>
      <c r="Y4183" t="s">
        <v>21561</v>
      </c>
      <c r="Z4183" t="s">
        <v>27390</v>
      </c>
      <c r="AA4183">
        <v>0.52273606755606761</v>
      </c>
      <c r="AB4183" t="str">
        <f>HYPERLINK("Melting_Curves/meltCurve_Q8NE86_3_MCU.pdf", "Melting_Curves/meltCurve_Q8NE86_3_MCU.pdf")</f>
        <v>Melting_Curves/meltCurve_Q8NE86_3_MCU.pdf</v>
      </c>
    </row>
    <row r="4184" spans="1:28" x14ac:dyDescent="0.25">
      <c r="A4184" t="s">
        <v>4188</v>
      </c>
      <c r="B4184">
        <v>0.99334974765950101</v>
      </c>
      <c r="C4184">
        <v>0.90437297495959501</v>
      </c>
      <c r="D4184">
        <v>0.714347497431982</v>
      </c>
      <c r="E4184">
        <v>0.26565063614443302</v>
      </c>
      <c r="F4184">
        <v>0.17870621772589901</v>
      </c>
      <c r="G4184">
        <v>0.122525274565983</v>
      </c>
      <c r="H4184">
        <v>0.107377127695287</v>
      </c>
      <c r="I4184">
        <v>7.3492347667298105E-2</v>
      </c>
      <c r="J4184">
        <v>7.5555450053366904E-2</v>
      </c>
      <c r="K4184">
        <v>1.51371321160572E-2</v>
      </c>
      <c r="L4184">
        <v>1057.48106412726</v>
      </c>
      <c r="M4184">
        <v>22.280631341491802</v>
      </c>
      <c r="N4184">
        <v>47.797620757737597</v>
      </c>
      <c r="O4184">
        <v>47.084508036378999</v>
      </c>
      <c r="P4184">
        <v>-0.109734946351027</v>
      </c>
      <c r="Q4184">
        <v>7.2430515019733396E-2</v>
      </c>
      <c r="R4184">
        <v>0.99415923440422105</v>
      </c>
      <c r="S4184" t="s">
        <v>10045</v>
      </c>
      <c r="T4184" t="s">
        <v>11720</v>
      </c>
      <c r="U4184" t="s">
        <v>11720</v>
      </c>
      <c r="V4184" t="s">
        <v>11720</v>
      </c>
      <c r="W4184" t="s">
        <v>15849</v>
      </c>
      <c r="X4184">
        <v>2</v>
      </c>
      <c r="Y4184" t="s">
        <v>21562</v>
      </c>
      <c r="Z4184" t="s">
        <v>27391</v>
      </c>
      <c r="AA4184">
        <v>0.31370902558200509</v>
      </c>
      <c r="AB4184" t="str">
        <f>HYPERLINK("Melting_Curves/meltCurve_Q8NEC7_GSTCD.pdf", "Melting_Curves/meltCurve_Q8NEC7_GSTCD.pdf")</f>
        <v>Melting_Curves/meltCurve_Q8NEC7_GSTCD.pdf</v>
      </c>
    </row>
    <row r="4185" spans="1:28" x14ac:dyDescent="0.25">
      <c r="A4185" t="s">
        <v>4189</v>
      </c>
      <c r="B4185">
        <v>0.99334974765950101</v>
      </c>
      <c r="C4185">
        <v>0.91756669034974403</v>
      </c>
      <c r="D4185">
        <v>1.08969502191854</v>
      </c>
      <c r="E4185">
        <v>0.96163236234246596</v>
      </c>
      <c r="F4185">
        <v>0.32476773396266601</v>
      </c>
      <c r="G4185">
        <v>0.193483386356057</v>
      </c>
      <c r="H4185">
        <v>0.12557990901495</v>
      </c>
      <c r="I4185">
        <v>0.102690448340993</v>
      </c>
      <c r="J4185">
        <v>6.9499616218430996E-2</v>
      </c>
      <c r="K4185">
        <v>6.9135749185950099E-2</v>
      </c>
      <c r="L4185">
        <v>3630.9926624167101</v>
      </c>
      <c r="M4185">
        <v>69.645903282565399</v>
      </c>
      <c r="N4185">
        <v>52.324128869729002</v>
      </c>
      <c r="O4185">
        <v>52.092120834224097</v>
      </c>
      <c r="P4185">
        <v>-0.29705962401783798</v>
      </c>
      <c r="Q4185">
        <v>0.11124932324784099</v>
      </c>
      <c r="R4185">
        <v>0.985813981057309</v>
      </c>
      <c r="S4185" t="s">
        <v>10046</v>
      </c>
      <c r="T4185" t="s">
        <v>11720</v>
      </c>
      <c r="U4185" t="s">
        <v>11720</v>
      </c>
      <c r="V4185" t="s">
        <v>11720</v>
      </c>
      <c r="W4185" t="s">
        <v>15850</v>
      </c>
      <c r="X4185">
        <v>8</v>
      </c>
      <c r="Y4185" t="s">
        <v>21563</v>
      </c>
      <c r="Z4185" t="s">
        <v>27392</v>
      </c>
      <c r="AA4185">
        <v>0.47180101386645118</v>
      </c>
      <c r="AB4185" t="str">
        <f>HYPERLINK("Melting_Curves/meltCurve_Q8NEL9_2_DDHD1.pdf", "Melting_Curves/meltCurve_Q8NEL9_2_DDHD1.pdf")</f>
        <v>Melting_Curves/meltCurve_Q8NEL9_2_DDHD1.pdf</v>
      </c>
    </row>
    <row r="4186" spans="1:28" x14ac:dyDescent="0.25">
      <c r="A4186" t="s">
        <v>4190</v>
      </c>
      <c r="B4186">
        <v>0.99334974765950101</v>
      </c>
      <c r="C4186">
        <v>0.92892293746475096</v>
      </c>
      <c r="D4186">
        <v>0.85988634581726997</v>
      </c>
      <c r="E4186">
        <v>0.75471917002475797</v>
      </c>
      <c r="F4186">
        <v>0.288272938909581</v>
      </c>
      <c r="G4186">
        <v>0.18115812519157601</v>
      </c>
      <c r="H4186">
        <v>0.134044310830988</v>
      </c>
      <c r="I4186">
        <v>9.9900140486081895E-2</v>
      </c>
      <c r="J4186">
        <v>0.101194577489499</v>
      </c>
      <c r="K4186">
        <v>7.5728057873732005E-2</v>
      </c>
      <c r="L4186">
        <v>1470.8732845732</v>
      </c>
      <c r="M4186">
        <v>28.748590876125402</v>
      </c>
      <c r="N4186">
        <v>51.570304142465297</v>
      </c>
      <c r="O4186">
        <v>50.917677288339497</v>
      </c>
      <c r="P4186">
        <v>-0.12682745675662899</v>
      </c>
      <c r="Q4186">
        <v>0.10149201805373</v>
      </c>
      <c r="R4186">
        <v>0.98181940877678597</v>
      </c>
      <c r="S4186" t="s">
        <v>10047</v>
      </c>
      <c r="T4186" t="s">
        <v>11720</v>
      </c>
      <c r="U4186" t="s">
        <v>11720</v>
      </c>
      <c r="V4186" t="s">
        <v>11720</v>
      </c>
      <c r="W4186" t="s">
        <v>15851</v>
      </c>
      <c r="X4186">
        <v>3</v>
      </c>
      <c r="Y4186" t="s">
        <v>21564</v>
      </c>
      <c r="Z4186" t="s">
        <v>27393</v>
      </c>
      <c r="AA4186">
        <v>0.44200380285728758</v>
      </c>
      <c r="AB4186" t="str">
        <f>HYPERLINK("Melting_Curves/meltCurve_Q8NEN9_PDZD8.pdf", "Melting_Curves/meltCurve_Q8NEN9_PDZD8.pdf")</f>
        <v>Melting_Curves/meltCurve_Q8NEN9_PDZD8.pdf</v>
      </c>
    </row>
    <row r="4187" spans="1:28" x14ac:dyDescent="0.25">
      <c r="A4187" t="s">
        <v>4191</v>
      </c>
      <c r="B4187">
        <v>0.99334974765950101</v>
      </c>
      <c r="C4187">
        <v>0.98705062096683904</v>
      </c>
      <c r="D4187">
        <v>0.81965912166749799</v>
      </c>
      <c r="E4187">
        <v>0.21132347738948801</v>
      </c>
      <c r="F4187">
        <v>0.15697448133009001</v>
      </c>
      <c r="G4187">
        <v>0.10458982639096399</v>
      </c>
      <c r="H4187">
        <v>7.9596877094179105E-2</v>
      </c>
      <c r="I4187">
        <v>8.4003932483138005E-2</v>
      </c>
      <c r="J4187">
        <v>6.7142239908974305E-2</v>
      </c>
      <c r="K4187">
        <v>5.7213218065544802E-2</v>
      </c>
      <c r="L4187">
        <v>1764.90159554462</v>
      </c>
      <c r="M4187">
        <v>36.996597883936303</v>
      </c>
      <c r="N4187">
        <v>47.946723221823</v>
      </c>
      <c r="O4187">
        <v>47.565692629376002</v>
      </c>
      <c r="P4187">
        <v>-0.17787218422670301</v>
      </c>
      <c r="Q4187">
        <v>8.5257508598449397E-2</v>
      </c>
      <c r="R4187">
        <v>0.99713406978756902</v>
      </c>
      <c r="S4187" t="s">
        <v>10048</v>
      </c>
      <c r="T4187" t="s">
        <v>11720</v>
      </c>
      <c r="U4187" t="s">
        <v>11720</v>
      </c>
      <c r="V4187" t="s">
        <v>11720</v>
      </c>
      <c r="W4187" t="s">
        <v>15852</v>
      </c>
      <c r="X4187">
        <v>25</v>
      </c>
      <c r="Y4187" t="s">
        <v>21565</v>
      </c>
      <c r="Z4187" t="s">
        <v>27394</v>
      </c>
      <c r="AA4187">
        <v>0.32372933655471609</v>
      </c>
      <c r="AB4187" t="str">
        <f>HYPERLINK("Melting_Curves/meltCurve_Q8NEU8_APPL2.pdf", "Melting_Curves/meltCurve_Q8NEU8_APPL2.pdf")</f>
        <v>Melting_Curves/meltCurve_Q8NEU8_APPL2.pdf</v>
      </c>
    </row>
    <row r="4188" spans="1:28" x14ac:dyDescent="0.25">
      <c r="A4188" t="s">
        <v>4192</v>
      </c>
      <c r="B4188">
        <v>0.99334974765950101</v>
      </c>
      <c r="C4188">
        <v>0.944882442350374</v>
      </c>
      <c r="D4188">
        <v>0.90768124839072195</v>
      </c>
      <c r="E4188">
        <v>0.95998949542790102</v>
      </c>
      <c r="F4188">
        <v>0.72220857853898401</v>
      </c>
      <c r="G4188">
        <v>0.77163392622429805</v>
      </c>
      <c r="H4188">
        <v>0.63753649976666305</v>
      </c>
      <c r="I4188">
        <v>0.49998878947846898</v>
      </c>
      <c r="J4188">
        <v>0.33664124383687</v>
      </c>
      <c r="K4188">
        <v>0.191395927039341</v>
      </c>
      <c r="L4188">
        <v>597.57589034220996</v>
      </c>
      <c r="M4188">
        <v>9.5127144074897494</v>
      </c>
      <c r="N4188">
        <v>62.818633436362902</v>
      </c>
      <c r="O4188">
        <v>60.230529805861401</v>
      </c>
      <c r="P4188">
        <v>-3.9507839921573799E-2</v>
      </c>
      <c r="Q4188">
        <v>0</v>
      </c>
      <c r="R4188">
        <v>0.942137504491255</v>
      </c>
      <c r="S4188" t="s">
        <v>10049</v>
      </c>
      <c r="T4188" t="s">
        <v>11720</v>
      </c>
      <c r="U4188" t="s">
        <v>11720</v>
      </c>
      <c r="V4188" t="s">
        <v>11720</v>
      </c>
      <c r="W4188" t="s">
        <v>15853</v>
      </c>
      <c r="X4188">
        <v>2</v>
      </c>
      <c r="Y4188" t="s">
        <v>21566</v>
      </c>
      <c r="Z4188" t="s">
        <v>27395</v>
      </c>
      <c r="AA4188">
        <v>0.72774901713178197</v>
      </c>
      <c r="AB4188" t="str">
        <f>HYPERLINK("Melting_Curves/meltCurve_Q8NEW0_SLC30A7.pdf", "Melting_Curves/meltCurve_Q8NEW0_SLC30A7.pdf")</f>
        <v>Melting_Curves/meltCurve_Q8NEW0_SLC30A7.pdf</v>
      </c>
    </row>
    <row r="4189" spans="1:28" x14ac:dyDescent="0.25">
      <c r="A4189" t="s">
        <v>4193</v>
      </c>
      <c r="B4189">
        <v>0.99334974765950101</v>
      </c>
      <c r="C4189">
        <v>0.93856869527887399</v>
      </c>
      <c r="D4189">
        <v>0.69050058873822395</v>
      </c>
      <c r="E4189">
        <v>0.63312259309179497</v>
      </c>
      <c r="F4189">
        <v>0.57176854628888996</v>
      </c>
      <c r="G4189">
        <v>0.391917591566317</v>
      </c>
      <c r="H4189">
        <v>0.33352269919855598</v>
      </c>
      <c r="I4189">
        <v>0.38482581370482299</v>
      </c>
      <c r="J4189">
        <v>0.411605792337357</v>
      </c>
      <c r="K4189">
        <v>0.35834761570311702</v>
      </c>
      <c r="L4189">
        <v>621.65057405822301</v>
      </c>
      <c r="M4189">
        <v>12.859087771150399</v>
      </c>
      <c r="N4189">
        <v>53.344931674310203</v>
      </c>
      <c r="O4189">
        <v>47.218917176716701</v>
      </c>
      <c r="P4189">
        <v>-4.4244287653230102E-2</v>
      </c>
      <c r="Q4189">
        <v>0.35025492440431499</v>
      </c>
      <c r="R4189">
        <v>0.95719528712610202</v>
      </c>
      <c r="S4189" t="s">
        <v>10050</v>
      </c>
      <c r="T4189" t="s">
        <v>11720</v>
      </c>
      <c r="U4189" t="s">
        <v>11720</v>
      </c>
      <c r="V4189" t="s">
        <v>11720</v>
      </c>
      <c r="W4189" t="s">
        <v>15854</v>
      </c>
      <c r="X4189">
        <v>10</v>
      </c>
      <c r="Y4189" t="s">
        <v>21567</v>
      </c>
      <c r="Z4189" t="s">
        <v>27396</v>
      </c>
      <c r="AA4189">
        <v>0.55295074388327059</v>
      </c>
      <c r="AB4189" t="str">
        <f>HYPERLINK("Melting_Curves/meltCurve_Q8NEY1_2_NAV1.pdf", "Melting_Curves/meltCurve_Q8NEY1_2_NAV1.pdf")</f>
        <v>Melting_Curves/meltCurve_Q8NEY1_2_NAV1.pdf</v>
      </c>
    </row>
    <row r="4190" spans="1:28" x14ac:dyDescent="0.25">
      <c r="A4190" t="s">
        <v>4194</v>
      </c>
      <c r="B4190">
        <v>0.99334974765950101</v>
      </c>
      <c r="C4190">
        <v>0.85641138233033498</v>
      </c>
      <c r="D4190">
        <v>0.71097835179369295</v>
      </c>
      <c r="E4190">
        <v>0.52667727434081602</v>
      </c>
      <c r="F4190">
        <v>9.33808110906022E-2</v>
      </c>
      <c r="G4190">
        <v>5.41279715364852E-2</v>
      </c>
      <c r="H4190">
        <v>2.9059885844751498E-2</v>
      </c>
      <c r="I4190">
        <v>1.5969054871523801E-2</v>
      </c>
      <c r="J4190">
        <v>1.9900506589171699E-2</v>
      </c>
      <c r="K4190">
        <v>1.6373253277527099E-2</v>
      </c>
      <c r="L4190">
        <v>842.07165397289702</v>
      </c>
      <c r="M4190">
        <v>17.2434118192973</v>
      </c>
      <c r="N4190">
        <v>48.834397582937797</v>
      </c>
      <c r="O4190">
        <v>48.191796305473503</v>
      </c>
      <c r="P4190">
        <v>-8.9457232192333702E-2</v>
      </c>
      <c r="Q4190">
        <v>0</v>
      </c>
      <c r="R4190">
        <v>0.97608483244189403</v>
      </c>
      <c r="S4190" t="s">
        <v>10051</v>
      </c>
      <c r="T4190" t="s">
        <v>11720</v>
      </c>
      <c r="U4190" t="s">
        <v>11720</v>
      </c>
      <c r="V4190" t="s">
        <v>11720</v>
      </c>
      <c r="W4190" t="s">
        <v>15855</v>
      </c>
      <c r="X4190">
        <v>3</v>
      </c>
      <c r="Y4190" t="s">
        <v>21568</v>
      </c>
      <c r="Z4190" t="s">
        <v>27397</v>
      </c>
      <c r="AA4190">
        <v>0.31341498040879923</v>
      </c>
      <c r="AB4190" t="str">
        <f>HYPERLINK("Melting_Curves/meltCurve_Q8NEZ2_2_VPS37A.pdf", "Melting_Curves/meltCurve_Q8NEZ2_2_VPS37A.pdf")</f>
        <v>Melting_Curves/meltCurve_Q8NEZ2_2_VPS37A.pdf</v>
      </c>
    </row>
    <row r="4191" spans="1:28" x14ac:dyDescent="0.25">
      <c r="A4191" t="s">
        <v>4195</v>
      </c>
      <c r="B4191">
        <v>0.99334974765950101</v>
      </c>
      <c r="C4191">
        <v>0.94906325673779801</v>
      </c>
      <c r="D4191">
        <v>0.958413540402692</v>
      </c>
      <c r="E4191">
        <v>0.78565086460711098</v>
      </c>
      <c r="F4191">
        <v>0.556255142206596</v>
      </c>
      <c r="G4191">
        <v>0.32666951663874799</v>
      </c>
      <c r="H4191">
        <v>0.236557655331948</v>
      </c>
      <c r="I4191">
        <v>0.20352873314087899</v>
      </c>
      <c r="J4191">
        <v>0.11829931643773201</v>
      </c>
      <c r="K4191">
        <v>8.7192429117108394E-2</v>
      </c>
      <c r="L4191">
        <v>831.56441950168801</v>
      </c>
      <c r="M4191">
        <v>15.562848322398301</v>
      </c>
      <c r="N4191">
        <v>54.179018971617602</v>
      </c>
      <c r="O4191">
        <v>52.5737350796878</v>
      </c>
      <c r="P4191">
        <v>-6.6870455143661203E-2</v>
      </c>
      <c r="Q4191">
        <v>9.6483165378750402E-2</v>
      </c>
      <c r="R4191">
        <v>0.99483725823927205</v>
      </c>
      <c r="S4191" t="s">
        <v>10052</v>
      </c>
      <c r="T4191" t="s">
        <v>11720</v>
      </c>
      <c r="U4191" t="s">
        <v>11720</v>
      </c>
      <c r="V4191" t="s">
        <v>11720</v>
      </c>
      <c r="W4191" t="s">
        <v>15856</v>
      </c>
      <c r="X4191">
        <v>8</v>
      </c>
      <c r="Y4191" t="s">
        <v>21569</v>
      </c>
      <c r="Z4191" t="s">
        <v>27398</v>
      </c>
      <c r="AA4191">
        <v>0.51918412775312828</v>
      </c>
      <c r="AB4191" t="str">
        <f>HYPERLINK("Melting_Curves/meltCurve_Q8NEZ5_FBXO22.pdf", "Melting_Curves/meltCurve_Q8NEZ5_FBXO22.pdf")</f>
        <v>Melting_Curves/meltCurve_Q8NEZ5_FBXO22.pdf</v>
      </c>
    </row>
    <row r="4192" spans="1:28" x14ac:dyDescent="0.25">
      <c r="A4192" t="s">
        <v>4196</v>
      </c>
      <c r="B4192">
        <v>0.99334974765950101</v>
      </c>
      <c r="C4192">
        <v>0.970924401808961</v>
      </c>
      <c r="D4192">
        <v>1.0584287063527</v>
      </c>
      <c r="E4192">
        <v>0.86205363302523397</v>
      </c>
      <c r="F4192">
        <v>0.43245983172945601</v>
      </c>
      <c r="G4192">
        <v>0.119548857487963</v>
      </c>
      <c r="H4192">
        <v>5.7041787856842899E-2</v>
      </c>
      <c r="I4192">
        <v>3.8808310051384298E-2</v>
      </c>
      <c r="J4192">
        <v>3.9847635393328001E-2</v>
      </c>
      <c r="K4192">
        <v>4.21073884082553E-2</v>
      </c>
      <c r="L4192">
        <v>1869.94905671075</v>
      </c>
      <c r="M4192">
        <v>35.636313678031797</v>
      </c>
      <c r="N4192">
        <v>52.616284857367603</v>
      </c>
      <c r="O4192">
        <v>52.3087196287075</v>
      </c>
      <c r="P4192">
        <v>-0.162448903507287</v>
      </c>
      <c r="Q4192">
        <v>4.6201430130129201E-2</v>
      </c>
      <c r="R4192">
        <v>0.996966047601615</v>
      </c>
      <c r="S4192" t="s">
        <v>10053</v>
      </c>
      <c r="T4192" t="s">
        <v>11720</v>
      </c>
      <c r="U4192" t="s">
        <v>11720</v>
      </c>
      <c r="V4192" t="s">
        <v>11720</v>
      </c>
      <c r="W4192" t="s">
        <v>15857</v>
      </c>
      <c r="X4192">
        <v>9</v>
      </c>
      <c r="Y4192" t="s">
        <v>21570</v>
      </c>
      <c r="Z4192" t="s">
        <v>27399</v>
      </c>
      <c r="AA4192">
        <v>0.44712171928578998</v>
      </c>
      <c r="AB4192" t="str">
        <f>HYPERLINK("Melting_Curves/meltCurve_Q8NF37_LPCAT1.pdf", "Melting_Curves/meltCurve_Q8NF37_LPCAT1.pdf")</f>
        <v>Melting_Curves/meltCurve_Q8NF37_LPCAT1.pdf</v>
      </c>
    </row>
    <row r="4193" spans="1:28" x14ac:dyDescent="0.25">
      <c r="A4193" t="s">
        <v>4197</v>
      </c>
      <c r="B4193">
        <v>0.99334974765950101</v>
      </c>
      <c r="C4193">
        <v>1.02748138944592</v>
      </c>
      <c r="D4193">
        <v>0.99203349055888801</v>
      </c>
      <c r="E4193">
        <v>0.93537135595230803</v>
      </c>
      <c r="F4193">
        <v>1.1339343521435701</v>
      </c>
      <c r="G4193">
        <v>0.72279596435785998</v>
      </c>
      <c r="H4193">
        <v>0.65185205513401401</v>
      </c>
      <c r="I4193">
        <v>0.63314510203575203</v>
      </c>
      <c r="J4193">
        <v>0.67737592814135195</v>
      </c>
      <c r="K4193">
        <v>0.65251112846197401</v>
      </c>
      <c r="L4193">
        <v>14170.7949833598</v>
      </c>
      <c r="M4193">
        <v>250</v>
      </c>
      <c r="O4193">
        <v>56.679543827932001</v>
      </c>
      <c r="P4193">
        <v>-0.38183848623280298</v>
      </c>
      <c r="Q4193">
        <v>0.65372104732035596</v>
      </c>
      <c r="R4193">
        <v>0.92754182685915199</v>
      </c>
      <c r="S4193" t="s">
        <v>10054</v>
      </c>
      <c r="T4193" t="s">
        <v>11720</v>
      </c>
      <c r="U4193" t="s">
        <v>11720</v>
      </c>
      <c r="V4193" t="s">
        <v>11720</v>
      </c>
      <c r="W4193" t="s">
        <v>15858</v>
      </c>
      <c r="X4193">
        <v>30</v>
      </c>
      <c r="Y4193" t="s">
        <v>21571</v>
      </c>
      <c r="Z4193" t="s">
        <v>27400</v>
      </c>
      <c r="AA4193">
        <v>0.84632329698273245</v>
      </c>
      <c r="AB4193" t="str">
        <f>HYPERLINK("Melting_Curves/meltCurve_Q8NFC6_BOD1L1.pdf", "Melting_Curves/meltCurve_Q8NFC6_BOD1L1.pdf")</f>
        <v>Melting_Curves/meltCurve_Q8NFC6_BOD1L1.pdf</v>
      </c>
    </row>
    <row r="4194" spans="1:28" x14ac:dyDescent="0.25">
      <c r="A4194" t="s">
        <v>4198</v>
      </c>
      <c r="B4194">
        <v>0.99334974765950101</v>
      </c>
      <c r="C4194">
        <v>0.935160469373022</v>
      </c>
      <c r="D4194">
        <v>0.88764449601030704</v>
      </c>
      <c r="E4194">
        <v>0.53999629810754601</v>
      </c>
      <c r="F4194">
        <v>0.25345052624996001</v>
      </c>
      <c r="G4194">
        <v>0.16300833092061701</v>
      </c>
      <c r="H4194">
        <v>0.12634934816221499</v>
      </c>
      <c r="I4194">
        <v>0.124514899987827</v>
      </c>
      <c r="J4194">
        <v>0.13777205293561601</v>
      </c>
      <c r="K4194">
        <v>0.106113166691573</v>
      </c>
      <c r="L4194">
        <v>1196.33267624315</v>
      </c>
      <c r="M4194">
        <v>24.0891515144747</v>
      </c>
      <c r="N4194">
        <v>50.225928682107899</v>
      </c>
      <c r="O4194">
        <v>49.3242657651233</v>
      </c>
      <c r="P4194">
        <v>-0.10764683156767001</v>
      </c>
      <c r="Q4194">
        <v>0.11835531074128799</v>
      </c>
      <c r="R4194">
        <v>0.99728746780567101</v>
      </c>
      <c r="S4194" t="s">
        <v>10055</v>
      </c>
      <c r="T4194" t="s">
        <v>11720</v>
      </c>
      <c r="U4194" t="s">
        <v>11720</v>
      </c>
      <c r="V4194" t="s">
        <v>11720</v>
      </c>
      <c r="W4194" t="s">
        <v>15859</v>
      </c>
      <c r="X4194">
        <v>15</v>
      </c>
      <c r="Y4194" t="s">
        <v>21572</v>
      </c>
      <c r="Z4194" t="s">
        <v>27401</v>
      </c>
      <c r="AA4194">
        <v>0.410791712236312</v>
      </c>
      <c r="AB4194" t="str">
        <f>HYPERLINK("Melting_Curves/meltCurve_Q8NFF5_2_FLAD1.pdf", "Melting_Curves/meltCurve_Q8NFF5_2_FLAD1.pdf")</f>
        <v>Melting_Curves/meltCurve_Q8NFF5_2_FLAD1.pdf</v>
      </c>
    </row>
    <row r="4195" spans="1:28" x14ac:dyDescent="0.25">
      <c r="A4195" t="s">
        <v>4199</v>
      </c>
      <c r="B4195">
        <v>0.99334974765950101</v>
      </c>
      <c r="C4195">
        <v>0.82061465001181999</v>
      </c>
      <c r="D4195">
        <v>0.76609682147915803</v>
      </c>
      <c r="E4195">
        <v>0.573389140622108</v>
      </c>
      <c r="F4195">
        <v>0.29787223382998201</v>
      </c>
      <c r="G4195">
        <v>0.320519016659013</v>
      </c>
      <c r="H4195">
        <v>0.19001751954410501</v>
      </c>
      <c r="I4195">
        <v>0.124603931932835</v>
      </c>
      <c r="J4195">
        <v>2.21664775445999E-2</v>
      </c>
      <c r="K4195">
        <v>0.118753364144168</v>
      </c>
      <c r="L4195">
        <v>541.24077327106204</v>
      </c>
      <c r="M4195">
        <v>10.744947133633399</v>
      </c>
      <c r="N4195">
        <v>50.724284624265799</v>
      </c>
      <c r="O4195">
        <v>48.720998554482001</v>
      </c>
      <c r="P4195">
        <v>-5.3170520331436301E-2</v>
      </c>
      <c r="Q4195">
        <v>3.5987968104085402E-2</v>
      </c>
      <c r="R4195">
        <v>0.97274891248402595</v>
      </c>
      <c r="S4195" t="s">
        <v>10056</v>
      </c>
      <c r="T4195" t="s">
        <v>11720</v>
      </c>
      <c r="U4195" t="s">
        <v>11720</v>
      </c>
      <c r="V4195" t="s">
        <v>11720</v>
      </c>
      <c r="W4195" t="s">
        <v>15860</v>
      </c>
      <c r="X4195">
        <v>1</v>
      </c>
      <c r="Y4195" t="s">
        <v>21573</v>
      </c>
      <c r="Z4195" t="s">
        <v>27402</v>
      </c>
      <c r="AA4195">
        <v>0.40761369748492648</v>
      </c>
      <c r="AB4195" t="str">
        <f>HYPERLINK("Melting_Curves/meltCurve_Q8NFG4_FLCN.pdf", "Melting_Curves/meltCurve_Q8NFG4_FLCN.pdf")</f>
        <v>Melting_Curves/meltCurve_Q8NFG4_FLCN.pdf</v>
      </c>
    </row>
    <row r="4196" spans="1:28" x14ac:dyDescent="0.25">
      <c r="A4196" t="s">
        <v>4200</v>
      </c>
      <c r="B4196">
        <v>0.99334974765950101</v>
      </c>
      <c r="C4196">
        <v>0.98247443468795903</v>
      </c>
      <c r="D4196">
        <v>1.00015031126704</v>
      </c>
      <c r="E4196">
        <v>0.89678448795560906</v>
      </c>
      <c r="F4196">
        <v>0.85360176627301199</v>
      </c>
      <c r="G4196">
        <v>0.76470266324262204</v>
      </c>
      <c r="H4196">
        <v>0.44409568564199398</v>
      </c>
      <c r="I4196">
        <v>0.17144196486462199</v>
      </c>
      <c r="J4196">
        <v>9.3020226024406003E-2</v>
      </c>
      <c r="K4196">
        <v>7.9443671571387001E-2</v>
      </c>
      <c r="L4196">
        <v>1136.31746472138</v>
      </c>
      <c r="M4196">
        <v>18.991809129120998</v>
      </c>
      <c r="N4196">
        <v>59.831976079240498</v>
      </c>
      <c r="O4196">
        <v>59.180454788069</v>
      </c>
      <c r="P4196">
        <v>-8.0231588517995001E-2</v>
      </c>
      <c r="Q4196">
        <v>0</v>
      </c>
      <c r="R4196">
        <v>0.98674324098807997</v>
      </c>
      <c r="S4196" t="s">
        <v>10057</v>
      </c>
      <c r="T4196" t="s">
        <v>11720</v>
      </c>
      <c r="U4196" t="s">
        <v>11720</v>
      </c>
      <c r="V4196" t="s">
        <v>11720</v>
      </c>
      <c r="W4196" t="s">
        <v>15861</v>
      </c>
      <c r="X4196">
        <v>4</v>
      </c>
      <c r="Y4196" t="s">
        <v>21574</v>
      </c>
      <c r="Z4196" t="s">
        <v>27403</v>
      </c>
      <c r="AA4196">
        <v>0.66980991190931516</v>
      </c>
      <c r="AB4196" t="str">
        <f>HYPERLINK("Melting_Curves/meltCurve_Q8NFH3_NUP43.pdf", "Melting_Curves/meltCurve_Q8NFH3_NUP43.pdf")</f>
        <v>Melting_Curves/meltCurve_Q8NFH3_NUP43.pdf</v>
      </c>
    </row>
    <row r="4197" spans="1:28" x14ac:dyDescent="0.25">
      <c r="A4197" t="s">
        <v>4201</v>
      </c>
      <c r="B4197">
        <v>0.99334974765950101</v>
      </c>
      <c r="C4197">
        <v>0.93881054652108697</v>
      </c>
      <c r="D4197">
        <v>0.87331797026789804</v>
      </c>
      <c r="E4197">
        <v>0.71111463030522704</v>
      </c>
      <c r="F4197">
        <v>0.58682128890371898</v>
      </c>
      <c r="G4197">
        <v>0.41348963171212599</v>
      </c>
      <c r="H4197">
        <v>0.157156018776928</v>
      </c>
      <c r="I4197">
        <v>8.5727187431064195E-2</v>
      </c>
      <c r="J4197">
        <v>7.5958470279530996E-2</v>
      </c>
      <c r="K4197">
        <v>5.0847273396171802E-2</v>
      </c>
      <c r="L4197">
        <v>672.11478889242903</v>
      </c>
      <c r="M4197">
        <v>12.4183749035393</v>
      </c>
      <c r="N4197">
        <v>54.1226039376429</v>
      </c>
      <c r="O4197">
        <v>52.776607958196799</v>
      </c>
      <c r="P4197">
        <v>-5.8837601263631599E-2</v>
      </c>
      <c r="Q4197">
        <v>0</v>
      </c>
      <c r="R4197">
        <v>0.99219923553052602</v>
      </c>
      <c r="S4197" t="s">
        <v>10058</v>
      </c>
      <c r="T4197" t="s">
        <v>11720</v>
      </c>
      <c r="U4197" t="s">
        <v>11720</v>
      </c>
      <c r="V4197" t="s">
        <v>11720</v>
      </c>
      <c r="W4197" t="s">
        <v>15862</v>
      </c>
      <c r="X4197">
        <v>9</v>
      </c>
      <c r="Y4197" t="s">
        <v>21575</v>
      </c>
      <c r="Z4197" t="s">
        <v>27404</v>
      </c>
      <c r="AA4197">
        <v>0.4957600924474227</v>
      </c>
      <c r="AB4197" t="str">
        <f>HYPERLINK("Melting_Curves/meltCurve_Q8NFH4_NUP37.pdf", "Melting_Curves/meltCurve_Q8NFH4_NUP37.pdf")</f>
        <v>Melting_Curves/meltCurve_Q8NFH4_NUP37.pdf</v>
      </c>
    </row>
    <row r="4198" spans="1:28" x14ac:dyDescent="0.25">
      <c r="A4198" t="s">
        <v>4202</v>
      </c>
      <c r="B4198">
        <v>0.99334974765950101</v>
      </c>
      <c r="C4198">
        <v>1.0046089099736699</v>
      </c>
      <c r="D4198">
        <v>0.83443104902035303</v>
      </c>
      <c r="E4198">
        <v>0.75914150124265101</v>
      </c>
      <c r="F4198">
        <v>0.32798856359088102</v>
      </c>
      <c r="G4198">
        <v>0.16258177200902599</v>
      </c>
      <c r="H4198">
        <v>0.121128202315297</v>
      </c>
      <c r="I4198">
        <v>0.15711045094474901</v>
      </c>
      <c r="J4198">
        <v>0.11927712745848</v>
      </c>
      <c r="K4198">
        <v>8.6381954577186601E-2</v>
      </c>
      <c r="L4198">
        <v>1391.3393504411299</v>
      </c>
      <c r="M4198">
        <v>27.158817608256701</v>
      </c>
      <c r="N4198">
        <v>51.715000205362998</v>
      </c>
      <c r="O4198">
        <v>50.954414168055202</v>
      </c>
      <c r="P4198">
        <v>-0.118263852477811</v>
      </c>
      <c r="Q4198">
        <v>0.112478744161498</v>
      </c>
      <c r="R4198">
        <v>0.98273354832307502</v>
      </c>
      <c r="S4198" t="s">
        <v>10059</v>
      </c>
      <c r="T4198" t="s">
        <v>11720</v>
      </c>
      <c r="U4198" t="s">
        <v>11720</v>
      </c>
      <c r="V4198" t="s">
        <v>11720</v>
      </c>
      <c r="W4198" t="s">
        <v>15863</v>
      </c>
      <c r="X4198">
        <v>8</v>
      </c>
      <c r="Y4198" t="s">
        <v>21576</v>
      </c>
      <c r="Z4198" t="s">
        <v>27405</v>
      </c>
      <c r="AA4198">
        <v>0.45152788460795718</v>
      </c>
      <c r="AB4198" t="str">
        <f>HYPERLINK("Melting_Curves/meltCurve_Q8NFQ8_TOR1AIP2.pdf", "Melting_Curves/meltCurve_Q8NFQ8_TOR1AIP2.pdf")</f>
        <v>Melting_Curves/meltCurve_Q8NFQ8_TOR1AIP2.pdf</v>
      </c>
    </row>
    <row r="4199" spans="1:28" x14ac:dyDescent="0.25">
      <c r="A4199" t="s">
        <v>4203</v>
      </c>
      <c r="B4199">
        <v>0.99334974765950101</v>
      </c>
      <c r="C4199">
        <v>0.90835470780669703</v>
      </c>
      <c r="D4199">
        <v>0.69811812833783804</v>
      </c>
      <c r="E4199">
        <v>0.27682031312656102</v>
      </c>
      <c r="F4199">
        <v>0.17812216047947099</v>
      </c>
      <c r="G4199">
        <v>0.15163267855035201</v>
      </c>
      <c r="H4199">
        <v>0.12099842682138701</v>
      </c>
      <c r="I4199">
        <v>0.105890352382804</v>
      </c>
      <c r="J4199">
        <v>7.55433618482938E-2</v>
      </c>
      <c r="K4199">
        <v>8.3548041404918602E-2</v>
      </c>
      <c r="L4199">
        <v>1093.3850080416</v>
      </c>
      <c r="M4199">
        <v>23.1521275052032</v>
      </c>
      <c r="N4199">
        <v>47.695060705512901</v>
      </c>
      <c r="O4199">
        <v>46.878015492726597</v>
      </c>
      <c r="P4199">
        <v>-0.110903707261817</v>
      </c>
      <c r="Q4199">
        <v>0.10179297820550701</v>
      </c>
      <c r="R4199">
        <v>0.99724191419845598</v>
      </c>
      <c r="S4199" t="s">
        <v>10060</v>
      </c>
      <c r="T4199" t="s">
        <v>11720</v>
      </c>
      <c r="U4199" t="s">
        <v>11720</v>
      </c>
      <c r="V4199" t="s">
        <v>11720</v>
      </c>
      <c r="W4199" t="s">
        <v>15864</v>
      </c>
      <c r="X4199">
        <v>8</v>
      </c>
      <c r="Y4199" t="s">
        <v>21577</v>
      </c>
      <c r="Z4199" t="s">
        <v>27406</v>
      </c>
      <c r="AA4199">
        <v>0.32759724409058272</v>
      </c>
      <c r="AB4199" t="str">
        <f>HYPERLINK("Melting_Curves/meltCurve_Q8NFV4_ABHD11.pdf", "Melting_Curves/meltCurve_Q8NFV4_ABHD11.pdf")</f>
        <v>Melting_Curves/meltCurve_Q8NFV4_ABHD11.pdf</v>
      </c>
    </row>
    <row r="4200" spans="1:28" x14ac:dyDescent="0.25">
      <c r="A4200" t="s">
        <v>4204</v>
      </c>
      <c r="B4200">
        <v>0.99334974765950101</v>
      </c>
      <c r="C4200">
        <v>0.86718262096996401</v>
      </c>
      <c r="D4200">
        <v>0.72667459452622396</v>
      </c>
      <c r="E4200">
        <v>0.49757822860001699</v>
      </c>
      <c r="F4200">
        <v>0.237529282511317</v>
      </c>
      <c r="G4200">
        <v>0.19150204104264801</v>
      </c>
      <c r="H4200">
        <v>0.15152030078404</v>
      </c>
      <c r="I4200">
        <v>0.119969668248085</v>
      </c>
      <c r="J4200">
        <v>0.101106979143798</v>
      </c>
      <c r="K4200">
        <v>4.7205976822396203E-2</v>
      </c>
      <c r="L4200">
        <v>711.58593867524496</v>
      </c>
      <c r="M4200">
        <v>14.5850016075415</v>
      </c>
      <c r="N4200">
        <v>49.3467433806589</v>
      </c>
      <c r="O4200">
        <v>47.899229958647297</v>
      </c>
      <c r="P4200">
        <v>-7.0345699200206002E-2</v>
      </c>
      <c r="Q4200">
        <v>7.6003136427883505E-2</v>
      </c>
      <c r="R4200">
        <v>0.99149087064553798</v>
      </c>
      <c r="S4200" t="s">
        <v>10061</v>
      </c>
      <c r="T4200" t="s">
        <v>11720</v>
      </c>
      <c r="U4200" t="s">
        <v>11720</v>
      </c>
      <c r="V4200" t="s">
        <v>11720</v>
      </c>
      <c r="W4200" t="s">
        <v>15865</v>
      </c>
      <c r="X4200">
        <v>3</v>
      </c>
      <c r="Y4200" t="s">
        <v>21578</v>
      </c>
      <c r="Z4200" t="s">
        <v>27407</v>
      </c>
      <c r="AA4200">
        <v>0.37094171617074279</v>
      </c>
      <c r="AB4200" t="str">
        <f>HYPERLINK("Melting_Curves/meltCurve_Q8NFX7_2_STXBP6.pdf", "Melting_Curves/meltCurve_Q8NFX7_2_STXBP6.pdf")</f>
        <v>Melting_Curves/meltCurve_Q8NFX7_2_STXBP6.pdf</v>
      </c>
    </row>
    <row r="4201" spans="1:28" x14ac:dyDescent="0.25">
      <c r="A4201" t="s">
        <v>4205</v>
      </c>
      <c r="B4201">
        <v>0.99334974765950101</v>
      </c>
      <c r="C4201">
        <v>0.82048009393718102</v>
      </c>
      <c r="D4201">
        <v>1.00190842449345</v>
      </c>
      <c r="E4201">
        <v>0.85198317467576901</v>
      </c>
      <c r="F4201">
        <v>0.79432522336036004</v>
      </c>
      <c r="G4201">
        <v>0.51916015412095595</v>
      </c>
      <c r="H4201">
        <v>0.35500682661911998</v>
      </c>
      <c r="I4201">
        <v>0.41164819810150999</v>
      </c>
      <c r="J4201">
        <v>0.33254580064783401</v>
      </c>
      <c r="K4201">
        <v>0.32640127925949702</v>
      </c>
      <c r="L4201">
        <v>964.47194348578796</v>
      </c>
      <c r="M4201">
        <v>17.666025264264</v>
      </c>
      <c r="N4201">
        <v>57.810151605903201</v>
      </c>
      <c r="O4201">
        <v>53.9095882661818</v>
      </c>
      <c r="P4201">
        <v>-5.6298945076132201E-2</v>
      </c>
      <c r="Q4201">
        <v>0.31282975127415902</v>
      </c>
      <c r="R4201">
        <v>0.942656871005223</v>
      </c>
      <c r="S4201" t="s">
        <v>10062</v>
      </c>
      <c r="T4201" t="s">
        <v>11720</v>
      </c>
      <c r="U4201" t="s">
        <v>11720</v>
      </c>
      <c r="V4201" t="s">
        <v>11720</v>
      </c>
      <c r="W4201" t="s">
        <v>15866</v>
      </c>
      <c r="X4201">
        <v>2</v>
      </c>
      <c r="Y4201" t="s">
        <v>21579</v>
      </c>
      <c r="Z4201" t="s">
        <v>27408</v>
      </c>
      <c r="AA4201">
        <v>0.65821060928935393</v>
      </c>
      <c r="AB4201" t="str">
        <f>HYPERLINK("Melting_Curves/meltCurve_Q8NFZ4_NLGN2.pdf", "Melting_Curves/meltCurve_Q8NFZ4_NLGN2.pdf")</f>
        <v>Melting_Curves/meltCurve_Q8NFZ4_NLGN2.pdf</v>
      </c>
    </row>
    <row r="4202" spans="1:28" x14ac:dyDescent="0.25">
      <c r="A4202" t="s">
        <v>4206</v>
      </c>
      <c r="B4202">
        <v>0.99334974765950101</v>
      </c>
      <c r="C4202">
        <v>1.4446702375120399</v>
      </c>
      <c r="D4202">
        <v>0.86960323872232304</v>
      </c>
      <c r="E4202">
        <v>0.75505927228641301</v>
      </c>
      <c r="F4202">
        <v>0.94219956519828196</v>
      </c>
      <c r="G4202">
        <v>0.67714215493155705</v>
      </c>
      <c r="H4202">
        <v>0.81612998434973005</v>
      </c>
      <c r="I4202">
        <v>0.41503291100619499</v>
      </c>
      <c r="J4202">
        <v>0.42804417445357201</v>
      </c>
      <c r="K4202">
        <v>0.24141673720512999</v>
      </c>
      <c r="L4202">
        <v>632.89581876095599</v>
      </c>
      <c r="M4202">
        <v>9.8827233939566703</v>
      </c>
      <c r="N4202">
        <v>64.040611861660395</v>
      </c>
      <c r="O4202">
        <v>61.5838804250835</v>
      </c>
      <c r="P4202">
        <v>-4.01393644484258E-2</v>
      </c>
      <c r="Q4202">
        <v>0</v>
      </c>
      <c r="R4202">
        <v>0.70833355607895099</v>
      </c>
      <c r="S4202" t="s">
        <v>10063</v>
      </c>
      <c r="T4202" t="s">
        <v>11720</v>
      </c>
      <c r="U4202" t="s">
        <v>11720</v>
      </c>
      <c r="V4202" t="s">
        <v>11720</v>
      </c>
      <c r="W4202" t="s">
        <v>15867</v>
      </c>
      <c r="X4202">
        <v>1</v>
      </c>
      <c r="Y4202" t="s">
        <v>21580</v>
      </c>
      <c r="Z4202" t="s">
        <v>27409</v>
      </c>
      <c r="AA4202">
        <v>0.75766815411552846</v>
      </c>
      <c r="AB4202" t="str">
        <f>HYPERLINK("Melting_Curves/meltCurve_Q8NFZ8_CADM4.pdf", "Melting_Curves/meltCurve_Q8NFZ8_CADM4.pdf")</f>
        <v>Melting_Curves/meltCurve_Q8NFZ8_CADM4.pdf</v>
      </c>
    </row>
    <row r="4203" spans="1:28" x14ac:dyDescent="0.25">
      <c r="A4203" t="s">
        <v>4207</v>
      </c>
      <c r="B4203">
        <v>0.99334974765950101</v>
      </c>
      <c r="C4203">
        <v>0.93231783298910498</v>
      </c>
      <c r="D4203">
        <v>0.70635406366680198</v>
      </c>
      <c r="E4203">
        <v>0.85000628795975297</v>
      </c>
      <c r="F4203">
        <v>0.80291749871071905</v>
      </c>
      <c r="G4203">
        <v>0.56670790544819905</v>
      </c>
      <c r="H4203">
        <v>0.43729234759789698</v>
      </c>
      <c r="I4203">
        <v>0.61224265073214801</v>
      </c>
      <c r="J4203">
        <v>0.56207584367423202</v>
      </c>
      <c r="K4203">
        <v>0.51010275220815504</v>
      </c>
      <c r="L4203">
        <v>418.751868432413</v>
      </c>
      <c r="M4203">
        <v>8.0841384649810895</v>
      </c>
      <c r="O4203">
        <v>48.9184176509197</v>
      </c>
      <c r="P4203">
        <v>-2.27796240952985E-2</v>
      </c>
      <c r="Q4203">
        <v>0.44922641199801999</v>
      </c>
      <c r="R4203">
        <v>0.78282424765847103</v>
      </c>
      <c r="S4203" t="s">
        <v>10064</v>
      </c>
      <c r="T4203" t="s">
        <v>11720</v>
      </c>
      <c r="U4203" t="s">
        <v>11720</v>
      </c>
      <c r="V4203" t="s">
        <v>11720</v>
      </c>
      <c r="W4203" t="s">
        <v>15868</v>
      </c>
      <c r="X4203">
        <v>2</v>
      </c>
      <c r="Y4203" t="s">
        <v>21581</v>
      </c>
      <c r="Z4203" t="s">
        <v>27410</v>
      </c>
      <c r="AA4203">
        <v>0.69224648591647209</v>
      </c>
      <c r="AB4203" t="str">
        <f>HYPERLINK("Melting_Curves/meltCurve_Q8NG27_3_PJA1.pdf", "Melting_Curves/meltCurve_Q8NG27_3_PJA1.pdf")</f>
        <v>Melting_Curves/meltCurve_Q8NG27_3_PJA1.pdf</v>
      </c>
    </row>
    <row r="4204" spans="1:28" x14ac:dyDescent="0.25">
      <c r="A4204" t="s">
        <v>4208</v>
      </c>
      <c r="B4204">
        <v>0.99334974765950101</v>
      </c>
      <c r="C4204">
        <v>0.96726454903513903</v>
      </c>
      <c r="D4204">
        <v>1.0965694989407699</v>
      </c>
      <c r="E4204">
        <v>0.92131332637582897</v>
      </c>
      <c r="F4204">
        <v>0.45427738912248</v>
      </c>
      <c r="G4204">
        <v>0.16802644133539399</v>
      </c>
      <c r="H4204">
        <v>0.10871617742777399</v>
      </c>
      <c r="I4204">
        <v>8.92121811553441E-2</v>
      </c>
      <c r="J4204">
        <v>7.1177333865788894E-2</v>
      </c>
      <c r="K4204">
        <v>5.5149712390323999E-2</v>
      </c>
      <c r="L4204">
        <v>2218.76316152041</v>
      </c>
      <c r="M4204">
        <v>42.206461226148903</v>
      </c>
      <c r="N4204">
        <v>52.816599472144397</v>
      </c>
      <c r="O4204">
        <v>52.451675768344003</v>
      </c>
      <c r="P4204">
        <v>-0.183130663295614</v>
      </c>
      <c r="Q4204">
        <v>8.9666004875161395E-2</v>
      </c>
      <c r="R4204">
        <v>0.99164670170091596</v>
      </c>
      <c r="S4204" t="s">
        <v>10065</v>
      </c>
      <c r="T4204" t="s">
        <v>11720</v>
      </c>
      <c r="U4204" t="s">
        <v>11720</v>
      </c>
      <c r="V4204" t="s">
        <v>11720</v>
      </c>
      <c r="W4204" t="s">
        <v>15869</v>
      </c>
      <c r="X4204">
        <v>9</v>
      </c>
      <c r="Y4204" t="s">
        <v>21582</v>
      </c>
      <c r="Z4204" t="s">
        <v>27411</v>
      </c>
      <c r="AA4204">
        <v>0.47404135925311369</v>
      </c>
      <c r="AB4204" t="str">
        <f>HYPERLINK("Melting_Curves/meltCurve_Q8NG68_TTL.pdf", "Melting_Curves/meltCurve_Q8NG68_TTL.pdf")</f>
        <v>Melting_Curves/meltCurve_Q8NG68_TTL.pdf</v>
      </c>
    </row>
    <row r="4205" spans="1:28" x14ac:dyDescent="0.25">
      <c r="A4205" t="s">
        <v>4209</v>
      </c>
      <c r="B4205">
        <v>0.99334974765950101</v>
      </c>
      <c r="C4205">
        <v>0.86957589563089699</v>
      </c>
      <c r="D4205">
        <v>0.80037366130984</v>
      </c>
      <c r="E4205">
        <v>0.85629554459318402</v>
      </c>
      <c r="F4205">
        <v>0.91484449265440204</v>
      </c>
      <c r="G4205">
        <v>0.90150062564517197</v>
      </c>
      <c r="H4205">
        <v>0.87015089670869905</v>
      </c>
      <c r="I4205">
        <v>1.1835707011330101</v>
      </c>
      <c r="J4205">
        <v>1.29063197969935</v>
      </c>
      <c r="K4205">
        <v>1.4038873176130799</v>
      </c>
      <c r="L4205">
        <v>15000</v>
      </c>
      <c r="M4205">
        <v>234.48945602247099</v>
      </c>
      <c r="O4205">
        <v>63.9641073090772</v>
      </c>
      <c r="P4205">
        <v>0.31826611276204603</v>
      </c>
      <c r="Q4205">
        <v>1.34726692407574</v>
      </c>
      <c r="R4205">
        <v>0.69949367079692204</v>
      </c>
      <c r="S4205" t="s">
        <v>10066</v>
      </c>
      <c r="T4205" t="s">
        <v>11720</v>
      </c>
      <c r="U4205" t="s">
        <v>11720</v>
      </c>
      <c r="V4205" t="s">
        <v>11720</v>
      </c>
      <c r="W4205" t="s">
        <v>15870</v>
      </c>
      <c r="X4205">
        <v>2</v>
      </c>
      <c r="Y4205" t="s">
        <v>21583</v>
      </c>
      <c r="Z4205" t="s">
        <v>27412</v>
      </c>
      <c r="AA4205">
        <v>1.0697706773155811</v>
      </c>
      <c r="AB4205" t="str">
        <f>HYPERLINK("Melting_Curves/meltCurve_Q8NHG7_SVIP.pdf", "Melting_Curves/meltCurve_Q8NHG7_SVIP.pdf")</f>
        <v>Melting_Curves/meltCurve_Q8NHG7_SVIP.pdf</v>
      </c>
    </row>
    <row r="4206" spans="1:28" x14ac:dyDescent="0.25">
      <c r="A4206" t="s">
        <v>4210</v>
      </c>
      <c r="B4206">
        <v>0.99334974765950101</v>
      </c>
      <c r="C4206">
        <v>0.93512590568296206</v>
      </c>
      <c r="D4206">
        <v>0.98977364668637802</v>
      </c>
      <c r="E4206">
        <v>0.66245937198782101</v>
      </c>
      <c r="F4206">
        <v>0.116989924731646</v>
      </c>
      <c r="G4206">
        <v>8.5006193594322904E-2</v>
      </c>
      <c r="H4206">
        <v>5.1530456077296803E-2</v>
      </c>
      <c r="I4206">
        <v>3.4662515545200903E-2</v>
      </c>
      <c r="J4206">
        <v>3.7544379761027397E-2</v>
      </c>
      <c r="K4206">
        <v>2.89025093037397E-2</v>
      </c>
      <c r="L4206">
        <v>2717.2508170849001</v>
      </c>
      <c r="M4206">
        <v>53.747191308373402</v>
      </c>
      <c r="N4206">
        <v>50.6481242216365</v>
      </c>
      <c r="O4206">
        <v>50.486308977074998</v>
      </c>
      <c r="P4206">
        <v>-0.25377298783885399</v>
      </c>
      <c r="Q4206">
        <v>4.6495165560686502E-2</v>
      </c>
      <c r="R4206">
        <v>0.996495378477948</v>
      </c>
      <c r="S4206" t="s">
        <v>10067</v>
      </c>
      <c r="T4206" t="s">
        <v>11720</v>
      </c>
      <c r="U4206" t="s">
        <v>11720</v>
      </c>
      <c r="V4206" t="s">
        <v>11720</v>
      </c>
      <c r="W4206" t="s">
        <v>15871</v>
      </c>
      <c r="X4206">
        <v>9</v>
      </c>
      <c r="Y4206" t="s">
        <v>21584</v>
      </c>
      <c r="Z4206" t="s">
        <v>27413</v>
      </c>
      <c r="AA4206">
        <v>0.3838451599521544</v>
      </c>
      <c r="AB4206" t="str">
        <f>HYPERLINK("Melting_Curves/meltCurve_Q8NHH9_ATL2.pdf", "Melting_Curves/meltCurve_Q8NHH9_ATL2.pdf")</f>
        <v>Melting_Curves/meltCurve_Q8NHH9_ATL2.pdf</v>
      </c>
    </row>
    <row r="4207" spans="1:28" x14ac:dyDescent="0.25">
      <c r="A4207" t="s">
        <v>4211</v>
      </c>
      <c r="B4207">
        <v>0.99334974765950101</v>
      </c>
      <c r="C4207">
        <v>0.96941580386160997</v>
      </c>
      <c r="D4207">
        <v>1.0188031860493001</v>
      </c>
      <c r="E4207">
        <v>0.91543851137277299</v>
      </c>
      <c r="F4207">
        <v>0.74823353301860296</v>
      </c>
      <c r="G4207">
        <v>0.66193484225839405</v>
      </c>
      <c r="H4207">
        <v>0.57975000240177099</v>
      </c>
      <c r="I4207">
        <v>0.63709176602571405</v>
      </c>
      <c r="J4207">
        <v>0.36067453351296802</v>
      </c>
      <c r="K4207">
        <v>0.22501221182504</v>
      </c>
      <c r="L4207">
        <v>513.30878861173596</v>
      </c>
      <c r="M4207">
        <v>8.1182073161668402</v>
      </c>
      <c r="N4207">
        <v>63.229324957542097</v>
      </c>
      <c r="O4207">
        <v>59.739686370446101</v>
      </c>
      <c r="P4207">
        <v>-3.4009631141955703E-2</v>
      </c>
      <c r="Q4207">
        <v>0</v>
      </c>
      <c r="R4207">
        <v>0.92865784951985797</v>
      </c>
      <c r="S4207" t="s">
        <v>10068</v>
      </c>
      <c r="T4207" t="s">
        <v>11720</v>
      </c>
      <c r="U4207" t="s">
        <v>11720</v>
      </c>
      <c r="V4207" t="s">
        <v>11720</v>
      </c>
      <c r="W4207" t="s">
        <v>15872</v>
      </c>
      <c r="X4207">
        <v>14</v>
      </c>
      <c r="Y4207" t="s">
        <v>21585</v>
      </c>
      <c r="Z4207" t="s">
        <v>27414</v>
      </c>
      <c r="AA4207">
        <v>0.72391606311269785</v>
      </c>
      <c r="AB4207" t="str">
        <f>HYPERLINK("Melting_Curves/meltCurve_Q8NHP8_PLBD2.pdf", "Melting_Curves/meltCurve_Q8NHP8_PLBD2.pdf")</f>
        <v>Melting_Curves/meltCurve_Q8NHP8_PLBD2.pdf</v>
      </c>
    </row>
    <row r="4208" spans="1:28" x14ac:dyDescent="0.25">
      <c r="A4208" t="s">
        <v>4212</v>
      </c>
      <c r="B4208">
        <v>0.99334974765950101</v>
      </c>
      <c r="C4208">
        <v>0.87476108394803997</v>
      </c>
      <c r="D4208">
        <v>0.79902650026423305</v>
      </c>
      <c r="E4208">
        <v>0.78917711302084403</v>
      </c>
      <c r="F4208">
        <v>0.71064356579396804</v>
      </c>
      <c r="G4208">
        <v>0.52845576014709295</v>
      </c>
      <c r="H4208">
        <v>0.42925215540174599</v>
      </c>
      <c r="I4208">
        <v>0.44867263465905299</v>
      </c>
      <c r="J4208">
        <v>0.41763452607207102</v>
      </c>
      <c r="K4208">
        <v>0.395325041172782</v>
      </c>
      <c r="L4208">
        <v>426.29970215716799</v>
      </c>
      <c r="M4208">
        <v>7.9461803557479103</v>
      </c>
      <c r="N4208">
        <v>59.9842732228309</v>
      </c>
      <c r="O4208">
        <v>50.569971320940702</v>
      </c>
      <c r="P4208">
        <v>-2.81593905815949E-2</v>
      </c>
      <c r="Q4208">
        <v>0.28399820700390499</v>
      </c>
      <c r="R4208">
        <v>0.96662508567529004</v>
      </c>
      <c r="S4208" t="s">
        <v>10069</v>
      </c>
      <c r="T4208" t="s">
        <v>11720</v>
      </c>
      <c r="U4208" t="s">
        <v>11720</v>
      </c>
      <c r="V4208" t="s">
        <v>11720</v>
      </c>
      <c r="W4208" t="s">
        <v>15873</v>
      </c>
      <c r="X4208">
        <v>1</v>
      </c>
      <c r="Y4208" t="s">
        <v>21586</v>
      </c>
      <c r="Z4208" t="s">
        <v>27415</v>
      </c>
      <c r="AA4208">
        <v>0.63593725201761275</v>
      </c>
      <c r="AB4208" t="str">
        <f>HYPERLINK("Melting_Curves/meltCurve_Q8NHU3_SGMS2.pdf", "Melting_Curves/meltCurve_Q8NHU3_SGMS2.pdf")</f>
        <v>Melting_Curves/meltCurve_Q8NHU3_SGMS2.pdf</v>
      </c>
    </row>
    <row r="4209" spans="1:28" x14ac:dyDescent="0.25">
      <c r="A4209" t="s">
        <v>4213</v>
      </c>
      <c r="B4209">
        <v>0.99334974765950101</v>
      </c>
      <c r="C4209">
        <v>0.95035750307717604</v>
      </c>
      <c r="D4209">
        <v>0.902830210731421</v>
      </c>
      <c r="E4209">
        <v>0.390455952949751</v>
      </c>
      <c r="F4209">
        <v>0.24930649403437899</v>
      </c>
      <c r="G4209">
        <v>0.156962063202222</v>
      </c>
      <c r="H4209">
        <v>0.10638955742569201</v>
      </c>
      <c r="I4209">
        <v>8.4178183748210705E-2</v>
      </c>
      <c r="J4209">
        <v>8.2487633996899498E-2</v>
      </c>
      <c r="K4209">
        <v>6.8504004166567697E-2</v>
      </c>
      <c r="L4209">
        <v>1277.8554757049999</v>
      </c>
      <c r="M4209">
        <v>26.073742543946</v>
      </c>
      <c r="N4209">
        <v>49.414646052786701</v>
      </c>
      <c r="O4209">
        <v>48.723738034569401</v>
      </c>
      <c r="P4209">
        <v>-0.120904249790903</v>
      </c>
      <c r="Q4209">
        <v>9.6280379660665397E-2</v>
      </c>
      <c r="R4209">
        <v>0.99361598612472202</v>
      </c>
      <c r="S4209" t="s">
        <v>10070</v>
      </c>
      <c r="T4209" t="s">
        <v>11720</v>
      </c>
      <c r="U4209" t="s">
        <v>11720</v>
      </c>
      <c r="V4209" t="s">
        <v>11720</v>
      </c>
      <c r="W4209" t="s">
        <v>15874</v>
      </c>
      <c r="X4209">
        <v>11</v>
      </c>
      <c r="Y4209" t="s">
        <v>21587</v>
      </c>
      <c r="Z4209" t="s">
        <v>27416</v>
      </c>
      <c r="AA4209">
        <v>0.3750201573412138</v>
      </c>
      <c r="AB4209" t="str">
        <f>HYPERLINK("Melting_Curves/meltCurve_Q8NHU6_TDRD7.pdf", "Melting_Curves/meltCurve_Q8NHU6_TDRD7.pdf")</f>
        <v>Melting_Curves/meltCurve_Q8NHU6_TDRD7.pdf</v>
      </c>
    </row>
    <row r="4210" spans="1:28" x14ac:dyDescent="0.25">
      <c r="A4210" t="s">
        <v>4214</v>
      </c>
      <c r="B4210">
        <v>0.99334974765950101</v>
      </c>
      <c r="C4210">
        <v>1.0025581615776</v>
      </c>
      <c r="D4210">
        <v>1.07293854272747</v>
      </c>
      <c r="E4210">
        <v>0.92897259982379199</v>
      </c>
      <c r="F4210">
        <v>1.41911869393896</v>
      </c>
      <c r="G4210">
        <v>0.75155117344283096</v>
      </c>
      <c r="H4210">
        <v>0.62495712979905305</v>
      </c>
      <c r="I4210">
        <v>0.15890119056422899</v>
      </c>
      <c r="J4210">
        <v>4.27882572791582E-2</v>
      </c>
      <c r="K4210">
        <v>1.52963852126945E-2</v>
      </c>
      <c r="L4210">
        <v>1989.2079961848201</v>
      </c>
      <c r="M4210">
        <v>32.4163012266823</v>
      </c>
      <c r="N4210">
        <v>61.364425838033</v>
      </c>
      <c r="O4210">
        <v>61.132312761650702</v>
      </c>
      <c r="P4210">
        <v>-0.132566772161787</v>
      </c>
      <c r="Q4210">
        <v>0</v>
      </c>
      <c r="R4210">
        <v>0.89030042594994696</v>
      </c>
      <c r="S4210" t="s">
        <v>10071</v>
      </c>
      <c r="T4210" t="s">
        <v>11720</v>
      </c>
      <c r="U4210" t="s">
        <v>11720</v>
      </c>
      <c r="V4210" t="s">
        <v>11720</v>
      </c>
      <c r="W4210" t="s">
        <v>15875</v>
      </c>
      <c r="X4210">
        <v>1</v>
      </c>
      <c r="Y4210" t="s">
        <v>21588</v>
      </c>
      <c r="Z4210" t="s">
        <v>27417</v>
      </c>
      <c r="AA4210">
        <v>0.71702836571709017</v>
      </c>
      <c r="AB4210" t="str">
        <f>HYPERLINK("Melting_Curves/meltCurve_Q8NHV1_GIMAP7.pdf", "Melting_Curves/meltCurve_Q8NHV1_GIMAP7.pdf")</f>
        <v>Melting_Curves/meltCurve_Q8NHV1_GIMAP7.pdf</v>
      </c>
    </row>
    <row r="4211" spans="1:28" x14ac:dyDescent="0.25">
      <c r="A4211" t="s">
        <v>4215</v>
      </c>
      <c r="B4211">
        <v>0.99334974765950101</v>
      </c>
      <c r="C4211">
        <v>0.94697458156821102</v>
      </c>
      <c r="D4211">
        <v>0.81594253221837598</v>
      </c>
      <c r="E4211">
        <v>0.69057764848199199</v>
      </c>
      <c r="F4211">
        <v>0.505493530289433</v>
      </c>
      <c r="G4211">
        <v>0.34914870431998202</v>
      </c>
      <c r="H4211">
        <v>0.213000222800762</v>
      </c>
      <c r="I4211">
        <v>0.17249567945090599</v>
      </c>
      <c r="J4211">
        <v>0.124377283441074</v>
      </c>
      <c r="K4211">
        <v>0.106964412239171</v>
      </c>
      <c r="L4211">
        <v>586.91897848126598</v>
      </c>
      <c r="M4211">
        <v>11.0994415020857</v>
      </c>
      <c r="N4211">
        <v>53.331899922196499</v>
      </c>
      <c r="O4211">
        <v>51.248858440569997</v>
      </c>
      <c r="P4211">
        <v>-5.1722527530880399E-2</v>
      </c>
      <c r="Q4211">
        <v>4.5048528762029999E-2</v>
      </c>
      <c r="R4211">
        <v>0.99785029347327403</v>
      </c>
      <c r="S4211" t="s">
        <v>10072</v>
      </c>
      <c r="T4211" t="s">
        <v>11720</v>
      </c>
      <c r="U4211" t="s">
        <v>11720</v>
      </c>
      <c r="V4211" t="s">
        <v>11720</v>
      </c>
      <c r="W4211" t="s">
        <v>15876</v>
      </c>
      <c r="X4211">
        <v>6</v>
      </c>
      <c r="Y4211" t="s">
        <v>21589</v>
      </c>
      <c r="Z4211" t="s">
        <v>27418</v>
      </c>
      <c r="AA4211">
        <v>0.48487001052967221</v>
      </c>
      <c r="AB4211" t="str">
        <f>HYPERLINK("Melting_Curves/meltCurve_Q8NHV4_NEDD1.pdf", "Melting_Curves/meltCurve_Q8NHV4_NEDD1.pdf")</f>
        <v>Melting_Curves/meltCurve_Q8NHV4_NEDD1.pdf</v>
      </c>
    </row>
    <row r="4212" spans="1:28" x14ac:dyDescent="0.25">
      <c r="A4212" t="s">
        <v>4216</v>
      </c>
      <c r="B4212">
        <v>0.99334974765950101</v>
      </c>
      <c r="C4212">
        <v>1.04262793576688</v>
      </c>
      <c r="D4212">
        <v>0.952243642604087</v>
      </c>
      <c r="E4212">
        <v>0.83953905472236101</v>
      </c>
      <c r="F4212">
        <v>1.1044194729050101</v>
      </c>
      <c r="G4212">
        <v>0.80832650821817698</v>
      </c>
      <c r="H4212">
        <v>1.0146388196749001</v>
      </c>
      <c r="I4212">
        <v>1.1740432209170499</v>
      </c>
      <c r="J4212">
        <v>1.7301105049145999</v>
      </c>
      <c r="K4212">
        <v>1.2427536376300401</v>
      </c>
      <c r="L4212">
        <v>15000</v>
      </c>
      <c r="M4212">
        <v>233.79054024660201</v>
      </c>
      <c r="O4212">
        <v>64.155300680898705</v>
      </c>
      <c r="P4212">
        <v>0.44315285046588698</v>
      </c>
      <c r="Q4212">
        <v>1.4864286514905301</v>
      </c>
      <c r="R4212">
        <v>0.68235075613830298</v>
      </c>
      <c r="S4212" t="s">
        <v>10073</v>
      </c>
      <c r="T4212" t="s">
        <v>11720</v>
      </c>
      <c r="U4212" t="s">
        <v>11720</v>
      </c>
      <c r="V4212" t="s">
        <v>11720</v>
      </c>
      <c r="W4212" t="s">
        <v>15877</v>
      </c>
      <c r="X4212">
        <v>4</v>
      </c>
      <c r="Y4212" t="s">
        <v>21590</v>
      </c>
      <c r="Z4212" t="s">
        <v>27419</v>
      </c>
      <c r="AA4212">
        <v>1.0946288857869311</v>
      </c>
      <c r="AB4212" t="str">
        <f>HYPERLINK("Melting_Curves/meltCurve_Q8NHZ8_CDC26.pdf", "Melting_Curves/meltCurve_Q8NHZ8_CDC26.pdf")</f>
        <v>Melting_Curves/meltCurve_Q8NHZ8_CDC26.pdf</v>
      </c>
    </row>
    <row r="4213" spans="1:28" x14ac:dyDescent="0.25">
      <c r="A4213" t="s">
        <v>4217</v>
      </c>
      <c r="B4213">
        <v>0.99334974765950101</v>
      </c>
      <c r="C4213">
        <v>1.2290038130105101</v>
      </c>
      <c r="D4213">
        <v>1.13774429852245</v>
      </c>
      <c r="E4213">
        <v>0.84285475083279704</v>
      </c>
      <c r="F4213">
        <v>0.55931755404483896</v>
      </c>
      <c r="G4213">
        <v>0.32318343716338299</v>
      </c>
      <c r="H4213">
        <v>0.25114147965806399</v>
      </c>
      <c r="I4213">
        <v>0.19969737244611099</v>
      </c>
      <c r="J4213">
        <v>0.25795119290917501</v>
      </c>
      <c r="K4213">
        <v>0.236539939924375</v>
      </c>
      <c r="L4213">
        <v>1639.75099370935</v>
      </c>
      <c r="M4213">
        <v>31.2476698713742</v>
      </c>
      <c r="N4213">
        <v>53.585937625258701</v>
      </c>
      <c r="O4213">
        <v>52.262427427409001</v>
      </c>
      <c r="P4213">
        <v>-0.11386097075800999</v>
      </c>
      <c r="Q4213">
        <v>0.23826412906844599</v>
      </c>
      <c r="R4213">
        <v>0.94844829197698999</v>
      </c>
      <c r="S4213" t="s">
        <v>10074</v>
      </c>
      <c r="T4213" t="s">
        <v>11720</v>
      </c>
      <c r="U4213" t="s">
        <v>11720</v>
      </c>
      <c r="V4213" t="s">
        <v>11720</v>
      </c>
      <c r="W4213" t="s">
        <v>15878</v>
      </c>
      <c r="X4213">
        <v>11</v>
      </c>
      <c r="Y4213" t="s">
        <v>21591</v>
      </c>
      <c r="Z4213" t="s">
        <v>27420</v>
      </c>
      <c r="AA4213">
        <v>0.55956635227217311</v>
      </c>
      <c r="AB4213" t="str">
        <f>HYPERLINK("Melting_Curves/meltCurve_Q8NI08_2_NCOA7.pdf", "Melting_Curves/meltCurve_Q8NI08_2_NCOA7.pdf")</f>
        <v>Melting_Curves/meltCurve_Q8NI08_2_NCOA7.pdf</v>
      </c>
    </row>
    <row r="4214" spans="1:28" x14ac:dyDescent="0.25">
      <c r="A4214" t="s">
        <v>4218</v>
      </c>
      <c r="B4214">
        <v>0.99334974765950101</v>
      </c>
      <c r="C4214">
        <v>0.99883776861225104</v>
      </c>
      <c r="D4214">
        <v>0.872673849246549</v>
      </c>
      <c r="E4214">
        <v>0.824191918580926</v>
      </c>
      <c r="F4214">
        <v>0.90445445648844502</v>
      </c>
      <c r="G4214">
        <v>0.65836556747694697</v>
      </c>
      <c r="H4214">
        <v>0.67425479959592605</v>
      </c>
      <c r="I4214">
        <v>1.23266154913297</v>
      </c>
      <c r="J4214">
        <v>0.90458813705955299</v>
      </c>
      <c r="K4214">
        <v>0.84803993991162496</v>
      </c>
      <c r="L4214">
        <v>4776.6210964309803</v>
      </c>
      <c r="M4214">
        <v>106.505624197649</v>
      </c>
      <c r="O4214">
        <v>44.832728664391603</v>
      </c>
      <c r="P4214">
        <v>-8.0892013045331904E-2</v>
      </c>
      <c r="Q4214">
        <v>0.86379650736133795</v>
      </c>
      <c r="R4214">
        <v>0.11167261751159301</v>
      </c>
      <c r="S4214" t="s">
        <v>10075</v>
      </c>
      <c r="T4214" t="s">
        <v>11720</v>
      </c>
      <c r="U4214" t="s">
        <v>11720</v>
      </c>
      <c r="V4214" t="s">
        <v>11720</v>
      </c>
      <c r="W4214" t="s">
        <v>15879</v>
      </c>
      <c r="X4214">
        <v>3</v>
      </c>
      <c r="Y4214" t="s">
        <v>21592</v>
      </c>
      <c r="Z4214" t="s">
        <v>27421</v>
      </c>
      <c r="AA4214">
        <v>0.88586854544097471</v>
      </c>
      <c r="AB4214" t="str">
        <f>HYPERLINK("Melting_Curves/meltCurve_Q8NI22_2_MCFD2.pdf", "Melting_Curves/meltCurve_Q8NI22_2_MCFD2.pdf")</f>
        <v>Melting_Curves/meltCurve_Q8NI22_2_MCFD2.pdf</v>
      </c>
    </row>
    <row r="4215" spans="1:28" x14ac:dyDescent="0.25">
      <c r="A4215" t="s">
        <v>4219</v>
      </c>
      <c r="B4215">
        <v>0.99334974765950101</v>
      </c>
      <c r="C4215">
        <v>0.84715734867540105</v>
      </c>
      <c r="D4215">
        <v>1.2663558577419201</v>
      </c>
      <c r="E4215">
        <v>1.17245824385301</v>
      </c>
      <c r="F4215">
        <v>0.88111774312231095</v>
      </c>
      <c r="G4215">
        <v>1.12695434302881</v>
      </c>
      <c r="H4215">
        <v>0.51979711589627697</v>
      </c>
      <c r="I4215">
        <v>0.24234661764171</v>
      </c>
      <c r="J4215">
        <v>0.14033942719384501</v>
      </c>
      <c r="K4215">
        <v>0</v>
      </c>
      <c r="L4215">
        <v>2912.34564807878</v>
      </c>
      <c r="M4215">
        <v>47.643850385882402</v>
      </c>
      <c r="N4215">
        <v>61.358587525047902</v>
      </c>
      <c r="O4215">
        <v>61.020015787134597</v>
      </c>
      <c r="P4215">
        <v>-0.17916203698317301</v>
      </c>
      <c r="Q4215">
        <v>8.2151464847932398E-2</v>
      </c>
      <c r="R4215">
        <v>0.907133879489606</v>
      </c>
      <c r="S4215" t="s">
        <v>10076</v>
      </c>
      <c r="T4215" t="s">
        <v>11720</v>
      </c>
      <c r="U4215" t="s">
        <v>11720</v>
      </c>
      <c r="V4215" t="s">
        <v>11720</v>
      </c>
      <c r="W4215" t="s">
        <v>15880</v>
      </c>
      <c r="X4215">
        <v>1</v>
      </c>
      <c r="Y4215" t="s">
        <v>21593</v>
      </c>
      <c r="Z4215" t="s">
        <v>27422</v>
      </c>
      <c r="AA4215">
        <v>0.73114213667926209</v>
      </c>
      <c r="AB4215" t="str">
        <f>HYPERLINK("Melting_Curves/meltCurve_Q8NI37_PPTC7.pdf", "Melting_Curves/meltCurve_Q8NI37_PPTC7.pdf")</f>
        <v>Melting_Curves/meltCurve_Q8NI37_PPTC7.pdf</v>
      </c>
    </row>
    <row r="4216" spans="1:28" x14ac:dyDescent="0.25">
      <c r="A4216" t="s">
        <v>4220</v>
      </c>
      <c r="B4216">
        <v>0.99334974765950101</v>
      </c>
      <c r="C4216">
        <v>1.0591250226988</v>
      </c>
      <c r="D4216">
        <v>0.89405207195165504</v>
      </c>
      <c r="E4216">
        <v>1.1474358765158801</v>
      </c>
      <c r="F4216">
        <v>1.2991399349263399</v>
      </c>
      <c r="G4216">
        <v>1.26681839297512</v>
      </c>
      <c r="H4216">
        <v>1.3091905179679499</v>
      </c>
      <c r="I4216">
        <v>0.93983619382600903</v>
      </c>
      <c r="J4216">
        <v>0.45809373556805999</v>
      </c>
      <c r="K4216">
        <v>0.20450926406737299</v>
      </c>
      <c r="L4216">
        <v>5071.2054306311402</v>
      </c>
      <c r="M4216">
        <v>76.405452229799806</v>
      </c>
      <c r="N4216">
        <v>66.790866027368295</v>
      </c>
      <c r="O4216">
        <v>66.326871794831703</v>
      </c>
      <c r="P4216">
        <v>-0.23320046952860399</v>
      </c>
      <c r="Q4216">
        <v>0.19024337501385299</v>
      </c>
      <c r="R4216">
        <v>0.75623917377641503</v>
      </c>
      <c r="S4216" t="s">
        <v>10077</v>
      </c>
      <c r="T4216" t="s">
        <v>11720</v>
      </c>
      <c r="U4216" t="s">
        <v>11720</v>
      </c>
      <c r="V4216" t="s">
        <v>11720</v>
      </c>
      <c r="W4216" t="s">
        <v>15881</v>
      </c>
      <c r="X4216">
        <v>2</v>
      </c>
      <c r="Y4216" t="s">
        <v>21594</v>
      </c>
      <c r="Z4216" t="s">
        <v>27423</v>
      </c>
      <c r="AA4216">
        <v>0.90258654421888596</v>
      </c>
      <c r="AB4216" t="str">
        <f>HYPERLINK("Melting_Curves/meltCurve_Q8TAA9_2_VANGL1.pdf", "Melting_Curves/meltCurve_Q8TAA9_2_VANGL1.pdf")</f>
        <v>Melting_Curves/meltCurve_Q8TAA9_2_VANGL1.pdf</v>
      </c>
    </row>
    <row r="4217" spans="1:28" x14ac:dyDescent="0.25">
      <c r="A4217" t="s">
        <v>4221</v>
      </c>
      <c r="B4217">
        <v>0.99334974765950101</v>
      </c>
      <c r="C4217">
        <v>1.0204121226656699</v>
      </c>
      <c r="D4217">
        <v>0.86908563200656797</v>
      </c>
      <c r="E4217">
        <v>0.78144762017923497</v>
      </c>
      <c r="F4217">
        <v>0.86931995997743206</v>
      </c>
      <c r="G4217">
        <v>0.60735620790062195</v>
      </c>
      <c r="H4217">
        <v>0.60458096162740604</v>
      </c>
      <c r="I4217">
        <v>0.65558188103801596</v>
      </c>
      <c r="J4217">
        <v>0.68714461321500597</v>
      </c>
      <c r="K4217">
        <v>0.81755915852540395</v>
      </c>
      <c r="L4217">
        <v>840.03827225458201</v>
      </c>
      <c r="M4217">
        <v>17.2772314484953</v>
      </c>
      <c r="O4217">
        <v>47.983769423367598</v>
      </c>
      <c r="P4217">
        <v>-2.8474131096067501E-2</v>
      </c>
      <c r="Q4217">
        <v>0.683695406726338</v>
      </c>
      <c r="R4217">
        <v>0.722160746745379</v>
      </c>
      <c r="S4217" t="s">
        <v>10078</v>
      </c>
      <c r="T4217" t="s">
        <v>11720</v>
      </c>
      <c r="U4217" t="s">
        <v>11720</v>
      </c>
      <c r="V4217" t="s">
        <v>11720</v>
      </c>
      <c r="W4217" t="s">
        <v>15882</v>
      </c>
      <c r="X4217">
        <v>4</v>
      </c>
      <c r="Y4217" t="s">
        <v>21595</v>
      </c>
      <c r="Z4217" t="s">
        <v>27424</v>
      </c>
      <c r="AA4217">
        <v>0.7805902511624595</v>
      </c>
      <c r="AB4217" t="str">
        <f>HYPERLINK("Melting_Curves/meltCurve_Q8TAE8_GADD45GIP1.pdf", "Melting_Curves/meltCurve_Q8TAE8_GADD45GIP1.pdf")</f>
        <v>Melting_Curves/meltCurve_Q8TAE8_GADD45GIP1.pdf</v>
      </c>
    </row>
    <row r="4218" spans="1:28" x14ac:dyDescent="0.25">
      <c r="A4218" t="s">
        <v>4222</v>
      </c>
      <c r="B4218">
        <v>0.99334974765950101</v>
      </c>
      <c r="C4218">
        <v>1.1271911725246599</v>
      </c>
      <c r="D4218">
        <v>1.1306533114058299</v>
      </c>
      <c r="E4218">
        <v>1.06259222884399</v>
      </c>
      <c r="F4218">
        <v>1.07479739264367</v>
      </c>
      <c r="G4218">
        <v>1.14170272296091</v>
      </c>
      <c r="H4218">
        <v>0.31458350651761702</v>
      </c>
      <c r="I4218">
        <v>0.21918539955595601</v>
      </c>
      <c r="J4218">
        <v>8.9351056565349599E-2</v>
      </c>
      <c r="K4218">
        <v>0.107843157476124</v>
      </c>
      <c r="L4218">
        <v>9664.8147344913396</v>
      </c>
      <c r="M4218">
        <v>159.79897544657899</v>
      </c>
      <c r="N4218">
        <v>60.6043149001747</v>
      </c>
      <c r="O4218">
        <v>60.471609258941598</v>
      </c>
      <c r="P4218">
        <v>-0.56899646735167897</v>
      </c>
      <c r="Q4218">
        <v>0.138714584211869</v>
      </c>
      <c r="R4218">
        <v>0.96394424816753299</v>
      </c>
      <c r="S4218" t="s">
        <v>10079</v>
      </c>
      <c r="T4218" t="s">
        <v>11720</v>
      </c>
      <c r="U4218" t="s">
        <v>11720</v>
      </c>
      <c r="V4218" t="s">
        <v>11720</v>
      </c>
      <c r="W4218" t="s">
        <v>15883</v>
      </c>
      <c r="X4218">
        <v>5</v>
      </c>
      <c r="Y4218" t="s">
        <v>21596</v>
      </c>
      <c r="Z4218" t="s">
        <v>27425</v>
      </c>
      <c r="AA4218">
        <v>0.72694028157137558</v>
      </c>
      <c r="AB4218" t="str">
        <f>HYPERLINK("Melting_Curves/meltCurve_Q8TAF3_WDR48.pdf", "Melting_Curves/meltCurve_Q8TAF3_WDR48.pdf")</f>
        <v>Melting_Curves/meltCurve_Q8TAF3_WDR48.pdf</v>
      </c>
    </row>
    <row r="4219" spans="1:28" x14ac:dyDescent="0.25">
      <c r="A4219" t="s">
        <v>4223</v>
      </c>
      <c r="B4219">
        <v>0.99334974765950101</v>
      </c>
      <c r="C4219">
        <v>0.92874436729555698</v>
      </c>
      <c r="D4219">
        <v>0.80188621350912703</v>
      </c>
      <c r="E4219">
        <v>0.72718610531244199</v>
      </c>
      <c r="F4219">
        <v>0.58626888762987395</v>
      </c>
      <c r="G4219">
        <v>0.34889105018198002</v>
      </c>
      <c r="H4219">
        <v>0.21339682686505501</v>
      </c>
      <c r="I4219">
        <v>0.17165238952909501</v>
      </c>
      <c r="J4219">
        <v>0.10572663138782</v>
      </c>
      <c r="K4219">
        <v>0.12241041411249901</v>
      </c>
      <c r="L4219">
        <v>562.06238821163004</v>
      </c>
      <c r="M4219">
        <v>10.4172871326366</v>
      </c>
      <c r="N4219">
        <v>54.039023957668803</v>
      </c>
      <c r="O4219">
        <v>52.080158175128098</v>
      </c>
      <c r="P4219">
        <v>-4.9623863936524203E-2</v>
      </c>
      <c r="Q4219">
        <v>8.0548837752979895E-3</v>
      </c>
      <c r="R4219">
        <v>0.99250665229325197</v>
      </c>
      <c r="S4219" t="s">
        <v>10080</v>
      </c>
      <c r="T4219" t="s">
        <v>11720</v>
      </c>
      <c r="U4219" t="s">
        <v>11720</v>
      </c>
      <c r="V4219" t="s">
        <v>11720</v>
      </c>
      <c r="W4219" t="s">
        <v>15884</v>
      </c>
      <c r="X4219">
        <v>1</v>
      </c>
      <c r="Y4219" t="s">
        <v>21597</v>
      </c>
      <c r="Z4219" t="s">
        <v>27426</v>
      </c>
      <c r="AA4219">
        <v>0.49875230271565613</v>
      </c>
      <c r="AB4219" t="str">
        <f>HYPERLINK("Melting_Curves/meltCurve_Q8TAP6_2_CEP76.pdf", "Melting_Curves/meltCurve_Q8TAP6_2_CEP76.pdf")</f>
        <v>Melting_Curves/meltCurve_Q8TAP6_2_CEP76.pdf</v>
      </c>
    </row>
    <row r="4220" spans="1:28" x14ac:dyDescent="0.25">
      <c r="A4220" t="s">
        <v>4224</v>
      </c>
      <c r="B4220">
        <v>0.99334974765950101</v>
      </c>
      <c r="C4220">
        <v>0.93062925940766394</v>
      </c>
      <c r="D4220">
        <v>0.71985678770623795</v>
      </c>
      <c r="E4220">
        <v>0.77194944459047798</v>
      </c>
      <c r="F4220">
        <v>0.69162866454925398</v>
      </c>
      <c r="G4220">
        <v>0.562640555304043</v>
      </c>
      <c r="H4220">
        <v>0.54020951932782102</v>
      </c>
      <c r="I4220">
        <v>0.54623934347007996</v>
      </c>
      <c r="J4220">
        <v>0.52647522118913204</v>
      </c>
      <c r="K4220">
        <v>0.53838315122841895</v>
      </c>
      <c r="L4220">
        <v>496.98291750268299</v>
      </c>
      <c r="M4220">
        <v>10.2060919667421</v>
      </c>
      <c r="O4220">
        <v>46.936309937940997</v>
      </c>
      <c r="P4220">
        <v>-2.7045661007156999E-2</v>
      </c>
      <c r="Q4220">
        <v>0.50270771495418598</v>
      </c>
      <c r="R4220">
        <v>0.927168160054888</v>
      </c>
      <c r="S4220" t="s">
        <v>10081</v>
      </c>
      <c r="T4220" t="s">
        <v>11720</v>
      </c>
      <c r="U4220" t="s">
        <v>11720</v>
      </c>
      <c r="V4220" t="s">
        <v>11720</v>
      </c>
      <c r="W4220" t="s">
        <v>15885</v>
      </c>
      <c r="X4220">
        <v>1</v>
      </c>
      <c r="Y4220" t="s">
        <v>21598</v>
      </c>
      <c r="Z4220" t="s">
        <v>27427</v>
      </c>
      <c r="AA4220">
        <v>0.67101164347268616</v>
      </c>
      <c r="AB4220" t="str">
        <f>HYPERLINK("Melting_Curves/meltCurve_Q8TAP8_PPP1R35.pdf", "Melting_Curves/meltCurve_Q8TAP8_PPP1R35.pdf")</f>
        <v>Melting_Curves/meltCurve_Q8TAP8_PPP1R35.pdf</v>
      </c>
    </row>
    <row r="4221" spans="1:28" x14ac:dyDescent="0.25">
      <c r="A4221" t="s">
        <v>4225</v>
      </c>
      <c r="B4221">
        <v>0.99334974765950101</v>
      </c>
      <c r="C4221">
        <v>0.99982190608593002</v>
      </c>
      <c r="D4221">
        <v>0.98886060080704596</v>
      </c>
      <c r="E4221">
        <v>0.79800142250895101</v>
      </c>
      <c r="F4221">
        <v>0.373264732904868</v>
      </c>
      <c r="G4221">
        <v>0.13969916758220299</v>
      </c>
      <c r="H4221">
        <v>0.10501548116971</v>
      </c>
      <c r="I4221">
        <v>9.3956764779599397E-2</v>
      </c>
      <c r="J4221">
        <v>0.102980547046414</v>
      </c>
      <c r="K4221">
        <v>8.9024984649274705E-2</v>
      </c>
      <c r="L4221">
        <v>1801.2621736163101</v>
      </c>
      <c r="M4221">
        <v>34.792769650127099</v>
      </c>
      <c r="N4221">
        <v>52.095624419681798</v>
      </c>
      <c r="O4221">
        <v>51.601028729742701</v>
      </c>
      <c r="P4221">
        <v>-0.15214634159815599</v>
      </c>
      <c r="Q4221">
        <v>9.7412492723272695E-2</v>
      </c>
      <c r="R4221">
        <v>0.99985769955956905</v>
      </c>
      <c r="S4221" t="s">
        <v>10082</v>
      </c>
      <c r="T4221" t="s">
        <v>11720</v>
      </c>
      <c r="U4221" t="s">
        <v>11720</v>
      </c>
      <c r="V4221" t="s">
        <v>11720</v>
      </c>
      <c r="W4221" t="s">
        <v>15886</v>
      </c>
      <c r="X4221">
        <v>21</v>
      </c>
      <c r="Y4221" t="s">
        <v>21599</v>
      </c>
      <c r="Z4221" t="s">
        <v>27428</v>
      </c>
      <c r="AA4221">
        <v>0.45583594334446642</v>
      </c>
      <c r="AB4221" t="str">
        <f>HYPERLINK("Melting_Curves/meltCurve_Q8TAT6_NPLOC4.pdf", "Melting_Curves/meltCurve_Q8TAT6_NPLOC4.pdf")</f>
        <v>Melting_Curves/meltCurve_Q8TAT6_NPLOC4.pdf</v>
      </c>
    </row>
    <row r="4222" spans="1:28" x14ac:dyDescent="0.25">
      <c r="A4222" t="s">
        <v>4226</v>
      </c>
      <c r="B4222">
        <v>0.99334974765950101</v>
      </c>
      <c r="C4222">
        <v>0.95415422045444498</v>
      </c>
      <c r="D4222">
        <v>0.87504454744418003</v>
      </c>
      <c r="E4222">
        <v>0.64465970024327901</v>
      </c>
      <c r="F4222">
        <v>0.25729876878343899</v>
      </c>
      <c r="G4222">
        <v>0.13877109834436199</v>
      </c>
      <c r="H4222">
        <v>0.106830562107812</v>
      </c>
      <c r="I4222">
        <v>0.10879135638672401</v>
      </c>
      <c r="J4222">
        <v>0.102680332215349</v>
      </c>
      <c r="K4222">
        <v>7.9620452276018397E-2</v>
      </c>
      <c r="L4222">
        <v>1267.95452545065</v>
      </c>
      <c r="M4222">
        <v>25.129800714961501</v>
      </c>
      <c r="N4222">
        <v>50.8609903051887</v>
      </c>
      <c r="O4222">
        <v>50.139952749806604</v>
      </c>
      <c r="P4222">
        <v>-0.113943660742863</v>
      </c>
      <c r="Q4222">
        <v>9.0632756513340906E-2</v>
      </c>
      <c r="R4222">
        <v>0.99389856293735601</v>
      </c>
      <c r="S4222" t="s">
        <v>10083</v>
      </c>
      <c r="T4222" t="s">
        <v>11720</v>
      </c>
      <c r="U4222" t="s">
        <v>11720</v>
      </c>
      <c r="V4222" t="s">
        <v>11720</v>
      </c>
      <c r="W4222" t="s">
        <v>15887</v>
      </c>
      <c r="X4222">
        <v>14</v>
      </c>
      <c r="Y4222" t="s">
        <v>21600</v>
      </c>
      <c r="Z4222" t="s">
        <v>27429</v>
      </c>
      <c r="AA4222">
        <v>0.41566685762191941</v>
      </c>
      <c r="AB4222" t="str">
        <f>HYPERLINK("Melting_Curves/meltCurve_Q8TB03_CXorf38.pdf", "Melting_Curves/meltCurve_Q8TB03_CXorf38.pdf")</f>
        <v>Melting_Curves/meltCurve_Q8TB03_CXorf38.pdf</v>
      </c>
    </row>
    <row r="4223" spans="1:28" x14ac:dyDescent="0.25">
      <c r="A4223" t="s">
        <v>4227</v>
      </c>
      <c r="B4223">
        <v>0.99334974765950101</v>
      </c>
      <c r="C4223">
        <v>0.96158284871417399</v>
      </c>
      <c r="D4223">
        <v>0.96993751738159195</v>
      </c>
      <c r="E4223">
        <v>0.75831961729345498</v>
      </c>
      <c r="F4223">
        <v>0.354503597924685</v>
      </c>
      <c r="G4223">
        <v>0.33928042313046902</v>
      </c>
      <c r="H4223">
        <v>0.21712285852809499</v>
      </c>
      <c r="I4223">
        <v>0.120984865228389</v>
      </c>
      <c r="J4223">
        <v>7.3213321558075306E-2</v>
      </c>
      <c r="K4223">
        <v>5.1975620932632201E-2</v>
      </c>
      <c r="L4223">
        <v>911.88706981057896</v>
      </c>
      <c r="M4223">
        <v>17.487775793980902</v>
      </c>
      <c r="N4223">
        <v>52.720108561996902</v>
      </c>
      <c r="O4223">
        <v>51.476740262708901</v>
      </c>
      <c r="P4223">
        <v>-7.7550913511066299E-2</v>
      </c>
      <c r="Q4223">
        <v>8.6939909896622994E-2</v>
      </c>
      <c r="R4223">
        <v>0.97466697727467999</v>
      </c>
      <c r="S4223" t="s">
        <v>10084</v>
      </c>
      <c r="T4223" t="s">
        <v>11720</v>
      </c>
      <c r="U4223" t="s">
        <v>11720</v>
      </c>
      <c r="V4223" t="s">
        <v>11720</v>
      </c>
      <c r="W4223" t="s">
        <v>15888</v>
      </c>
      <c r="X4223">
        <v>6</v>
      </c>
      <c r="Y4223" t="s">
        <v>21601</v>
      </c>
      <c r="Z4223" t="s">
        <v>27430</v>
      </c>
      <c r="AA4223">
        <v>0.47247036406649029</v>
      </c>
      <c r="AB4223" t="str">
        <f>HYPERLINK("Melting_Curves/meltCurve_Q8TB22_3_SPATA20.pdf", "Melting_Curves/meltCurve_Q8TB22_3_SPATA20.pdf")</f>
        <v>Melting_Curves/meltCurve_Q8TB22_3_SPATA20.pdf</v>
      </c>
    </row>
    <row r="4224" spans="1:28" x14ac:dyDescent="0.25">
      <c r="A4224" t="s">
        <v>4228</v>
      </c>
      <c r="B4224">
        <v>0.99334974765950101</v>
      </c>
      <c r="C4224">
        <v>1.0434168700793101</v>
      </c>
      <c r="D4224">
        <v>0.91126648254776998</v>
      </c>
      <c r="E4224">
        <v>0.47872353707530702</v>
      </c>
      <c r="F4224">
        <v>0.14294356544675599</v>
      </c>
      <c r="G4224">
        <v>6.5658679259596703E-2</v>
      </c>
      <c r="H4224">
        <v>4.56980352012182E-2</v>
      </c>
      <c r="I4224">
        <v>3.7171072421824103E-2</v>
      </c>
      <c r="J4224">
        <v>3.96389269056091E-2</v>
      </c>
      <c r="K4224">
        <v>3.7959818639913399E-2</v>
      </c>
      <c r="L4224">
        <v>1574.7907388137901</v>
      </c>
      <c r="M4224">
        <v>31.702387430988601</v>
      </c>
      <c r="N4224">
        <v>49.804357740041702</v>
      </c>
      <c r="O4224">
        <v>49.477802132868597</v>
      </c>
      <c r="P4224">
        <v>-0.15381747527081699</v>
      </c>
      <c r="Q4224">
        <v>3.9755511065434498E-2</v>
      </c>
      <c r="R4224">
        <v>0.99815243357723304</v>
      </c>
      <c r="S4224" t="s">
        <v>10085</v>
      </c>
      <c r="T4224" t="s">
        <v>11720</v>
      </c>
      <c r="U4224" t="s">
        <v>11720</v>
      </c>
      <c r="V4224" t="s">
        <v>11720</v>
      </c>
      <c r="W4224" t="s">
        <v>15889</v>
      </c>
      <c r="X4224">
        <v>2</v>
      </c>
      <c r="Y4224" t="s">
        <v>21602</v>
      </c>
      <c r="Z4224" t="s">
        <v>27431</v>
      </c>
      <c r="AA4224">
        <v>0.354690702531891</v>
      </c>
      <c r="AB4224" t="str">
        <f>HYPERLINK("Melting_Curves/meltCurve_Q8TB24_RIN3.pdf", "Melting_Curves/meltCurve_Q8TB24_RIN3.pdf")</f>
        <v>Melting_Curves/meltCurve_Q8TB24_RIN3.pdf</v>
      </c>
    </row>
    <row r="4225" spans="1:28" x14ac:dyDescent="0.25">
      <c r="A4225" t="s">
        <v>4229</v>
      </c>
      <c r="B4225">
        <v>0.99334974765950101</v>
      </c>
      <c r="C4225">
        <v>0.88089078940929899</v>
      </c>
      <c r="D4225">
        <v>0.83443284125796802</v>
      </c>
      <c r="E4225">
        <v>0.706607762498911</v>
      </c>
      <c r="F4225">
        <v>0.56420768044246905</v>
      </c>
      <c r="G4225">
        <v>0.36806290261746699</v>
      </c>
      <c r="H4225">
        <v>0.13915376772813301</v>
      </c>
      <c r="I4225">
        <v>0.12021292886896601</v>
      </c>
      <c r="J4225">
        <v>0.118011437904615</v>
      </c>
      <c r="K4225">
        <v>8.7413235808383699E-2</v>
      </c>
      <c r="L4225">
        <v>591.62392229168699</v>
      </c>
      <c r="M4225">
        <v>11.034555611483899</v>
      </c>
      <c r="N4225">
        <v>53.615563320714401</v>
      </c>
      <c r="O4225">
        <v>51.9449691650982</v>
      </c>
      <c r="P4225">
        <v>-5.3124652745138903E-2</v>
      </c>
      <c r="Q4225">
        <v>0</v>
      </c>
      <c r="R4225">
        <v>0.98917904872416196</v>
      </c>
      <c r="S4225" t="s">
        <v>10086</v>
      </c>
      <c r="T4225" t="s">
        <v>11720</v>
      </c>
      <c r="U4225" t="s">
        <v>11720</v>
      </c>
      <c r="V4225" t="s">
        <v>11720</v>
      </c>
      <c r="W4225" t="s">
        <v>15890</v>
      </c>
      <c r="X4225">
        <v>6</v>
      </c>
      <c r="Y4225" t="s">
        <v>21603</v>
      </c>
      <c r="Z4225" t="s">
        <v>27432</v>
      </c>
      <c r="AA4225">
        <v>0.48314178129971408</v>
      </c>
      <c r="AB4225" t="str">
        <f>HYPERLINK("Melting_Curves/meltCurve_Q8TB36_2_GDAP1.pdf", "Melting_Curves/meltCurve_Q8TB36_2_GDAP1.pdf")</f>
        <v>Melting_Curves/meltCurve_Q8TB36_2_GDAP1.pdf</v>
      </c>
    </row>
    <row r="4226" spans="1:28" x14ac:dyDescent="0.25">
      <c r="A4226" t="s">
        <v>4230</v>
      </c>
      <c r="B4226">
        <v>0.99334974765950101</v>
      </c>
      <c r="C4226">
        <v>0.97056772766487398</v>
      </c>
      <c r="D4226">
        <v>0.89938617339073601</v>
      </c>
      <c r="E4226">
        <v>0.72275739169689401</v>
      </c>
      <c r="F4226">
        <v>0.26296391275707698</v>
      </c>
      <c r="G4226">
        <v>0.12056646222433599</v>
      </c>
      <c r="H4226">
        <v>7.8264150696283494E-2</v>
      </c>
      <c r="I4226">
        <v>6.5499294641729905E-2</v>
      </c>
      <c r="J4226">
        <v>5.6183769103918403E-2</v>
      </c>
      <c r="K4226">
        <v>4.5772050721998997E-2</v>
      </c>
      <c r="L4226">
        <v>1633.1340114270499</v>
      </c>
      <c r="M4226">
        <v>31.940069060853499</v>
      </c>
      <c r="N4226">
        <v>51.343936188257601</v>
      </c>
      <c r="O4226">
        <v>50.932018754078896</v>
      </c>
      <c r="P4226">
        <v>-0.14706184054937399</v>
      </c>
      <c r="Q4226">
        <v>6.1978460187147803E-2</v>
      </c>
      <c r="R4226">
        <v>0.99424147546842001</v>
      </c>
      <c r="S4226" t="s">
        <v>10087</v>
      </c>
      <c r="T4226" t="s">
        <v>11720</v>
      </c>
      <c r="U4226" t="s">
        <v>11720</v>
      </c>
      <c r="V4226" t="s">
        <v>11720</v>
      </c>
      <c r="W4226" t="s">
        <v>15891</v>
      </c>
      <c r="X4226">
        <v>6</v>
      </c>
      <c r="Y4226" t="s">
        <v>21604</v>
      </c>
      <c r="Z4226" t="s">
        <v>27433</v>
      </c>
      <c r="AA4226">
        <v>0.41523491521518502</v>
      </c>
      <c r="AB4226" t="str">
        <f>HYPERLINK("Melting_Curves/meltCurve_Q8TB37_NUBPL.pdf", "Melting_Curves/meltCurve_Q8TB37_NUBPL.pdf")</f>
        <v>Melting_Curves/meltCurve_Q8TB37_NUBPL.pdf</v>
      </c>
    </row>
    <row r="4227" spans="1:28" x14ac:dyDescent="0.25">
      <c r="A4227" t="s">
        <v>4231</v>
      </c>
      <c r="B4227">
        <v>0.99334974765950101</v>
      </c>
      <c r="C4227">
        <v>0.90131019808388402</v>
      </c>
      <c r="D4227">
        <v>0.57613488778571298</v>
      </c>
      <c r="E4227">
        <v>0.242168613751548</v>
      </c>
      <c r="F4227">
        <v>0.14511131440393299</v>
      </c>
      <c r="G4227">
        <v>0.10855820570409</v>
      </c>
      <c r="H4227">
        <v>7.4015790574087595E-2</v>
      </c>
      <c r="I4227">
        <v>8.1734651948685497E-2</v>
      </c>
      <c r="J4227">
        <v>7.75947487446422E-2</v>
      </c>
      <c r="K4227">
        <v>5.7446223856085499E-2</v>
      </c>
      <c r="L4227">
        <v>1057.80505026943</v>
      </c>
      <c r="M4227">
        <v>22.750533483928098</v>
      </c>
      <c r="N4227">
        <v>46.847253392369801</v>
      </c>
      <c r="O4227">
        <v>46.141084778513303</v>
      </c>
      <c r="P4227">
        <v>-0.11359877049499</v>
      </c>
      <c r="Q4227">
        <v>7.8445149399069297E-2</v>
      </c>
      <c r="R4227">
        <v>0.99823024280556405</v>
      </c>
      <c r="S4227" t="s">
        <v>10088</v>
      </c>
      <c r="T4227" t="s">
        <v>11720</v>
      </c>
      <c r="U4227" t="s">
        <v>11720</v>
      </c>
      <c r="V4227" t="s">
        <v>11720</v>
      </c>
      <c r="W4227" t="s">
        <v>15892</v>
      </c>
      <c r="X4227">
        <v>3</v>
      </c>
      <c r="Y4227" t="s">
        <v>21605</v>
      </c>
      <c r="Z4227" t="s">
        <v>27434</v>
      </c>
      <c r="AA4227">
        <v>0.28830735345946878</v>
      </c>
      <c r="AB4227" t="str">
        <f>HYPERLINK("Melting_Curves/meltCurve_Q8TB40_ABHD4.pdf", "Melting_Curves/meltCurve_Q8TB40_ABHD4.pdf")</f>
        <v>Melting_Curves/meltCurve_Q8TB40_ABHD4.pdf</v>
      </c>
    </row>
    <row r="4228" spans="1:28" x14ac:dyDescent="0.25">
      <c r="A4228" t="s">
        <v>4232</v>
      </c>
      <c r="B4228">
        <v>0.99334974765950101</v>
      </c>
      <c r="C4228">
        <v>1.01117448166798</v>
      </c>
      <c r="D4228">
        <v>1.0925681857898299</v>
      </c>
      <c r="E4228">
        <v>1.1190488822475899</v>
      </c>
      <c r="F4228">
        <v>0.27809217464275199</v>
      </c>
      <c r="G4228">
        <v>0.18805598817578401</v>
      </c>
      <c r="H4228">
        <v>0.12174232476049</v>
      </c>
      <c r="I4228">
        <v>0.12331115879256301</v>
      </c>
      <c r="J4228">
        <v>0.114060698840547</v>
      </c>
      <c r="K4228">
        <v>7.5121269027797796E-2</v>
      </c>
      <c r="L4228">
        <v>13167.9924147491</v>
      </c>
      <c r="M4228">
        <v>250</v>
      </c>
      <c r="N4228">
        <v>52.732346473153001</v>
      </c>
      <c r="O4228">
        <v>52.668583183471299</v>
      </c>
      <c r="P4228">
        <v>-1.03897521450298</v>
      </c>
      <c r="Q4228">
        <v>0.124458096654598</v>
      </c>
      <c r="R4228">
        <v>0.98523706546401102</v>
      </c>
      <c r="S4228" t="s">
        <v>10089</v>
      </c>
      <c r="T4228" t="s">
        <v>11720</v>
      </c>
      <c r="U4228" t="s">
        <v>11720</v>
      </c>
      <c r="V4228" t="s">
        <v>11720</v>
      </c>
      <c r="W4228" t="s">
        <v>15893</v>
      </c>
      <c r="X4228">
        <v>6</v>
      </c>
      <c r="Y4228" t="s">
        <v>21606</v>
      </c>
      <c r="Z4228" t="s">
        <v>27435</v>
      </c>
      <c r="AA4228">
        <v>0.49436704490254002</v>
      </c>
      <c r="AB4228" t="str">
        <f>HYPERLINK("Melting_Curves/meltCurve_Q8TB52_FBXO30.pdf", "Melting_Curves/meltCurve_Q8TB52_FBXO30.pdf")</f>
        <v>Melting_Curves/meltCurve_Q8TB52_FBXO30.pdf</v>
      </c>
    </row>
    <row r="4229" spans="1:28" x14ac:dyDescent="0.25">
      <c r="A4229" t="s">
        <v>4233</v>
      </c>
      <c r="B4229">
        <v>0.99334974765950101</v>
      </c>
      <c r="C4229">
        <v>0.96302728346243105</v>
      </c>
      <c r="D4229">
        <v>0.89889979350229599</v>
      </c>
      <c r="E4229">
        <v>1.1748242129687101</v>
      </c>
      <c r="F4229">
        <v>0.78495474079521899</v>
      </c>
      <c r="G4229">
        <v>0.88560758748054702</v>
      </c>
      <c r="H4229">
        <v>0.46985842732995903</v>
      </c>
      <c r="I4229">
        <v>0.27871650342336302</v>
      </c>
      <c r="J4229">
        <v>0.12778132587611701</v>
      </c>
      <c r="K4229">
        <v>0.10046619554125</v>
      </c>
      <c r="L4229">
        <v>1386.6591412308001</v>
      </c>
      <c r="M4229">
        <v>22.8554086587353</v>
      </c>
      <c r="N4229">
        <v>60.922128027193502</v>
      </c>
      <c r="O4229">
        <v>60.212207696425999</v>
      </c>
      <c r="P4229">
        <v>-9.0630064372497002E-2</v>
      </c>
      <c r="Q4229">
        <v>4.4964620081665102E-2</v>
      </c>
      <c r="R4229">
        <v>0.93961696892987501</v>
      </c>
      <c r="S4229" t="s">
        <v>10090</v>
      </c>
      <c r="T4229" t="s">
        <v>11720</v>
      </c>
      <c r="U4229" t="s">
        <v>11720</v>
      </c>
      <c r="V4229" t="s">
        <v>11720</v>
      </c>
      <c r="W4229" t="s">
        <v>15894</v>
      </c>
      <c r="X4229">
        <v>8</v>
      </c>
      <c r="Y4229" t="s">
        <v>21607</v>
      </c>
      <c r="Z4229" t="s">
        <v>27436</v>
      </c>
      <c r="AA4229">
        <v>0.70965845125214766</v>
      </c>
      <c r="AB4229" t="str">
        <f>HYPERLINK("Melting_Curves/meltCurve_Q8TB61_3_SLC35B2.pdf", "Melting_Curves/meltCurve_Q8TB61_3_SLC35B2.pdf")</f>
        <v>Melting_Curves/meltCurve_Q8TB61_3_SLC35B2.pdf</v>
      </c>
    </row>
    <row r="4230" spans="1:28" x14ac:dyDescent="0.25">
      <c r="A4230" t="s">
        <v>4234</v>
      </c>
      <c r="B4230">
        <v>0.99334974765950101</v>
      </c>
      <c r="C4230">
        <v>0.96128433194803797</v>
      </c>
      <c r="D4230">
        <v>0.89961499648878895</v>
      </c>
      <c r="E4230">
        <v>0.87656225888695005</v>
      </c>
      <c r="F4230">
        <v>0.60227210911358398</v>
      </c>
      <c r="G4230">
        <v>0.35528000788078701</v>
      </c>
      <c r="H4230">
        <v>0.23591019542629499</v>
      </c>
      <c r="I4230">
        <v>0.19718113054446501</v>
      </c>
      <c r="J4230">
        <v>0.18224608573628301</v>
      </c>
      <c r="K4230">
        <v>0.16339784038244401</v>
      </c>
      <c r="L4230">
        <v>1030.7368829038201</v>
      </c>
      <c r="M4230">
        <v>19.252823047665</v>
      </c>
      <c r="N4230">
        <v>54.631943945130303</v>
      </c>
      <c r="O4230">
        <v>52.969348747999497</v>
      </c>
      <c r="P4230">
        <v>-7.6324642160002301E-2</v>
      </c>
      <c r="Q4230">
        <v>0.16007841006887899</v>
      </c>
      <c r="R4230">
        <v>0.99290152482706295</v>
      </c>
      <c r="S4230" t="s">
        <v>10091</v>
      </c>
      <c r="T4230" t="s">
        <v>11720</v>
      </c>
      <c r="U4230" t="s">
        <v>11720</v>
      </c>
      <c r="V4230" t="s">
        <v>11720</v>
      </c>
      <c r="W4230" t="s">
        <v>15895</v>
      </c>
      <c r="X4230">
        <v>1</v>
      </c>
      <c r="Y4230" t="s">
        <v>21608</v>
      </c>
      <c r="Z4230" t="s">
        <v>27437</v>
      </c>
      <c r="AA4230">
        <v>0.55130438707123508</v>
      </c>
      <c r="AB4230" t="str">
        <f>HYPERLINK("Melting_Curves/meltCurve_Q8TB70_TXNDC9.pdf", "Melting_Curves/meltCurve_Q8TB70_TXNDC9.pdf")</f>
        <v>Melting_Curves/meltCurve_Q8TB70_TXNDC9.pdf</v>
      </c>
    </row>
    <row r="4231" spans="1:28" x14ac:dyDescent="0.25">
      <c r="A4231" t="s">
        <v>4235</v>
      </c>
      <c r="B4231">
        <v>0.99334974765950101</v>
      </c>
      <c r="C4231">
        <v>0.92949377773952702</v>
      </c>
      <c r="D4231">
        <v>0.776271959302411</v>
      </c>
      <c r="E4231">
        <v>0.66780389528780204</v>
      </c>
      <c r="F4231">
        <v>0.779697121619638</v>
      </c>
      <c r="G4231">
        <v>0.443113355136667</v>
      </c>
      <c r="H4231">
        <v>0.42905306293767598</v>
      </c>
      <c r="I4231">
        <v>0.49756171353593998</v>
      </c>
      <c r="J4231">
        <v>0.69436174054799504</v>
      </c>
      <c r="K4231">
        <v>0.66250163885922897</v>
      </c>
      <c r="L4231">
        <v>752.86720998649503</v>
      </c>
      <c r="M4231">
        <v>16.067646646996199</v>
      </c>
      <c r="O4231">
        <v>46.148332291836802</v>
      </c>
      <c r="P4231">
        <v>-3.8152196799466701E-2</v>
      </c>
      <c r="Q4231">
        <v>0.56172192895933704</v>
      </c>
      <c r="R4231">
        <v>0.70096927511916096</v>
      </c>
      <c r="S4231" t="s">
        <v>10092</v>
      </c>
      <c r="T4231" t="s">
        <v>11720</v>
      </c>
      <c r="U4231" t="s">
        <v>11720</v>
      </c>
      <c r="V4231" t="s">
        <v>11720</v>
      </c>
      <c r="W4231" t="s">
        <v>15896</v>
      </c>
      <c r="X4231">
        <v>3</v>
      </c>
      <c r="Y4231" t="s">
        <v>21609</v>
      </c>
      <c r="Z4231" t="s">
        <v>27438</v>
      </c>
      <c r="AA4231">
        <v>0.67229017655541012</v>
      </c>
      <c r="AB4231" t="str">
        <f>HYPERLINK("Melting_Curves/meltCurve_Q8TB72_2_PUM2.pdf", "Melting_Curves/meltCurve_Q8TB72_2_PUM2.pdf")</f>
        <v>Melting_Curves/meltCurve_Q8TB72_2_PUM2.pdf</v>
      </c>
    </row>
    <row r="4232" spans="1:28" x14ac:dyDescent="0.25">
      <c r="A4232" t="s">
        <v>4236</v>
      </c>
      <c r="B4232">
        <v>0.99334974765950101</v>
      </c>
      <c r="C4232">
        <v>0.97305695855177499</v>
      </c>
      <c r="D4232">
        <v>1.0837609655739799</v>
      </c>
      <c r="E4232">
        <v>1.1390221194203001</v>
      </c>
      <c r="F4232">
        <v>1.22934372723008</v>
      </c>
      <c r="G4232">
        <v>1.26361565856814</v>
      </c>
      <c r="H4232">
        <v>1.08679356480115</v>
      </c>
      <c r="I4232">
        <v>1.4160697307844701</v>
      </c>
      <c r="J4232">
        <v>1.0852745938481201</v>
      </c>
      <c r="K4232">
        <v>0.765446216217332</v>
      </c>
      <c r="L4232">
        <v>11482.321404148301</v>
      </c>
      <c r="M4232">
        <v>250</v>
      </c>
      <c r="O4232">
        <v>45.9263471494071</v>
      </c>
      <c r="P4232">
        <v>0.191604463547317</v>
      </c>
      <c r="Q4232">
        <v>1.14079508741399</v>
      </c>
      <c r="R4232">
        <v>0.13516701755695101</v>
      </c>
      <c r="S4232" t="s">
        <v>10093</v>
      </c>
      <c r="T4232" t="s">
        <v>11720</v>
      </c>
      <c r="U4232" t="s">
        <v>11720</v>
      </c>
      <c r="V4232" t="s">
        <v>11720</v>
      </c>
      <c r="W4232" t="s">
        <v>15897</v>
      </c>
      <c r="X4232">
        <v>4</v>
      </c>
      <c r="Y4232" t="s">
        <v>21610</v>
      </c>
      <c r="Z4232" t="s">
        <v>27439</v>
      </c>
      <c r="AA4232">
        <v>1.1129565957107259</v>
      </c>
      <c r="AB4232" t="str">
        <f>HYPERLINK("Melting_Curves/meltCurve_Q8TB96_ITFG1.pdf", "Melting_Curves/meltCurve_Q8TB96_ITFG1.pdf")</f>
        <v>Melting_Curves/meltCurve_Q8TB96_ITFG1.pdf</v>
      </c>
    </row>
    <row r="4233" spans="1:28" x14ac:dyDescent="0.25">
      <c r="A4233" t="s">
        <v>4237</v>
      </c>
      <c r="B4233">
        <v>0.99334974765950101</v>
      </c>
      <c r="C4233">
        <v>1.00223215333088</v>
      </c>
      <c r="D4233">
        <v>1.01964026554903</v>
      </c>
      <c r="E4233">
        <v>0.93817974861396003</v>
      </c>
      <c r="F4233">
        <v>0.86496878454755499</v>
      </c>
      <c r="G4233">
        <v>0.487966441194639</v>
      </c>
      <c r="H4233">
        <v>0.40104539380752102</v>
      </c>
      <c r="I4233">
        <v>0.40475015785379398</v>
      </c>
      <c r="J4233">
        <v>0.39789640557871297</v>
      </c>
      <c r="K4233">
        <v>0.32192207368043302</v>
      </c>
      <c r="L4233">
        <v>1898.59974323954</v>
      </c>
      <c r="M4233">
        <v>34.676483313274602</v>
      </c>
      <c r="N4233">
        <v>57.0127539236031</v>
      </c>
      <c r="O4233">
        <v>54.570667557295202</v>
      </c>
      <c r="P4233">
        <v>-9.9510378273838296E-2</v>
      </c>
      <c r="Q4233">
        <v>0.37360109363342098</v>
      </c>
      <c r="R4233">
        <v>0.99201673298454396</v>
      </c>
      <c r="S4233" t="s">
        <v>10094</v>
      </c>
      <c r="T4233" t="s">
        <v>11720</v>
      </c>
      <c r="U4233" t="s">
        <v>11720</v>
      </c>
      <c r="V4233" t="s">
        <v>11720</v>
      </c>
      <c r="W4233" t="s">
        <v>15898</v>
      </c>
      <c r="X4233">
        <v>38</v>
      </c>
      <c r="Y4233" t="s">
        <v>21611</v>
      </c>
      <c r="Z4233" t="s">
        <v>27440</v>
      </c>
      <c r="AA4233">
        <v>0.68475221345086434</v>
      </c>
      <c r="AB4233" t="str">
        <f>HYPERLINK("Melting_Curves/meltCurve_Q8TBA6_2_GOLGA5.pdf", "Melting_Curves/meltCurve_Q8TBA6_2_GOLGA5.pdf")</f>
        <v>Melting_Curves/meltCurve_Q8TBA6_2_GOLGA5.pdf</v>
      </c>
    </row>
    <row r="4234" spans="1:28" x14ac:dyDescent="0.25">
      <c r="A4234" t="s">
        <v>4238</v>
      </c>
      <c r="B4234">
        <v>0.99334974765950101</v>
      </c>
      <c r="C4234">
        <v>1.1874456560512501</v>
      </c>
      <c r="D4234">
        <v>1.0965727634907101</v>
      </c>
      <c r="E4234">
        <v>1.19923547630216</v>
      </c>
      <c r="F4234">
        <v>2.0466172577559001</v>
      </c>
      <c r="G4234">
        <v>2.4030905967551499</v>
      </c>
      <c r="H4234">
        <v>2.6380810324266402</v>
      </c>
      <c r="I4234">
        <v>2.67903640984817</v>
      </c>
      <c r="J4234">
        <v>3.6447041883259899</v>
      </c>
      <c r="K4234">
        <v>2.7956796474799499</v>
      </c>
      <c r="L4234">
        <v>12520.5910645568</v>
      </c>
      <c r="M4234">
        <v>250</v>
      </c>
      <c r="O4234">
        <v>50.079159313840798</v>
      </c>
      <c r="P4234">
        <v>0.62401207331586095</v>
      </c>
      <c r="Q4234">
        <v>1.5</v>
      </c>
      <c r="R4234">
        <v>-0.357797487812549</v>
      </c>
      <c r="S4234" t="s">
        <v>10095</v>
      </c>
      <c r="T4234" t="s">
        <v>11720</v>
      </c>
      <c r="U4234" t="s">
        <v>11720</v>
      </c>
      <c r="V4234" t="s">
        <v>11720</v>
      </c>
      <c r="W4234" t="s">
        <v>15899</v>
      </c>
      <c r="X4234">
        <v>1</v>
      </c>
      <c r="Y4234" t="s">
        <v>21612</v>
      </c>
      <c r="Z4234" t="s">
        <v>27441</v>
      </c>
      <c r="AA4234">
        <v>1.331916648811303</v>
      </c>
      <c r="AB4234" t="str">
        <f>HYPERLINK("Melting_Curves/meltCurve_Q8TBB0_2_THAP6.pdf", "Melting_Curves/meltCurve_Q8TBB0_2_THAP6.pdf")</f>
        <v>Melting_Curves/meltCurve_Q8TBB0_2_THAP6.pdf</v>
      </c>
    </row>
    <row r="4235" spans="1:28" x14ac:dyDescent="0.25">
      <c r="A4235" t="s">
        <v>4239</v>
      </c>
      <c r="B4235">
        <v>0.99334974765950101</v>
      </c>
      <c r="C4235">
        <v>0.97545129190499902</v>
      </c>
      <c r="D4235">
        <v>0.94662179317107797</v>
      </c>
      <c r="E4235">
        <v>0.85563295850679</v>
      </c>
      <c r="F4235">
        <v>0.93353168124044295</v>
      </c>
      <c r="G4235">
        <v>0.95285971939832503</v>
      </c>
      <c r="H4235">
        <v>0.83024376532081601</v>
      </c>
      <c r="I4235">
        <v>1.0929790220167299</v>
      </c>
      <c r="J4235">
        <v>0.96659879118375802</v>
      </c>
      <c r="K4235">
        <v>0.77529100590628697</v>
      </c>
      <c r="L4235">
        <v>1562.7058493956499</v>
      </c>
      <c r="M4235">
        <v>35.240613546530497</v>
      </c>
      <c r="O4235">
        <v>44.201826103392399</v>
      </c>
      <c r="P4235">
        <v>-1.6674041893956298E-2</v>
      </c>
      <c r="Q4235">
        <v>0.91634418609262303</v>
      </c>
      <c r="R4235">
        <v>0.10034715424349799</v>
      </c>
      <c r="S4235" t="s">
        <v>10096</v>
      </c>
      <c r="T4235" t="s">
        <v>11720</v>
      </c>
      <c r="U4235" t="s">
        <v>11720</v>
      </c>
      <c r="V4235" t="s">
        <v>11720</v>
      </c>
      <c r="W4235" t="s">
        <v>15900</v>
      </c>
      <c r="X4235">
        <v>1</v>
      </c>
      <c r="Y4235" t="s">
        <v>21613</v>
      </c>
      <c r="Z4235" t="s">
        <v>27442</v>
      </c>
      <c r="AA4235">
        <v>0.92884707773078357</v>
      </c>
      <c r="AB4235" t="str">
        <f>HYPERLINK("Melting_Curves/meltCurve_Q8TBB6_SLC7A14.pdf", "Melting_Curves/meltCurve_Q8TBB6_SLC7A14.pdf")</f>
        <v>Melting_Curves/meltCurve_Q8TBB6_SLC7A14.pdf</v>
      </c>
    </row>
    <row r="4236" spans="1:28" x14ac:dyDescent="0.25">
      <c r="A4236" t="s">
        <v>4240</v>
      </c>
      <c r="B4236">
        <v>0.99334974765950101</v>
      </c>
      <c r="C4236">
        <v>0.98982906734310805</v>
      </c>
      <c r="D4236">
        <v>1.0294454870414</v>
      </c>
      <c r="E4236">
        <v>0.921017911858514</v>
      </c>
      <c r="F4236">
        <v>0.31505137177679299</v>
      </c>
      <c r="G4236">
        <v>0.23420481250220801</v>
      </c>
      <c r="H4236">
        <v>0.21018660600424199</v>
      </c>
      <c r="I4236">
        <v>0.19960997186993401</v>
      </c>
      <c r="J4236">
        <v>0.18181165083911199</v>
      </c>
      <c r="K4236">
        <v>0.162397190335305</v>
      </c>
      <c r="L4236">
        <v>3495.8417968480098</v>
      </c>
      <c r="M4236">
        <v>67.709744774095995</v>
      </c>
      <c r="N4236">
        <v>52.015132647655598</v>
      </c>
      <c r="O4236">
        <v>51.584846478782197</v>
      </c>
      <c r="P4236">
        <v>-0.26343593844902802</v>
      </c>
      <c r="Q4236">
        <v>0.19720290847355701</v>
      </c>
      <c r="R4236">
        <v>0.99725770713288797</v>
      </c>
      <c r="S4236" t="s">
        <v>10097</v>
      </c>
      <c r="T4236" t="s">
        <v>11720</v>
      </c>
      <c r="U4236" t="s">
        <v>11720</v>
      </c>
      <c r="V4236" t="s">
        <v>11720</v>
      </c>
      <c r="W4236" t="s">
        <v>15901</v>
      </c>
      <c r="X4236">
        <v>17</v>
      </c>
      <c r="Y4236" t="s">
        <v>21614</v>
      </c>
      <c r="Z4236" t="s">
        <v>27443</v>
      </c>
      <c r="AA4236">
        <v>0.50941014572682508</v>
      </c>
      <c r="AB4236" t="str">
        <f>HYPERLINK("Melting_Curves/meltCurve_Q8TBC4_UBA3.pdf", "Melting_Curves/meltCurve_Q8TBC4_UBA3.pdf")</f>
        <v>Melting_Curves/meltCurve_Q8TBC4_UBA3.pdf</v>
      </c>
    </row>
    <row r="4237" spans="1:28" x14ac:dyDescent="0.25">
      <c r="A4237" t="s">
        <v>4241</v>
      </c>
      <c r="B4237">
        <v>0.99334974765950101</v>
      </c>
      <c r="C4237">
        <v>1.1612805016399099</v>
      </c>
      <c r="D4237">
        <v>0.91665174450486098</v>
      </c>
      <c r="E4237">
        <v>0.38401736711269702</v>
      </c>
      <c r="F4237">
        <v>0.34485432036560898</v>
      </c>
      <c r="G4237">
        <v>0.27478148339199099</v>
      </c>
      <c r="H4237">
        <v>9.9363202324400005E-2</v>
      </c>
      <c r="I4237">
        <v>0.141072403617993</v>
      </c>
      <c r="J4237">
        <v>0.29765683377983898</v>
      </c>
      <c r="K4237">
        <v>0.44716514655564799</v>
      </c>
      <c r="L4237">
        <v>2110.8691932480601</v>
      </c>
      <c r="M4237">
        <v>43.752617855064997</v>
      </c>
      <c r="N4237">
        <v>49.0849080860661</v>
      </c>
      <c r="O4237">
        <v>48.145091380498897</v>
      </c>
      <c r="P4237">
        <v>-0.16735291305879399</v>
      </c>
      <c r="Q4237">
        <v>0.26338492847563799</v>
      </c>
      <c r="R4237">
        <v>0.91477913714473602</v>
      </c>
      <c r="S4237" t="s">
        <v>10098</v>
      </c>
      <c r="T4237" t="s">
        <v>11720</v>
      </c>
      <c r="U4237" t="s">
        <v>11720</v>
      </c>
      <c r="V4237" t="s">
        <v>11720</v>
      </c>
      <c r="W4237" t="s">
        <v>15902</v>
      </c>
      <c r="X4237">
        <v>1</v>
      </c>
      <c r="Y4237" t="s">
        <v>21615</v>
      </c>
      <c r="Z4237" t="s">
        <v>27444</v>
      </c>
      <c r="AA4237">
        <v>0.46789774803934508</v>
      </c>
      <c r="AB4237" t="str">
        <f>HYPERLINK("Melting_Curves/meltCurve_Q8TBC5_4_ZSCAN18.pdf", "Melting_Curves/meltCurve_Q8TBC5_4_ZSCAN18.pdf")</f>
        <v>Melting_Curves/meltCurve_Q8TBC5_4_ZSCAN18.pdf</v>
      </c>
    </row>
    <row r="4238" spans="1:28" x14ac:dyDescent="0.25">
      <c r="A4238" t="s">
        <v>4242</v>
      </c>
      <c r="B4238">
        <v>0.99334974765950101</v>
      </c>
      <c r="C4238">
        <v>0.91460278223008296</v>
      </c>
      <c r="D4238">
        <v>0.72176380987312805</v>
      </c>
      <c r="E4238">
        <v>0.401717077230902</v>
      </c>
      <c r="F4238">
        <v>0.154334876531035</v>
      </c>
      <c r="G4238">
        <v>0.11307730092686299</v>
      </c>
      <c r="H4238">
        <v>8.2174863596704395E-2</v>
      </c>
      <c r="I4238">
        <v>7.5491063526755206E-2</v>
      </c>
      <c r="J4238">
        <v>6.7226966304095206E-2</v>
      </c>
      <c r="K4238">
        <v>5.8938886647768599E-2</v>
      </c>
      <c r="L4238">
        <v>939.95354934252703</v>
      </c>
      <c r="M4238">
        <v>19.516064465964099</v>
      </c>
      <c r="N4238">
        <v>48.4881280038285</v>
      </c>
      <c r="O4238">
        <v>47.665934689172097</v>
      </c>
      <c r="P4238">
        <v>-9.60858807660709E-2</v>
      </c>
      <c r="Q4238">
        <v>6.13150341737956E-2</v>
      </c>
      <c r="R4238">
        <v>0.99743588147304996</v>
      </c>
      <c r="S4238" t="s">
        <v>10099</v>
      </c>
      <c r="T4238" t="s">
        <v>11720</v>
      </c>
      <c r="U4238" t="s">
        <v>11720</v>
      </c>
      <c r="V4238" t="s">
        <v>11720</v>
      </c>
      <c r="W4238" t="s">
        <v>15903</v>
      </c>
      <c r="X4238">
        <v>10</v>
      </c>
      <c r="Y4238" t="s">
        <v>21616</v>
      </c>
      <c r="Z4238" t="s">
        <v>27445</v>
      </c>
      <c r="AA4238">
        <v>0.33073397975970581</v>
      </c>
      <c r="AB4238" t="str">
        <f>HYPERLINK("Melting_Curves/meltCurve_Q8TBE9_NANP.pdf", "Melting_Curves/meltCurve_Q8TBE9_NANP.pdf")</f>
        <v>Melting_Curves/meltCurve_Q8TBE9_NANP.pdf</v>
      </c>
    </row>
    <row r="4239" spans="1:28" x14ac:dyDescent="0.25">
      <c r="A4239" t="s">
        <v>4243</v>
      </c>
      <c r="B4239">
        <v>0.99334974765950101</v>
      </c>
      <c r="C4239">
        <v>0.96729114334428301</v>
      </c>
      <c r="D4239">
        <v>0.93166954143638903</v>
      </c>
      <c r="E4239">
        <v>0.71431887754404699</v>
      </c>
      <c r="F4239">
        <v>0.40548863757484399</v>
      </c>
      <c r="G4239">
        <v>0.49629000376574001</v>
      </c>
      <c r="H4239">
        <v>0.32230642407779098</v>
      </c>
      <c r="I4239">
        <v>0.253550325345126</v>
      </c>
      <c r="J4239">
        <v>0.172546471996193</v>
      </c>
      <c r="K4239">
        <v>0.11437528414710001</v>
      </c>
      <c r="L4239">
        <v>588.20274610915703</v>
      </c>
      <c r="M4239">
        <v>11.052115520830601</v>
      </c>
      <c r="N4239">
        <v>54.390261226659099</v>
      </c>
      <c r="O4239">
        <v>51.567527870381198</v>
      </c>
      <c r="P4239">
        <v>-4.7930403074652003E-2</v>
      </c>
      <c r="Q4239">
        <v>0.105751681624004</v>
      </c>
      <c r="R4239">
        <v>0.95614283082774498</v>
      </c>
      <c r="S4239" t="s">
        <v>10100</v>
      </c>
      <c r="T4239" t="s">
        <v>11720</v>
      </c>
      <c r="U4239" t="s">
        <v>11720</v>
      </c>
      <c r="V4239" t="s">
        <v>11720</v>
      </c>
      <c r="W4239" t="s">
        <v>15904</v>
      </c>
      <c r="X4239">
        <v>1</v>
      </c>
      <c r="Y4239" t="s">
        <v>21617</v>
      </c>
      <c r="Z4239" t="s">
        <v>27446</v>
      </c>
      <c r="AA4239">
        <v>0.52705913322813769</v>
      </c>
      <c r="AB4239" t="str">
        <f>HYPERLINK("Melting_Curves/meltCurve_Q8TBM8_DNAJB14.pdf", "Melting_Curves/meltCurve_Q8TBM8_DNAJB14.pdf")</f>
        <v>Melting_Curves/meltCurve_Q8TBM8_DNAJB14.pdf</v>
      </c>
    </row>
    <row r="4240" spans="1:28" x14ac:dyDescent="0.25">
      <c r="A4240" t="s">
        <v>4244</v>
      </c>
      <c r="B4240">
        <v>0.99334974765950101</v>
      </c>
      <c r="C4240">
        <v>1.02107785526409</v>
      </c>
      <c r="D4240">
        <v>0.98277470553220703</v>
      </c>
      <c r="E4240">
        <v>0.80412589781041499</v>
      </c>
      <c r="F4240">
        <v>0.48723545328079798</v>
      </c>
      <c r="G4240">
        <v>0.31334347038198401</v>
      </c>
      <c r="H4240">
        <v>0.26250481868230302</v>
      </c>
      <c r="I4240">
        <v>0.260055424996813</v>
      </c>
      <c r="J4240">
        <v>0.31302260469346799</v>
      </c>
      <c r="K4240">
        <v>0.209611151951344</v>
      </c>
      <c r="L4240">
        <v>1575.78409941226</v>
      </c>
      <c r="M4240">
        <v>30.5151715791655</v>
      </c>
      <c r="N4240">
        <v>52.920156140347601</v>
      </c>
      <c r="O4240">
        <v>51.419116721802403</v>
      </c>
      <c r="P4240">
        <v>-0.10962839604647499</v>
      </c>
      <c r="Q4240">
        <v>0.26109398870539602</v>
      </c>
      <c r="R4240">
        <v>0.99429193296337404</v>
      </c>
      <c r="S4240" t="s">
        <v>10101</v>
      </c>
      <c r="T4240" t="s">
        <v>11720</v>
      </c>
      <c r="U4240" t="s">
        <v>11720</v>
      </c>
      <c r="V4240" t="s">
        <v>11720</v>
      </c>
      <c r="W4240" t="s">
        <v>15905</v>
      </c>
      <c r="X4240">
        <v>4</v>
      </c>
      <c r="Y4240" t="s">
        <v>21618</v>
      </c>
      <c r="Z4240" t="s">
        <v>27447</v>
      </c>
      <c r="AA4240">
        <v>0.55231165711753849</v>
      </c>
      <c r="AB4240" t="str">
        <f>HYPERLINK("Melting_Curves/meltCurve_Q8TBN0_RAB3IL1.pdf", "Melting_Curves/meltCurve_Q8TBN0_RAB3IL1.pdf")</f>
        <v>Melting_Curves/meltCurve_Q8TBN0_RAB3IL1.pdf</v>
      </c>
    </row>
    <row r="4241" spans="1:28" x14ac:dyDescent="0.25">
      <c r="A4241" t="s">
        <v>4245</v>
      </c>
      <c r="B4241">
        <v>0.99334974765950101</v>
      </c>
      <c r="C4241">
        <v>0.99492399076812099</v>
      </c>
      <c r="D4241">
        <v>0.99265598803466903</v>
      </c>
      <c r="E4241">
        <v>0.49158955944266203</v>
      </c>
      <c r="F4241">
        <v>0.22908787340762299</v>
      </c>
      <c r="G4241">
        <v>0.15029195772474499</v>
      </c>
      <c r="H4241">
        <v>0.122953202158309</v>
      </c>
      <c r="I4241">
        <v>0.10628226145467</v>
      </c>
      <c r="J4241">
        <v>9.4819289496915399E-2</v>
      </c>
      <c r="K4241">
        <v>7.3072395978141205E-2</v>
      </c>
      <c r="L4241">
        <v>1746.34399033413</v>
      </c>
      <c r="M4241">
        <v>35.121396934621998</v>
      </c>
      <c r="N4241">
        <v>50.078317243978297</v>
      </c>
      <c r="O4241">
        <v>49.562705741143603</v>
      </c>
      <c r="P4241">
        <v>-0.15762292734112299</v>
      </c>
      <c r="Q4241">
        <v>0.11026416338263099</v>
      </c>
      <c r="R4241">
        <v>0.996269512535779</v>
      </c>
      <c r="S4241" t="s">
        <v>10102</v>
      </c>
      <c r="T4241" t="s">
        <v>11720</v>
      </c>
      <c r="U4241" t="s">
        <v>11720</v>
      </c>
      <c r="V4241" t="s">
        <v>11720</v>
      </c>
      <c r="W4241" t="s">
        <v>15906</v>
      </c>
      <c r="X4241">
        <v>11</v>
      </c>
      <c r="Y4241" t="s">
        <v>21619</v>
      </c>
      <c r="Z4241" t="s">
        <v>27448</v>
      </c>
      <c r="AA4241">
        <v>0.40260982567225079</v>
      </c>
      <c r="AB4241" t="str">
        <f>HYPERLINK("Melting_Curves/meltCurve_Q8TBX8_PIP4K2C.pdf", "Melting_Curves/meltCurve_Q8TBX8_PIP4K2C.pdf")</f>
        <v>Melting_Curves/meltCurve_Q8TBX8_PIP4K2C.pdf</v>
      </c>
    </row>
    <row r="4242" spans="1:28" x14ac:dyDescent="0.25">
      <c r="A4242" t="s">
        <v>4246</v>
      </c>
      <c r="B4242">
        <v>0.99334974765950101</v>
      </c>
      <c r="C4242">
        <v>0.97740873219846702</v>
      </c>
      <c r="D4242">
        <v>0.99202402096994202</v>
      </c>
      <c r="E4242">
        <v>0.751685816428876</v>
      </c>
      <c r="F4242">
        <v>0.270749089770701</v>
      </c>
      <c r="G4242">
        <v>0.22107907875799401</v>
      </c>
      <c r="H4242">
        <v>0.155631730189875</v>
      </c>
      <c r="I4242">
        <v>0.117845254497861</v>
      </c>
      <c r="J4242">
        <v>0.112987913320267</v>
      </c>
      <c r="K4242">
        <v>9.0830098904205805E-2</v>
      </c>
      <c r="L4242">
        <v>2161.64039600866</v>
      </c>
      <c r="M4242">
        <v>42.352807060298503</v>
      </c>
      <c r="N4242">
        <v>51.421864461538902</v>
      </c>
      <c r="O4242">
        <v>50.925500149055097</v>
      </c>
      <c r="P4242">
        <v>-0.17979203378327099</v>
      </c>
      <c r="Q4242">
        <v>0.13526542656610199</v>
      </c>
      <c r="R4242">
        <v>0.99348076410554198</v>
      </c>
      <c r="S4242" t="s">
        <v>10103</v>
      </c>
      <c r="T4242" t="s">
        <v>11720</v>
      </c>
      <c r="U4242" t="s">
        <v>11720</v>
      </c>
      <c r="V4242" t="s">
        <v>11720</v>
      </c>
      <c r="W4242" t="s">
        <v>15907</v>
      </c>
      <c r="X4242">
        <v>14</v>
      </c>
      <c r="Y4242" t="s">
        <v>21620</v>
      </c>
      <c r="Z4242" t="s">
        <v>27449</v>
      </c>
      <c r="AA4242">
        <v>0.45617466521497457</v>
      </c>
      <c r="AB4242" t="str">
        <f>HYPERLINK("Melting_Curves/meltCurve_Q8TC07_2_TBC1D15.pdf", "Melting_Curves/meltCurve_Q8TC07_2_TBC1D15.pdf")</f>
        <v>Melting_Curves/meltCurve_Q8TC07_2_TBC1D15.pdf</v>
      </c>
    </row>
    <row r="4243" spans="1:28" x14ac:dyDescent="0.25">
      <c r="A4243" t="s">
        <v>4247</v>
      </c>
      <c r="B4243">
        <v>0.99334974765950101</v>
      </c>
      <c r="C4243">
        <v>0.89163677162166599</v>
      </c>
      <c r="D4243">
        <v>0.56614997842507997</v>
      </c>
      <c r="E4243">
        <v>0.133655912800768</v>
      </c>
      <c r="F4243">
        <v>6.5619910797167599E-2</v>
      </c>
      <c r="G4243">
        <v>3.6728948396150103E-2</v>
      </c>
      <c r="H4243">
        <v>3.4032220970675001E-2</v>
      </c>
      <c r="I4243">
        <v>2.9672867913870801E-2</v>
      </c>
      <c r="J4243">
        <v>3.3263835171225997E-2</v>
      </c>
      <c r="K4243">
        <v>2.9386044509690599E-2</v>
      </c>
      <c r="L4243">
        <v>1273.45722257233</v>
      </c>
      <c r="M4243">
        <v>27.501726338463701</v>
      </c>
      <c r="N4243">
        <v>46.412350529451103</v>
      </c>
      <c r="O4243">
        <v>46.061866540366097</v>
      </c>
      <c r="P4243">
        <v>-0.14465149193896601</v>
      </c>
      <c r="Q4243">
        <v>3.0917825465444901E-2</v>
      </c>
      <c r="R4243">
        <v>0.99976241837107904</v>
      </c>
      <c r="S4243" t="s">
        <v>10104</v>
      </c>
      <c r="T4243" t="s">
        <v>11720</v>
      </c>
      <c r="U4243" t="s">
        <v>11720</v>
      </c>
      <c r="V4243" t="s">
        <v>11720</v>
      </c>
      <c r="W4243" t="s">
        <v>15908</v>
      </c>
      <c r="X4243">
        <v>12</v>
      </c>
      <c r="Y4243" t="s">
        <v>21621</v>
      </c>
      <c r="Z4243" t="s">
        <v>27450</v>
      </c>
      <c r="AA4243">
        <v>0.24169009307884631</v>
      </c>
      <c r="AB4243" t="str">
        <f>HYPERLINK("Melting_Curves/meltCurve_Q8TC12_RDH11.pdf", "Melting_Curves/meltCurve_Q8TC12_RDH11.pdf")</f>
        <v>Melting_Curves/meltCurve_Q8TC12_RDH11.pdf</v>
      </c>
    </row>
    <row r="4244" spans="1:28" x14ac:dyDescent="0.25">
      <c r="A4244" t="s">
        <v>4248</v>
      </c>
      <c r="B4244">
        <v>0.99334974765950101</v>
      </c>
      <c r="C4244">
        <v>0.94791917639776202</v>
      </c>
      <c r="D4244">
        <v>0.94105726583203197</v>
      </c>
      <c r="E4244">
        <v>0.65385826551591697</v>
      </c>
      <c r="F4244">
        <v>0.13717288953920601</v>
      </c>
      <c r="G4244">
        <v>9.7792906189859793E-2</v>
      </c>
      <c r="H4244">
        <v>7.8484747795728907E-2</v>
      </c>
      <c r="I4244">
        <v>6.8413479823726198E-2</v>
      </c>
      <c r="J4244">
        <v>6.8141024521600799E-2</v>
      </c>
      <c r="K4244">
        <v>4.8516666048793601E-2</v>
      </c>
      <c r="L4244">
        <v>2571.8836576184799</v>
      </c>
      <c r="M4244">
        <v>50.935086811034601</v>
      </c>
      <c r="N4244">
        <v>50.643653357041003</v>
      </c>
      <c r="O4244">
        <v>50.415708945722599</v>
      </c>
      <c r="P4244">
        <v>-0.23485837229470899</v>
      </c>
      <c r="Q4244">
        <v>7.0146517051094898E-2</v>
      </c>
      <c r="R4244">
        <v>0.99580532907770503</v>
      </c>
      <c r="S4244" t="s">
        <v>10105</v>
      </c>
      <c r="T4244" t="s">
        <v>11720</v>
      </c>
      <c r="U4244" t="s">
        <v>11720</v>
      </c>
      <c r="V4244" t="s">
        <v>11720</v>
      </c>
      <c r="W4244" t="s">
        <v>15909</v>
      </c>
      <c r="X4244">
        <v>6</v>
      </c>
      <c r="Y4244" t="s">
        <v>21622</v>
      </c>
      <c r="Z4244" t="s">
        <v>27451</v>
      </c>
      <c r="AA4244">
        <v>0.39738469952720612</v>
      </c>
      <c r="AB4244" t="str">
        <f>HYPERLINK("Melting_Curves/meltCurve_Q8TC71_2_SPATA18.pdf", "Melting_Curves/meltCurve_Q8TC71_2_SPATA18.pdf")</f>
        <v>Melting_Curves/meltCurve_Q8TC71_2_SPATA18.pdf</v>
      </c>
    </row>
    <row r="4245" spans="1:28" x14ac:dyDescent="0.25">
      <c r="A4245" t="s">
        <v>4249</v>
      </c>
      <c r="B4245">
        <v>0.99334974765950101</v>
      </c>
      <c r="C4245">
        <v>0.99494250895133596</v>
      </c>
      <c r="D4245">
        <v>0.96848185707608803</v>
      </c>
      <c r="E4245">
        <v>0.84884907119590403</v>
      </c>
      <c r="F4245">
        <v>0.714079553884306</v>
      </c>
      <c r="G4245">
        <v>0.453246000525585</v>
      </c>
      <c r="H4245">
        <v>0.16929006805605901</v>
      </c>
      <c r="I4245">
        <v>0.127473019383122</v>
      </c>
      <c r="J4245">
        <v>7.6194658680465904E-2</v>
      </c>
      <c r="K4245">
        <v>5.5491884527781199E-2</v>
      </c>
      <c r="L4245">
        <v>907.64950272905901</v>
      </c>
      <c r="M4245">
        <v>16.252520881452899</v>
      </c>
      <c r="N4245">
        <v>55.920405690758102</v>
      </c>
      <c r="O4245">
        <v>55.021733824939702</v>
      </c>
      <c r="P4245">
        <v>-7.3068710985079999E-2</v>
      </c>
      <c r="Q4245">
        <v>1.05976325007173E-2</v>
      </c>
      <c r="R4245">
        <v>0.99782954784563205</v>
      </c>
      <c r="S4245" t="s">
        <v>10106</v>
      </c>
      <c r="T4245" t="s">
        <v>11720</v>
      </c>
      <c r="U4245" t="s">
        <v>11720</v>
      </c>
      <c r="V4245" t="s">
        <v>11720</v>
      </c>
      <c r="W4245" t="s">
        <v>15910</v>
      </c>
      <c r="X4245">
        <v>6</v>
      </c>
      <c r="Y4245" t="s">
        <v>21623</v>
      </c>
      <c r="Z4245" t="s">
        <v>27452</v>
      </c>
      <c r="AA4245">
        <v>0.54971416476407475</v>
      </c>
      <c r="AB4245" t="str">
        <f>HYPERLINK("Melting_Curves/meltCurve_Q8TCA0_LRRC20.pdf", "Melting_Curves/meltCurve_Q8TCA0_LRRC20.pdf")</f>
        <v>Melting_Curves/meltCurve_Q8TCA0_LRRC20.pdf</v>
      </c>
    </row>
    <row r="4246" spans="1:28" x14ac:dyDescent="0.25">
      <c r="A4246" t="s">
        <v>4250</v>
      </c>
      <c r="B4246">
        <v>0.99334974765950101</v>
      </c>
      <c r="C4246">
        <v>0.95123112286636002</v>
      </c>
      <c r="D4246">
        <v>0.819171856331947</v>
      </c>
      <c r="E4246">
        <v>0.79523854144970296</v>
      </c>
      <c r="F4246">
        <v>0.83371687122829397</v>
      </c>
      <c r="G4246">
        <v>0.75310458109872602</v>
      </c>
      <c r="H4246">
        <v>0.73012936926891903</v>
      </c>
      <c r="I4246">
        <v>1.0633971180507</v>
      </c>
      <c r="J4246">
        <v>1.03493089285227</v>
      </c>
      <c r="K4246">
        <v>0.85843485124123098</v>
      </c>
      <c r="L4246">
        <v>10751.3882057385</v>
      </c>
      <c r="M4246">
        <v>250</v>
      </c>
      <c r="O4246">
        <v>43.0028152703321</v>
      </c>
      <c r="P4246">
        <v>-0.201999183365695</v>
      </c>
      <c r="Q4246">
        <v>0.86101550976353303</v>
      </c>
      <c r="R4246">
        <v>0.16198234667896699</v>
      </c>
      <c r="S4246" t="s">
        <v>10107</v>
      </c>
      <c r="T4246" t="s">
        <v>11720</v>
      </c>
      <c r="U4246" t="s">
        <v>11720</v>
      </c>
      <c r="V4246" t="s">
        <v>11720</v>
      </c>
      <c r="W4246" t="s">
        <v>15911</v>
      </c>
      <c r="X4246">
        <v>3</v>
      </c>
      <c r="Y4246" t="s">
        <v>21624</v>
      </c>
      <c r="Z4246" t="s">
        <v>27453</v>
      </c>
      <c r="AA4246">
        <v>0.87495017372682005</v>
      </c>
      <c r="AB4246" t="str">
        <f>HYPERLINK("Melting_Curves/meltCurve_Q8TCD1_C18orf32.pdf", "Melting_Curves/meltCurve_Q8TCD1_C18orf32.pdf")</f>
        <v>Melting_Curves/meltCurve_Q8TCD1_C18orf32.pdf</v>
      </c>
    </row>
    <row r="4247" spans="1:28" x14ac:dyDescent="0.25">
      <c r="A4247" t="s">
        <v>4251</v>
      </c>
      <c r="B4247">
        <v>0.99334974765950101</v>
      </c>
      <c r="C4247">
        <v>1.0116647758395401</v>
      </c>
      <c r="D4247">
        <v>1.0967064222118701</v>
      </c>
      <c r="E4247">
        <v>0.80351400061204903</v>
      </c>
      <c r="F4247">
        <v>0.77908385351379295</v>
      </c>
      <c r="G4247">
        <v>0.5245491161943</v>
      </c>
      <c r="H4247">
        <v>0.43398615998860601</v>
      </c>
      <c r="I4247">
        <v>0.12762421630704199</v>
      </c>
      <c r="J4247">
        <v>8.9115505416271099E-2</v>
      </c>
      <c r="K4247">
        <v>6.3691107511419001E-2</v>
      </c>
      <c r="L4247">
        <v>812.06605221335894</v>
      </c>
      <c r="M4247">
        <v>14.078231309881099</v>
      </c>
      <c r="N4247">
        <v>57.682391707816798</v>
      </c>
      <c r="O4247">
        <v>56.555947521453902</v>
      </c>
      <c r="P4247">
        <v>-6.2239493781334199E-2</v>
      </c>
      <c r="Q4247">
        <v>0</v>
      </c>
      <c r="R4247">
        <v>0.96898959885245195</v>
      </c>
      <c r="S4247" t="s">
        <v>10108</v>
      </c>
      <c r="T4247" t="s">
        <v>11720</v>
      </c>
      <c r="U4247" t="s">
        <v>11720</v>
      </c>
      <c r="V4247" t="s">
        <v>11720</v>
      </c>
      <c r="W4247" t="s">
        <v>15912</v>
      </c>
      <c r="X4247">
        <v>8</v>
      </c>
      <c r="Y4247" t="s">
        <v>21625</v>
      </c>
      <c r="Z4247" t="s">
        <v>27454</v>
      </c>
      <c r="AA4247">
        <v>0.60386143637010181</v>
      </c>
      <c r="AB4247" t="str">
        <f>HYPERLINK("Melting_Curves/meltCurve_Q8TCD5_NT5C.pdf", "Melting_Curves/meltCurve_Q8TCD5_NT5C.pdf")</f>
        <v>Melting_Curves/meltCurve_Q8TCD5_NT5C.pdf</v>
      </c>
    </row>
    <row r="4248" spans="1:28" x14ac:dyDescent="0.25">
      <c r="A4248" t="s">
        <v>4252</v>
      </c>
      <c r="B4248">
        <v>0.99334974765950101</v>
      </c>
      <c r="C4248">
        <v>0.88303058417568303</v>
      </c>
      <c r="D4248">
        <v>0.64524545515864196</v>
      </c>
      <c r="E4248">
        <v>0.32492178208760603</v>
      </c>
      <c r="F4248">
        <v>0.20568486383468201</v>
      </c>
      <c r="G4248">
        <v>0.15775676379863801</v>
      </c>
      <c r="H4248">
        <v>0.123541823797616</v>
      </c>
      <c r="I4248">
        <v>6.91709659908087E-2</v>
      </c>
      <c r="J4248">
        <v>6.2753031458028297E-2</v>
      </c>
      <c r="K4248">
        <v>5.8233760833023798E-2</v>
      </c>
      <c r="L4248">
        <v>835.47091485215401</v>
      </c>
      <c r="M4248">
        <v>17.644849606698799</v>
      </c>
      <c r="N4248">
        <v>47.803358309057401</v>
      </c>
      <c r="O4248">
        <v>46.753655069862198</v>
      </c>
      <c r="P4248">
        <v>-8.7074996095966806E-2</v>
      </c>
      <c r="Q4248">
        <v>7.7156676197391902E-2</v>
      </c>
      <c r="R4248">
        <v>0.99604306755555305</v>
      </c>
      <c r="S4248" t="s">
        <v>10109</v>
      </c>
      <c r="T4248" t="s">
        <v>11720</v>
      </c>
      <c r="U4248" t="s">
        <v>11720</v>
      </c>
      <c r="V4248" t="s">
        <v>11720</v>
      </c>
      <c r="W4248" t="s">
        <v>15913</v>
      </c>
      <c r="X4248">
        <v>3</v>
      </c>
      <c r="Y4248" t="s">
        <v>21626</v>
      </c>
      <c r="Z4248" t="s">
        <v>27455</v>
      </c>
      <c r="AA4248">
        <v>0.32072081852314938</v>
      </c>
      <c r="AB4248" t="str">
        <f>HYPERLINK("Melting_Curves/meltCurve_Q8TCE6_2_FAM45A.pdf", "Melting_Curves/meltCurve_Q8TCE6_2_FAM45A.pdf")</f>
        <v>Melting_Curves/meltCurve_Q8TCE6_2_FAM45A.pdf</v>
      </c>
    </row>
    <row r="4249" spans="1:28" x14ac:dyDescent="0.25">
      <c r="A4249" t="s">
        <v>4253</v>
      </c>
      <c r="B4249">
        <v>0.99334974765950101</v>
      </c>
      <c r="C4249">
        <v>0.89535888769315297</v>
      </c>
      <c r="D4249">
        <v>0.85008398362380699</v>
      </c>
      <c r="E4249">
        <v>0.57281566887695901</v>
      </c>
      <c r="F4249">
        <v>0.24241573162303601</v>
      </c>
      <c r="G4249">
        <v>0.15060244470892001</v>
      </c>
      <c r="H4249">
        <v>9.9113642616549896E-2</v>
      </c>
      <c r="I4249">
        <v>9.1969332778007798E-2</v>
      </c>
      <c r="J4249">
        <v>7.6000414196290694E-2</v>
      </c>
      <c r="K4249">
        <v>6.8245390439251194E-2</v>
      </c>
      <c r="L4249">
        <v>972.84722347847298</v>
      </c>
      <c r="M4249">
        <v>19.490505023642001</v>
      </c>
      <c r="N4249">
        <v>50.293046401552203</v>
      </c>
      <c r="O4249">
        <v>49.397382980156699</v>
      </c>
      <c r="P4249">
        <v>-9.1905195409910198E-2</v>
      </c>
      <c r="Q4249">
        <v>6.8323503122766804E-2</v>
      </c>
      <c r="R4249">
        <v>0.992635738776253</v>
      </c>
      <c r="S4249" t="s">
        <v>10110</v>
      </c>
      <c r="T4249" t="s">
        <v>11720</v>
      </c>
      <c r="U4249" t="s">
        <v>11720</v>
      </c>
      <c r="V4249" t="s">
        <v>11720</v>
      </c>
      <c r="W4249" t="s">
        <v>15914</v>
      </c>
      <c r="X4249">
        <v>6</v>
      </c>
      <c r="Y4249" t="s">
        <v>21627</v>
      </c>
      <c r="Z4249" t="s">
        <v>27456</v>
      </c>
      <c r="AA4249">
        <v>0.38985357265257431</v>
      </c>
      <c r="AB4249" t="str">
        <f>HYPERLINK("Melting_Curves/meltCurve_Q8TCG2_PI4K2B.pdf", "Melting_Curves/meltCurve_Q8TCG2_PI4K2B.pdf")</f>
        <v>Melting_Curves/meltCurve_Q8TCG2_PI4K2B.pdf</v>
      </c>
    </row>
    <row r="4250" spans="1:28" x14ac:dyDescent="0.25">
      <c r="A4250" t="s">
        <v>4254</v>
      </c>
      <c r="B4250">
        <v>0.99334974765950101</v>
      </c>
      <c r="C4250">
        <v>1.00342003682769</v>
      </c>
      <c r="D4250">
        <v>1.0936496877159501</v>
      </c>
      <c r="E4250">
        <v>1.4929854353923799</v>
      </c>
      <c r="F4250">
        <v>0.77925777489947701</v>
      </c>
      <c r="G4250">
        <v>0.48768033960345297</v>
      </c>
      <c r="H4250">
        <v>0.30412775757640798</v>
      </c>
      <c r="I4250">
        <v>0.35121157520117002</v>
      </c>
      <c r="J4250">
        <v>0.19323013393097199</v>
      </c>
      <c r="K4250">
        <v>0.15871213791896899</v>
      </c>
      <c r="L4250">
        <v>1987.7886173756799</v>
      </c>
      <c r="M4250">
        <v>35.700575412234798</v>
      </c>
      <c r="N4250">
        <v>56.728698100823102</v>
      </c>
      <c r="O4250">
        <v>55.505619688713502</v>
      </c>
      <c r="P4250">
        <v>-0.121939878898868</v>
      </c>
      <c r="Q4250">
        <v>0.24165631473502899</v>
      </c>
      <c r="R4250">
        <v>0.83752629866669104</v>
      </c>
      <c r="S4250" t="s">
        <v>10111</v>
      </c>
      <c r="T4250" t="s">
        <v>11720</v>
      </c>
      <c r="U4250" t="s">
        <v>11720</v>
      </c>
      <c r="V4250" t="s">
        <v>11720</v>
      </c>
      <c r="W4250" t="s">
        <v>15915</v>
      </c>
      <c r="X4250">
        <v>4</v>
      </c>
      <c r="Y4250" t="s">
        <v>21628</v>
      </c>
      <c r="Z4250" t="s">
        <v>27457</v>
      </c>
      <c r="AA4250">
        <v>0.64163171518424944</v>
      </c>
      <c r="AB4250" t="str">
        <f>HYPERLINK("Melting_Curves/meltCurve_Q8TCJ2_STT3B.pdf", "Melting_Curves/meltCurve_Q8TCJ2_STT3B.pdf")</f>
        <v>Melting_Curves/meltCurve_Q8TCJ2_STT3B.pdf</v>
      </c>
    </row>
    <row r="4251" spans="1:28" x14ac:dyDescent="0.25">
      <c r="A4251" t="s">
        <v>4255</v>
      </c>
      <c r="B4251">
        <v>0.99334974765950101</v>
      </c>
      <c r="C4251">
        <v>0.97067722391537303</v>
      </c>
      <c r="D4251">
        <v>0.87213639153482303</v>
      </c>
      <c r="E4251">
        <v>1.11022760702047</v>
      </c>
      <c r="F4251">
        <v>1.30589699839664</v>
      </c>
      <c r="G4251">
        <v>0.980182782313749</v>
      </c>
      <c r="H4251">
        <v>0.91531600241894595</v>
      </c>
      <c r="I4251">
        <v>0.86219882861027097</v>
      </c>
      <c r="J4251">
        <v>0.46205195494849099</v>
      </c>
      <c r="K4251">
        <v>0.26019413656136697</v>
      </c>
      <c r="L4251">
        <v>2897.11112348598</v>
      </c>
      <c r="M4251">
        <v>43.880409711935002</v>
      </c>
      <c r="N4251">
        <v>66.772289035369695</v>
      </c>
      <c r="O4251">
        <v>65.886200090837505</v>
      </c>
      <c r="P4251">
        <v>-0.13412542821375201</v>
      </c>
      <c r="Q4251">
        <v>0.19444670942335501</v>
      </c>
      <c r="R4251">
        <v>0.84487861090469396</v>
      </c>
      <c r="S4251" t="s">
        <v>10112</v>
      </c>
      <c r="T4251" t="s">
        <v>11720</v>
      </c>
      <c r="U4251" t="s">
        <v>11720</v>
      </c>
      <c r="V4251" t="s">
        <v>11720</v>
      </c>
      <c r="W4251" t="s">
        <v>15916</v>
      </c>
      <c r="X4251">
        <v>8</v>
      </c>
      <c r="Y4251" t="s">
        <v>21629</v>
      </c>
      <c r="Z4251" t="s">
        <v>27458</v>
      </c>
      <c r="AA4251">
        <v>0.89245958760888111</v>
      </c>
      <c r="AB4251" t="str">
        <f>HYPERLINK("Melting_Curves/meltCurve_Q8TCT9_5_HM13.pdf", "Melting_Curves/meltCurve_Q8TCT9_5_HM13.pdf")</f>
        <v>Melting_Curves/meltCurve_Q8TCT9_5_HM13.pdf</v>
      </c>
    </row>
    <row r="4252" spans="1:28" x14ac:dyDescent="0.25">
      <c r="A4252" t="s">
        <v>4256</v>
      </c>
      <c r="B4252">
        <v>0.99334974765950101</v>
      </c>
      <c r="C4252">
        <v>0.82295079832106599</v>
      </c>
      <c r="D4252">
        <v>0.70442761777389296</v>
      </c>
      <c r="E4252">
        <v>0.52850865453419105</v>
      </c>
      <c r="F4252">
        <v>0.15693502361959899</v>
      </c>
      <c r="G4252">
        <v>7.1545205097465203E-2</v>
      </c>
      <c r="H4252">
        <v>0.117849666732553</v>
      </c>
      <c r="I4252">
        <v>7.2624179421485802E-2</v>
      </c>
      <c r="J4252">
        <v>0.102285191825173</v>
      </c>
      <c r="K4252">
        <v>4.0473947749523703E-2</v>
      </c>
      <c r="L4252">
        <v>752.91785292617396</v>
      </c>
      <c r="M4252">
        <v>15.5116619549344</v>
      </c>
      <c r="N4252">
        <v>48.8372177421274</v>
      </c>
      <c r="O4252">
        <v>47.753569061282398</v>
      </c>
      <c r="P4252">
        <v>-7.7542220002360093E-2</v>
      </c>
      <c r="Q4252">
        <v>4.5211327574263299E-2</v>
      </c>
      <c r="R4252">
        <v>0.97214179479490503</v>
      </c>
      <c r="S4252" t="s">
        <v>10113</v>
      </c>
      <c r="T4252" t="s">
        <v>11720</v>
      </c>
      <c r="U4252" t="s">
        <v>11720</v>
      </c>
      <c r="V4252" t="s">
        <v>11720</v>
      </c>
      <c r="W4252" t="s">
        <v>15917</v>
      </c>
      <c r="X4252">
        <v>1</v>
      </c>
      <c r="Y4252" t="s">
        <v>21630</v>
      </c>
      <c r="Z4252" t="s">
        <v>27459</v>
      </c>
      <c r="AA4252">
        <v>0.3394522465788527</v>
      </c>
      <c r="AB4252" t="str">
        <f>HYPERLINK("Melting_Curves/meltCurve_Q8TCX1_DYNC2LI1.pdf", "Melting_Curves/meltCurve_Q8TCX1_DYNC2LI1.pdf")</f>
        <v>Melting_Curves/meltCurve_Q8TCX1_DYNC2LI1.pdf</v>
      </c>
    </row>
    <row r="4253" spans="1:28" x14ac:dyDescent="0.25">
      <c r="A4253" t="s">
        <v>4257</v>
      </c>
      <c r="B4253">
        <v>0.99334974765950101</v>
      </c>
      <c r="C4253">
        <v>0.975913150454367</v>
      </c>
      <c r="D4253">
        <v>0.86779827597427694</v>
      </c>
      <c r="E4253">
        <v>0.78859291177428303</v>
      </c>
      <c r="F4253">
        <v>0.94720446079479803</v>
      </c>
      <c r="G4253">
        <v>0.65948539235939996</v>
      </c>
      <c r="H4253">
        <v>0.63209082613499701</v>
      </c>
      <c r="I4253">
        <v>0.96344093145495702</v>
      </c>
      <c r="J4253">
        <v>0.73477575204720802</v>
      </c>
      <c r="K4253">
        <v>0.58384612964119798</v>
      </c>
      <c r="L4253">
        <v>410.32563547887298</v>
      </c>
      <c r="M4253">
        <v>7.9784874573043698</v>
      </c>
      <c r="O4253">
        <v>48.499593658057996</v>
      </c>
      <c r="P4253">
        <v>-1.3788150104525601E-2</v>
      </c>
      <c r="Q4253">
        <v>0.66512118739534898</v>
      </c>
      <c r="R4253">
        <v>0.444564414589941</v>
      </c>
      <c r="S4253" t="s">
        <v>10114</v>
      </c>
      <c r="T4253" t="s">
        <v>11720</v>
      </c>
      <c r="U4253" t="s">
        <v>11720</v>
      </c>
      <c r="V4253" t="s">
        <v>11720</v>
      </c>
      <c r="W4253" t="s">
        <v>15918</v>
      </c>
      <c r="X4253">
        <v>4</v>
      </c>
      <c r="Y4253" t="s">
        <v>21631</v>
      </c>
      <c r="Z4253" t="s">
        <v>27460</v>
      </c>
      <c r="AA4253">
        <v>0.80972049280277403</v>
      </c>
      <c r="AB4253" t="str">
        <f>HYPERLINK("Melting_Curves/meltCurve_Q8TCZ2_6_CD99L2.pdf", "Melting_Curves/meltCurve_Q8TCZ2_6_CD99L2.pdf")</f>
        <v>Melting_Curves/meltCurve_Q8TCZ2_6_CD99L2.pdf</v>
      </c>
    </row>
    <row r="4254" spans="1:28" x14ac:dyDescent="0.25">
      <c r="A4254" t="s">
        <v>4258</v>
      </c>
      <c r="B4254">
        <v>0.99334974765950101</v>
      </c>
      <c r="C4254">
        <v>0.987877722390337</v>
      </c>
      <c r="D4254">
        <v>1.0365729947006801</v>
      </c>
      <c r="E4254">
        <v>0.774326404731283</v>
      </c>
      <c r="F4254">
        <v>0.35446068464345698</v>
      </c>
      <c r="G4254">
        <v>0.25344048491082899</v>
      </c>
      <c r="H4254">
        <v>0.18970220066698601</v>
      </c>
      <c r="I4254">
        <v>0.151907099826674</v>
      </c>
      <c r="J4254">
        <v>0.15388621414029799</v>
      </c>
      <c r="K4254">
        <v>0.109986584729813</v>
      </c>
      <c r="L4254">
        <v>1851.9345942049099</v>
      </c>
      <c r="M4254">
        <v>36.056856464180001</v>
      </c>
      <c r="N4254">
        <v>51.933703351850703</v>
      </c>
      <c r="O4254">
        <v>51.204312524621898</v>
      </c>
      <c r="P4254">
        <v>-0.147186338655206</v>
      </c>
      <c r="Q4254">
        <v>0.163926155908833</v>
      </c>
      <c r="R4254">
        <v>0.99225725858233604</v>
      </c>
      <c r="S4254" t="s">
        <v>10115</v>
      </c>
      <c r="T4254" t="s">
        <v>11720</v>
      </c>
      <c r="U4254" t="s">
        <v>11720</v>
      </c>
      <c r="V4254" t="s">
        <v>11720</v>
      </c>
      <c r="W4254" t="s">
        <v>15919</v>
      </c>
      <c r="X4254">
        <v>31</v>
      </c>
      <c r="Y4254" t="s">
        <v>21632</v>
      </c>
      <c r="Z4254" t="s">
        <v>27461</v>
      </c>
      <c r="AA4254">
        <v>0.48421853195607217</v>
      </c>
      <c r="AB4254" t="str">
        <f>HYPERLINK("Melting_Curves/meltCurve_Q8TD16_BICD2.pdf", "Melting_Curves/meltCurve_Q8TD16_BICD2.pdf")</f>
        <v>Melting_Curves/meltCurve_Q8TD16_BICD2.pdf</v>
      </c>
    </row>
    <row r="4255" spans="1:28" x14ac:dyDescent="0.25">
      <c r="A4255" t="s">
        <v>4259</v>
      </c>
      <c r="B4255">
        <v>0.99334974765950101</v>
      </c>
      <c r="C4255">
        <v>0.99244841743025902</v>
      </c>
      <c r="D4255">
        <v>1.1441402782212799</v>
      </c>
      <c r="E4255">
        <v>1.00680950363362</v>
      </c>
      <c r="F4255">
        <v>0.29541063681580498</v>
      </c>
      <c r="G4255">
        <v>0.171926784961422</v>
      </c>
      <c r="H4255">
        <v>0.13419504961523701</v>
      </c>
      <c r="I4255">
        <v>0.14240743521906399</v>
      </c>
      <c r="J4255">
        <v>0.136473325122387</v>
      </c>
      <c r="K4255">
        <v>0.12125180706609701</v>
      </c>
      <c r="L4255">
        <v>13169.459872461101</v>
      </c>
      <c r="M4255">
        <v>250</v>
      </c>
      <c r="N4255">
        <v>52.747885318026299</v>
      </c>
      <c r="O4255">
        <v>52.674468491710201</v>
      </c>
      <c r="P4255">
        <v>-1.01893426423594</v>
      </c>
      <c r="Q4255">
        <v>0.14125086881802701</v>
      </c>
      <c r="R4255">
        <v>0.98787593717609301</v>
      </c>
      <c r="S4255" t="s">
        <v>10116</v>
      </c>
      <c r="T4255" t="s">
        <v>11720</v>
      </c>
      <c r="U4255" t="s">
        <v>11720</v>
      </c>
      <c r="V4255" t="s">
        <v>11720</v>
      </c>
      <c r="W4255" t="s">
        <v>15920</v>
      </c>
      <c r="X4255">
        <v>22</v>
      </c>
      <c r="Y4255" t="s">
        <v>21633</v>
      </c>
      <c r="Z4255" t="s">
        <v>27462</v>
      </c>
      <c r="AA4255">
        <v>0.50423304737373909</v>
      </c>
      <c r="AB4255" t="str">
        <f>HYPERLINK("Melting_Curves/meltCurve_Q8TD19_NEK9.pdf", "Melting_Curves/meltCurve_Q8TD19_NEK9.pdf")</f>
        <v>Melting_Curves/meltCurve_Q8TD19_NEK9.pdf</v>
      </c>
    </row>
    <row r="4256" spans="1:28" x14ac:dyDescent="0.25">
      <c r="A4256" t="s">
        <v>4260</v>
      </c>
      <c r="B4256">
        <v>0.99334974765950101</v>
      </c>
      <c r="C4256">
        <v>0.94497609226941703</v>
      </c>
      <c r="D4256">
        <v>0.82659230932687799</v>
      </c>
      <c r="E4256">
        <v>0.46487013697026103</v>
      </c>
      <c r="F4256">
        <v>0.298328960602185</v>
      </c>
      <c r="G4256">
        <v>0.170691142061804</v>
      </c>
      <c r="H4256">
        <v>0.11776001989233</v>
      </c>
      <c r="I4256">
        <v>8.6641313117090196E-2</v>
      </c>
      <c r="J4256">
        <v>8.8450205906430601E-2</v>
      </c>
      <c r="K4256">
        <v>6.3913688874053395E-2</v>
      </c>
      <c r="L4256">
        <v>895.11998630948995</v>
      </c>
      <c r="M4256">
        <v>18.1164627076251</v>
      </c>
      <c r="N4256">
        <v>49.879984486757998</v>
      </c>
      <c r="O4256">
        <v>48.818987505879399</v>
      </c>
      <c r="P4256">
        <v>-8.5487228889968001E-2</v>
      </c>
      <c r="Q4256">
        <v>7.8584183099016103E-2</v>
      </c>
      <c r="R4256">
        <v>0.99852850000756399</v>
      </c>
      <c r="S4256" t="s">
        <v>10117</v>
      </c>
      <c r="T4256" t="s">
        <v>11720</v>
      </c>
      <c r="U4256" t="s">
        <v>11720</v>
      </c>
      <c r="V4256" t="s">
        <v>11720</v>
      </c>
      <c r="W4256" t="s">
        <v>15921</v>
      </c>
      <c r="X4256">
        <v>12</v>
      </c>
      <c r="Y4256" t="s">
        <v>21634</v>
      </c>
      <c r="Z4256" t="s">
        <v>27463</v>
      </c>
      <c r="AA4256">
        <v>0.38322553862098452</v>
      </c>
      <c r="AB4256" t="str">
        <f>HYPERLINK("Melting_Curves/meltCurve_Q8TD30_GPT2.pdf", "Melting_Curves/meltCurve_Q8TD30_GPT2.pdf")</f>
        <v>Melting_Curves/meltCurve_Q8TD30_GPT2.pdf</v>
      </c>
    </row>
    <row r="4257" spans="1:28" x14ac:dyDescent="0.25">
      <c r="A4257" t="s">
        <v>4261</v>
      </c>
      <c r="B4257">
        <v>0.99334974765950101</v>
      </c>
      <c r="C4257">
        <v>0.97348378502690402</v>
      </c>
      <c r="D4257">
        <v>0.94450326162148301</v>
      </c>
      <c r="E4257">
        <v>0.76624380147456606</v>
      </c>
      <c r="F4257">
        <v>0.45357436896366998</v>
      </c>
      <c r="G4257">
        <v>0.27487458925817498</v>
      </c>
      <c r="H4257">
        <v>0.15957563570911201</v>
      </c>
      <c r="I4257">
        <v>0.130238740144869</v>
      </c>
      <c r="J4257">
        <v>0.130359988203365</v>
      </c>
      <c r="K4257">
        <v>0.121403432940299</v>
      </c>
      <c r="L4257">
        <v>1089.4850216024799</v>
      </c>
      <c r="M4257">
        <v>20.904338180103</v>
      </c>
      <c r="N4257">
        <v>52.817201768502002</v>
      </c>
      <c r="O4257">
        <v>51.647763249151801</v>
      </c>
      <c r="P4257">
        <v>-8.8953368288040693E-2</v>
      </c>
      <c r="Q4257">
        <v>0.12092593681432499</v>
      </c>
      <c r="R4257">
        <v>0.99794858665448805</v>
      </c>
      <c r="S4257" t="s">
        <v>10118</v>
      </c>
      <c r="T4257" t="s">
        <v>11720</v>
      </c>
      <c r="U4257" t="s">
        <v>11720</v>
      </c>
      <c r="V4257" t="s">
        <v>11720</v>
      </c>
      <c r="W4257" t="s">
        <v>15922</v>
      </c>
      <c r="X4257">
        <v>22</v>
      </c>
      <c r="Y4257" t="s">
        <v>21635</v>
      </c>
      <c r="Z4257" t="s">
        <v>27464</v>
      </c>
      <c r="AA4257">
        <v>0.48723216265462921</v>
      </c>
      <c r="AB4257" t="str">
        <f>HYPERLINK("Melting_Curves/meltCurve_Q8TD55_PLEKHO2.pdf", "Melting_Curves/meltCurve_Q8TD55_PLEKHO2.pdf")</f>
        <v>Melting_Curves/meltCurve_Q8TD55_PLEKHO2.pdf</v>
      </c>
    </row>
    <row r="4258" spans="1:28" x14ac:dyDescent="0.25">
      <c r="A4258" t="s">
        <v>4262</v>
      </c>
      <c r="B4258">
        <v>0.99334974765950101</v>
      </c>
      <c r="C4258">
        <v>0.90720285142230095</v>
      </c>
      <c r="D4258">
        <v>0.81987332653530998</v>
      </c>
      <c r="E4258">
        <v>0.52858969622311602</v>
      </c>
      <c r="F4258">
        <v>1.128896350592</v>
      </c>
      <c r="G4258">
        <v>0.88385975695088903</v>
      </c>
      <c r="H4258">
        <v>1.4049028068490601</v>
      </c>
      <c r="I4258">
        <v>1.1306429717798401</v>
      </c>
      <c r="J4258">
        <v>1.5831435288222699</v>
      </c>
      <c r="K4258">
        <v>0.53333217439765601</v>
      </c>
      <c r="L4258">
        <v>14713.823833471901</v>
      </c>
      <c r="M4258">
        <v>250</v>
      </c>
      <c r="O4258">
        <v>58.8515288956999</v>
      </c>
      <c r="P4258">
        <v>0.17309859740683101</v>
      </c>
      <c r="Q4258">
        <v>1.1629938737707799</v>
      </c>
      <c r="R4258">
        <v>0.10229075838908</v>
      </c>
      <c r="S4258" t="s">
        <v>10119</v>
      </c>
      <c r="T4258" t="s">
        <v>11720</v>
      </c>
      <c r="U4258" t="s">
        <v>11720</v>
      </c>
      <c r="V4258" t="s">
        <v>11720</v>
      </c>
      <c r="W4258" t="s">
        <v>15923</v>
      </c>
      <c r="X4258">
        <v>2</v>
      </c>
      <c r="Y4258" t="s">
        <v>21636</v>
      </c>
      <c r="Z4258" t="s">
        <v>27465</v>
      </c>
      <c r="AA4258">
        <v>1.0605337838607241</v>
      </c>
      <c r="AB4258" t="str">
        <f>HYPERLINK("Melting_Curves/meltCurve_Q8TDB4_MGARP.pdf", "Melting_Curves/meltCurve_Q8TDB4_MGARP.pdf")</f>
        <v>Melting_Curves/meltCurve_Q8TDB4_MGARP.pdf</v>
      </c>
    </row>
    <row r="4259" spans="1:28" x14ac:dyDescent="0.25">
      <c r="A4259" t="s">
        <v>4263</v>
      </c>
      <c r="B4259">
        <v>0.99334974765950101</v>
      </c>
      <c r="C4259">
        <v>1.0243969289132999</v>
      </c>
      <c r="D4259">
        <v>1.0192729379492</v>
      </c>
      <c r="E4259">
        <v>0.94068356199613101</v>
      </c>
      <c r="F4259">
        <v>0.91207197948187402</v>
      </c>
      <c r="G4259">
        <v>0.74523500691556499</v>
      </c>
      <c r="H4259">
        <v>0.51454644699664298</v>
      </c>
      <c r="I4259">
        <v>0.344494663014556</v>
      </c>
      <c r="J4259">
        <v>0.431415853388944</v>
      </c>
      <c r="K4259">
        <v>0.434488137610473</v>
      </c>
      <c r="L4259">
        <v>1469.3436952591901</v>
      </c>
      <c r="M4259">
        <v>25.594866127736999</v>
      </c>
      <c r="N4259">
        <v>61.025066175261998</v>
      </c>
      <c r="O4259">
        <v>57.060746950174597</v>
      </c>
      <c r="P4259">
        <v>-6.8368099089727699E-2</v>
      </c>
      <c r="Q4259">
        <v>0.390332888887167</v>
      </c>
      <c r="R4259">
        <v>0.97967760733503995</v>
      </c>
      <c r="S4259" t="s">
        <v>10120</v>
      </c>
      <c r="T4259" t="s">
        <v>11720</v>
      </c>
      <c r="U4259" t="s">
        <v>11720</v>
      </c>
      <c r="V4259" t="s">
        <v>11720</v>
      </c>
      <c r="W4259" t="s">
        <v>15924</v>
      </c>
      <c r="X4259">
        <v>7</v>
      </c>
      <c r="Y4259" t="s">
        <v>21637</v>
      </c>
      <c r="Z4259" t="s">
        <v>27466</v>
      </c>
      <c r="AA4259">
        <v>0.74933554791510737</v>
      </c>
      <c r="AB4259" t="str">
        <f>HYPERLINK("Melting_Curves/meltCurve_Q8TDH9_BLOC1S5.pdf", "Melting_Curves/meltCurve_Q8TDH9_BLOC1S5.pdf")</f>
        <v>Melting_Curves/meltCurve_Q8TDH9_BLOC1S5.pdf</v>
      </c>
    </row>
    <row r="4260" spans="1:28" x14ac:dyDescent="0.25">
      <c r="A4260" t="s">
        <v>4264</v>
      </c>
      <c r="B4260">
        <v>0.99334974765950101</v>
      </c>
      <c r="C4260">
        <v>1.02695971953632</v>
      </c>
      <c r="D4260">
        <v>1.1638581955184299</v>
      </c>
      <c r="E4260">
        <v>0.84965332472560096</v>
      </c>
      <c r="F4260">
        <v>0.48635572519326598</v>
      </c>
      <c r="G4260">
        <v>0.31205318745675598</v>
      </c>
      <c r="H4260">
        <v>0.190336059243426</v>
      </c>
      <c r="I4260">
        <v>0.23880745750908799</v>
      </c>
      <c r="J4260">
        <v>0.20670621052581301</v>
      </c>
      <c r="K4260">
        <v>0.21701277457210699</v>
      </c>
      <c r="L4260">
        <v>1874.97578357375</v>
      </c>
      <c r="M4260">
        <v>35.993447404878999</v>
      </c>
      <c r="N4260">
        <v>52.963925432976602</v>
      </c>
      <c r="O4260">
        <v>51.932106986260202</v>
      </c>
      <c r="P4260">
        <v>-0.134543704969282</v>
      </c>
      <c r="Q4260">
        <v>0.223512120859754</v>
      </c>
      <c r="R4260">
        <v>0.97508026637237299</v>
      </c>
      <c r="S4260" t="s">
        <v>10121</v>
      </c>
      <c r="T4260" t="s">
        <v>11720</v>
      </c>
      <c r="U4260" t="s">
        <v>11720</v>
      </c>
      <c r="V4260" t="s">
        <v>11720</v>
      </c>
      <c r="W4260" t="s">
        <v>15925</v>
      </c>
      <c r="X4260">
        <v>2</v>
      </c>
      <c r="Y4260" t="s">
        <v>21638</v>
      </c>
      <c r="Z4260" t="s">
        <v>27467</v>
      </c>
      <c r="AA4260">
        <v>0.53994653961762684</v>
      </c>
      <c r="AB4260" t="str">
        <f>HYPERLINK("Melting_Curves/meltCurve_Q8TDM0_3_BCAS4.pdf", "Melting_Curves/meltCurve_Q8TDM0_3_BCAS4.pdf")</f>
        <v>Melting_Curves/meltCurve_Q8TDM0_3_BCAS4.pdf</v>
      </c>
    </row>
    <row r="4261" spans="1:28" x14ac:dyDescent="0.25">
      <c r="A4261" t="s">
        <v>4265</v>
      </c>
      <c r="B4261">
        <v>0.99334974765950101</v>
      </c>
      <c r="C4261">
        <v>1.09215229545389</v>
      </c>
      <c r="D4261">
        <v>1.26307288585828</v>
      </c>
      <c r="E4261">
        <v>1.4564223836079799</v>
      </c>
      <c r="F4261">
        <v>1.4840950990309301</v>
      </c>
      <c r="G4261">
        <v>1.2545031192205101</v>
      </c>
      <c r="H4261">
        <v>1.1833390158005701</v>
      </c>
      <c r="I4261">
        <v>1.49641400956259</v>
      </c>
      <c r="J4261">
        <v>1.04247757326526</v>
      </c>
      <c r="K4261">
        <v>0.609249408804306</v>
      </c>
      <c r="L4261">
        <v>15000</v>
      </c>
      <c r="M4261">
        <v>213.841523281147</v>
      </c>
      <c r="Q4261">
        <v>0</v>
      </c>
      <c r="R4261">
        <v>-0.29771174497036101</v>
      </c>
      <c r="S4261" t="s">
        <v>10122</v>
      </c>
      <c r="T4261" t="s">
        <v>11720</v>
      </c>
      <c r="U4261" t="s">
        <v>11720</v>
      </c>
      <c r="V4261" t="s">
        <v>11720</v>
      </c>
      <c r="W4261" t="s">
        <v>15926</v>
      </c>
      <c r="X4261">
        <v>2</v>
      </c>
      <c r="Y4261" t="s">
        <v>21639</v>
      </c>
      <c r="Z4261" t="s">
        <v>27468</v>
      </c>
      <c r="AA4261">
        <v>0.99466050055301147</v>
      </c>
      <c r="AB4261" t="str">
        <f>HYPERLINK("Melting_Curves/meltCurve_Q8TDM6_DLG5.pdf", "Melting_Curves/meltCurve_Q8TDM6_DLG5.pdf")</f>
        <v>Melting_Curves/meltCurve_Q8TDM6_DLG5.pdf</v>
      </c>
    </row>
    <row r="4262" spans="1:28" x14ac:dyDescent="0.25">
      <c r="A4262" t="s">
        <v>4266</v>
      </c>
      <c r="B4262">
        <v>0.99334974765950101</v>
      </c>
      <c r="C4262">
        <v>1.0202225319615701</v>
      </c>
      <c r="D4262">
        <v>1.07585492800118</v>
      </c>
      <c r="E4262">
        <v>1.0692735157689099</v>
      </c>
      <c r="F4262">
        <v>1.2337499950917901</v>
      </c>
      <c r="G4262">
        <v>1.10538641244733</v>
      </c>
      <c r="H4262">
        <v>1.0559618169954801</v>
      </c>
      <c r="I4262">
        <v>1.74493089944233</v>
      </c>
      <c r="J4262">
        <v>0.88866321586275199</v>
      </c>
      <c r="K4262">
        <v>0.18329892511419299</v>
      </c>
      <c r="L4262">
        <v>15000</v>
      </c>
      <c r="M4262">
        <v>222.033654392578</v>
      </c>
      <c r="N4262">
        <v>67.696219097736801</v>
      </c>
      <c r="O4262">
        <v>67.551844922648002</v>
      </c>
      <c r="P4262">
        <v>-0.67138621077387795</v>
      </c>
      <c r="Q4262">
        <v>0.18294589073803999</v>
      </c>
      <c r="R4262">
        <v>0.51185716379991497</v>
      </c>
      <c r="S4262" t="s">
        <v>10123</v>
      </c>
      <c r="T4262" t="s">
        <v>11720</v>
      </c>
      <c r="U4262" t="s">
        <v>11720</v>
      </c>
      <c r="V4262" t="s">
        <v>11720</v>
      </c>
      <c r="W4262" t="s">
        <v>15927</v>
      </c>
      <c r="X4262">
        <v>16</v>
      </c>
      <c r="Y4262" t="s">
        <v>21640</v>
      </c>
      <c r="Z4262" t="s">
        <v>27469</v>
      </c>
      <c r="AA4262">
        <v>0.9335923854572058</v>
      </c>
      <c r="AB4262" t="str">
        <f>HYPERLINK("Melting_Curves/meltCurve_Q8TDQ7_GNPDA2.pdf", "Melting_Curves/meltCurve_Q8TDQ7_GNPDA2.pdf")</f>
        <v>Melting_Curves/meltCurve_Q8TDQ7_GNPDA2.pdf</v>
      </c>
    </row>
    <row r="4263" spans="1:28" x14ac:dyDescent="0.25">
      <c r="A4263" t="s">
        <v>4267</v>
      </c>
      <c r="B4263">
        <v>0.99334974765950101</v>
      </c>
      <c r="C4263">
        <v>0.94304114678842099</v>
      </c>
      <c r="D4263">
        <v>0.80198283383513003</v>
      </c>
      <c r="E4263">
        <v>0.46369050886694602</v>
      </c>
      <c r="F4263">
        <v>0.151775584136531</v>
      </c>
      <c r="G4263">
        <v>0.122459694236269</v>
      </c>
      <c r="H4263">
        <v>8.1618865283178202E-2</v>
      </c>
      <c r="I4263">
        <v>8.0283122445563307E-2</v>
      </c>
      <c r="J4263">
        <v>5.9662228333939998E-2</v>
      </c>
      <c r="K4263">
        <v>4.7435683830087297E-2</v>
      </c>
      <c r="L4263">
        <v>1071.41319764748</v>
      </c>
      <c r="M4263">
        <v>21.884913151546598</v>
      </c>
      <c r="N4263">
        <v>49.244586712069903</v>
      </c>
      <c r="O4263">
        <v>48.553448444344603</v>
      </c>
      <c r="P4263">
        <v>-0.105920778389925</v>
      </c>
      <c r="Q4263">
        <v>6.00464137593507E-2</v>
      </c>
      <c r="R4263">
        <v>0.99553269771263797</v>
      </c>
      <c r="S4263" t="s">
        <v>10124</v>
      </c>
      <c r="T4263" t="s">
        <v>11720</v>
      </c>
      <c r="U4263" t="s">
        <v>11720</v>
      </c>
      <c r="V4263" t="s">
        <v>11720</v>
      </c>
      <c r="W4263" t="s">
        <v>15928</v>
      </c>
      <c r="X4263">
        <v>12</v>
      </c>
      <c r="Y4263" t="s">
        <v>21641</v>
      </c>
      <c r="Z4263" t="s">
        <v>27470</v>
      </c>
      <c r="AA4263">
        <v>0.35163036935112102</v>
      </c>
      <c r="AB4263" t="str">
        <f>HYPERLINK("Melting_Curves/meltCurve_Q8TDX7_NEK7.pdf", "Melting_Curves/meltCurve_Q8TDX7_NEK7.pdf")</f>
        <v>Melting_Curves/meltCurve_Q8TDX7_NEK7.pdf</v>
      </c>
    </row>
    <row r="4264" spans="1:28" x14ac:dyDescent="0.25">
      <c r="A4264" t="s">
        <v>4268</v>
      </c>
      <c r="B4264">
        <v>0.99334974765950101</v>
      </c>
      <c r="C4264">
        <v>0.672987956158967</v>
      </c>
      <c r="D4264">
        <v>0.398838835989208</v>
      </c>
      <c r="E4264">
        <v>0.209300812965688</v>
      </c>
      <c r="F4264">
        <v>0.13246889914214</v>
      </c>
      <c r="G4264">
        <v>8.6206707715299494E-2</v>
      </c>
      <c r="H4264">
        <v>7.9485008261154802E-2</v>
      </c>
      <c r="I4264">
        <v>4.6314326558866102E-2</v>
      </c>
      <c r="J4264">
        <v>4.1876803327577303E-2</v>
      </c>
      <c r="K4264">
        <v>2.69909192926138E-2</v>
      </c>
      <c r="L4264">
        <v>837.50227857943298</v>
      </c>
      <c r="M4264">
        <v>18.697445085306999</v>
      </c>
      <c r="N4264">
        <v>45.0893873846126</v>
      </c>
      <c r="O4264">
        <v>44.289395249198598</v>
      </c>
      <c r="P4264">
        <v>-9.9429549997272798E-2</v>
      </c>
      <c r="Q4264">
        <v>5.7948805772690001E-2</v>
      </c>
      <c r="R4264">
        <v>0.98678265884753702</v>
      </c>
      <c r="S4264" t="s">
        <v>10125</v>
      </c>
      <c r="T4264" t="s">
        <v>11720</v>
      </c>
      <c r="U4264" t="s">
        <v>11720</v>
      </c>
      <c r="V4264" t="s">
        <v>11720</v>
      </c>
      <c r="W4264" t="s">
        <v>15929</v>
      </c>
      <c r="X4264">
        <v>4</v>
      </c>
      <c r="Y4264" t="s">
        <v>21642</v>
      </c>
      <c r="Z4264" t="s">
        <v>27471</v>
      </c>
      <c r="AA4264">
        <v>0.22752991447173199</v>
      </c>
      <c r="AB4264" t="str">
        <f>HYPERLINK("Melting_Curves/meltCurve_Q8TDY4_3_ASAP3.pdf", "Melting_Curves/meltCurve_Q8TDY4_3_ASAP3.pdf")</f>
        <v>Melting_Curves/meltCurve_Q8TDY4_3_ASAP3.pdf</v>
      </c>
    </row>
    <row r="4265" spans="1:28" x14ac:dyDescent="0.25">
      <c r="A4265" t="s">
        <v>4269</v>
      </c>
      <c r="B4265">
        <v>0.99334974765950101</v>
      </c>
      <c r="C4265">
        <v>0.98178685965148105</v>
      </c>
      <c r="D4265">
        <v>0.98223839935227697</v>
      </c>
      <c r="E4265">
        <v>0.66512268020952703</v>
      </c>
      <c r="F4265">
        <v>0.19906944867323201</v>
      </c>
      <c r="G4265">
        <v>0.124396809822357</v>
      </c>
      <c r="H4265">
        <v>8.8481901052677697E-2</v>
      </c>
      <c r="I4265">
        <v>7.5668624682139904E-2</v>
      </c>
      <c r="J4265">
        <v>7.9734191244476005E-2</v>
      </c>
      <c r="K4265">
        <v>6.9471717043663103E-2</v>
      </c>
      <c r="L4265">
        <v>2140.6171822733399</v>
      </c>
      <c r="M4265">
        <v>42.273206835682601</v>
      </c>
      <c r="N4265">
        <v>50.861114629443101</v>
      </c>
      <c r="O4265">
        <v>50.5247631188778</v>
      </c>
      <c r="P4265">
        <v>-0.19144534970758401</v>
      </c>
      <c r="Q4265">
        <v>8.4742845622503504E-2</v>
      </c>
      <c r="R4265">
        <v>0.99890363378138902</v>
      </c>
      <c r="S4265" t="s">
        <v>10126</v>
      </c>
      <c r="T4265" t="s">
        <v>11720</v>
      </c>
      <c r="U4265" t="s">
        <v>11720</v>
      </c>
      <c r="V4265" t="s">
        <v>11720</v>
      </c>
      <c r="W4265" t="s">
        <v>15930</v>
      </c>
      <c r="X4265">
        <v>30</v>
      </c>
      <c r="Y4265" t="s">
        <v>21643</v>
      </c>
      <c r="Z4265" t="s">
        <v>27472</v>
      </c>
      <c r="AA4265">
        <v>0.41214945791797652</v>
      </c>
      <c r="AB4265" t="str">
        <f>HYPERLINK("Melting_Curves/meltCurve_Q8TDZ2_MICAL1.pdf", "Melting_Curves/meltCurve_Q8TDZ2_MICAL1.pdf")</f>
        <v>Melting_Curves/meltCurve_Q8TDZ2_MICAL1.pdf</v>
      </c>
    </row>
    <row r="4266" spans="1:28" x14ac:dyDescent="0.25">
      <c r="A4266" t="s">
        <v>4270</v>
      </c>
      <c r="B4266">
        <v>0.99334974765950101</v>
      </c>
      <c r="C4266">
        <v>0.97908123745669495</v>
      </c>
      <c r="D4266">
        <v>1.00130739503355</v>
      </c>
      <c r="E4266">
        <v>1.3376292641077501</v>
      </c>
      <c r="F4266">
        <v>3.2478306206012899</v>
      </c>
      <c r="G4266">
        <v>1.37354705150963</v>
      </c>
      <c r="H4266">
        <v>0.70819743179894901</v>
      </c>
      <c r="I4266">
        <v>0.42506558202650502</v>
      </c>
      <c r="J4266">
        <v>0.34269099167393502</v>
      </c>
      <c r="K4266">
        <v>0.29114037731082898</v>
      </c>
      <c r="L4266">
        <v>4578.9550775646103</v>
      </c>
      <c r="M4266">
        <v>74.745734679066302</v>
      </c>
      <c r="N4266">
        <v>62.2174785713934</v>
      </c>
      <c r="O4266">
        <v>61.216602388501698</v>
      </c>
      <c r="P4266">
        <v>-0.200963395436592</v>
      </c>
      <c r="Q4266">
        <v>0.34164558372985399</v>
      </c>
      <c r="R4266">
        <v>0.19571633816776199</v>
      </c>
      <c r="S4266" t="s">
        <v>10127</v>
      </c>
      <c r="T4266" t="s">
        <v>11720</v>
      </c>
      <c r="U4266" t="s">
        <v>11720</v>
      </c>
      <c r="V4266" t="s">
        <v>11720</v>
      </c>
      <c r="W4266" t="s">
        <v>15931</v>
      </c>
      <c r="X4266">
        <v>1</v>
      </c>
      <c r="Y4266" t="s">
        <v>21644</v>
      </c>
      <c r="Z4266" t="s">
        <v>27473</v>
      </c>
      <c r="AA4266">
        <v>0.80900008043714544</v>
      </c>
      <c r="AB4266" t="str">
        <f>HYPERLINK("Melting_Curves/meltCurve_Q8TE73_DNAH5.pdf", "Melting_Curves/meltCurve_Q8TE73_DNAH5.pdf")</f>
        <v>Melting_Curves/meltCurve_Q8TE73_DNAH5.pdf</v>
      </c>
    </row>
    <row r="4267" spans="1:28" x14ac:dyDescent="0.25">
      <c r="A4267" t="s">
        <v>4271</v>
      </c>
      <c r="B4267">
        <v>0.99334974765950101</v>
      </c>
      <c r="C4267">
        <v>0.89572472972384298</v>
      </c>
      <c r="D4267">
        <v>0.66196586027499105</v>
      </c>
      <c r="E4267">
        <v>0.28479324592557098</v>
      </c>
      <c r="F4267">
        <v>0.163123442895453</v>
      </c>
      <c r="G4267">
        <v>0.109307821525438</v>
      </c>
      <c r="H4267">
        <v>8.7145139182113696E-2</v>
      </c>
      <c r="I4267">
        <v>7.8752356940149107E-2</v>
      </c>
      <c r="J4267">
        <v>7.7817980257507205E-2</v>
      </c>
      <c r="K4267">
        <v>6.6080739258501997E-2</v>
      </c>
      <c r="L4267">
        <v>998.85563454722603</v>
      </c>
      <c r="M4267">
        <v>21.1752797944375</v>
      </c>
      <c r="N4267">
        <v>47.543453072895602</v>
      </c>
      <c r="O4267">
        <v>46.7561868721669</v>
      </c>
      <c r="P4267">
        <v>-0.104567614294614</v>
      </c>
      <c r="Q4267">
        <v>7.6459721470152994E-2</v>
      </c>
      <c r="R4267">
        <v>0.99958994611737095</v>
      </c>
      <c r="S4267" t="s">
        <v>10128</v>
      </c>
      <c r="T4267" t="s">
        <v>11720</v>
      </c>
      <c r="U4267" t="s">
        <v>11720</v>
      </c>
      <c r="V4267" t="s">
        <v>11720</v>
      </c>
      <c r="W4267" t="s">
        <v>15932</v>
      </c>
      <c r="X4267">
        <v>17</v>
      </c>
      <c r="Y4267" t="s">
        <v>21645</v>
      </c>
      <c r="Z4267" t="s">
        <v>27474</v>
      </c>
      <c r="AA4267">
        <v>0.30905810587672128</v>
      </c>
      <c r="AB4267" t="str">
        <f>HYPERLINK("Melting_Curves/meltCurve_Q8TE77_SSH3.pdf", "Melting_Curves/meltCurve_Q8TE77_SSH3.pdf")</f>
        <v>Melting_Curves/meltCurve_Q8TE77_SSH3.pdf</v>
      </c>
    </row>
    <row r="4268" spans="1:28" x14ac:dyDescent="0.25">
      <c r="A4268" t="s">
        <v>4272</v>
      </c>
      <c r="B4268">
        <v>0.99334974765950101</v>
      </c>
      <c r="C4268">
        <v>1.0328323972495299</v>
      </c>
      <c r="D4268">
        <v>0.86022946518005206</v>
      </c>
      <c r="E4268">
        <v>0.66493994063005202</v>
      </c>
      <c r="F4268">
        <v>0.39057324294741702</v>
      </c>
      <c r="G4268">
        <v>0.22373891863909401</v>
      </c>
      <c r="H4268">
        <v>0.19209052560079201</v>
      </c>
      <c r="I4268">
        <v>0.189809735043036</v>
      </c>
      <c r="J4268">
        <v>0.17070310688832099</v>
      </c>
      <c r="K4268">
        <v>0.120611925743556</v>
      </c>
      <c r="L4268">
        <v>1017.693527954</v>
      </c>
      <c r="M4268">
        <v>20.0578386127623</v>
      </c>
      <c r="N4268">
        <v>51.671299591636</v>
      </c>
      <c r="O4268">
        <v>50.2416836794375</v>
      </c>
      <c r="P4268">
        <v>-8.4641863464956293E-2</v>
      </c>
      <c r="Q4268">
        <v>0.151969743292345</v>
      </c>
      <c r="R4268">
        <v>0.99333813627724399</v>
      </c>
      <c r="S4268" t="s">
        <v>10129</v>
      </c>
      <c r="T4268" t="s">
        <v>11720</v>
      </c>
      <c r="U4268" t="s">
        <v>11720</v>
      </c>
      <c r="V4268" t="s">
        <v>11720</v>
      </c>
      <c r="W4268" t="s">
        <v>15933</v>
      </c>
      <c r="X4268">
        <v>3</v>
      </c>
      <c r="Y4268" t="s">
        <v>21646</v>
      </c>
      <c r="Z4268" t="s">
        <v>27475</v>
      </c>
      <c r="AA4268">
        <v>0.46722184984729481</v>
      </c>
      <c r="AB4268" t="str">
        <f>HYPERLINK("Melting_Curves/meltCurve_Q8TEA1_NSUN6.pdf", "Melting_Curves/meltCurve_Q8TEA1_NSUN6.pdf")</f>
        <v>Melting_Curves/meltCurve_Q8TEA1_NSUN6.pdf</v>
      </c>
    </row>
    <row r="4269" spans="1:28" x14ac:dyDescent="0.25">
      <c r="A4269" t="s">
        <v>4273</v>
      </c>
      <c r="B4269">
        <v>0.99334974765950101</v>
      </c>
      <c r="C4269">
        <v>0.95332150259555304</v>
      </c>
      <c r="D4269">
        <v>0.79849136356700301</v>
      </c>
      <c r="E4269">
        <v>0.86033373372624999</v>
      </c>
      <c r="F4269">
        <v>0.63038085236575903</v>
      </c>
      <c r="G4269">
        <v>0.47474579387223598</v>
      </c>
      <c r="H4269">
        <v>0.49439343945080599</v>
      </c>
      <c r="I4269">
        <v>0.64361915619314902</v>
      </c>
      <c r="J4269">
        <v>0.66843285969406097</v>
      </c>
      <c r="K4269">
        <v>0.48912220806975298</v>
      </c>
      <c r="L4269">
        <v>759.04652716153601</v>
      </c>
      <c r="M4269">
        <v>15.4911252689873</v>
      </c>
      <c r="O4269">
        <v>48.204053911529201</v>
      </c>
      <c r="P4269">
        <v>-3.65678453284689E-2</v>
      </c>
      <c r="Q4269">
        <v>0.54488485044008095</v>
      </c>
      <c r="R4269">
        <v>0.80288579127704696</v>
      </c>
      <c r="S4269" t="s">
        <v>10130</v>
      </c>
      <c r="T4269" t="s">
        <v>11720</v>
      </c>
      <c r="U4269" t="s">
        <v>11720</v>
      </c>
      <c r="V4269" t="s">
        <v>11720</v>
      </c>
      <c r="W4269" t="s">
        <v>15934</v>
      </c>
      <c r="X4269">
        <v>3</v>
      </c>
      <c r="Y4269" t="s">
        <v>21647</v>
      </c>
      <c r="Z4269" t="s">
        <v>27476</v>
      </c>
      <c r="AA4269">
        <v>0.69196946393503134</v>
      </c>
      <c r="AB4269" t="str">
        <f>HYPERLINK("Melting_Curves/meltCurve_Q8TEA8_DTD1.pdf", "Melting_Curves/meltCurve_Q8TEA8_DTD1.pdf")</f>
        <v>Melting_Curves/meltCurve_Q8TEA8_DTD1.pdf</v>
      </c>
    </row>
    <row r="4270" spans="1:28" x14ac:dyDescent="0.25">
      <c r="A4270" t="s">
        <v>4274</v>
      </c>
      <c r="B4270">
        <v>0.99334974765950101</v>
      </c>
      <c r="C4270">
        <v>0.93203416649554105</v>
      </c>
      <c r="D4270">
        <v>0.74897123599487003</v>
      </c>
      <c r="E4270">
        <v>0.49051704271407798</v>
      </c>
      <c r="F4270">
        <v>0.14929181351071799</v>
      </c>
      <c r="G4270">
        <v>9.3888974648916004E-2</v>
      </c>
      <c r="H4270">
        <v>6.7706922626731003E-2</v>
      </c>
      <c r="I4270">
        <v>6.3044593774708294E-2</v>
      </c>
      <c r="J4270">
        <v>6.1034359833994099E-2</v>
      </c>
      <c r="K4270">
        <v>5.0511564731621598E-2</v>
      </c>
      <c r="L4270">
        <v>949.21498935049704</v>
      </c>
      <c r="M4270">
        <v>19.413923129480199</v>
      </c>
      <c r="N4270">
        <v>49.126914807874897</v>
      </c>
      <c r="O4270">
        <v>48.383616953200097</v>
      </c>
      <c r="P4270">
        <v>-9.5896840331903294E-2</v>
      </c>
      <c r="Q4270">
        <v>4.4053983991465602E-2</v>
      </c>
      <c r="R4270">
        <v>0.99192164099918401</v>
      </c>
      <c r="S4270" t="s">
        <v>10131</v>
      </c>
      <c r="T4270" t="s">
        <v>11720</v>
      </c>
      <c r="U4270" t="s">
        <v>11720</v>
      </c>
      <c r="V4270" t="s">
        <v>11720</v>
      </c>
      <c r="W4270" t="s">
        <v>15935</v>
      </c>
      <c r="X4270">
        <v>10</v>
      </c>
      <c r="Y4270" t="s">
        <v>21648</v>
      </c>
      <c r="Z4270" t="s">
        <v>27477</v>
      </c>
      <c r="AA4270">
        <v>0.34168681031541742</v>
      </c>
      <c r="AB4270" t="str">
        <f>HYPERLINK("Melting_Curves/meltCurve_Q8TED1_GPX8.pdf", "Melting_Curves/meltCurve_Q8TED1_GPX8.pdf")</f>
        <v>Melting_Curves/meltCurve_Q8TED1_GPX8.pdf</v>
      </c>
    </row>
    <row r="4271" spans="1:28" x14ac:dyDescent="0.25">
      <c r="A4271" t="s">
        <v>4275</v>
      </c>
      <c r="B4271">
        <v>0.99334974765950101</v>
      </c>
      <c r="C4271">
        <v>0.79281254674506096</v>
      </c>
      <c r="D4271">
        <v>0.44350786118121199</v>
      </c>
      <c r="E4271">
        <v>0.26547103705189001</v>
      </c>
      <c r="F4271">
        <v>0.17457382002934899</v>
      </c>
      <c r="G4271">
        <v>0.134073843427403</v>
      </c>
      <c r="H4271">
        <v>0.10956025132722801</v>
      </c>
      <c r="I4271">
        <v>7.39404038696692E-2</v>
      </c>
      <c r="J4271">
        <v>7.0339038824323893E-2</v>
      </c>
      <c r="K4271">
        <v>6.5245928292049907E-2</v>
      </c>
      <c r="L4271">
        <v>876.56599725511205</v>
      </c>
      <c r="M4271">
        <v>19.285548822585799</v>
      </c>
      <c r="N4271">
        <v>45.936429652616901</v>
      </c>
      <c r="O4271">
        <v>44.971725487453298</v>
      </c>
      <c r="P4271">
        <v>-9.7347251770401197E-2</v>
      </c>
      <c r="Q4271">
        <v>9.2022863893244197E-2</v>
      </c>
      <c r="R4271">
        <v>0.98932489760064901</v>
      </c>
      <c r="S4271" t="s">
        <v>10132</v>
      </c>
      <c r="T4271" t="s">
        <v>11720</v>
      </c>
      <c r="U4271" t="s">
        <v>11720</v>
      </c>
      <c r="V4271" t="s">
        <v>11720</v>
      </c>
      <c r="W4271" t="s">
        <v>15936</v>
      </c>
      <c r="X4271">
        <v>4</v>
      </c>
      <c r="Y4271" t="s">
        <v>21649</v>
      </c>
      <c r="Z4271" t="s">
        <v>27478</v>
      </c>
      <c r="AA4271">
        <v>0.27299354501735362</v>
      </c>
      <c r="AB4271" t="str">
        <f>HYPERLINK("Melting_Curves/meltCurve_Q8TEJ3_SH3RF3.pdf", "Melting_Curves/meltCurve_Q8TEJ3_SH3RF3.pdf")</f>
        <v>Melting_Curves/meltCurve_Q8TEJ3_SH3RF3.pdf</v>
      </c>
    </row>
    <row r="4272" spans="1:28" x14ac:dyDescent="0.25">
      <c r="A4272" t="s">
        <v>4276</v>
      </c>
      <c r="B4272">
        <v>0.99334974765950101</v>
      </c>
      <c r="C4272">
        <v>1.0827837326238201</v>
      </c>
      <c r="D4272">
        <v>1.0648107837029299</v>
      </c>
      <c r="E4272">
        <v>0.89819671370825405</v>
      </c>
      <c r="F4272">
        <v>0.70115432833447799</v>
      </c>
      <c r="G4272">
        <v>0.473772535201752</v>
      </c>
      <c r="H4272">
        <v>0.29388766058434901</v>
      </c>
      <c r="I4272">
        <v>0.17042312212730701</v>
      </c>
      <c r="J4272">
        <v>0.184419546074782</v>
      </c>
      <c r="K4272">
        <v>0.15437673760201501</v>
      </c>
      <c r="L4272">
        <v>1033.2921433796</v>
      </c>
      <c r="M4272">
        <v>18.675666874592199</v>
      </c>
      <c r="N4272">
        <v>56.326652964067797</v>
      </c>
      <c r="O4272">
        <v>54.705591591386103</v>
      </c>
      <c r="P4272">
        <v>-7.3323699912526699E-2</v>
      </c>
      <c r="Q4272">
        <v>0.14090449254572501</v>
      </c>
      <c r="R4272">
        <v>0.98677975633038095</v>
      </c>
      <c r="S4272" t="s">
        <v>10133</v>
      </c>
      <c r="T4272" t="s">
        <v>11720</v>
      </c>
      <c r="U4272" t="s">
        <v>11720</v>
      </c>
      <c r="V4272" t="s">
        <v>11720</v>
      </c>
      <c r="W4272" t="s">
        <v>15937</v>
      </c>
      <c r="X4272">
        <v>1</v>
      </c>
      <c r="Y4272" t="s">
        <v>21650</v>
      </c>
      <c r="Z4272" t="s">
        <v>27479</v>
      </c>
      <c r="AA4272">
        <v>0.59233119644218202</v>
      </c>
      <c r="AB4272" t="str">
        <f>HYPERLINK("Melting_Curves/meltCurve_Q8TEQ6_GEMIN5.pdf", "Melting_Curves/meltCurve_Q8TEQ6_GEMIN5.pdf")</f>
        <v>Melting_Curves/meltCurve_Q8TEQ6_GEMIN5.pdf</v>
      </c>
    </row>
    <row r="4273" spans="1:28" x14ac:dyDescent="0.25">
      <c r="A4273" t="s">
        <v>4277</v>
      </c>
      <c r="B4273">
        <v>0.99334974765950101</v>
      </c>
      <c r="C4273">
        <v>0.96279934972218995</v>
      </c>
      <c r="D4273">
        <v>0.84999026626539198</v>
      </c>
      <c r="E4273">
        <v>0.78507346349255902</v>
      </c>
      <c r="F4273">
        <v>0.75206803943485201</v>
      </c>
      <c r="G4273">
        <v>0.43548051667091198</v>
      </c>
      <c r="H4273">
        <v>0.38659337984539399</v>
      </c>
      <c r="I4273">
        <v>0.27051433777158501</v>
      </c>
      <c r="J4273">
        <v>0.39560354383427399</v>
      </c>
      <c r="K4273">
        <v>0.25455229172336402</v>
      </c>
      <c r="L4273">
        <v>643.95216119173301</v>
      </c>
      <c r="M4273">
        <v>11.9149240668737</v>
      </c>
      <c r="N4273">
        <v>56.994592708831</v>
      </c>
      <c r="O4273">
        <v>52.590910168082203</v>
      </c>
      <c r="P4273">
        <v>-4.3619415049773E-2</v>
      </c>
      <c r="Q4273">
        <v>0.230069312747639</v>
      </c>
      <c r="R4273">
        <v>0.95906330535499096</v>
      </c>
      <c r="S4273" t="s">
        <v>10134</v>
      </c>
      <c r="T4273" t="s">
        <v>11720</v>
      </c>
      <c r="U4273" t="s">
        <v>11720</v>
      </c>
      <c r="V4273" t="s">
        <v>11720</v>
      </c>
      <c r="W4273" t="s">
        <v>15938</v>
      </c>
      <c r="X4273">
        <v>6</v>
      </c>
      <c r="Y4273" t="s">
        <v>21651</v>
      </c>
      <c r="Z4273" t="s">
        <v>27480</v>
      </c>
      <c r="AA4273">
        <v>0.61069715179299366</v>
      </c>
      <c r="AB4273" t="str">
        <f>HYPERLINK("Melting_Curves/meltCurve_Q8TEW8_5_PARD3B.pdf", "Melting_Curves/meltCurve_Q8TEW8_5_PARD3B.pdf")</f>
        <v>Melting_Curves/meltCurve_Q8TEW8_5_PARD3B.pdf</v>
      </c>
    </row>
    <row r="4274" spans="1:28" x14ac:dyDescent="0.25">
      <c r="A4274" t="s">
        <v>4278</v>
      </c>
      <c r="B4274">
        <v>0.99334974765950101</v>
      </c>
      <c r="C4274">
        <v>0.98972082779316894</v>
      </c>
      <c r="D4274">
        <v>1.0650011034804501</v>
      </c>
      <c r="E4274">
        <v>0.83511922384633197</v>
      </c>
      <c r="F4274">
        <v>0.33051846281333203</v>
      </c>
      <c r="G4274">
        <v>0.14036278668400701</v>
      </c>
      <c r="H4274">
        <v>8.0755619569467293E-2</v>
      </c>
      <c r="I4274">
        <v>5.9924378000736502E-2</v>
      </c>
      <c r="J4274">
        <v>5.3058444195343703E-2</v>
      </c>
      <c r="K4274">
        <v>4.7319772982568301E-2</v>
      </c>
      <c r="L4274">
        <v>2129.6898924727302</v>
      </c>
      <c r="M4274">
        <v>41.078212884223198</v>
      </c>
      <c r="N4274">
        <v>52.035834621754603</v>
      </c>
      <c r="O4274">
        <v>51.722341516701</v>
      </c>
      <c r="P4274">
        <v>-0.18465167509437899</v>
      </c>
      <c r="Q4274">
        <v>7.0008305597409198E-2</v>
      </c>
      <c r="R4274">
        <v>0.99537892666685401</v>
      </c>
      <c r="S4274" t="s">
        <v>10135</v>
      </c>
      <c r="T4274" t="s">
        <v>11720</v>
      </c>
      <c r="U4274" t="s">
        <v>11720</v>
      </c>
      <c r="V4274" t="s">
        <v>11720</v>
      </c>
      <c r="W4274" t="s">
        <v>15939</v>
      </c>
      <c r="X4274">
        <v>16</v>
      </c>
      <c r="Y4274" t="s">
        <v>21652</v>
      </c>
      <c r="Z4274" t="s">
        <v>27481</v>
      </c>
      <c r="AA4274">
        <v>0.44035031440285372</v>
      </c>
      <c r="AB4274" t="str">
        <f>HYPERLINK("Melting_Curves/meltCurve_Q8TEX9_IPO4.pdf", "Melting_Curves/meltCurve_Q8TEX9_IPO4.pdf")</f>
        <v>Melting_Curves/meltCurve_Q8TEX9_IPO4.pdf</v>
      </c>
    </row>
    <row r="4275" spans="1:28" x14ac:dyDescent="0.25">
      <c r="A4275" t="s">
        <v>4279</v>
      </c>
      <c r="B4275">
        <v>0.99334974765950101</v>
      </c>
      <c r="C4275">
        <v>0.97539589522066605</v>
      </c>
      <c r="D4275">
        <v>1.0441817638972599</v>
      </c>
      <c r="E4275">
        <v>0.94780785475162899</v>
      </c>
      <c r="F4275">
        <v>1.1365278118203701</v>
      </c>
      <c r="G4275">
        <v>0.76224679005332396</v>
      </c>
      <c r="H4275">
        <v>0.55994539266881704</v>
      </c>
      <c r="I4275">
        <v>0.72889047251240202</v>
      </c>
      <c r="J4275">
        <v>0.72103665510578496</v>
      </c>
      <c r="K4275">
        <v>0.59410641247276497</v>
      </c>
      <c r="L4275">
        <v>14206.7122138172</v>
      </c>
      <c r="M4275">
        <v>250</v>
      </c>
      <c r="O4275">
        <v>56.823213695962401</v>
      </c>
      <c r="P4275">
        <v>-0.38387180857789799</v>
      </c>
      <c r="Q4275">
        <v>0.65099473192382995</v>
      </c>
      <c r="R4275">
        <v>0.86878786642952999</v>
      </c>
      <c r="S4275" t="s">
        <v>10136</v>
      </c>
      <c r="T4275" t="s">
        <v>11720</v>
      </c>
      <c r="U4275" t="s">
        <v>11720</v>
      </c>
      <c r="V4275" t="s">
        <v>11720</v>
      </c>
      <c r="W4275" t="s">
        <v>15940</v>
      </c>
      <c r="X4275">
        <v>4</v>
      </c>
      <c r="Y4275" t="s">
        <v>21653</v>
      </c>
      <c r="Z4275" t="s">
        <v>27482</v>
      </c>
      <c r="AA4275">
        <v>0.84678483482168576</v>
      </c>
      <c r="AB4275" t="str">
        <f>HYPERLINK("Melting_Curves/meltCurve_Q8TF01_PNISR.pdf", "Melting_Curves/meltCurve_Q8TF01_PNISR.pdf")</f>
        <v>Melting_Curves/meltCurve_Q8TF01_PNISR.pdf</v>
      </c>
    </row>
    <row r="4276" spans="1:28" x14ac:dyDescent="0.25">
      <c r="A4276" t="s">
        <v>4280</v>
      </c>
      <c r="B4276">
        <v>0.99334974765950101</v>
      </c>
      <c r="C4276">
        <v>1.04523111984274</v>
      </c>
      <c r="D4276">
        <v>0.99447186900302897</v>
      </c>
      <c r="E4276">
        <v>0.85868801674283401</v>
      </c>
      <c r="F4276">
        <v>0.29431502445882002</v>
      </c>
      <c r="G4276">
        <v>0.17253210485555801</v>
      </c>
      <c r="H4276">
        <v>0.11636132030789401</v>
      </c>
      <c r="I4276">
        <v>0.12731332850046501</v>
      </c>
      <c r="J4276">
        <v>0.11531015482438101</v>
      </c>
      <c r="K4276">
        <v>0.102600272079345</v>
      </c>
      <c r="L4276">
        <v>2670.8868490432601</v>
      </c>
      <c r="M4276">
        <v>51.791846164099702</v>
      </c>
      <c r="N4276">
        <v>51.857389317583497</v>
      </c>
      <c r="O4276">
        <v>51.492914839916402</v>
      </c>
      <c r="P4276">
        <v>-0.22004794346758599</v>
      </c>
      <c r="Q4276">
        <v>0.124888900381334</v>
      </c>
      <c r="R4276">
        <v>0.997267039429514</v>
      </c>
      <c r="S4276" t="s">
        <v>10137</v>
      </c>
      <c r="T4276" t="s">
        <v>11720</v>
      </c>
      <c r="U4276" t="s">
        <v>11720</v>
      </c>
      <c r="V4276" t="s">
        <v>11720</v>
      </c>
      <c r="W4276" t="s">
        <v>15941</v>
      </c>
      <c r="X4276">
        <v>19</v>
      </c>
      <c r="Y4276" t="s">
        <v>21654</v>
      </c>
      <c r="Z4276" t="s">
        <v>27483</v>
      </c>
      <c r="AA4276">
        <v>0.46423410749891708</v>
      </c>
      <c r="AB4276" t="str">
        <f>HYPERLINK("Melting_Curves/meltCurve_Q8TF05_2_PPP4R1.pdf", "Melting_Curves/meltCurve_Q8TF05_2_PPP4R1.pdf")</f>
        <v>Melting_Curves/meltCurve_Q8TF05_2_PPP4R1.pdf</v>
      </c>
    </row>
    <row r="4277" spans="1:28" x14ac:dyDescent="0.25">
      <c r="A4277" t="s">
        <v>4281</v>
      </c>
      <c r="B4277">
        <v>0.99334974765950101</v>
      </c>
      <c r="C4277">
        <v>1.01174754768613</v>
      </c>
      <c r="D4277">
        <v>0.84921900871354605</v>
      </c>
      <c r="E4277">
        <v>0.45619471207976298</v>
      </c>
      <c r="F4277">
        <v>0.31820106152900601</v>
      </c>
      <c r="G4277">
        <v>0.19126976729018899</v>
      </c>
      <c r="H4277">
        <v>0.17694214066297501</v>
      </c>
      <c r="I4277">
        <v>0.15703111192070199</v>
      </c>
      <c r="J4277">
        <v>0.185284235993317</v>
      </c>
      <c r="K4277">
        <v>0.11590289887378601</v>
      </c>
      <c r="L4277">
        <v>1135.0929068458499</v>
      </c>
      <c r="M4277">
        <v>23.171421012292502</v>
      </c>
      <c r="N4277">
        <v>49.810557567818798</v>
      </c>
      <c r="O4277">
        <v>48.626275348948901</v>
      </c>
      <c r="P4277">
        <v>-0.100170198274366</v>
      </c>
      <c r="Q4277">
        <v>0.15916842147449001</v>
      </c>
      <c r="R4277">
        <v>0.99468524628226695</v>
      </c>
      <c r="S4277" t="s">
        <v>10138</v>
      </c>
      <c r="T4277" t="s">
        <v>11720</v>
      </c>
      <c r="U4277" t="s">
        <v>11720</v>
      </c>
      <c r="V4277" t="s">
        <v>11720</v>
      </c>
      <c r="W4277" t="s">
        <v>15942</v>
      </c>
      <c r="X4277">
        <v>4</v>
      </c>
      <c r="Y4277" t="s">
        <v>21655</v>
      </c>
      <c r="Z4277" t="s">
        <v>27484</v>
      </c>
      <c r="AA4277">
        <v>0.4197595374166167</v>
      </c>
      <c r="AB4277" t="str">
        <f>HYPERLINK("Melting_Curves/meltCurve_Q8TF42_UBASH3B.pdf", "Melting_Curves/meltCurve_Q8TF42_UBASH3B.pdf")</f>
        <v>Melting_Curves/meltCurve_Q8TF42_UBASH3B.pdf</v>
      </c>
    </row>
    <row r="4278" spans="1:28" x14ac:dyDescent="0.25">
      <c r="A4278" t="s">
        <v>4282</v>
      </c>
      <c r="B4278">
        <v>0.99334974765950101</v>
      </c>
      <c r="C4278">
        <v>0.92530384850108904</v>
      </c>
      <c r="D4278">
        <v>0.934871005378478</v>
      </c>
      <c r="E4278">
        <v>0.86925778218263305</v>
      </c>
      <c r="F4278">
        <v>0.62496886250714101</v>
      </c>
      <c r="G4278">
        <v>0.34157550349581001</v>
      </c>
      <c r="H4278">
        <v>0.158171664889598</v>
      </c>
      <c r="I4278">
        <v>0.13808092392416901</v>
      </c>
      <c r="J4278">
        <v>8.8351827764089993E-2</v>
      </c>
      <c r="K4278">
        <v>7.1558290611501096E-2</v>
      </c>
      <c r="L4278">
        <v>988.66683967398296</v>
      </c>
      <c r="M4278">
        <v>18.201749178527301</v>
      </c>
      <c r="N4278">
        <v>54.707821718171701</v>
      </c>
      <c r="O4278">
        <v>53.674253807585401</v>
      </c>
      <c r="P4278">
        <v>-7.9615717606761796E-2</v>
      </c>
      <c r="Q4278">
        <v>6.0945027790004998E-2</v>
      </c>
      <c r="R4278">
        <v>0.99474662806194003</v>
      </c>
      <c r="S4278" t="s">
        <v>10139</v>
      </c>
      <c r="T4278" t="s">
        <v>11720</v>
      </c>
      <c r="U4278" t="s">
        <v>11720</v>
      </c>
      <c r="V4278" t="s">
        <v>11720</v>
      </c>
      <c r="W4278" t="s">
        <v>15943</v>
      </c>
      <c r="X4278">
        <v>12</v>
      </c>
      <c r="Y4278" t="s">
        <v>21656</v>
      </c>
      <c r="Z4278" t="s">
        <v>27485</v>
      </c>
      <c r="AA4278">
        <v>0.52374383560366355</v>
      </c>
      <c r="AB4278" t="str">
        <f>HYPERLINK("Melting_Curves/meltCurve_Q8TF66_LRRC15.pdf", "Melting_Curves/meltCurve_Q8TF66_LRRC15.pdf")</f>
        <v>Melting_Curves/meltCurve_Q8TF66_LRRC15.pdf</v>
      </c>
    </row>
    <row r="4279" spans="1:28" x14ac:dyDescent="0.25">
      <c r="A4279" t="s">
        <v>4283</v>
      </c>
      <c r="B4279">
        <v>0.99334974765950101</v>
      </c>
      <c r="C4279">
        <v>1.0450841857820901</v>
      </c>
      <c r="D4279">
        <v>0.90803346007168695</v>
      </c>
      <c r="E4279">
        <v>0.67518311645744</v>
      </c>
      <c r="F4279">
        <v>0.93273534757785004</v>
      </c>
      <c r="G4279">
        <v>0.75950665578731502</v>
      </c>
      <c r="H4279">
        <v>1.0530464655585801</v>
      </c>
      <c r="I4279">
        <v>0.71680906238583297</v>
      </c>
      <c r="J4279">
        <v>1.3105872471017701</v>
      </c>
      <c r="K4279">
        <v>0.70957311485909802</v>
      </c>
      <c r="L4279">
        <v>11445.9468166475</v>
      </c>
      <c r="M4279">
        <v>250</v>
      </c>
      <c r="O4279">
        <v>45.780857266321703</v>
      </c>
      <c r="P4279">
        <v>-0.16432300809522099</v>
      </c>
      <c r="Q4279">
        <v>0.87963442890199905</v>
      </c>
      <c r="R4279">
        <v>8.17150504196478E-2</v>
      </c>
      <c r="S4279" t="s">
        <v>10140</v>
      </c>
      <c r="T4279" t="s">
        <v>11720</v>
      </c>
      <c r="U4279" t="s">
        <v>11720</v>
      </c>
      <c r="V4279" t="s">
        <v>11720</v>
      </c>
      <c r="W4279" t="s">
        <v>15944</v>
      </c>
      <c r="X4279">
        <v>8</v>
      </c>
      <c r="Y4279" t="s">
        <v>21657</v>
      </c>
      <c r="Z4279" t="s">
        <v>27486</v>
      </c>
      <c r="AA4279">
        <v>0.90284972883741732</v>
      </c>
      <c r="AB4279" t="str">
        <f>HYPERLINK("Melting_Curves/meltCurve_Q8TF72_SHROOM3.pdf", "Melting_Curves/meltCurve_Q8TF72_SHROOM3.pdf")</f>
        <v>Melting_Curves/meltCurve_Q8TF72_SHROOM3.pdf</v>
      </c>
    </row>
    <row r="4280" spans="1:28" x14ac:dyDescent="0.25">
      <c r="A4280" t="s">
        <v>4284</v>
      </c>
      <c r="B4280">
        <v>0.99334974765950101</v>
      </c>
      <c r="C4280">
        <v>0.96128203749388097</v>
      </c>
      <c r="D4280">
        <v>0.933386617370766</v>
      </c>
      <c r="E4280">
        <v>0.80691075526073897</v>
      </c>
      <c r="F4280">
        <v>0.68127820489003799</v>
      </c>
      <c r="G4280">
        <v>0.52497921929901703</v>
      </c>
      <c r="H4280">
        <v>0.43155349608919402</v>
      </c>
      <c r="I4280">
        <v>0.49941982143659103</v>
      </c>
      <c r="J4280">
        <v>0.54688858847424704</v>
      </c>
      <c r="K4280">
        <v>0.60327240348562805</v>
      </c>
      <c r="L4280">
        <v>1156.26459873313</v>
      </c>
      <c r="M4280">
        <v>22.734094655897302</v>
      </c>
      <c r="O4280">
        <v>50.471752468138497</v>
      </c>
      <c r="P4280">
        <v>-5.4682905121444303E-2</v>
      </c>
      <c r="Q4280">
        <v>0.51440547797571801</v>
      </c>
      <c r="R4280">
        <v>0.94666513036001598</v>
      </c>
      <c r="S4280" t="s">
        <v>10141</v>
      </c>
      <c r="T4280" t="s">
        <v>11720</v>
      </c>
      <c r="U4280" t="s">
        <v>11720</v>
      </c>
      <c r="V4280" t="s">
        <v>11720</v>
      </c>
      <c r="W4280" t="s">
        <v>15945</v>
      </c>
      <c r="X4280">
        <v>11</v>
      </c>
      <c r="Y4280" t="s">
        <v>21658</v>
      </c>
      <c r="Z4280" t="s">
        <v>27487</v>
      </c>
      <c r="AA4280">
        <v>0.69547296862588981</v>
      </c>
      <c r="AB4280" t="str">
        <f>HYPERLINK("Melting_Curves/meltCurve_Q8TF74_WIPF2.pdf", "Melting_Curves/meltCurve_Q8TF74_WIPF2.pdf")</f>
        <v>Melting_Curves/meltCurve_Q8TF74_WIPF2.pdf</v>
      </c>
    </row>
    <row r="4281" spans="1:28" x14ac:dyDescent="0.25">
      <c r="A4281" t="s">
        <v>4285</v>
      </c>
      <c r="B4281">
        <v>0.99334974765950101</v>
      </c>
      <c r="C4281">
        <v>0.83508003827126498</v>
      </c>
      <c r="D4281">
        <v>0.67152853268264201</v>
      </c>
      <c r="E4281">
        <v>0.23946184953289401</v>
      </c>
      <c r="F4281">
        <v>0.13290321287805201</v>
      </c>
      <c r="G4281">
        <v>8.4075250513706401E-2</v>
      </c>
      <c r="H4281">
        <v>5.3570568281364202E-2</v>
      </c>
      <c r="I4281">
        <v>3.77802477270332E-2</v>
      </c>
      <c r="J4281">
        <v>2.3476281458981899E-2</v>
      </c>
      <c r="K4281">
        <v>1.2144542742645601E-2</v>
      </c>
      <c r="L4281">
        <v>924.97776090916102</v>
      </c>
      <c r="M4281">
        <v>19.6068251972967</v>
      </c>
      <c r="N4281">
        <v>47.321101319445603</v>
      </c>
      <c r="O4281">
        <v>46.693787718987998</v>
      </c>
      <c r="P4281">
        <v>-0.10192304052613101</v>
      </c>
      <c r="Q4281">
        <v>2.91125225871928E-2</v>
      </c>
      <c r="R4281">
        <v>0.99532475489570404</v>
      </c>
      <c r="S4281" t="s">
        <v>10142</v>
      </c>
      <c r="T4281" t="s">
        <v>11720</v>
      </c>
      <c r="U4281" t="s">
        <v>11720</v>
      </c>
      <c r="V4281" t="s">
        <v>11720</v>
      </c>
      <c r="W4281" t="s">
        <v>15946</v>
      </c>
      <c r="X4281">
        <v>4</v>
      </c>
      <c r="Y4281" t="s">
        <v>21659</v>
      </c>
      <c r="Z4281" t="s">
        <v>27488</v>
      </c>
      <c r="AA4281">
        <v>0.27610515540339681</v>
      </c>
      <c r="AB4281" t="str">
        <f>HYPERLINK("Melting_Curves/meltCurve_Q8WTS1_ABHD5.pdf", "Melting_Curves/meltCurve_Q8WTS1_ABHD5.pdf")</f>
        <v>Melting_Curves/meltCurve_Q8WTS1_ABHD5.pdf</v>
      </c>
    </row>
    <row r="4282" spans="1:28" x14ac:dyDescent="0.25">
      <c r="A4282" t="s">
        <v>4286</v>
      </c>
      <c r="B4282">
        <v>0.99334974765950101</v>
      </c>
      <c r="C4282">
        <v>0.91601089805842395</v>
      </c>
      <c r="D4282">
        <v>0.84252357484295104</v>
      </c>
      <c r="E4282">
        <v>0.31032503206192702</v>
      </c>
      <c r="F4282">
        <v>0.30713112140178001</v>
      </c>
      <c r="G4282">
        <v>0.21651039182200099</v>
      </c>
      <c r="H4282">
        <v>0.22522656901008301</v>
      </c>
      <c r="I4282">
        <v>0.247093884993667</v>
      </c>
      <c r="J4282">
        <v>0.260096237556799</v>
      </c>
      <c r="K4282">
        <v>0.24512016449051899</v>
      </c>
      <c r="L4282">
        <v>1882.1186398080499</v>
      </c>
      <c r="M4282">
        <v>39.692819280067098</v>
      </c>
      <c r="N4282">
        <v>48.236612805042697</v>
      </c>
      <c r="O4282">
        <v>47.297227680684699</v>
      </c>
      <c r="P4282">
        <v>-0.15834933190478701</v>
      </c>
      <c r="Q4282">
        <v>0.24525707966631699</v>
      </c>
      <c r="R4282">
        <v>0.98923472074378904</v>
      </c>
      <c r="S4282" t="s">
        <v>10143</v>
      </c>
      <c r="T4282" t="s">
        <v>11720</v>
      </c>
      <c r="U4282" t="s">
        <v>11720</v>
      </c>
      <c r="V4282" t="s">
        <v>11720</v>
      </c>
      <c r="W4282" t="s">
        <v>15947</v>
      </c>
      <c r="X4282">
        <v>8</v>
      </c>
      <c r="Y4282" t="s">
        <v>21660</v>
      </c>
      <c r="Z4282" t="s">
        <v>27489</v>
      </c>
      <c r="AA4282">
        <v>0.43438348773865842</v>
      </c>
      <c r="AB4282" t="str">
        <f>HYPERLINK("Melting_Curves/meltCurve_Q8WTS6_SETD7.pdf", "Melting_Curves/meltCurve_Q8WTS6_SETD7.pdf")</f>
        <v>Melting_Curves/meltCurve_Q8WTS6_SETD7.pdf</v>
      </c>
    </row>
    <row r="4283" spans="1:28" x14ac:dyDescent="0.25">
      <c r="A4283" t="s">
        <v>4287</v>
      </c>
      <c r="B4283">
        <v>0.99334974765950101</v>
      </c>
      <c r="C4283">
        <v>0.95439204978123404</v>
      </c>
      <c r="D4283">
        <v>0.77898244746671497</v>
      </c>
      <c r="E4283">
        <v>0.60123610121054005</v>
      </c>
      <c r="F4283">
        <v>0.40547875778201897</v>
      </c>
      <c r="G4283">
        <v>0.21666487743578799</v>
      </c>
      <c r="H4283">
        <v>0.184608101489044</v>
      </c>
      <c r="I4283">
        <v>0.153887151196309</v>
      </c>
      <c r="J4283">
        <v>0.18055034795799199</v>
      </c>
      <c r="K4283">
        <v>0.139340826277108</v>
      </c>
      <c r="L4283">
        <v>757.228792561658</v>
      </c>
      <c r="M4283">
        <v>15.1144977678121</v>
      </c>
      <c r="N4283">
        <v>51.131210569536798</v>
      </c>
      <c r="O4283">
        <v>49.247056626773002</v>
      </c>
      <c r="P4283">
        <v>-6.6650185624157393E-2</v>
      </c>
      <c r="Q4283">
        <v>0.13142903508159501</v>
      </c>
      <c r="R4283">
        <v>0.99493356346095896</v>
      </c>
      <c r="S4283" t="s">
        <v>10144</v>
      </c>
      <c r="T4283" t="s">
        <v>11720</v>
      </c>
      <c r="U4283" t="s">
        <v>11720</v>
      </c>
      <c r="V4283" t="s">
        <v>11720</v>
      </c>
      <c r="W4283" t="s">
        <v>15948</v>
      </c>
      <c r="X4283">
        <v>5</v>
      </c>
      <c r="Y4283" t="s">
        <v>21661</v>
      </c>
      <c r="Z4283" t="s">
        <v>27490</v>
      </c>
      <c r="AA4283">
        <v>0.4442046001940424</v>
      </c>
      <c r="AB4283" t="str">
        <f>HYPERLINK("Melting_Curves/meltCurve_Q8WU10_PYROXD1.pdf", "Melting_Curves/meltCurve_Q8WU10_PYROXD1.pdf")</f>
        <v>Melting_Curves/meltCurve_Q8WU10_PYROXD1.pdf</v>
      </c>
    </row>
    <row r="4284" spans="1:28" x14ac:dyDescent="0.25">
      <c r="A4284" t="s">
        <v>4288</v>
      </c>
      <c r="B4284">
        <v>0.99334974765950101</v>
      </c>
      <c r="C4284">
        <v>0.99354116599379005</v>
      </c>
      <c r="D4284">
        <v>0.97541105491667801</v>
      </c>
      <c r="E4284">
        <v>0.96548031532459799</v>
      </c>
      <c r="F4284">
        <v>1.2793719594216599</v>
      </c>
      <c r="G4284">
        <v>0.808647126505745</v>
      </c>
      <c r="H4284">
        <v>0.73879180771061004</v>
      </c>
      <c r="I4284">
        <v>0.55727864010130501</v>
      </c>
      <c r="J4284">
        <v>0.44330625358565401</v>
      </c>
      <c r="K4284">
        <v>0.38621082524832601</v>
      </c>
      <c r="L4284">
        <v>1442.6798891685901</v>
      </c>
      <c r="M4284">
        <v>23.392190627727299</v>
      </c>
      <c r="N4284">
        <v>65.141116729073701</v>
      </c>
      <c r="O4284">
        <v>61.228155279685502</v>
      </c>
      <c r="P4284">
        <v>-6.1505617887759899E-2</v>
      </c>
      <c r="Q4284">
        <v>0.35605699838069699</v>
      </c>
      <c r="R4284">
        <v>0.86157301499112804</v>
      </c>
      <c r="S4284" t="s">
        <v>10145</v>
      </c>
      <c r="T4284" t="s">
        <v>11720</v>
      </c>
      <c r="U4284" t="s">
        <v>11720</v>
      </c>
      <c r="V4284" t="s">
        <v>11720</v>
      </c>
      <c r="W4284" t="s">
        <v>15949</v>
      </c>
      <c r="X4284">
        <v>2</v>
      </c>
      <c r="Y4284" t="s">
        <v>21662</v>
      </c>
      <c r="Z4284" t="s">
        <v>27491</v>
      </c>
      <c r="AA4284">
        <v>0.82455938604683487</v>
      </c>
      <c r="AB4284" t="str">
        <f>HYPERLINK("Melting_Curves/meltCurve_Q8WU17_RNF139.pdf", "Melting_Curves/meltCurve_Q8WU17_RNF139.pdf")</f>
        <v>Melting_Curves/meltCurve_Q8WU17_RNF139.pdf</v>
      </c>
    </row>
    <row r="4285" spans="1:28" x14ac:dyDescent="0.25">
      <c r="A4285" t="s">
        <v>4289</v>
      </c>
      <c r="B4285">
        <v>0.99334974765950101</v>
      </c>
      <c r="C4285">
        <v>0.96024113614787199</v>
      </c>
      <c r="D4285">
        <v>0.87084344540052905</v>
      </c>
      <c r="E4285">
        <v>0.88551850617922701</v>
      </c>
      <c r="F4285">
        <v>0.52821325815977505</v>
      </c>
      <c r="G4285">
        <v>0.24903124659304199</v>
      </c>
      <c r="H4285">
        <v>0.16086580319435001</v>
      </c>
      <c r="I4285">
        <v>0.129269915509167</v>
      </c>
      <c r="J4285">
        <v>0.114898934523697</v>
      </c>
      <c r="K4285">
        <v>8.1121497177362098E-2</v>
      </c>
      <c r="L4285">
        <v>1242.8909248642301</v>
      </c>
      <c r="M4285">
        <v>23.430258510787301</v>
      </c>
      <c r="N4285">
        <v>53.574376429386</v>
      </c>
      <c r="O4285">
        <v>52.664521555269502</v>
      </c>
      <c r="P4285">
        <v>-9.9759498535197097E-2</v>
      </c>
      <c r="Q4285">
        <v>0.103092303520315</v>
      </c>
      <c r="R4285">
        <v>0.98717315285609897</v>
      </c>
      <c r="S4285" t="s">
        <v>10146</v>
      </c>
      <c r="T4285" t="s">
        <v>11720</v>
      </c>
      <c r="U4285" t="s">
        <v>11720</v>
      </c>
      <c r="V4285" t="s">
        <v>11720</v>
      </c>
      <c r="W4285" t="s">
        <v>15950</v>
      </c>
      <c r="X4285">
        <v>4</v>
      </c>
      <c r="Y4285" t="s">
        <v>21663</v>
      </c>
      <c r="Z4285" t="s">
        <v>27492</v>
      </c>
      <c r="AA4285">
        <v>0.50245598321596285</v>
      </c>
      <c r="AB4285" t="str">
        <f>HYPERLINK("Melting_Curves/meltCurve_Q8WU76_2_SCFD2.pdf", "Melting_Curves/meltCurve_Q8WU76_2_SCFD2.pdf")</f>
        <v>Melting_Curves/meltCurve_Q8WU76_2_SCFD2.pdf</v>
      </c>
    </row>
    <row r="4286" spans="1:28" x14ac:dyDescent="0.25">
      <c r="A4286" t="s">
        <v>4290</v>
      </c>
      <c r="B4286">
        <v>0.99334974765950101</v>
      </c>
      <c r="C4286">
        <v>0.918312468200985</v>
      </c>
      <c r="D4286">
        <v>0.67808080199702503</v>
      </c>
      <c r="E4286">
        <v>0.36633910157819699</v>
      </c>
      <c r="F4286">
        <v>0.232450520162821</v>
      </c>
      <c r="G4286">
        <v>0.17092762587535201</v>
      </c>
      <c r="H4286">
        <v>0.14797855235858601</v>
      </c>
      <c r="I4286">
        <v>0.138402999022639</v>
      </c>
      <c r="J4286">
        <v>0.13375629872797901</v>
      </c>
      <c r="K4286">
        <v>8.9281109813696302E-2</v>
      </c>
      <c r="L4286">
        <v>914.16682991663799</v>
      </c>
      <c r="M4286">
        <v>19.255571508338399</v>
      </c>
      <c r="N4286">
        <v>48.1947322602431</v>
      </c>
      <c r="O4286">
        <v>46.972277164161</v>
      </c>
      <c r="P4286">
        <v>-8.9688406952543598E-2</v>
      </c>
      <c r="Q4286">
        <v>0.124884760029548</v>
      </c>
      <c r="R4286">
        <v>0.99758092806680798</v>
      </c>
      <c r="S4286" t="s">
        <v>10147</v>
      </c>
      <c r="T4286" t="s">
        <v>11720</v>
      </c>
      <c r="U4286" t="s">
        <v>11720</v>
      </c>
      <c r="V4286" t="s">
        <v>11720</v>
      </c>
      <c r="W4286" t="s">
        <v>15951</v>
      </c>
      <c r="X4286">
        <v>8</v>
      </c>
      <c r="Y4286" t="s">
        <v>21664</v>
      </c>
      <c r="Z4286" t="s">
        <v>27493</v>
      </c>
      <c r="AA4286">
        <v>0.35662602279954458</v>
      </c>
      <c r="AB4286" t="str">
        <f>HYPERLINK("Melting_Curves/meltCurve_Q8WU79_2_SMAP2.pdf", "Melting_Curves/meltCurve_Q8WU79_2_SMAP2.pdf")</f>
        <v>Melting_Curves/meltCurve_Q8WU79_2_SMAP2.pdf</v>
      </c>
    </row>
    <row r="4287" spans="1:28" x14ac:dyDescent="0.25">
      <c r="A4287" t="s">
        <v>4291</v>
      </c>
      <c r="B4287">
        <v>0.99334974765950101</v>
      </c>
      <c r="C4287">
        <v>1.0067301256346699</v>
      </c>
      <c r="D4287">
        <v>0.95400612689009201</v>
      </c>
      <c r="E4287">
        <v>0.71072034054197597</v>
      </c>
      <c r="F4287">
        <v>0.61885743727088105</v>
      </c>
      <c r="G4287">
        <v>0.32739225340900602</v>
      </c>
      <c r="H4287">
        <v>0.30142477487340802</v>
      </c>
      <c r="I4287">
        <v>0.32860141029738399</v>
      </c>
      <c r="J4287">
        <v>0.33861396495378898</v>
      </c>
      <c r="K4287">
        <v>0.34874922378451501</v>
      </c>
      <c r="L4287">
        <v>1101.2616973965501</v>
      </c>
      <c r="M4287">
        <v>21.441337545326601</v>
      </c>
      <c r="N4287">
        <v>53.849776518492199</v>
      </c>
      <c r="O4287">
        <v>50.921105199517001</v>
      </c>
      <c r="P4287">
        <v>-7.2179107451183194E-2</v>
      </c>
      <c r="Q4287">
        <v>0.31434334080769299</v>
      </c>
      <c r="R4287">
        <v>0.98344804786957096</v>
      </c>
      <c r="S4287" t="s">
        <v>10148</v>
      </c>
      <c r="T4287" t="s">
        <v>11720</v>
      </c>
      <c r="U4287" t="s">
        <v>11720</v>
      </c>
      <c r="V4287" t="s">
        <v>11720</v>
      </c>
      <c r="W4287" t="s">
        <v>15952</v>
      </c>
      <c r="X4287">
        <v>2</v>
      </c>
      <c r="Y4287" t="s">
        <v>21665</v>
      </c>
      <c r="Z4287" t="s">
        <v>27494</v>
      </c>
      <c r="AA4287">
        <v>0.58236756893172859</v>
      </c>
      <c r="AB4287" t="str">
        <f>HYPERLINK("Melting_Curves/meltCurve_Q8WU90_ZC3H15.pdf", "Melting_Curves/meltCurve_Q8WU90_ZC3H15.pdf")</f>
        <v>Melting_Curves/meltCurve_Q8WU90_ZC3H15.pdf</v>
      </c>
    </row>
    <row r="4288" spans="1:28" x14ac:dyDescent="0.25">
      <c r="A4288" t="s">
        <v>4292</v>
      </c>
      <c r="B4288">
        <v>0.99334974765950101</v>
      </c>
      <c r="C4288">
        <v>0.99407266215009404</v>
      </c>
      <c r="D4288">
        <v>0.84905594370745996</v>
      </c>
      <c r="E4288">
        <v>0.55649084911827795</v>
      </c>
      <c r="F4288">
        <v>0.37339769916329502</v>
      </c>
      <c r="G4288">
        <v>0.20138616854535599</v>
      </c>
      <c r="H4288">
        <v>0.16827659550152199</v>
      </c>
      <c r="I4288">
        <v>0.14092247642651001</v>
      </c>
      <c r="J4288">
        <v>0.15679132566596299</v>
      </c>
      <c r="K4288">
        <v>0.129228866449837</v>
      </c>
      <c r="L4288">
        <v>941.421329868371</v>
      </c>
      <c r="M4288">
        <v>18.8328491811242</v>
      </c>
      <c r="N4288">
        <v>50.8374656185375</v>
      </c>
      <c r="O4288">
        <v>49.434875498157297</v>
      </c>
      <c r="P4288">
        <v>-8.2390909842371393E-2</v>
      </c>
      <c r="Q4288">
        <v>0.13495496151429301</v>
      </c>
      <c r="R4288">
        <v>0.99833818468950497</v>
      </c>
      <c r="S4288" t="s">
        <v>10149</v>
      </c>
      <c r="T4288" t="s">
        <v>11720</v>
      </c>
      <c r="U4288" t="s">
        <v>11720</v>
      </c>
      <c r="V4288" t="s">
        <v>11720</v>
      </c>
      <c r="W4288" t="s">
        <v>15953</v>
      </c>
      <c r="X4288">
        <v>12</v>
      </c>
      <c r="Y4288" t="s">
        <v>21666</v>
      </c>
      <c r="Z4288" t="s">
        <v>27495</v>
      </c>
      <c r="AA4288">
        <v>0.43649655407406179</v>
      </c>
      <c r="AB4288" t="str">
        <f>HYPERLINK("Melting_Curves/meltCurve_Q8WUA2_PPIL4.pdf", "Melting_Curves/meltCurve_Q8WUA2_PPIL4.pdf")</f>
        <v>Melting_Curves/meltCurve_Q8WUA2_PPIL4.pdf</v>
      </c>
    </row>
    <row r="4289" spans="1:28" x14ac:dyDescent="0.25">
      <c r="A4289" t="s">
        <v>4293</v>
      </c>
      <c r="B4289">
        <v>0.99334974765950101</v>
      </c>
      <c r="C4289">
        <v>0.84319024007494503</v>
      </c>
      <c r="D4289">
        <v>0.78420010747632096</v>
      </c>
      <c r="E4289">
        <v>0.57704561720151104</v>
      </c>
      <c r="F4289">
        <v>0.49386851600621601</v>
      </c>
      <c r="G4289">
        <v>0.174912122476792</v>
      </c>
      <c r="H4289">
        <v>9.8054447454357901E-2</v>
      </c>
      <c r="I4289">
        <v>0.112821537109093</v>
      </c>
      <c r="J4289">
        <v>0.225954520381656</v>
      </c>
      <c r="K4289">
        <v>4.7251904581427397E-2</v>
      </c>
      <c r="L4289">
        <v>609.69820897448699</v>
      </c>
      <c r="M4289">
        <v>12.004045059314199</v>
      </c>
      <c r="N4289">
        <v>51.255694837877002</v>
      </c>
      <c r="O4289">
        <v>49.443091886986899</v>
      </c>
      <c r="P4289">
        <v>-5.7581088173645802E-2</v>
      </c>
      <c r="Q4289">
        <v>5.1552468975542103E-2</v>
      </c>
      <c r="R4289">
        <v>0.963985316022829</v>
      </c>
      <c r="S4289" t="s">
        <v>10150</v>
      </c>
      <c r="T4289" t="s">
        <v>11720</v>
      </c>
      <c r="U4289" t="s">
        <v>11720</v>
      </c>
      <c r="V4289" t="s">
        <v>11720</v>
      </c>
      <c r="W4289" t="s">
        <v>15954</v>
      </c>
      <c r="X4289">
        <v>2</v>
      </c>
      <c r="Y4289" t="s">
        <v>21667</v>
      </c>
      <c r="Z4289" t="s">
        <v>27496</v>
      </c>
      <c r="AA4289">
        <v>0.42402245944519668</v>
      </c>
      <c r="AB4289" t="str">
        <f>HYPERLINK("Melting_Curves/meltCurve_Q8WUA8_TSKU.pdf", "Melting_Curves/meltCurve_Q8WUA8_TSKU.pdf")</f>
        <v>Melting_Curves/meltCurve_Q8WUA8_TSKU.pdf</v>
      </c>
    </row>
    <row r="4290" spans="1:28" x14ac:dyDescent="0.25">
      <c r="A4290" t="s">
        <v>4294</v>
      </c>
      <c r="B4290">
        <v>0.99334974765950101</v>
      </c>
      <c r="C4290">
        <v>0.919953027383004</v>
      </c>
      <c r="D4290">
        <v>0.91317322300249704</v>
      </c>
      <c r="E4290">
        <v>0.77679330874521402</v>
      </c>
      <c r="F4290">
        <v>0.79405092014566603</v>
      </c>
      <c r="G4290">
        <v>0.69660568829633496</v>
      </c>
      <c r="H4290">
        <v>0.59819507628173596</v>
      </c>
      <c r="I4290">
        <v>0.50004537487430101</v>
      </c>
      <c r="J4290">
        <v>0.25418006315224501</v>
      </c>
      <c r="K4290">
        <v>0.11960211875170899</v>
      </c>
      <c r="L4290">
        <v>550.58255343879205</v>
      </c>
      <c r="M4290">
        <v>8.9850912517750494</v>
      </c>
      <c r="N4290">
        <v>61.277339039786703</v>
      </c>
      <c r="O4290">
        <v>58.470317800641197</v>
      </c>
      <c r="P4290">
        <v>-3.84453970265837E-2</v>
      </c>
      <c r="Q4290">
        <v>0</v>
      </c>
      <c r="R4290">
        <v>0.92877918966652795</v>
      </c>
      <c r="S4290" t="s">
        <v>10151</v>
      </c>
      <c r="T4290" t="s">
        <v>11720</v>
      </c>
      <c r="U4290" t="s">
        <v>11720</v>
      </c>
      <c r="V4290" t="s">
        <v>11720</v>
      </c>
      <c r="W4290" t="s">
        <v>15955</v>
      </c>
      <c r="X4290">
        <v>16</v>
      </c>
      <c r="Y4290" t="s">
        <v>21668</v>
      </c>
      <c r="Z4290" t="s">
        <v>27497</v>
      </c>
      <c r="AA4290">
        <v>0.6884102250537073</v>
      </c>
      <c r="AB4290" t="str">
        <f>HYPERLINK("Melting_Curves/meltCurve_Q8WUD1_RAB2B.pdf", "Melting_Curves/meltCurve_Q8WUD1_RAB2B.pdf")</f>
        <v>Melting_Curves/meltCurve_Q8WUD1_RAB2B.pdf</v>
      </c>
    </row>
    <row r="4291" spans="1:28" x14ac:dyDescent="0.25">
      <c r="A4291" t="s">
        <v>4295</v>
      </c>
      <c r="B4291">
        <v>0.99334974765950101</v>
      </c>
      <c r="C4291">
        <v>0.95822330674793499</v>
      </c>
      <c r="D4291">
        <v>0.85038584636740999</v>
      </c>
      <c r="E4291">
        <v>0.69424778288910605</v>
      </c>
      <c r="F4291">
        <v>0.55377808000830597</v>
      </c>
      <c r="G4291">
        <v>0.35119524627251603</v>
      </c>
      <c r="H4291">
        <v>0.24483541004211401</v>
      </c>
      <c r="I4291">
        <v>0.26108598210166001</v>
      </c>
      <c r="J4291">
        <v>0.263685753304371</v>
      </c>
      <c r="K4291">
        <v>0.23823085375238601</v>
      </c>
      <c r="L4291">
        <v>739.84058493060604</v>
      </c>
      <c r="M4291">
        <v>14.380359775666999</v>
      </c>
      <c r="N4291">
        <v>53.5069741697125</v>
      </c>
      <c r="O4291">
        <v>50.483773632378899</v>
      </c>
      <c r="P4291">
        <v>-5.6087137178925502E-2</v>
      </c>
      <c r="Q4291">
        <v>0.21249454421262501</v>
      </c>
      <c r="R4291">
        <v>0.99478834136842298</v>
      </c>
      <c r="S4291" t="s">
        <v>10152</v>
      </c>
      <c r="T4291" t="s">
        <v>11720</v>
      </c>
      <c r="U4291" t="s">
        <v>11720</v>
      </c>
      <c r="V4291" t="s">
        <v>11720</v>
      </c>
      <c r="W4291" t="s">
        <v>15956</v>
      </c>
      <c r="X4291">
        <v>9</v>
      </c>
      <c r="Y4291" t="s">
        <v>21669</v>
      </c>
      <c r="Z4291" t="s">
        <v>27498</v>
      </c>
      <c r="AA4291">
        <v>0.53217676111458068</v>
      </c>
      <c r="AB4291" t="str">
        <f>HYPERLINK("Melting_Curves/meltCurve_Q8WUF5_PPP1R13L.pdf", "Melting_Curves/meltCurve_Q8WUF5_PPP1R13L.pdf")</f>
        <v>Melting_Curves/meltCurve_Q8WUF5_PPP1R13L.pdf</v>
      </c>
    </row>
    <row r="4292" spans="1:28" x14ac:dyDescent="0.25">
      <c r="A4292" t="s">
        <v>4296</v>
      </c>
      <c r="B4292">
        <v>0.99334974765950101</v>
      </c>
      <c r="C4292">
        <v>0.92358145258357904</v>
      </c>
      <c r="D4292">
        <v>0.81015157514922198</v>
      </c>
      <c r="E4292">
        <v>0.51210637584498897</v>
      </c>
      <c r="F4292">
        <v>0.27496781487482602</v>
      </c>
      <c r="G4292">
        <v>0.152217441352719</v>
      </c>
      <c r="H4292">
        <v>0.12584435775572</v>
      </c>
      <c r="I4292">
        <v>8.3100666729941305E-2</v>
      </c>
      <c r="J4292">
        <v>7.7152836711100903E-2</v>
      </c>
      <c r="K4292">
        <v>6.2210023527575001E-2</v>
      </c>
      <c r="L4292">
        <v>863.22296554079696</v>
      </c>
      <c r="M4292">
        <v>17.419677803179699</v>
      </c>
      <c r="N4292">
        <v>49.970764421717703</v>
      </c>
      <c r="O4292">
        <v>48.915240296571497</v>
      </c>
      <c r="P4292">
        <v>-8.3021500216367505E-2</v>
      </c>
      <c r="Q4292">
        <v>6.7539774016217302E-2</v>
      </c>
      <c r="R4292">
        <v>0.99867038911529205</v>
      </c>
      <c r="S4292" t="s">
        <v>10153</v>
      </c>
      <c r="T4292" t="s">
        <v>11720</v>
      </c>
      <c r="U4292" t="s">
        <v>11720</v>
      </c>
      <c r="V4292" t="s">
        <v>11720</v>
      </c>
      <c r="W4292" t="s">
        <v>15957</v>
      </c>
      <c r="X4292">
        <v>10</v>
      </c>
      <c r="Y4292" t="s">
        <v>21670</v>
      </c>
      <c r="Z4292" t="s">
        <v>27499</v>
      </c>
      <c r="AA4292">
        <v>0.38155918779523068</v>
      </c>
      <c r="AB4292" t="str">
        <f>HYPERLINK("Melting_Curves/meltCurve_Q8WUF8_FAM172A.pdf", "Melting_Curves/meltCurve_Q8WUF8_FAM172A.pdf")</f>
        <v>Melting_Curves/meltCurve_Q8WUF8_FAM172A.pdf</v>
      </c>
    </row>
    <row r="4293" spans="1:28" x14ac:dyDescent="0.25">
      <c r="A4293" t="s">
        <v>4297</v>
      </c>
      <c r="B4293">
        <v>0.99334974765950101</v>
      </c>
      <c r="C4293">
        <v>0.99494117146692695</v>
      </c>
      <c r="D4293">
        <v>0.84601111692325703</v>
      </c>
      <c r="E4293">
        <v>0.625575836214734</v>
      </c>
      <c r="F4293">
        <v>0.31433727385396598</v>
      </c>
      <c r="G4293">
        <v>0.17715679683364199</v>
      </c>
      <c r="H4293">
        <v>0.13041524417983399</v>
      </c>
      <c r="I4293">
        <v>0.13996144014258399</v>
      </c>
      <c r="J4293">
        <v>0.16360828648987899</v>
      </c>
      <c r="K4293">
        <v>0.16438555751299899</v>
      </c>
      <c r="L4293">
        <v>1113.6739062700999</v>
      </c>
      <c r="M4293">
        <v>22.208847351705899</v>
      </c>
      <c r="N4293">
        <v>50.885150060493302</v>
      </c>
      <c r="O4293">
        <v>49.744250876318802</v>
      </c>
      <c r="P4293">
        <v>-9.6219859978723205E-2</v>
      </c>
      <c r="Q4293">
        <v>0.13795040426449801</v>
      </c>
      <c r="R4293">
        <v>0.99413404579883302</v>
      </c>
      <c r="S4293" t="s">
        <v>10154</v>
      </c>
      <c r="T4293" t="s">
        <v>11720</v>
      </c>
      <c r="U4293" t="s">
        <v>11720</v>
      </c>
      <c r="V4293" t="s">
        <v>11720</v>
      </c>
      <c r="W4293" t="s">
        <v>15958</v>
      </c>
      <c r="X4293">
        <v>6</v>
      </c>
      <c r="Y4293" t="s">
        <v>21671</v>
      </c>
      <c r="Z4293" t="s">
        <v>27500</v>
      </c>
      <c r="AA4293">
        <v>0.43925004992414118</v>
      </c>
      <c r="AB4293" t="str">
        <f>HYPERLINK("Melting_Curves/meltCurve_Q8WUH6_C12orf23.pdf", "Melting_Curves/meltCurve_Q8WUH6_C12orf23.pdf")</f>
        <v>Melting_Curves/meltCurve_Q8WUH6_C12orf23.pdf</v>
      </c>
    </row>
    <row r="4294" spans="1:28" x14ac:dyDescent="0.25">
      <c r="A4294" t="s">
        <v>4298</v>
      </c>
      <c r="B4294">
        <v>0.99334974765950101</v>
      </c>
      <c r="C4294">
        <v>0.95373234439050303</v>
      </c>
      <c r="D4294">
        <v>1.0277578663906799</v>
      </c>
      <c r="E4294">
        <v>0.77079030983074903</v>
      </c>
      <c r="F4294">
        <v>0.460231047950658</v>
      </c>
      <c r="G4294">
        <v>0.316150331993726</v>
      </c>
      <c r="H4294">
        <v>0.15351647534134599</v>
      </c>
      <c r="I4294">
        <v>7.9415158307921493E-2</v>
      </c>
      <c r="J4294">
        <v>6.8912775913245197E-2</v>
      </c>
      <c r="K4294">
        <v>6.3861861431250902E-2</v>
      </c>
      <c r="L4294">
        <v>985.91422320709</v>
      </c>
      <c r="M4294">
        <v>18.638668261289801</v>
      </c>
      <c r="N4294">
        <v>53.279073521459097</v>
      </c>
      <c r="O4294">
        <v>52.298556369158099</v>
      </c>
      <c r="P4294">
        <v>-8.3516337416037201E-2</v>
      </c>
      <c r="Q4294">
        <v>6.26806581292252E-2</v>
      </c>
      <c r="R4294">
        <v>0.989208821438194</v>
      </c>
      <c r="S4294" t="s">
        <v>10155</v>
      </c>
      <c r="T4294" t="s">
        <v>11720</v>
      </c>
      <c r="U4294" t="s">
        <v>11720</v>
      </c>
      <c r="V4294" t="s">
        <v>11720</v>
      </c>
      <c r="W4294" t="s">
        <v>15959</v>
      </c>
      <c r="X4294">
        <v>3</v>
      </c>
      <c r="Y4294" t="s">
        <v>21672</v>
      </c>
      <c r="Z4294" t="s">
        <v>27501</v>
      </c>
      <c r="AA4294">
        <v>0.48013612112050669</v>
      </c>
      <c r="AB4294" t="str">
        <f>HYPERLINK("Melting_Curves/meltCurve_Q8WUI4_3_HDAC7.pdf", "Melting_Curves/meltCurve_Q8WUI4_3_HDAC7.pdf")</f>
        <v>Melting_Curves/meltCurve_Q8WUI4_3_HDAC7.pdf</v>
      </c>
    </row>
    <row r="4295" spans="1:28" x14ac:dyDescent="0.25">
      <c r="A4295" t="s">
        <v>4299</v>
      </c>
      <c r="B4295">
        <v>0.99334974765950101</v>
      </c>
      <c r="C4295">
        <v>0.99104822117313596</v>
      </c>
      <c r="D4295">
        <v>0.92354387974972996</v>
      </c>
      <c r="E4295">
        <v>0.56473251419867199</v>
      </c>
      <c r="F4295">
        <v>0.104696375468621</v>
      </c>
      <c r="G4295">
        <v>8.1366461461268802E-2</v>
      </c>
      <c r="H4295">
        <v>4.1749033998028699E-2</v>
      </c>
      <c r="I4295">
        <v>4.5225936388971197E-2</v>
      </c>
      <c r="J4295">
        <v>2.8412931617024802E-2</v>
      </c>
      <c r="K4295">
        <v>1.7706649454298201E-2</v>
      </c>
      <c r="L4295">
        <v>2069.06932061214</v>
      </c>
      <c r="M4295">
        <v>41.247653963354402</v>
      </c>
      <c r="N4295">
        <v>50.256644895001401</v>
      </c>
      <c r="O4295">
        <v>50.044641538052801</v>
      </c>
      <c r="P4295">
        <v>-0.19836133638296399</v>
      </c>
      <c r="Q4295">
        <v>3.7336510648995097E-2</v>
      </c>
      <c r="R4295">
        <v>0.99656876524558202</v>
      </c>
      <c r="S4295" t="s">
        <v>10156</v>
      </c>
      <c r="T4295" t="s">
        <v>11720</v>
      </c>
      <c r="U4295" t="s">
        <v>11720</v>
      </c>
      <c r="V4295" t="s">
        <v>11720</v>
      </c>
      <c r="W4295" t="s">
        <v>15960</v>
      </c>
      <c r="X4295">
        <v>3</v>
      </c>
      <c r="Y4295" t="s">
        <v>21673</v>
      </c>
      <c r="Z4295" t="s">
        <v>27502</v>
      </c>
      <c r="AA4295">
        <v>0.36656446860481368</v>
      </c>
      <c r="AB4295" t="str">
        <f>HYPERLINK("Melting_Curves/meltCurve_Q8WUJ0_STYX.pdf", "Melting_Curves/meltCurve_Q8WUJ0_STYX.pdf")</f>
        <v>Melting_Curves/meltCurve_Q8WUJ0_STYX.pdf</v>
      </c>
    </row>
    <row r="4296" spans="1:28" x14ac:dyDescent="0.25">
      <c r="A4296" t="s">
        <v>4300</v>
      </c>
      <c r="B4296">
        <v>0.99334974765950101</v>
      </c>
      <c r="C4296">
        <v>1.0170802598454001</v>
      </c>
      <c r="D4296">
        <v>1.0886177415267899</v>
      </c>
      <c r="E4296">
        <v>0.73717954851059198</v>
      </c>
      <c r="F4296">
        <v>9.8296835222867293E-2</v>
      </c>
      <c r="G4296">
        <v>4.68508853053285E-2</v>
      </c>
      <c r="H4296">
        <v>3.0529951243545898E-2</v>
      </c>
      <c r="I4296">
        <v>3.0924700816588099E-2</v>
      </c>
      <c r="J4296">
        <v>3.3723856302177002E-2</v>
      </c>
      <c r="K4296">
        <v>4.1085785678424497E-2</v>
      </c>
      <c r="L4296">
        <v>3287.4223009714601</v>
      </c>
      <c r="M4296">
        <v>64.761283641333804</v>
      </c>
      <c r="N4296">
        <v>50.822333465202803</v>
      </c>
      <c r="O4296">
        <v>50.713837766058397</v>
      </c>
      <c r="P4296">
        <v>-0.307466621762081</v>
      </c>
      <c r="Q4296">
        <v>3.6905964177592003E-2</v>
      </c>
      <c r="R4296">
        <v>0.99584872271600799</v>
      </c>
      <c r="S4296" t="s">
        <v>10157</v>
      </c>
      <c r="T4296" t="s">
        <v>11720</v>
      </c>
      <c r="U4296" t="s">
        <v>11720</v>
      </c>
      <c r="V4296" t="s">
        <v>11720</v>
      </c>
      <c r="W4296" t="s">
        <v>15961</v>
      </c>
      <c r="X4296">
        <v>1</v>
      </c>
      <c r="Y4296" t="s">
        <v>21674</v>
      </c>
      <c r="Z4296" t="s">
        <v>27503</v>
      </c>
      <c r="AA4296">
        <v>0.38368741487030589</v>
      </c>
      <c r="AB4296" t="str">
        <f>HYPERLINK("Melting_Curves/meltCurve_Q8WUK0_2_PTPMT1.pdf", "Melting_Curves/meltCurve_Q8WUK0_2_PTPMT1.pdf")</f>
        <v>Melting_Curves/meltCurve_Q8WUK0_2_PTPMT1.pdf</v>
      </c>
    </row>
    <row r="4297" spans="1:28" x14ac:dyDescent="0.25">
      <c r="A4297" t="s">
        <v>4301</v>
      </c>
      <c r="B4297">
        <v>0.99334974765950101</v>
      </c>
      <c r="C4297">
        <v>0.89909439818926795</v>
      </c>
      <c r="D4297">
        <v>0.97632336213304505</v>
      </c>
      <c r="E4297">
        <v>0.27804968574939798</v>
      </c>
      <c r="F4297">
        <v>0.13326702016026401</v>
      </c>
      <c r="G4297">
        <v>7.6960393835600993E-2</v>
      </c>
      <c r="H4297">
        <v>6.1555504155700901E-2</v>
      </c>
      <c r="I4297">
        <v>5.3005022559490703E-2</v>
      </c>
      <c r="J4297">
        <v>5.5594285851693098E-2</v>
      </c>
      <c r="K4297">
        <v>4.6558717273903399E-2</v>
      </c>
      <c r="L4297">
        <v>2427.0647966339302</v>
      </c>
      <c r="M4297">
        <v>49.715780135326199</v>
      </c>
      <c r="N4297">
        <v>48.960088389822701</v>
      </c>
      <c r="O4297">
        <v>48.7400084689897</v>
      </c>
      <c r="P4297">
        <v>-0.23796597356838001</v>
      </c>
      <c r="Q4297">
        <v>6.6819157851491798E-2</v>
      </c>
      <c r="R4297">
        <v>0.991389334621124</v>
      </c>
      <c r="S4297" t="s">
        <v>10158</v>
      </c>
      <c r="T4297" t="s">
        <v>11720</v>
      </c>
      <c r="U4297" t="s">
        <v>11720</v>
      </c>
      <c r="V4297" t="s">
        <v>11720</v>
      </c>
      <c r="W4297" t="s">
        <v>15962</v>
      </c>
      <c r="X4297">
        <v>66</v>
      </c>
      <c r="Y4297" t="s">
        <v>21675</v>
      </c>
      <c r="Z4297" t="s">
        <v>27504</v>
      </c>
      <c r="AA4297">
        <v>0.34317007018616569</v>
      </c>
      <c r="AB4297" t="str">
        <f>HYPERLINK("Melting_Curves/meltCurve_Q8WUM4_PDCD6IP.pdf", "Melting_Curves/meltCurve_Q8WUM4_PDCD6IP.pdf")</f>
        <v>Melting_Curves/meltCurve_Q8WUM4_PDCD6IP.pdf</v>
      </c>
    </row>
    <row r="4298" spans="1:28" x14ac:dyDescent="0.25">
      <c r="A4298" t="s">
        <v>4302</v>
      </c>
      <c r="B4298">
        <v>0.99334974765950101</v>
      </c>
      <c r="C4298">
        <v>0.90514009388792305</v>
      </c>
      <c r="D4298">
        <v>0.867300927502349</v>
      </c>
      <c r="E4298">
        <v>0.92727632753554001</v>
      </c>
      <c r="F4298">
        <v>0.91558614530071303</v>
      </c>
      <c r="G4298">
        <v>0.85801597204188895</v>
      </c>
      <c r="H4298">
        <v>0.82997912763245096</v>
      </c>
      <c r="I4298">
        <v>0.79891490089496497</v>
      </c>
      <c r="J4298">
        <v>0.92460843112800895</v>
      </c>
      <c r="K4298">
        <v>0.75146805892984903</v>
      </c>
      <c r="L4298">
        <v>136.439970165712</v>
      </c>
      <c r="M4298">
        <v>0.51545634062203305</v>
      </c>
      <c r="O4298">
        <v>52.868309090594302</v>
      </c>
      <c r="P4298">
        <v>-4.8744491466010198E-3</v>
      </c>
      <c r="Q4298">
        <v>0</v>
      </c>
      <c r="R4298">
        <v>0.49201653025320202</v>
      </c>
      <c r="S4298" t="s">
        <v>10159</v>
      </c>
      <c r="T4298" t="s">
        <v>11720</v>
      </c>
      <c r="U4298" t="s">
        <v>11720</v>
      </c>
      <c r="V4298" t="s">
        <v>11720</v>
      </c>
      <c r="W4298" t="s">
        <v>15963</v>
      </c>
      <c r="X4298">
        <v>4</v>
      </c>
      <c r="Y4298" t="s">
        <v>21676</v>
      </c>
      <c r="Z4298" t="s">
        <v>27505</v>
      </c>
      <c r="AA4298">
        <v>0.8773615720789516</v>
      </c>
      <c r="AB4298" t="str">
        <f>HYPERLINK("Melting_Curves/meltCurve_Q8WUM9_SLC20A1.pdf", "Melting_Curves/meltCurve_Q8WUM9_SLC20A1.pdf")</f>
        <v>Melting_Curves/meltCurve_Q8WUM9_SLC20A1.pdf</v>
      </c>
    </row>
    <row r="4299" spans="1:28" x14ac:dyDescent="0.25">
      <c r="A4299" t="s">
        <v>4303</v>
      </c>
      <c r="B4299">
        <v>0.99334974765950101</v>
      </c>
      <c r="C4299">
        <v>0.93274330508481995</v>
      </c>
      <c r="D4299">
        <v>0.87573068677663302</v>
      </c>
      <c r="E4299">
        <v>0.72205497593796897</v>
      </c>
      <c r="F4299">
        <v>0.582532028472312</v>
      </c>
      <c r="G4299">
        <v>0.39795620586331898</v>
      </c>
      <c r="H4299">
        <v>0.206909050839304</v>
      </c>
      <c r="I4299">
        <v>0.19627184633356001</v>
      </c>
      <c r="J4299">
        <v>0.221762938648081</v>
      </c>
      <c r="K4299">
        <v>0.231796336165739</v>
      </c>
      <c r="L4299">
        <v>716.01476990444905</v>
      </c>
      <c r="M4299">
        <v>13.624564750624</v>
      </c>
      <c r="N4299">
        <v>54.098193424674598</v>
      </c>
      <c r="O4299">
        <v>51.459843343688597</v>
      </c>
      <c r="P4299">
        <v>-5.5530848980566302E-2</v>
      </c>
      <c r="Q4299">
        <v>0.16116560922307699</v>
      </c>
      <c r="R4299">
        <v>0.98964561950132401</v>
      </c>
      <c r="S4299" t="s">
        <v>10160</v>
      </c>
      <c r="T4299" t="s">
        <v>11720</v>
      </c>
      <c r="U4299" t="s">
        <v>11720</v>
      </c>
      <c r="V4299" t="s">
        <v>11720</v>
      </c>
      <c r="W4299" t="s">
        <v>15964</v>
      </c>
      <c r="X4299">
        <v>16</v>
      </c>
      <c r="Y4299" t="s">
        <v>21677</v>
      </c>
      <c r="Z4299" t="s">
        <v>27506</v>
      </c>
      <c r="AA4299">
        <v>0.53319306755157037</v>
      </c>
      <c r="AB4299" t="str">
        <f>HYPERLINK("Melting_Curves/meltCurve_Q8WUP2_FBLIM1.pdf", "Melting_Curves/meltCurve_Q8WUP2_FBLIM1.pdf")</f>
        <v>Melting_Curves/meltCurve_Q8WUP2_FBLIM1.pdf</v>
      </c>
    </row>
    <row r="4300" spans="1:28" x14ac:dyDescent="0.25">
      <c r="A4300" t="s">
        <v>4304</v>
      </c>
      <c r="B4300">
        <v>0.99334974765950101</v>
      </c>
      <c r="C4300">
        <v>0.94543693143072005</v>
      </c>
      <c r="D4300">
        <v>0.80716782264804898</v>
      </c>
      <c r="E4300">
        <v>0.73379097797433501</v>
      </c>
      <c r="F4300">
        <v>0.68620583062183305</v>
      </c>
      <c r="G4300">
        <v>0.58329891047142801</v>
      </c>
      <c r="H4300">
        <v>0.49960011185918402</v>
      </c>
      <c r="I4300">
        <v>0.48867968788886101</v>
      </c>
      <c r="J4300">
        <v>0.46087666814144901</v>
      </c>
      <c r="K4300">
        <v>0.46416875940368102</v>
      </c>
      <c r="L4300">
        <v>494.50118535268501</v>
      </c>
      <c r="M4300">
        <v>9.6587989638344798</v>
      </c>
      <c r="N4300">
        <v>62.646345004547001</v>
      </c>
      <c r="O4300">
        <v>49.146842603299397</v>
      </c>
      <c r="P4300">
        <v>-2.87864524119739E-2</v>
      </c>
      <c r="Q4300">
        <v>0.41442910007970402</v>
      </c>
      <c r="R4300">
        <v>0.98650510772241295</v>
      </c>
      <c r="S4300" t="s">
        <v>10161</v>
      </c>
      <c r="T4300" t="s">
        <v>11720</v>
      </c>
      <c r="U4300" t="s">
        <v>11720</v>
      </c>
      <c r="V4300" t="s">
        <v>11720</v>
      </c>
      <c r="W4300" t="s">
        <v>15965</v>
      </c>
      <c r="X4300">
        <v>3</v>
      </c>
      <c r="Y4300" t="s">
        <v>21678</v>
      </c>
      <c r="Z4300" t="s">
        <v>27507</v>
      </c>
      <c r="AA4300">
        <v>0.65793145408538078</v>
      </c>
      <c r="AB4300" t="str">
        <f>HYPERLINK("Melting_Curves/meltCurve_Q8WUR7_C15orf40.pdf", "Melting_Curves/meltCurve_Q8WUR7_C15orf40.pdf")</f>
        <v>Melting_Curves/meltCurve_Q8WUR7_C15orf40.pdf</v>
      </c>
    </row>
    <row r="4301" spans="1:28" x14ac:dyDescent="0.25">
      <c r="A4301" t="s">
        <v>4305</v>
      </c>
      <c r="B4301">
        <v>0.99334974765950101</v>
      </c>
      <c r="C4301">
        <v>0.917702263298251</v>
      </c>
      <c r="D4301">
        <v>0.97180163201578496</v>
      </c>
      <c r="E4301">
        <v>0.77411973169047599</v>
      </c>
      <c r="F4301">
        <v>0.40005565435760898</v>
      </c>
      <c r="G4301">
        <v>0.22967536581369899</v>
      </c>
      <c r="H4301">
        <v>0.164199791752355</v>
      </c>
      <c r="I4301">
        <v>0.116226403699803</v>
      </c>
      <c r="J4301">
        <v>8.0801582021631194E-2</v>
      </c>
      <c r="K4301">
        <v>7.2710191446987996E-2</v>
      </c>
      <c r="L4301">
        <v>1239.75222605671</v>
      </c>
      <c r="M4301">
        <v>23.8759754344212</v>
      </c>
      <c r="N4301">
        <v>52.419100917633699</v>
      </c>
      <c r="O4301">
        <v>51.564550710416199</v>
      </c>
      <c r="P4301">
        <v>-0.104088224092916</v>
      </c>
      <c r="Q4301">
        <v>0.100824318705362</v>
      </c>
      <c r="R4301">
        <v>0.99084141324000796</v>
      </c>
      <c r="S4301" t="s">
        <v>10162</v>
      </c>
      <c r="T4301" t="s">
        <v>11720</v>
      </c>
      <c r="U4301" t="s">
        <v>11720</v>
      </c>
      <c r="V4301" t="s">
        <v>11720</v>
      </c>
      <c r="W4301" t="s">
        <v>15966</v>
      </c>
      <c r="X4301">
        <v>3</v>
      </c>
      <c r="Y4301" t="s">
        <v>21679</v>
      </c>
      <c r="Z4301" t="s">
        <v>27508</v>
      </c>
      <c r="AA4301">
        <v>0.4671959300631966</v>
      </c>
      <c r="AB4301" t="str">
        <f>HYPERLINK("Melting_Curves/meltCurve_Q8WUX2_CHAC2.pdf", "Melting_Curves/meltCurve_Q8WUX2_CHAC2.pdf")</f>
        <v>Melting_Curves/meltCurve_Q8WUX2_CHAC2.pdf</v>
      </c>
    </row>
    <row r="4302" spans="1:28" x14ac:dyDescent="0.25">
      <c r="A4302" t="s">
        <v>4306</v>
      </c>
      <c r="B4302">
        <v>0.99334974765950101</v>
      </c>
      <c r="C4302">
        <v>0.91859050975266199</v>
      </c>
      <c r="D4302">
        <v>0.75303139806508501</v>
      </c>
      <c r="E4302">
        <v>0.215776431889416</v>
      </c>
      <c r="F4302">
        <v>9.7669016476674295E-2</v>
      </c>
      <c r="G4302">
        <v>6.1328720929848597E-2</v>
      </c>
      <c r="H4302">
        <v>4.7292063217943603E-2</v>
      </c>
      <c r="I4302">
        <v>4.9138184987078101E-2</v>
      </c>
      <c r="J4302">
        <v>4.0641929732627799E-2</v>
      </c>
      <c r="K4302">
        <v>3.94469464965213E-2</v>
      </c>
      <c r="L4302">
        <v>1373.1583358503101</v>
      </c>
      <c r="M4302">
        <v>28.891240730792699</v>
      </c>
      <c r="N4302">
        <v>47.6845549996508</v>
      </c>
      <c r="O4302">
        <v>47.302574886721303</v>
      </c>
      <c r="P4302">
        <v>-0.14580841741727399</v>
      </c>
      <c r="Q4302">
        <v>4.5100009831674899E-2</v>
      </c>
      <c r="R4302">
        <v>0.99835013375896398</v>
      </c>
      <c r="S4302" t="s">
        <v>10163</v>
      </c>
      <c r="T4302" t="s">
        <v>11720</v>
      </c>
      <c r="U4302" t="s">
        <v>11720</v>
      </c>
      <c r="V4302" t="s">
        <v>11720</v>
      </c>
      <c r="W4302" t="s">
        <v>15967</v>
      </c>
      <c r="X4302">
        <v>9</v>
      </c>
      <c r="Y4302" t="s">
        <v>21680</v>
      </c>
      <c r="Z4302" t="s">
        <v>27509</v>
      </c>
      <c r="AA4302">
        <v>0.29093892611232008</v>
      </c>
      <c r="AB4302" t="str">
        <f>HYPERLINK("Melting_Curves/meltCurve_Q8WUX9_CHMP7.pdf", "Melting_Curves/meltCurve_Q8WUX9_CHMP7.pdf")</f>
        <v>Melting_Curves/meltCurve_Q8WUX9_CHMP7.pdf</v>
      </c>
    </row>
    <row r="4303" spans="1:28" x14ac:dyDescent="0.25">
      <c r="A4303" t="s">
        <v>4307</v>
      </c>
      <c r="B4303">
        <v>0.99334974765950101</v>
      </c>
      <c r="C4303">
        <v>0.91064926160801896</v>
      </c>
      <c r="D4303">
        <v>0.94089675417407503</v>
      </c>
      <c r="E4303">
        <v>0.75713767435037105</v>
      </c>
      <c r="F4303">
        <v>0.63033114444044402</v>
      </c>
      <c r="G4303">
        <v>0.56593041036805203</v>
      </c>
      <c r="H4303">
        <v>0.500220578689484</v>
      </c>
      <c r="I4303">
        <v>0.46802265740731303</v>
      </c>
      <c r="J4303">
        <v>0.225796120883826</v>
      </c>
      <c r="K4303">
        <v>0.128308067255202</v>
      </c>
      <c r="L4303">
        <v>445.30514088977901</v>
      </c>
      <c r="M4303">
        <v>7.5750259170660899</v>
      </c>
      <c r="N4303">
        <v>58.785956699232699</v>
      </c>
      <c r="O4303">
        <v>55.1083453617251</v>
      </c>
      <c r="P4303">
        <v>-3.4411861419138302E-2</v>
      </c>
      <c r="Q4303">
        <v>0</v>
      </c>
      <c r="R4303">
        <v>0.94713509228034698</v>
      </c>
      <c r="S4303" t="s">
        <v>10164</v>
      </c>
      <c r="T4303" t="s">
        <v>11720</v>
      </c>
      <c r="U4303" t="s">
        <v>11720</v>
      </c>
      <c r="V4303" t="s">
        <v>11720</v>
      </c>
      <c r="W4303" t="s">
        <v>15968</v>
      </c>
      <c r="X4303">
        <v>7</v>
      </c>
      <c r="Y4303" t="s">
        <v>21681</v>
      </c>
      <c r="Z4303" t="s">
        <v>27510</v>
      </c>
      <c r="AA4303">
        <v>0.62026189618088701</v>
      </c>
      <c r="AB4303" t="str">
        <f>HYPERLINK("Melting_Curves/meltCurve_Q8WUY1_THEM6.pdf", "Melting_Curves/meltCurve_Q8WUY1_THEM6.pdf")</f>
        <v>Melting_Curves/meltCurve_Q8WUY1_THEM6.pdf</v>
      </c>
    </row>
    <row r="4304" spans="1:28" x14ac:dyDescent="0.25">
      <c r="A4304" t="s">
        <v>4308</v>
      </c>
      <c r="B4304">
        <v>0.99334974765950101</v>
      </c>
      <c r="C4304">
        <v>0.98491863262533097</v>
      </c>
      <c r="D4304">
        <v>0.98902180566240905</v>
      </c>
      <c r="E4304">
        <v>0.82163182474927698</v>
      </c>
      <c r="F4304">
        <v>0.57571383674879495</v>
      </c>
      <c r="G4304">
        <v>0.35508237389404101</v>
      </c>
      <c r="H4304">
        <v>0.27296268754017999</v>
      </c>
      <c r="I4304">
        <v>0.241696494719703</v>
      </c>
      <c r="J4304">
        <v>0.251905822697506</v>
      </c>
      <c r="K4304">
        <v>0.23518943554038399</v>
      </c>
      <c r="L4304">
        <v>1216.45595299458</v>
      </c>
      <c r="M4304">
        <v>23.148705933410302</v>
      </c>
      <c r="N4304">
        <v>54.070466262603297</v>
      </c>
      <c r="O4304">
        <v>52.162179829999602</v>
      </c>
      <c r="P4304">
        <v>-8.44019729231964E-2</v>
      </c>
      <c r="Q4304">
        <v>0.23926450107654099</v>
      </c>
      <c r="R4304">
        <v>0.99929113679926196</v>
      </c>
      <c r="S4304" t="s">
        <v>10165</v>
      </c>
      <c r="T4304" t="s">
        <v>11720</v>
      </c>
      <c r="U4304" t="s">
        <v>11720</v>
      </c>
      <c r="V4304" t="s">
        <v>11720</v>
      </c>
      <c r="W4304" t="s">
        <v>15969</v>
      </c>
      <c r="X4304">
        <v>20</v>
      </c>
      <c r="Y4304" t="s">
        <v>21682</v>
      </c>
      <c r="Z4304" t="s">
        <v>27511</v>
      </c>
      <c r="AA4304">
        <v>0.56556098747639494</v>
      </c>
      <c r="AB4304" t="str">
        <f>HYPERLINK("Melting_Curves/meltCurve_Q8WUY3_4_PRUNE2.pdf", "Melting_Curves/meltCurve_Q8WUY3_4_PRUNE2.pdf")</f>
        <v>Melting_Curves/meltCurve_Q8WUY3_4_PRUNE2.pdf</v>
      </c>
    </row>
    <row r="4305" spans="1:28" x14ac:dyDescent="0.25">
      <c r="A4305" t="s">
        <v>4309</v>
      </c>
      <c r="B4305">
        <v>0.99334974765950101</v>
      </c>
      <c r="C4305">
        <v>0.91859450151934696</v>
      </c>
      <c r="D4305">
        <v>0.76501711882086398</v>
      </c>
      <c r="E4305">
        <v>0.61611431092798996</v>
      </c>
      <c r="F4305">
        <v>0.18042333092521201</v>
      </c>
      <c r="G4305">
        <v>0.118712215064538</v>
      </c>
      <c r="H4305">
        <v>8.2994132817681907E-2</v>
      </c>
      <c r="I4305">
        <v>8.5082514539566098E-2</v>
      </c>
      <c r="J4305">
        <v>8.2198266172189199E-2</v>
      </c>
      <c r="K4305">
        <v>0.10121733878502399</v>
      </c>
      <c r="L4305">
        <v>946.54983502452899</v>
      </c>
      <c r="M4305">
        <v>19.082565339287601</v>
      </c>
      <c r="N4305">
        <v>49.968743058084499</v>
      </c>
      <c r="O4305">
        <v>49.067759971196502</v>
      </c>
      <c r="P4305">
        <v>-9.0889836460375198E-2</v>
      </c>
      <c r="Q4305">
        <v>6.5202007463454406E-2</v>
      </c>
      <c r="R4305">
        <v>0.97676408275186</v>
      </c>
      <c r="S4305" t="s">
        <v>10166</v>
      </c>
      <c r="T4305" t="s">
        <v>11720</v>
      </c>
      <c r="U4305" t="s">
        <v>11720</v>
      </c>
      <c r="V4305" t="s">
        <v>11720</v>
      </c>
      <c r="W4305" t="s">
        <v>15970</v>
      </c>
      <c r="X4305">
        <v>4</v>
      </c>
      <c r="Y4305" t="s">
        <v>21683</v>
      </c>
      <c r="Z4305" t="s">
        <v>27512</v>
      </c>
      <c r="AA4305">
        <v>0.378729995968421</v>
      </c>
      <c r="AB4305" t="str">
        <f>HYPERLINK("Melting_Curves/meltCurve_Q8WUY8_NAT14.pdf", "Melting_Curves/meltCurve_Q8WUY8_NAT14.pdf")</f>
        <v>Melting_Curves/meltCurve_Q8WUY8_NAT14.pdf</v>
      </c>
    </row>
    <row r="4306" spans="1:28" x14ac:dyDescent="0.25">
      <c r="A4306" t="s">
        <v>4310</v>
      </c>
      <c r="B4306">
        <v>0.99334974765950101</v>
      </c>
      <c r="C4306">
        <v>0.92537792691513499</v>
      </c>
      <c r="D4306">
        <v>0.95423426135823997</v>
      </c>
      <c r="E4306">
        <v>0.84115470545377602</v>
      </c>
      <c r="F4306">
        <v>0.29076289110097597</v>
      </c>
      <c r="G4306">
        <v>0.15483505913541601</v>
      </c>
      <c r="H4306">
        <v>9.8133891182362695E-2</v>
      </c>
      <c r="I4306">
        <v>9.60030774023964E-2</v>
      </c>
      <c r="J4306">
        <v>6.7567317989112294E-2</v>
      </c>
      <c r="K4306">
        <v>2.4571863666518302E-2</v>
      </c>
      <c r="L4306">
        <v>2346.6062923726199</v>
      </c>
      <c r="M4306">
        <v>45.439371000571299</v>
      </c>
      <c r="N4306">
        <v>51.852272326898401</v>
      </c>
      <c r="O4306">
        <v>51.542855012452399</v>
      </c>
      <c r="P4306">
        <v>-0.20189825092400501</v>
      </c>
      <c r="Q4306">
        <v>8.3931064829915095E-2</v>
      </c>
      <c r="R4306">
        <v>0.99065572429208304</v>
      </c>
      <c r="S4306" t="s">
        <v>10167</v>
      </c>
      <c r="T4306" t="s">
        <v>11720</v>
      </c>
      <c r="U4306" t="s">
        <v>11720</v>
      </c>
      <c r="V4306" t="s">
        <v>11720</v>
      </c>
      <c r="W4306" t="s">
        <v>15971</v>
      </c>
      <c r="X4306">
        <v>2</v>
      </c>
      <c r="Y4306" t="s">
        <v>21684</v>
      </c>
      <c r="Z4306" t="s">
        <v>27513</v>
      </c>
      <c r="AA4306">
        <v>0.44197384312752602</v>
      </c>
      <c r="AB4306" t="str">
        <f>HYPERLINK("Melting_Curves/meltCurve_Q8WV41_SNX33.pdf", "Melting_Curves/meltCurve_Q8WV41_SNX33.pdf")</f>
        <v>Melting_Curves/meltCurve_Q8WV41_SNX33.pdf</v>
      </c>
    </row>
    <row r="4307" spans="1:28" x14ac:dyDescent="0.25">
      <c r="A4307" t="s">
        <v>4311</v>
      </c>
      <c r="B4307">
        <v>0.99334974765950101</v>
      </c>
      <c r="C4307">
        <v>0.90634908709206397</v>
      </c>
      <c r="D4307">
        <v>0.89814233916614294</v>
      </c>
      <c r="E4307">
        <v>0.34202090523189599</v>
      </c>
      <c r="F4307">
        <v>0.21912143582145099</v>
      </c>
      <c r="G4307">
        <v>0.14531629315602901</v>
      </c>
      <c r="H4307">
        <v>9.6007610701605794E-2</v>
      </c>
      <c r="I4307">
        <v>9.1136057335978002E-2</v>
      </c>
      <c r="J4307">
        <v>7.7896984634933802E-2</v>
      </c>
      <c r="K4307">
        <v>6.8812913237394802E-2</v>
      </c>
      <c r="L4307">
        <v>1395.14042461952</v>
      </c>
      <c r="M4307">
        <v>28.679310143837601</v>
      </c>
      <c r="N4307">
        <v>49.011292903042602</v>
      </c>
      <c r="O4307">
        <v>48.4115593527805</v>
      </c>
      <c r="P4307">
        <v>-0.13385948768993999</v>
      </c>
      <c r="Q4307">
        <v>9.6171326594412396E-2</v>
      </c>
      <c r="R4307">
        <v>0.99007767515538503</v>
      </c>
      <c r="S4307" t="s">
        <v>10168</v>
      </c>
      <c r="T4307" t="s">
        <v>11720</v>
      </c>
      <c r="U4307" t="s">
        <v>11720</v>
      </c>
      <c r="V4307" t="s">
        <v>11720</v>
      </c>
      <c r="W4307" t="s">
        <v>15972</v>
      </c>
      <c r="X4307">
        <v>5</v>
      </c>
      <c r="Y4307" t="s">
        <v>21685</v>
      </c>
      <c r="Z4307" t="s">
        <v>27514</v>
      </c>
      <c r="AA4307">
        <v>0.36267402595475062</v>
      </c>
      <c r="AB4307" t="str">
        <f>HYPERLINK("Melting_Curves/meltCurve_Q8WV93_LACE1.pdf", "Melting_Curves/meltCurve_Q8WV93_LACE1.pdf")</f>
        <v>Melting_Curves/meltCurve_Q8WV93_LACE1.pdf</v>
      </c>
    </row>
    <row r="4308" spans="1:28" x14ac:dyDescent="0.25">
      <c r="A4308" t="s">
        <v>4312</v>
      </c>
      <c r="B4308">
        <v>0.99334974765950101</v>
      </c>
      <c r="C4308">
        <v>0.98407757816322905</v>
      </c>
      <c r="D4308">
        <v>0.93496852400265296</v>
      </c>
      <c r="E4308">
        <v>0.870161357331517</v>
      </c>
      <c r="F4308">
        <v>0.75489215428411105</v>
      </c>
      <c r="G4308">
        <v>0.58350456974943299</v>
      </c>
      <c r="H4308">
        <v>0.53147828109761797</v>
      </c>
      <c r="I4308">
        <v>0.585230363949653</v>
      </c>
      <c r="J4308">
        <v>0.63384099923381398</v>
      </c>
      <c r="K4308">
        <v>0.59327553556676305</v>
      </c>
      <c r="L4308">
        <v>1242.97976540121</v>
      </c>
      <c r="M4308">
        <v>24.050766263453799</v>
      </c>
      <c r="O4308">
        <v>51.328182996614501</v>
      </c>
      <c r="P4308">
        <v>-4.9441840561950598E-2</v>
      </c>
      <c r="Q4308">
        <v>0.57793942709734003</v>
      </c>
      <c r="R4308">
        <v>0.96525534174776195</v>
      </c>
      <c r="S4308" t="s">
        <v>10169</v>
      </c>
      <c r="T4308" t="s">
        <v>11720</v>
      </c>
      <c r="U4308" t="s">
        <v>11720</v>
      </c>
      <c r="V4308" t="s">
        <v>11720</v>
      </c>
      <c r="W4308" t="s">
        <v>15973</v>
      </c>
      <c r="X4308">
        <v>7</v>
      </c>
      <c r="Y4308" t="s">
        <v>21686</v>
      </c>
      <c r="Z4308" t="s">
        <v>27515</v>
      </c>
      <c r="AA4308">
        <v>0.74642157754189253</v>
      </c>
      <c r="AB4308" t="str">
        <f>HYPERLINK("Melting_Curves/meltCurve_Q8WVC0_LEO1.pdf", "Melting_Curves/meltCurve_Q8WVC0_LEO1.pdf")</f>
        <v>Melting_Curves/meltCurve_Q8WVC0_LEO1.pdf</v>
      </c>
    </row>
    <row r="4309" spans="1:28" x14ac:dyDescent="0.25">
      <c r="A4309" t="s">
        <v>4313</v>
      </c>
      <c r="B4309">
        <v>0.99334974765950101</v>
      </c>
      <c r="C4309">
        <v>1.0288059000620799</v>
      </c>
      <c r="D4309">
        <v>0.93022315873406702</v>
      </c>
      <c r="E4309">
        <v>0.85534363373734001</v>
      </c>
      <c r="F4309">
        <v>0.72153825191399801</v>
      </c>
      <c r="G4309">
        <v>0.51049955041139905</v>
      </c>
      <c r="H4309">
        <v>0.44365616780730599</v>
      </c>
      <c r="I4309">
        <v>0.62159661161247304</v>
      </c>
      <c r="J4309">
        <v>0.91260585763451996</v>
      </c>
      <c r="K4309">
        <v>0.96872994311420801</v>
      </c>
      <c r="L4309">
        <v>2137.2716744456302</v>
      </c>
      <c r="M4309">
        <v>42.742237894897599</v>
      </c>
      <c r="O4309">
        <v>49.894656685025097</v>
      </c>
      <c r="P4309">
        <v>-6.5842011638196002E-2</v>
      </c>
      <c r="Q4309">
        <v>0.69256087218154005</v>
      </c>
      <c r="R4309">
        <v>0.42358791532115603</v>
      </c>
      <c r="S4309" t="s">
        <v>10170</v>
      </c>
      <c r="T4309" t="s">
        <v>11720</v>
      </c>
      <c r="U4309" t="s">
        <v>11720</v>
      </c>
      <c r="V4309" t="s">
        <v>11720</v>
      </c>
      <c r="W4309" t="s">
        <v>15974</v>
      </c>
      <c r="X4309">
        <v>7</v>
      </c>
      <c r="Y4309" t="s">
        <v>21687</v>
      </c>
      <c r="Z4309" t="s">
        <v>27516</v>
      </c>
      <c r="AA4309">
        <v>0.79600882922344196</v>
      </c>
      <c r="AB4309" t="str">
        <f>HYPERLINK("Melting_Curves/meltCurve_Q8WVC2_RPS21.pdf", "Melting_Curves/meltCurve_Q8WVC2_RPS21.pdf")</f>
        <v>Melting_Curves/meltCurve_Q8WVC2_RPS21.pdf</v>
      </c>
    </row>
    <row r="4310" spans="1:28" x14ac:dyDescent="0.25">
      <c r="A4310" t="s">
        <v>4314</v>
      </c>
      <c r="B4310">
        <v>0.99334974765950101</v>
      </c>
      <c r="C4310">
        <v>0.91025223905495101</v>
      </c>
      <c r="D4310">
        <v>0.80133195079841402</v>
      </c>
      <c r="E4310">
        <v>0.56730803217981896</v>
      </c>
      <c r="F4310">
        <v>0.32820903528247097</v>
      </c>
      <c r="G4310">
        <v>0.242342430892658</v>
      </c>
      <c r="H4310">
        <v>0.191896128978465</v>
      </c>
      <c r="I4310">
        <v>0.147078877000973</v>
      </c>
      <c r="J4310">
        <v>0.15513822102213001</v>
      </c>
      <c r="K4310">
        <v>0.134613231858174</v>
      </c>
      <c r="L4310">
        <v>778.06875933307504</v>
      </c>
      <c r="M4310">
        <v>15.6904398758087</v>
      </c>
      <c r="N4310">
        <v>50.585778228899699</v>
      </c>
      <c r="O4310">
        <v>48.804176397769503</v>
      </c>
      <c r="P4310">
        <v>-6.9690071744379606E-2</v>
      </c>
      <c r="Q4310">
        <v>0.13300619946108599</v>
      </c>
      <c r="R4310">
        <v>0.99686131813280499</v>
      </c>
      <c r="S4310" t="s">
        <v>10171</v>
      </c>
      <c r="T4310" t="s">
        <v>11720</v>
      </c>
      <c r="U4310" t="s">
        <v>11720</v>
      </c>
      <c r="V4310" t="s">
        <v>11720</v>
      </c>
      <c r="W4310" t="s">
        <v>15975</v>
      </c>
      <c r="X4310">
        <v>3</v>
      </c>
      <c r="Y4310" t="s">
        <v>21688</v>
      </c>
      <c r="Z4310" t="s">
        <v>27517</v>
      </c>
      <c r="AA4310">
        <v>0.42941389998931762</v>
      </c>
      <c r="AB4310" t="str">
        <f>HYPERLINK("Melting_Curves/meltCurve_Q8WVD5_RNF141.pdf", "Melting_Curves/meltCurve_Q8WVD5_RNF141.pdf")</f>
        <v>Melting_Curves/meltCurve_Q8WVD5_RNF141.pdf</v>
      </c>
    </row>
    <row r="4311" spans="1:28" x14ac:dyDescent="0.25">
      <c r="A4311" t="s">
        <v>4315</v>
      </c>
      <c r="B4311">
        <v>0.99334974765950101</v>
      </c>
      <c r="C4311">
        <v>0.91076268266496896</v>
      </c>
      <c r="D4311">
        <v>0.79606481460226997</v>
      </c>
      <c r="E4311">
        <v>0.38661242857192801</v>
      </c>
      <c r="F4311">
        <v>0.17149046527946299</v>
      </c>
      <c r="G4311">
        <v>0.15107028982292001</v>
      </c>
      <c r="H4311">
        <v>0.112471932023905</v>
      </c>
      <c r="I4311">
        <v>9.4969447470207302E-2</v>
      </c>
      <c r="J4311">
        <v>7.3966288688716006E-2</v>
      </c>
      <c r="K4311">
        <v>6.2641990736388001E-2</v>
      </c>
      <c r="L4311">
        <v>1065.0608881486901</v>
      </c>
      <c r="M4311">
        <v>22.020309251826699</v>
      </c>
      <c r="N4311">
        <v>48.778406240317302</v>
      </c>
      <c r="O4311">
        <v>47.973611612838504</v>
      </c>
      <c r="P4311">
        <v>-0.105033946163979</v>
      </c>
      <c r="Q4311">
        <v>8.4709276698907196E-2</v>
      </c>
      <c r="R4311">
        <v>0.99614193663716499</v>
      </c>
      <c r="S4311" t="s">
        <v>10172</v>
      </c>
      <c r="T4311" t="s">
        <v>11720</v>
      </c>
      <c r="U4311" t="s">
        <v>11720</v>
      </c>
      <c r="V4311" t="s">
        <v>11720</v>
      </c>
      <c r="W4311" t="s">
        <v>15976</v>
      </c>
      <c r="X4311">
        <v>2</v>
      </c>
      <c r="Y4311" t="s">
        <v>21689</v>
      </c>
      <c r="Z4311" t="s">
        <v>27518</v>
      </c>
      <c r="AA4311">
        <v>0.35055165888777923</v>
      </c>
      <c r="AB4311" t="str">
        <f>HYPERLINK("Melting_Curves/meltCurve_Q8WVE0_N6AMT2.pdf", "Melting_Curves/meltCurve_Q8WVE0_N6AMT2.pdf")</f>
        <v>Melting_Curves/meltCurve_Q8WVE0_N6AMT2.pdf</v>
      </c>
    </row>
    <row r="4312" spans="1:28" x14ac:dyDescent="0.25">
      <c r="A4312" t="s">
        <v>4316</v>
      </c>
      <c r="B4312">
        <v>0.99334974765950101</v>
      </c>
      <c r="C4312">
        <v>0.96422430723836094</v>
      </c>
      <c r="D4312">
        <v>0.80313861329834502</v>
      </c>
      <c r="E4312">
        <v>0.45018938181337298</v>
      </c>
      <c r="F4312">
        <v>0.21629009159868001</v>
      </c>
      <c r="G4312">
        <v>0.116551234582029</v>
      </c>
      <c r="H4312">
        <v>8.7969453414484894E-2</v>
      </c>
      <c r="I4312">
        <v>9.4831895532414695E-2</v>
      </c>
      <c r="J4312">
        <v>9.9382330660552298E-2</v>
      </c>
      <c r="K4312">
        <v>8.8677769585756405E-2</v>
      </c>
      <c r="L4312">
        <v>1066.8140903619501</v>
      </c>
      <c r="M4312">
        <v>21.816021501840499</v>
      </c>
      <c r="N4312">
        <v>49.321633839192899</v>
      </c>
      <c r="O4312">
        <v>48.495185792003497</v>
      </c>
      <c r="P4312">
        <v>-0.102910007569797</v>
      </c>
      <c r="Q4312">
        <v>8.4980123878759306E-2</v>
      </c>
      <c r="R4312">
        <v>0.99935072096605704</v>
      </c>
      <c r="S4312" t="s">
        <v>10173</v>
      </c>
      <c r="T4312" t="s">
        <v>11720</v>
      </c>
      <c r="U4312" t="s">
        <v>11720</v>
      </c>
      <c r="V4312" t="s">
        <v>11720</v>
      </c>
      <c r="W4312" t="s">
        <v>15977</v>
      </c>
      <c r="X4312">
        <v>7</v>
      </c>
      <c r="Y4312" t="s">
        <v>21690</v>
      </c>
      <c r="Z4312" t="s">
        <v>27519</v>
      </c>
      <c r="AA4312">
        <v>0.36718585936531811</v>
      </c>
      <c r="AB4312" t="str">
        <f>HYPERLINK("Melting_Curves/meltCurve_Q8WVJ2_NUDCD2.pdf", "Melting_Curves/meltCurve_Q8WVJ2_NUDCD2.pdf")</f>
        <v>Melting_Curves/meltCurve_Q8WVJ2_NUDCD2.pdf</v>
      </c>
    </row>
    <row r="4313" spans="1:28" x14ac:dyDescent="0.25">
      <c r="A4313" t="s">
        <v>4317</v>
      </c>
      <c r="B4313">
        <v>0.99334974765950101</v>
      </c>
      <c r="C4313">
        <v>1.0475267164836899</v>
      </c>
      <c r="D4313">
        <v>0.94693183653704405</v>
      </c>
      <c r="E4313">
        <v>0.79167310231907995</v>
      </c>
      <c r="F4313">
        <v>0.82729582556398795</v>
      </c>
      <c r="G4313">
        <v>0.544482571136083</v>
      </c>
      <c r="H4313">
        <v>0.51121053969615304</v>
      </c>
      <c r="I4313">
        <v>0.53649143768843099</v>
      </c>
      <c r="J4313">
        <v>0.54451559561534801</v>
      </c>
      <c r="K4313">
        <v>0.51082914316125505</v>
      </c>
      <c r="L4313">
        <v>931.96967331897201</v>
      </c>
      <c r="M4313">
        <v>17.746639893339601</v>
      </c>
      <c r="O4313">
        <v>51.862078387908497</v>
      </c>
      <c r="P4313">
        <v>-4.2435518017778999E-2</v>
      </c>
      <c r="Q4313">
        <v>0.50397837621727704</v>
      </c>
      <c r="R4313">
        <v>0.94884806516470399</v>
      </c>
      <c r="S4313" t="s">
        <v>10174</v>
      </c>
      <c r="T4313" t="s">
        <v>11720</v>
      </c>
      <c r="U4313" t="s">
        <v>11720</v>
      </c>
      <c r="V4313" t="s">
        <v>11720</v>
      </c>
      <c r="W4313" t="s">
        <v>15978</v>
      </c>
      <c r="X4313">
        <v>1</v>
      </c>
      <c r="Y4313" t="s">
        <v>21691</v>
      </c>
      <c r="Z4313" t="s">
        <v>27520</v>
      </c>
      <c r="AA4313">
        <v>0.71929115513018016</v>
      </c>
      <c r="AB4313" t="str">
        <f>HYPERLINK("Melting_Curves/meltCurve_Q8WVK2_SNRNP27.pdf", "Melting_Curves/meltCurve_Q8WVK2_SNRNP27.pdf")</f>
        <v>Melting_Curves/meltCurve_Q8WVK2_SNRNP27.pdf</v>
      </c>
    </row>
    <row r="4314" spans="1:28" x14ac:dyDescent="0.25">
      <c r="A4314" t="s">
        <v>4318</v>
      </c>
      <c r="B4314">
        <v>0.99334974765950101</v>
      </c>
      <c r="C4314">
        <v>0.93583482764247905</v>
      </c>
      <c r="D4314">
        <v>0.91434519158344196</v>
      </c>
      <c r="E4314">
        <v>0.56480156753578104</v>
      </c>
      <c r="F4314">
        <v>0.17967238148865</v>
      </c>
      <c r="G4314">
        <v>0.110694877497361</v>
      </c>
      <c r="H4314">
        <v>8.4867112140543197E-2</v>
      </c>
      <c r="I4314">
        <v>7.1558102403592005E-2</v>
      </c>
      <c r="J4314">
        <v>7.6049189665271702E-2</v>
      </c>
      <c r="K4314">
        <v>6.5685474168424796E-2</v>
      </c>
      <c r="L4314">
        <v>1534.3745681722601</v>
      </c>
      <c r="M4314">
        <v>30.666777502251001</v>
      </c>
      <c r="N4314">
        <v>50.290629860210402</v>
      </c>
      <c r="O4314">
        <v>49.822461107097197</v>
      </c>
      <c r="P4314">
        <v>-0.14272656809586201</v>
      </c>
      <c r="Q4314">
        <v>7.2488595356007296E-2</v>
      </c>
      <c r="R4314">
        <v>0.99574576093470901</v>
      </c>
      <c r="S4314" t="s">
        <v>10175</v>
      </c>
      <c r="T4314" t="s">
        <v>11720</v>
      </c>
      <c r="U4314" t="s">
        <v>11720</v>
      </c>
      <c r="V4314" t="s">
        <v>11720</v>
      </c>
      <c r="W4314" t="s">
        <v>15979</v>
      </c>
      <c r="X4314">
        <v>29</v>
      </c>
      <c r="Y4314" t="s">
        <v>21692</v>
      </c>
      <c r="Z4314" t="s">
        <v>27521</v>
      </c>
      <c r="AA4314">
        <v>0.38819348120557517</v>
      </c>
      <c r="AB4314" t="str">
        <f>HYPERLINK("Melting_Curves/meltCurve_Q8WVM8_SCFD1.pdf", "Melting_Curves/meltCurve_Q8WVM8_SCFD1.pdf")</f>
        <v>Melting_Curves/meltCurve_Q8WVM8_SCFD1.pdf</v>
      </c>
    </row>
    <row r="4315" spans="1:28" x14ac:dyDescent="0.25">
      <c r="A4315" t="s">
        <v>4319</v>
      </c>
      <c r="B4315">
        <v>0.99334974765950101</v>
      </c>
      <c r="C4315">
        <v>1.0419355107375099</v>
      </c>
      <c r="D4315">
        <v>0.88385317225694704</v>
      </c>
      <c r="E4315">
        <v>0.75275671016047996</v>
      </c>
      <c r="F4315">
        <v>0.42560139283045201</v>
      </c>
      <c r="G4315">
        <v>0.198883763671616</v>
      </c>
      <c r="H4315">
        <v>0.123647514682003</v>
      </c>
      <c r="I4315">
        <v>0.10448406646839099</v>
      </c>
      <c r="J4315">
        <v>9.7301342227054596E-2</v>
      </c>
      <c r="K4315">
        <v>9.4879742725364299E-2</v>
      </c>
      <c r="L4315">
        <v>1135.39927254124</v>
      </c>
      <c r="M4315">
        <v>21.889411275755499</v>
      </c>
      <c r="N4315">
        <v>52.342540034175997</v>
      </c>
      <c r="O4315">
        <v>51.442711199529498</v>
      </c>
      <c r="P4315">
        <v>-9.6838876399291798E-2</v>
      </c>
      <c r="Q4315">
        <v>8.9689462717869595E-2</v>
      </c>
      <c r="R4315">
        <v>0.99458115439759098</v>
      </c>
      <c r="S4315" t="s">
        <v>10176</v>
      </c>
      <c r="T4315" t="s">
        <v>11720</v>
      </c>
      <c r="U4315" t="s">
        <v>11720</v>
      </c>
      <c r="V4315" t="s">
        <v>11720</v>
      </c>
      <c r="W4315" t="s">
        <v>15980</v>
      </c>
      <c r="X4315">
        <v>4</v>
      </c>
      <c r="Y4315" t="s">
        <v>21693</v>
      </c>
      <c r="Z4315" t="s">
        <v>27522</v>
      </c>
      <c r="AA4315">
        <v>0.46054404400795301</v>
      </c>
      <c r="AB4315" t="str">
        <f>HYPERLINK("Melting_Curves/meltCurve_Q8WVN8_3_UBE2Q2.pdf", "Melting_Curves/meltCurve_Q8WVN8_3_UBE2Q2.pdf")</f>
        <v>Melting_Curves/meltCurve_Q8WVN8_3_UBE2Q2.pdf</v>
      </c>
    </row>
    <row r="4316" spans="1:28" x14ac:dyDescent="0.25">
      <c r="A4316" t="s">
        <v>4320</v>
      </c>
      <c r="B4316">
        <v>0.99334974765950101</v>
      </c>
      <c r="C4316">
        <v>0.85422776833233105</v>
      </c>
      <c r="D4316">
        <v>0.77531450054455398</v>
      </c>
      <c r="E4316">
        <v>0.66163391934147697</v>
      </c>
      <c r="F4316">
        <v>0.44288325212368201</v>
      </c>
      <c r="G4316">
        <v>0.226582317452445</v>
      </c>
      <c r="H4316">
        <v>0.14727769643686101</v>
      </c>
      <c r="I4316">
        <v>9.4906630112837106E-2</v>
      </c>
      <c r="J4316">
        <v>9.6550847224645006E-2</v>
      </c>
      <c r="K4316">
        <v>6.4656284035911796E-2</v>
      </c>
      <c r="L4316">
        <v>575.54018367386004</v>
      </c>
      <c r="M4316">
        <v>11.109303866353001</v>
      </c>
      <c r="N4316">
        <v>51.8087246473197</v>
      </c>
      <c r="O4316">
        <v>50.213359646106099</v>
      </c>
      <c r="P4316">
        <v>-5.5318419697651999E-2</v>
      </c>
      <c r="Q4316">
        <v>1.8156961860241099E-4</v>
      </c>
      <c r="R4316">
        <v>0.99032883972589802</v>
      </c>
      <c r="S4316" t="s">
        <v>10177</v>
      </c>
      <c r="T4316" t="s">
        <v>11720</v>
      </c>
      <c r="U4316" t="s">
        <v>11720</v>
      </c>
      <c r="V4316" t="s">
        <v>11720</v>
      </c>
      <c r="W4316" t="s">
        <v>15981</v>
      </c>
      <c r="X4316">
        <v>5</v>
      </c>
      <c r="Y4316" t="s">
        <v>21694</v>
      </c>
      <c r="Z4316" t="s">
        <v>27523</v>
      </c>
      <c r="AA4316">
        <v>0.42786193871916051</v>
      </c>
      <c r="AB4316" t="str">
        <f>HYPERLINK("Melting_Curves/meltCurve_Q8WVQ1_CANT1.pdf", "Melting_Curves/meltCurve_Q8WVQ1_CANT1.pdf")</f>
        <v>Melting_Curves/meltCurve_Q8WVQ1_CANT1.pdf</v>
      </c>
    </row>
    <row r="4317" spans="1:28" x14ac:dyDescent="0.25">
      <c r="A4317" t="s">
        <v>4321</v>
      </c>
      <c r="B4317">
        <v>0.99334974765950101</v>
      </c>
      <c r="C4317">
        <v>0.88755517596115696</v>
      </c>
      <c r="D4317">
        <v>0.70421929970699304</v>
      </c>
      <c r="E4317">
        <v>0.62580616199236705</v>
      </c>
      <c r="F4317">
        <v>0.52998489943856697</v>
      </c>
      <c r="G4317">
        <v>0.30140018740678398</v>
      </c>
      <c r="H4317">
        <v>0.29447247329887499</v>
      </c>
      <c r="I4317">
        <v>0.34380299614619197</v>
      </c>
      <c r="J4317">
        <v>0.36624748296403797</v>
      </c>
      <c r="K4317">
        <v>0.343178777468301</v>
      </c>
      <c r="L4317">
        <v>633.78639644397504</v>
      </c>
      <c r="M4317">
        <v>13.121777725588601</v>
      </c>
      <c r="N4317">
        <v>52.083221630703399</v>
      </c>
      <c r="O4317">
        <v>47.219859950581203</v>
      </c>
      <c r="P4317">
        <v>-4.8136931442747E-2</v>
      </c>
      <c r="Q4317">
        <v>0.30721828628673697</v>
      </c>
      <c r="R4317">
        <v>0.95949621200394797</v>
      </c>
      <c r="S4317" t="s">
        <v>10178</v>
      </c>
      <c r="T4317" t="s">
        <v>11720</v>
      </c>
      <c r="U4317" t="s">
        <v>11720</v>
      </c>
      <c r="V4317" t="s">
        <v>11720</v>
      </c>
      <c r="W4317" t="s">
        <v>15982</v>
      </c>
      <c r="X4317">
        <v>4</v>
      </c>
      <c r="Y4317" t="s">
        <v>21695</v>
      </c>
      <c r="Z4317" t="s">
        <v>27524</v>
      </c>
      <c r="AA4317">
        <v>0.5215555062443743</v>
      </c>
      <c r="AB4317" t="str">
        <f>HYPERLINK("Melting_Curves/meltCurve_Q8WVT3_TRAPPC12.pdf", "Melting_Curves/meltCurve_Q8WVT3_TRAPPC12.pdf")</f>
        <v>Melting_Curves/meltCurve_Q8WVT3_TRAPPC12.pdf</v>
      </c>
    </row>
    <row r="4318" spans="1:28" x14ac:dyDescent="0.25">
      <c r="A4318" t="s">
        <v>4322</v>
      </c>
      <c r="B4318">
        <v>0.99334974765950101</v>
      </c>
      <c r="C4318">
        <v>0.92952566581564</v>
      </c>
      <c r="D4318">
        <v>0.671744485598746</v>
      </c>
      <c r="E4318">
        <v>0.26223314949023202</v>
      </c>
      <c r="F4318">
        <v>0.13163862620491301</v>
      </c>
      <c r="G4318">
        <v>7.8612666390482297E-2</v>
      </c>
      <c r="H4318">
        <v>5.6723744181889198E-2</v>
      </c>
      <c r="I4318">
        <v>4.1223390088771003E-2</v>
      </c>
      <c r="J4318">
        <v>4.66344359140516E-2</v>
      </c>
      <c r="K4318">
        <v>3.2375314422746E-2</v>
      </c>
      <c r="L4318">
        <v>1079.2370980378701</v>
      </c>
      <c r="M4318">
        <v>22.790302845094601</v>
      </c>
      <c r="N4318">
        <v>47.556061053974602</v>
      </c>
      <c r="O4318">
        <v>46.995014411574203</v>
      </c>
      <c r="P4318">
        <v>-0.115674629223412</v>
      </c>
      <c r="Q4318">
        <v>4.59054029994449E-2</v>
      </c>
      <c r="R4318">
        <v>0.99944854671304995</v>
      </c>
      <c r="S4318" t="s">
        <v>10179</v>
      </c>
      <c r="T4318" t="s">
        <v>11720</v>
      </c>
      <c r="U4318" t="s">
        <v>11720</v>
      </c>
      <c r="V4318" t="s">
        <v>11720</v>
      </c>
      <c r="W4318" t="s">
        <v>15983</v>
      </c>
      <c r="X4318">
        <v>15</v>
      </c>
      <c r="Y4318" t="s">
        <v>21696</v>
      </c>
      <c r="Z4318" t="s">
        <v>27525</v>
      </c>
      <c r="AA4318">
        <v>0.29018627551917459</v>
      </c>
      <c r="AB4318" t="str">
        <f>HYPERLINK("Melting_Curves/meltCurve_Q8WVY7_UBLCP1.pdf", "Melting_Curves/meltCurve_Q8WVY7_UBLCP1.pdf")</f>
        <v>Melting_Curves/meltCurve_Q8WVY7_UBLCP1.pdf</v>
      </c>
    </row>
    <row r="4319" spans="1:28" x14ac:dyDescent="0.25">
      <c r="A4319" t="s">
        <v>4323</v>
      </c>
      <c r="B4319">
        <v>0.99334974765950101</v>
      </c>
      <c r="C4319">
        <v>0.98938610096144297</v>
      </c>
      <c r="D4319">
        <v>0.86175211166437304</v>
      </c>
      <c r="E4319">
        <v>0.87947980520886904</v>
      </c>
      <c r="F4319">
        <v>0.79825115596980201</v>
      </c>
      <c r="G4319">
        <v>0.495663063596753</v>
      </c>
      <c r="H4319">
        <v>0.41604294856999802</v>
      </c>
      <c r="I4319">
        <v>0.41981022745269098</v>
      </c>
      <c r="J4319">
        <v>0.53330695941940398</v>
      </c>
      <c r="K4319">
        <v>0.37774237866014498</v>
      </c>
      <c r="L4319">
        <v>1167.2098253699601</v>
      </c>
      <c r="M4319">
        <v>21.8129985246538</v>
      </c>
      <c r="N4319">
        <v>58.333502798970102</v>
      </c>
      <c r="O4319">
        <v>53.066187876894404</v>
      </c>
      <c r="P4319">
        <v>-5.98445353640868E-2</v>
      </c>
      <c r="Q4319">
        <v>0.41765952421501201</v>
      </c>
      <c r="R4319">
        <v>0.93620740858816498</v>
      </c>
      <c r="S4319" t="s">
        <v>10180</v>
      </c>
      <c r="T4319" t="s">
        <v>11720</v>
      </c>
      <c r="U4319" t="s">
        <v>11720</v>
      </c>
      <c r="V4319" t="s">
        <v>11720</v>
      </c>
      <c r="W4319" t="s">
        <v>15984</v>
      </c>
      <c r="X4319">
        <v>2</v>
      </c>
      <c r="Y4319" t="s">
        <v>21697</v>
      </c>
      <c r="Z4319" t="s">
        <v>27526</v>
      </c>
      <c r="AA4319">
        <v>0.6867775689008615</v>
      </c>
      <c r="AB4319" t="str">
        <f>HYPERLINK("Melting_Curves/meltCurve_Q8WW01_TSEN15.pdf", "Melting_Curves/meltCurve_Q8WW01_TSEN15.pdf")</f>
        <v>Melting_Curves/meltCurve_Q8WW01_TSEN15.pdf</v>
      </c>
    </row>
    <row r="4320" spans="1:28" x14ac:dyDescent="0.25">
      <c r="A4320" t="s">
        <v>4324</v>
      </c>
      <c r="B4320">
        <v>0.99334974765950101</v>
      </c>
      <c r="C4320">
        <v>0.980135036972271</v>
      </c>
      <c r="D4320">
        <v>0.87649649419676801</v>
      </c>
      <c r="E4320">
        <v>0.85519070224264404</v>
      </c>
      <c r="F4320">
        <v>0.89062745876227301</v>
      </c>
      <c r="G4320">
        <v>0.79444710846324895</v>
      </c>
      <c r="H4320">
        <v>0.79656553302213196</v>
      </c>
      <c r="I4320">
        <v>0.94755622458551103</v>
      </c>
      <c r="J4320">
        <v>1.1405249755278899</v>
      </c>
      <c r="K4320">
        <v>1.06690130384074</v>
      </c>
      <c r="L4320">
        <v>10771.7699660701</v>
      </c>
      <c r="M4320">
        <v>250</v>
      </c>
      <c r="O4320">
        <v>43.084322682818403</v>
      </c>
      <c r="P4320">
        <v>-0.114544673548664</v>
      </c>
      <c r="Q4320">
        <v>0.92103872545825605</v>
      </c>
      <c r="R4320">
        <v>5.99615871415222E-2</v>
      </c>
      <c r="S4320" t="s">
        <v>10181</v>
      </c>
      <c r="T4320" t="s">
        <v>11720</v>
      </c>
      <c r="U4320" t="s">
        <v>11720</v>
      </c>
      <c r="V4320" t="s">
        <v>11720</v>
      </c>
      <c r="W4320" t="s">
        <v>15985</v>
      </c>
      <c r="X4320">
        <v>10</v>
      </c>
      <c r="Y4320" t="s">
        <v>21698</v>
      </c>
      <c r="Z4320" t="s">
        <v>27527</v>
      </c>
      <c r="AA4320">
        <v>0.92917002164330331</v>
      </c>
      <c r="AB4320" t="str">
        <f>HYPERLINK("Melting_Curves/meltCurve_Q8WW12_PCNP.pdf", "Melting_Curves/meltCurve_Q8WW12_PCNP.pdf")</f>
        <v>Melting_Curves/meltCurve_Q8WW12_PCNP.pdf</v>
      </c>
    </row>
    <row r="4321" spans="1:28" x14ac:dyDescent="0.25">
      <c r="A4321" t="s">
        <v>4325</v>
      </c>
      <c r="B4321">
        <v>0.99334974765950101</v>
      </c>
      <c r="C4321">
        <v>0.98835376089583904</v>
      </c>
      <c r="D4321">
        <v>0.82902103331099297</v>
      </c>
      <c r="E4321">
        <v>0.691993310167069</v>
      </c>
      <c r="F4321">
        <v>0.47882235313000698</v>
      </c>
      <c r="G4321">
        <v>0.21219574602831301</v>
      </c>
      <c r="H4321">
        <v>9.0671765190196305E-2</v>
      </c>
      <c r="I4321">
        <v>6.9709201734714898E-2</v>
      </c>
      <c r="J4321">
        <v>5.75882871762372E-2</v>
      </c>
      <c r="K4321">
        <v>4.8570455140020098E-2</v>
      </c>
      <c r="L4321">
        <v>786.98381756127901</v>
      </c>
      <c r="M4321">
        <v>15.0488891689919</v>
      </c>
      <c r="N4321">
        <v>52.377515026703797</v>
      </c>
      <c r="O4321">
        <v>51.397784097867401</v>
      </c>
      <c r="P4321">
        <v>-7.2349150987965502E-2</v>
      </c>
      <c r="Q4321">
        <v>1.16971321916168E-2</v>
      </c>
      <c r="R4321">
        <v>0.99550866025005103</v>
      </c>
      <c r="S4321" t="s">
        <v>10182</v>
      </c>
      <c r="T4321" t="s">
        <v>11720</v>
      </c>
      <c r="U4321" t="s">
        <v>11720</v>
      </c>
      <c r="V4321" t="s">
        <v>11720</v>
      </c>
      <c r="W4321" t="s">
        <v>15986</v>
      </c>
      <c r="X4321">
        <v>12</v>
      </c>
      <c r="Y4321" t="s">
        <v>21699</v>
      </c>
      <c r="Z4321" t="s">
        <v>27528</v>
      </c>
      <c r="AA4321">
        <v>0.43849877944418242</v>
      </c>
      <c r="AB4321" t="str">
        <f>HYPERLINK("Melting_Curves/meltCurve_Q8WW59_SPRYD4.pdf", "Melting_Curves/meltCurve_Q8WW59_SPRYD4.pdf")</f>
        <v>Melting_Curves/meltCurve_Q8WW59_SPRYD4.pdf</v>
      </c>
    </row>
    <row r="4322" spans="1:28" x14ac:dyDescent="0.25">
      <c r="A4322" t="s">
        <v>4326</v>
      </c>
      <c r="B4322">
        <v>0.99334974765950101</v>
      </c>
      <c r="C4322">
        <v>0.99816212269768001</v>
      </c>
      <c r="D4322">
        <v>1.1091822348429401</v>
      </c>
      <c r="E4322">
        <v>0.97695823325698605</v>
      </c>
      <c r="F4322">
        <v>1.27504173656135</v>
      </c>
      <c r="G4322">
        <v>0.55708347031781602</v>
      </c>
      <c r="H4322">
        <v>0.55932169868236203</v>
      </c>
      <c r="I4322">
        <v>0.68960244391152503</v>
      </c>
      <c r="J4322">
        <v>0.50652648768061903</v>
      </c>
      <c r="K4322">
        <v>0.309479588887833</v>
      </c>
      <c r="L4322">
        <v>14114.143816419501</v>
      </c>
      <c r="M4322">
        <v>250</v>
      </c>
      <c r="O4322">
        <v>56.452945916280598</v>
      </c>
      <c r="P4322">
        <v>-0.53558694396878803</v>
      </c>
      <c r="Q4322">
        <v>0.51623248599768101</v>
      </c>
      <c r="R4322">
        <v>0.81593403800299902</v>
      </c>
      <c r="S4322" t="s">
        <v>10183</v>
      </c>
      <c r="T4322" t="s">
        <v>11720</v>
      </c>
      <c r="U4322" t="s">
        <v>11720</v>
      </c>
      <c r="V4322" t="s">
        <v>11720</v>
      </c>
      <c r="W4322" t="s">
        <v>15987</v>
      </c>
      <c r="X4322">
        <v>3</v>
      </c>
      <c r="Y4322" t="s">
        <v>21700</v>
      </c>
      <c r="Z4322" t="s">
        <v>27529</v>
      </c>
      <c r="AA4322">
        <v>0.78165230139073605</v>
      </c>
      <c r="AB4322" t="str">
        <f>HYPERLINK("Melting_Curves/meltCurve_Q8WWB7_2_C1orf85.pdf", "Melting_Curves/meltCurve_Q8WWB7_2_C1orf85.pdf")</f>
        <v>Melting_Curves/meltCurve_Q8WWB7_2_C1orf85.pdf</v>
      </c>
    </row>
    <row r="4323" spans="1:28" x14ac:dyDescent="0.25">
      <c r="A4323" t="s">
        <v>4327</v>
      </c>
      <c r="B4323">
        <v>0.99334974765950101</v>
      </c>
      <c r="C4323">
        <v>0.95503751486479005</v>
      </c>
      <c r="D4323">
        <v>0.84616693274673105</v>
      </c>
      <c r="E4323">
        <v>0.52224000328998899</v>
      </c>
      <c r="F4323">
        <v>0.22447560944890499</v>
      </c>
      <c r="G4323">
        <v>0.14470941926834699</v>
      </c>
      <c r="H4323">
        <v>0.105387394236257</v>
      </c>
      <c r="I4323">
        <v>0.106420021238749</v>
      </c>
      <c r="J4323">
        <v>0.13790114663241501</v>
      </c>
      <c r="K4323">
        <v>7.8872771056714502E-2</v>
      </c>
      <c r="L4323">
        <v>1127.9146620848901</v>
      </c>
      <c r="M4323">
        <v>22.815535914638701</v>
      </c>
      <c r="N4323">
        <v>49.921201162554702</v>
      </c>
      <c r="O4323">
        <v>49.061154232851003</v>
      </c>
      <c r="P4323">
        <v>-0.104706910287168</v>
      </c>
      <c r="Q4323">
        <v>9.9395348197496597E-2</v>
      </c>
      <c r="R4323">
        <v>0.99657149407919399</v>
      </c>
      <c r="S4323" t="s">
        <v>10184</v>
      </c>
      <c r="T4323" t="s">
        <v>11720</v>
      </c>
      <c r="U4323" t="s">
        <v>11720</v>
      </c>
      <c r="V4323" t="s">
        <v>11720</v>
      </c>
      <c r="W4323" t="s">
        <v>15988</v>
      </c>
      <c r="X4323">
        <v>6</v>
      </c>
      <c r="Y4323" t="s">
        <v>21701</v>
      </c>
      <c r="Z4323" t="s">
        <v>27530</v>
      </c>
      <c r="AA4323">
        <v>0.39231626159994287</v>
      </c>
      <c r="AB4323" t="str">
        <f>HYPERLINK("Melting_Curves/meltCurve_Q8WWH5_TRUB1.pdf", "Melting_Curves/meltCurve_Q8WWH5_TRUB1.pdf")</f>
        <v>Melting_Curves/meltCurve_Q8WWH5_TRUB1.pdf</v>
      </c>
    </row>
    <row r="4324" spans="1:28" x14ac:dyDescent="0.25">
      <c r="A4324" t="s">
        <v>4328</v>
      </c>
      <c r="B4324">
        <v>0.99334974765950101</v>
      </c>
      <c r="C4324">
        <v>0.93761666101167596</v>
      </c>
      <c r="D4324">
        <v>0.90359367183144002</v>
      </c>
      <c r="E4324">
        <v>1.0259113171269301</v>
      </c>
      <c r="F4324">
        <v>0.95407293825999095</v>
      </c>
      <c r="G4324">
        <v>0.96690446246428896</v>
      </c>
      <c r="H4324">
        <v>0.82258444412127396</v>
      </c>
      <c r="I4324">
        <v>0.782282163120959</v>
      </c>
      <c r="J4324">
        <v>0.78460718690958098</v>
      </c>
      <c r="K4324">
        <v>0.49434974385327402</v>
      </c>
      <c r="L4324">
        <v>830.72520640778805</v>
      </c>
      <c r="M4324">
        <v>11.6410229782754</v>
      </c>
      <c r="O4324">
        <v>69.353546681165696</v>
      </c>
      <c r="P4324">
        <v>-4.1973986507618702E-2</v>
      </c>
      <c r="Q4324">
        <v>0</v>
      </c>
      <c r="R4324">
        <v>0.850499411470372</v>
      </c>
      <c r="S4324" t="s">
        <v>10185</v>
      </c>
      <c r="T4324" t="s">
        <v>11720</v>
      </c>
      <c r="U4324" t="s">
        <v>11720</v>
      </c>
      <c r="V4324" t="s">
        <v>11720</v>
      </c>
      <c r="W4324" t="s">
        <v>15989</v>
      </c>
      <c r="X4324">
        <v>4</v>
      </c>
      <c r="Y4324" t="s">
        <v>21702</v>
      </c>
      <c r="Z4324" t="s">
        <v>27531</v>
      </c>
      <c r="AA4324">
        <v>0.90258640087374298</v>
      </c>
      <c r="AB4324" t="str">
        <f>HYPERLINK("Melting_Curves/meltCurve_Q8WWI5_SLC44A1.pdf", "Melting_Curves/meltCurve_Q8WWI5_SLC44A1.pdf")</f>
        <v>Melting_Curves/meltCurve_Q8WWI5_SLC44A1.pdf</v>
      </c>
    </row>
    <row r="4325" spans="1:28" x14ac:dyDescent="0.25">
      <c r="A4325" t="s">
        <v>4329</v>
      </c>
      <c r="B4325">
        <v>0.99334974765950101</v>
      </c>
      <c r="C4325">
        <v>0.851246973435965</v>
      </c>
      <c r="D4325">
        <v>0.76150536448850104</v>
      </c>
      <c r="E4325">
        <v>0.69674774160418496</v>
      </c>
      <c r="F4325">
        <v>0.74079703490660198</v>
      </c>
      <c r="G4325">
        <v>0.399498684101318</v>
      </c>
      <c r="H4325">
        <v>0.34695920831639498</v>
      </c>
      <c r="I4325">
        <v>0.26956959081070198</v>
      </c>
      <c r="J4325">
        <v>0.26613402358910099</v>
      </c>
      <c r="K4325">
        <v>0.183813290341719</v>
      </c>
      <c r="L4325">
        <v>399.29088601323298</v>
      </c>
      <c r="M4325">
        <v>7.12590579249692</v>
      </c>
      <c r="N4325">
        <v>56.0337026076527</v>
      </c>
      <c r="O4325">
        <v>52.123738673245597</v>
      </c>
      <c r="P4325">
        <v>-3.4237188280064501E-2</v>
      </c>
      <c r="Q4325">
        <v>0</v>
      </c>
      <c r="R4325">
        <v>0.95339212231918902</v>
      </c>
      <c r="S4325" t="s">
        <v>10186</v>
      </c>
      <c r="T4325" t="s">
        <v>11720</v>
      </c>
      <c r="U4325" t="s">
        <v>11720</v>
      </c>
      <c r="V4325" t="s">
        <v>11720</v>
      </c>
      <c r="W4325" t="s">
        <v>15990</v>
      </c>
      <c r="X4325">
        <v>36</v>
      </c>
      <c r="Y4325" t="s">
        <v>21703</v>
      </c>
      <c r="Z4325" t="s">
        <v>27532</v>
      </c>
      <c r="AA4325">
        <v>0.55239230870540112</v>
      </c>
      <c r="AB4325" t="str">
        <f>HYPERLINK("Melting_Curves/meltCurve_Q8WWM7_ATXN2L.pdf", "Melting_Curves/meltCurve_Q8WWM7_ATXN2L.pdf")</f>
        <v>Melting_Curves/meltCurve_Q8WWM7_ATXN2L.pdf</v>
      </c>
    </row>
    <row r="4326" spans="1:28" x14ac:dyDescent="0.25">
      <c r="A4326" t="s">
        <v>4330</v>
      </c>
      <c r="B4326">
        <v>0.99334974765950101</v>
      </c>
      <c r="C4326">
        <v>1.06328652808206</v>
      </c>
      <c r="D4326">
        <v>0.89996756901318997</v>
      </c>
      <c r="E4326">
        <v>0.80026873984733005</v>
      </c>
      <c r="F4326">
        <v>0.68555731302905898</v>
      </c>
      <c r="G4326">
        <v>0.49493050844355402</v>
      </c>
      <c r="H4326">
        <v>0.41039656475339498</v>
      </c>
      <c r="I4326">
        <v>0.51284816427322799</v>
      </c>
      <c r="J4326">
        <v>0.49516142412342501</v>
      </c>
      <c r="K4326">
        <v>0.37613321790898002</v>
      </c>
      <c r="L4326">
        <v>945.22047063876005</v>
      </c>
      <c r="M4326">
        <v>18.265329858468899</v>
      </c>
      <c r="N4326">
        <v>58.0528650040579</v>
      </c>
      <c r="O4326">
        <v>51.141097750271697</v>
      </c>
      <c r="P4326">
        <v>-5.0790744395508097E-2</v>
      </c>
      <c r="Q4326">
        <v>0.43119046295104302</v>
      </c>
      <c r="R4326">
        <v>0.95880554464251699</v>
      </c>
      <c r="S4326" t="s">
        <v>10187</v>
      </c>
      <c r="T4326" t="s">
        <v>11720</v>
      </c>
      <c r="U4326" t="s">
        <v>11720</v>
      </c>
      <c r="V4326" t="s">
        <v>11720</v>
      </c>
      <c r="W4326" t="s">
        <v>15991</v>
      </c>
      <c r="X4326">
        <v>14</v>
      </c>
      <c r="Y4326" t="s">
        <v>21704</v>
      </c>
      <c r="Z4326" t="s">
        <v>27533</v>
      </c>
      <c r="AA4326">
        <v>0.6632223272391502</v>
      </c>
      <c r="AB4326" t="str">
        <f>HYPERLINK("Melting_Curves/meltCurve_Q8WWM9_CYGB.pdf", "Melting_Curves/meltCurve_Q8WWM9_CYGB.pdf")</f>
        <v>Melting_Curves/meltCurve_Q8WWM9_CYGB.pdf</v>
      </c>
    </row>
    <row r="4327" spans="1:28" x14ac:dyDescent="0.25">
      <c r="A4327" t="s">
        <v>4331</v>
      </c>
      <c r="B4327">
        <v>0.99334974765950101</v>
      </c>
      <c r="C4327">
        <v>0.91475295907991405</v>
      </c>
      <c r="D4327">
        <v>0.75502767462946796</v>
      </c>
      <c r="E4327">
        <v>0.40331530657370601</v>
      </c>
      <c r="F4327">
        <v>0.161143682695195</v>
      </c>
      <c r="G4327">
        <v>0.122917353945153</v>
      </c>
      <c r="H4327">
        <v>7.6933491672409204E-2</v>
      </c>
      <c r="I4327">
        <v>6.0334103147530897E-2</v>
      </c>
      <c r="J4327">
        <v>5.3708409268564898E-2</v>
      </c>
      <c r="K4327">
        <v>4.5777975318850403E-2</v>
      </c>
      <c r="L4327">
        <v>955.67421357862895</v>
      </c>
      <c r="M4327">
        <v>19.7313983743968</v>
      </c>
      <c r="N4327">
        <v>48.7074180352081</v>
      </c>
      <c r="O4327">
        <v>47.944923620764698</v>
      </c>
      <c r="P4327">
        <v>-9.7498882026357897E-2</v>
      </c>
      <c r="Q4327">
        <v>5.2390331679156903E-2</v>
      </c>
      <c r="R4327">
        <v>0.99785109991189702</v>
      </c>
      <c r="S4327" t="s">
        <v>10188</v>
      </c>
      <c r="T4327" t="s">
        <v>11720</v>
      </c>
      <c r="U4327" t="s">
        <v>11720</v>
      </c>
      <c r="V4327" t="s">
        <v>11720</v>
      </c>
      <c r="W4327" t="s">
        <v>15992</v>
      </c>
      <c r="X4327">
        <v>7</v>
      </c>
      <c r="Y4327" t="s">
        <v>21705</v>
      </c>
      <c r="Z4327" t="s">
        <v>27534</v>
      </c>
      <c r="AA4327">
        <v>0.33254597348026649</v>
      </c>
      <c r="AB4327" t="str">
        <f>HYPERLINK("Melting_Curves/meltCurve_Q8WWV3_RTN4IP1.pdf", "Melting_Curves/meltCurve_Q8WWV3_RTN4IP1.pdf")</f>
        <v>Melting_Curves/meltCurve_Q8WWV3_RTN4IP1.pdf</v>
      </c>
    </row>
    <row r="4328" spans="1:28" x14ac:dyDescent="0.25">
      <c r="A4328" t="s">
        <v>4332</v>
      </c>
      <c r="B4328">
        <v>0.99334974765950101</v>
      </c>
      <c r="C4328">
        <v>0.97084072826805301</v>
      </c>
      <c r="D4328">
        <v>0.88839882908912304</v>
      </c>
      <c r="E4328">
        <v>0.75286468355733804</v>
      </c>
      <c r="F4328">
        <v>0.643470490860235</v>
      </c>
      <c r="G4328">
        <v>0.46464689708810503</v>
      </c>
      <c r="H4328">
        <v>0.378368320625809</v>
      </c>
      <c r="I4328">
        <v>0.37822591757377899</v>
      </c>
      <c r="J4328">
        <v>0.382376058098371</v>
      </c>
      <c r="K4328">
        <v>0.38648689126018798</v>
      </c>
      <c r="L4328">
        <v>772.17000623817296</v>
      </c>
      <c r="M4328">
        <v>14.955275252164601</v>
      </c>
      <c r="N4328">
        <v>56.1858918065533</v>
      </c>
      <c r="O4328">
        <v>50.735180063140398</v>
      </c>
      <c r="P4328">
        <v>-4.7815312715254299E-2</v>
      </c>
      <c r="Q4328">
        <v>0.35122032308576001</v>
      </c>
      <c r="R4328">
        <v>0.99456957505034804</v>
      </c>
      <c r="S4328" t="s">
        <v>10189</v>
      </c>
      <c r="T4328" t="s">
        <v>11720</v>
      </c>
      <c r="U4328" t="s">
        <v>11720</v>
      </c>
      <c r="V4328" t="s">
        <v>11720</v>
      </c>
      <c r="W4328" t="s">
        <v>15993</v>
      </c>
      <c r="X4328">
        <v>9</v>
      </c>
      <c r="Y4328" t="s">
        <v>21706</v>
      </c>
      <c r="Z4328" t="s">
        <v>27535</v>
      </c>
      <c r="AA4328">
        <v>0.61752916177275885</v>
      </c>
      <c r="AB4328" t="str">
        <f>HYPERLINK("Melting_Curves/meltCurve_Q8WWX9_SELM.pdf", "Melting_Curves/meltCurve_Q8WWX9_SELM.pdf")</f>
        <v>Melting_Curves/meltCurve_Q8WWX9_SELM.pdf</v>
      </c>
    </row>
    <row r="4329" spans="1:28" x14ac:dyDescent="0.25">
      <c r="A4329" t="s">
        <v>4333</v>
      </c>
      <c r="B4329">
        <v>0.99334974765950101</v>
      </c>
      <c r="C4329">
        <v>0.98414400678257397</v>
      </c>
      <c r="D4329">
        <v>1.0252710945472701</v>
      </c>
      <c r="E4329">
        <v>0.73455468886974895</v>
      </c>
      <c r="F4329">
        <v>0.249014498993199</v>
      </c>
      <c r="G4329">
        <v>0.173227781748342</v>
      </c>
      <c r="H4329">
        <v>0.115121207510822</v>
      </c>
      <c r="I4329">
        <v>8.7910240310195606E-2</v>
      </c>
      <c r="J4329">
        <v>8.8969118428905494E-2</v>
      </c>
      <c r="K4329">
        <v>7.5271280596164794E-2</v>
      </c>
      <c r="L4329">
        <v>2171.68172631572</v>
      </c>
      <c r="M4329">
        <v>42.569004452360502</v>
      </c>
      <c r="N4329">
        <v>51.298563489852803</v>
      </c>
      <c r="O4329">
        <v>50.903367326603501</v>
      </c>
      <c r="P4329">
        <v>-0.18718788835658701</v>
      </c>
      <c r="Q4329">
        <v>0.104655766748768</v>
      </c>
      <c r="R4329">
        <v>0.99606949448229898</v>
      </c>
      <c r="S4329" t="s">
        <v>10190</v>
      </c>
      <c r="T4329" t="s">
        <v>11720</v>
      </c>
      <c r="U4329" t="s">
        <v>11720</v>
      </c>
      <c r="V4329" t="s">
        <v>11720</v>
      </c>
      <c r="W4329" t="s">
        <v>15994</v>
      </c>
      <c r="X4329">
        <v>5</v>
      </c>
      <c r="Y4329" t="s">
        <v>21707</v>
      </c>
      <c r="Z4329" t="s">
        <v>27536</v>
      </c>
      <c r="AA4329">
        <v>0.4361982091240969</v>
      </c>
      <c r="AB4329" t="str">
        <f>HYPERLINK("Melting_Curves/meltCurve_Q8WX92_NELFB.pdf", "Melting_Curves/meltCurve_Q8WX92_NELFB.pdf")</f>
        <v>Melting_Curves/meltCurve_Q8WX92_NELFB.pdf</v>
      </c>
    </row>
    <row r="4330" spans="1:28" x14ac:dyDescent="0.25">
      <c r="A4330" t="s">
        <v>4334</v>
      </c>
      <c r="B4330">
        <v>0.99334974765950101</v>
      </c>
      <c r="C4330">
        <v>0.94681620011554801</v>
      </c>
      <c r="D4330">
        <v>0.85156454702418405</v>
      </c>
      <c r="E4330">
        <v>0.56459198401659005</v>
      </c>
      <c r="F4330">
        <v>0.234350132881434</v>
      </c>
      <c r="G4330">
        <v>0.134982424230531</v>
      </c>
      <c r="H4330">
        <v>0.103237627127602</v>
      </c>
      <c r="I4330">
        <v>9.4481132229926296E-2</v>
      </c>
      <c r="J4330">
        <v>0.102208089650313</v>
      </c>
      <c r="K4330">
        <v>8.6831844692352902E-2</v>
      </c>
      <c r="L4330">
        <v>1111.95871060373</v>
      </c>
      <c r="M4330">
        <v>22.3248767034911</v>
      </c>
      <c r="N4330">
        <v>50.232359956134097</v>
      </c>
      <c r="O4330">
        <v>49.413578607737499</v>
      </c>
      <c r="P4330">
        <v>-0.10324555872614399</v>
      </c>
      <c r="Q4330">
        <v>8.5929991644930495E-2</v>
      </c>
      <c r="R4330">
        <v>0.99632376806762601</v>
      </c>
      <c r="S4330" t="s">
        <v>10191</v>
      </c>
      <c r="T4330" t="s">
        <v>11720</v>
      </c>
      <c r="U4330" t="s">
        <v>11720</v>
      </c>
      <c r="V4330" t="s">
        <v>11720</v>
      </c>
      <c r="W4330" t="s">
        <v>15995</v>
      </c>
      <c r="X4330">
        <v>40</v>
      </c>
      <c r="Y4330" t="s">
        <v>21708</v>
      </c>
      <c r="Z4330" t="s">
        <v>27537</v>
      </c>
      <c r="AA4330">
        <v>0.39500996713081371</v>
      </c>
      <c r="AB4330" t="str">
        <f>HYPERLINK("Melting_Curves/meltCurve_Q8WX93_3_PALLD.pdf", "Melting_Curves/meltCurve_Q8WX93_3_PALLD.pdf")</f>
        <v>Melting_Curves/meltCurve_Q8WX93_3_PALLD.pdf</v>
      </c>
    </row>
    <row r="4331" spans="1:28" x14ac:dyDescent="0.25">
      <c r="A4331" t="s">
        <v>4335</v>
      </c>
      <c r="B4331">
        <v>0.99334974765950101</v>
      </c>
      <c r="C4331">
        <v>0.94266965958250504</v>
      </c>
      <c r="D4331">
        <v>0.91091458427254701</v>
      </c>
      <c r="E4331">
        <v>0.61751064525060995</v>
      </c>
      <c r="F4331">
        <v>0.29975159939739299</v>
      </c>
      <c r="G4331">
        <v>0.14893228869361599</v>
      </c>
      <c r="H4331">
        <v>0.108400557049292</v>
      </c>
      <c r="I4331">
        <v>0.109734963762294</v>
      </c>
      <c r="J4331">
        <v>0.112390894914828</v>
      </c>
      <c r="K4331">
        <v>0.116336224706762</v>
      </c>
      <c r="L4331">
        <v>1239.72418255197</v>
      </c>
      <c r="M4331">
        <v>24.5808337118089</v>
      </c>
      <c r="N4331">
        <v>50.919553419984197</v>
      </c>
      <c r="O4331">
        <v>50.104342847995198</v>
      </c>
      <c r="P4331">
        <v>-0.10984998623756601</v>
      </c>
      <c r="Q4331">
        <v>0.104362036323135</v>
      </c>
      <c r="R4331">
        <v>0.99776570516658203</v>
      </c>
      <c r="S4331" t="s">
        <v>10192</v>
      </c>
      <c r="T4331" t="s">
        <v>11720</v>
      </c>
      <c r="U4331" t="s">
        <v>11720</v>
      </c>
      <c r="V4331" t="s">
        <v>11720</v>
      </c>
      <c r="W4331" t="s">
        <v>15996</v>
      </c>
      <c r="X4331">
        <v>3</v>
      </c>
      <c r="Y4331" t="s">
        <v>21709</v>
      </c>
      <c r="Z4331" t="s">
        <v>27538</v>
      </c>
      <c r="AA4331">
        <v>0.42419911017344619</v>
      </c>
      <c r="AB4331" t="str">
        <f>HYPERLINK("Melting_Curves/meltCurve_Q8WXA9_2_SREK1.pdf", "Melting_Curves/meltCurve_Q8WXA9_2_SREK1.pdf")</f>
        <v>Melting_Curves/meltCurve_Q8WXA9_2_SREK1.pdf</v>
      </c>
    </row>
    <row r="4332" spans="1:28" x14ac:dyDescent="0.25">
      <c r="A4332" t="s">
        <v>4336</v>
      </c>
      <c r="B4332">
        <v>0.99334974765950101</v>
      </c>
      <c r="C4332">
        <v>0.96794702171004199</v>
      </c>
      <c r="D4332">
        <v>0.95396615735849599</v>
      </c>
      <c r="E4332">
        <v>0.86852605768347402</v>
      </c>
      <c r="F4332">
        <v>0.97621330984051102</v>
      </c>
      <c r="G4332">
        <v>0.69123618442504198</v>
      </c>
      <c r="H4332">
        <v>0.44010352105392903</v>
      </c>
      <c r="I4332">
        <v>0.30852861998638698</v>
      </c>
      <c r="J4332">
        <v>0.32903944144130998</v>
      </c>
      <c r="K4332">
        <v>0.26187240221632602</v>
      </c>
      <c r="L4332">
        <v>1350.5681720636401</v>
      </c>
      <c r="M4332">
        <v>23.327485419593099</v>
      </c>
      <c r="N4332">
        <v>59.812469721638401</v>
      </c>
      <c r="O4332">
        <v>57.475572619074001</v>
      </c>
      <c r="P4332">
        <v>-7.4761199262439695E-2</v>
      </c>
      <c r="Q4332">
        <v>0.2632096212983</v>
      </c>
      <c r="R4332">
        <v>0.97601015062098295</v>
      </c>
      <c r="S4332" t="s">
        <v>10193</v>
      </c>
      <c r="T4332" t="s">
        <v>11720</v>
      </c>
      <c r="U4332" t="s">
        <v>11720</v>
      </c>
      <c r="V4332" t="s">
        <v>11720</v>
      </c>
      <c r="W4332" t="s">
        <v>15997</v>
      </c>
      <c r="X4332">
        <v>4</v>
      </c>
      <c r="Y4332" t="s">
        <v>21710</v>
      </c>
      <c r="Z4332" t="s">
        <v>27539</v>
      </c>
      <c r="AA4332">
        <v>0.70979950048962936</v>
      </c>
      <c r="AB4332" t="str">
        <f>HYPERLINK("Melting_Curves/meltCurve_Q8WXD5_GEMIN6.pdf", "Melting_Curves/meltCurve_Q8WXD5_GEMIN6.pdf")</f>
        <v>Melting_Curves/meltCurve_Q8WXD5_GEMIN6.pdf</v>
      </c>
    </row>
    <row r="4333" spans="1:28" x14ac:dyDescent="0.25">
      <c r="A4333" t="s">
        <v>4337</v>
      </c>
      <c r="B4333">
        <v>0.99334974765950101</v>
      </c>
      <c r="C4333">
        <v>0.83671130417221395</v>
      </c>
      <c r="D4333">
        <v>0.66554683248382995</v>
      </c>
      <c r="E4333">
        <v>0.585765877554563</v>
      </c>
      <c r="F4333">
        <v>0.53055353835373498</v>
      </c>
      <c r="G4333">
        <v>0.41730331429610501</v>
      </c>
      <c r="H4333">
        <v>0.25668764630740598</v>
      </c>
      <c r="I4333">
        <v>0.24569252608501699</v>
      </c>
      <c r="J4333">
        <v>0.198131193114263</v>
      </c>
      <c r="K4333">
        <v>0.15332448887894601</v>
      </c>
      <c r="L4333">
        <v>377.356696120332</v>
      </c>
      <c r="M4333">
        <v>7.1782079700319903</v>
      </c>
      <c r="N4333">
        <v>52.933546187771</v>
      </c>
      <c r="O4333">
        <v>48.948861733277298</v>
      </c>
      <c r="P4333">
        <v>-3.58399003138078E-2</v>
      </c>
      <c r="Q4333">
        <v>2.4067438159054801E-2</v>
      </c>
      <c r="R4333">
        <v>0.97650012457352298</v>
      </c>
      <c r="S4333" t="s">
        <v>10194</v>
      </c>
      <c r="T4333" t="s">
        <v>11720</v>
      </c>
      <c r="U4333" t="s">
        <v>11720</v>
      </c>
      <c r="V4333" t="s">
        <v>11720</v>
      </c>
      <c r="W4333" t="s">
        <v>15998</v>
      </c>
      <c r="X4333">
        <v>2</v>
      </c>
      <c r="Y4333" t="s">
        <v>21711</v>
      </c>
      <c r="Z4333" t="s">
        <v>27540</v>
      </c>
      <c r="AA4333">
        <v>0.47880283850316352</v>
      </c>
      <c r="AB4333" t="str">
        <f>HYPERLINK("Melting_Curves/meltCurve_Q8WXE0_2_CASKIN2.pdf", "Melting_Curves/meltCurve_Q8WXE0_2_CASKIN2.pdf")</f>
        <v>Melting_Curves/meltCurve_Q8WXE0_2_CASKIN2.pdf</v>
      </c>
    </row>
    <row r="4334" spans="1:28" x14ac:dyDescent="0.25">
      <c r="A4334" t="s">
        <v>4338</v>
      </c>
      <c r="B4334">
        <v>0.99334974765950101</v>
      </c>
      <c r="C4334">
        <v>0.98107041222775204</v>
      </c>
      <c r="D4334">
        <v>1.1281469844004901</v>
      </c>
      <c r="E4334">
        <v>0.86975316420901505</v>
      </c>
      <c r="F4334">
        <v>0.65447117542398603</v>
      </c>
      <c r="G4334">
        <v>0.46544750710002197</v>
      </c>
      <c r="H4334">
        <v>0.159804751939877</v>
      </c>
      <c r="I4334">
        <v>0.11552705483157399</v>
      </c>
      <c r="J4334">
        <v>6.8788048648198499E-2</v>
      </c>
      <c r="K4334">
        <v>6.8765936293724905E-2</v>
      </c>
      <c r="L4334">
        <v>1001.1165425802</v>
      </c>
      <c r="M4334">
        <v>18.038921268406401</v>
      </c>
      <c r="N4334">
        <v>55.717578632729001</v>
      </c>
      <c r="O4334">
        <v>54.829034516975398</v>
      </c>
      <c r="P4334">
        <v>-7.9427382444449607E-2</v>
      </c>
      <c r="Q4334">
        <v>3.4373785808164303E-2</v>
      </c>
      <c r="R4334">
        <v>0.98088431909782103</v>
      </c>
      <c r="S4334" t="s">
        <v>10195</v>
      </c>
      <c r="T4334" t="s">
        <v>11720</v>
      </c>
      <c r="U4334" t="s">
        <v>11720</v>
      </c>
      <c r="V4334" t="s">
        <v>11720</v>
      </c>
      <c r="W4334" t="s">
        <v>15999</v>
      </c>
      <c r="X4334">
        <v>1</v>
      </c>
      <c r="Y4334" t="s">
        <v>21712</v>
      </c>
      <c r="Z4334" t="s">
        <v>27541</v>
      </c>
      <c r="AA4334">
        <v>0.54777478622736431</v>
      </c>
      <c r="AB4334" t="str">
        <f>HYPERLINK("Melting_Curves/meltCurve_Q8WXE1_5_ATRIP.pdf", "Melting_Curves/meltCurve_Q8WXE1_5_ATRIP.pdf")</f>
        <v>Melting_Curves/meltCurve_Q8WXE1_5_ATRIP.pdf</v>
      </c>
    </row>
    <row r="4335" spans="1:28" x14ac:dyDescent="0.25">
      <c r="A4335" t="s">
        <v>4339</v>
      </c>
      <c r="B4335">
        <v>0.99334974765950101</v>
      </c>
      <c r="C4335">
        <v>1.1577733139607</v>
      </c>
      <c r="D4335">
        <v>1.13397932956639</v>
      </c>
      <c r="E4335">
        <v>0.92264669522699805</v>
      </c>
      <c r="F4335">
        <v>0.75816326621983698</v>
      </c>
      <c r="G4335">
        <v>0.53853983532682503</v>
      </c>
      <c r="H4335">
        <v>0.40765816561096901</v>
      </c>
      <c r="I4335">
        <v>0.348928707972741</v>
      </c>
      <c r="J4335">
        <v>0.31277268950018899</v>
      </c>
      <c r="K4335">
        <v>0.26505409384207601</v>
      </c>
      <c r="L4335">
        <v>1123.9474537528899</v>
      </c>
      <c r="M4335">
        <v>20.3509309170609</v>
      </c>
      <c r="N4335">
        <v>57.704917152674199</v>
      </c>
      <c r="O4335">
        <v>54.703337490434599</v>
      </c>
      <c r="P4335">
        <v>-6.5920681517648294E-2</v>
      </c>
      <c r="Q4335">
        <v>0.29124192782021302</v>
      </c>
      <c r="R4335">
        <v>0.95488483674137303</v>
      </c>
      <c r="S4335" t="s">
        <v>10196</v>
      </c>
      <c r="T4335" t="s">
        <v>11720</v>
      </c>
      <c r="U4335" t="s">
        <v>11720</v>
      </c>
      <c r="V4335" t="s">
        <v>11720</v>
      </c>
      <c r="W4335" t="s">
        <v>16000</v>
      </c>
      <c r="X4335">
        <v>7</v>
      </c>
      <c r="Y4335" t="s">
        <v>21713</v>
      </c>
      <c r="Z4335" t="s">
        <v>27542</v>
      </c>
      <c r="AA4335">
        <v>0.66015416319663067</v>
      </c>
      <c r="AB4335" t="str">
        <f>HYPERLINK("Melting_Curves/meltCurve_Q8WXF1_PSPC1.pdf", "Melting_Curves/meltCurve_Q8WXF1_PSPC1.pdf")</f>
        <v>Melting_Curves/meltCurve_Q8WXF1_PSPC1.pdf</v>
      </c>
    </row>
    <row r="4336" spans="1:28" x14ac:dyDescent="0.25">
      <c r="A4336" t="s">
        <v>4340</v>
      </c>
      <c r="B4336">
        <v>0.99334974765950101</v>
      </c>
      <c r="C4336">
        <v>1.0052514190561801</v>
      </c>
      <c r="D4336">
        <v>0.89341178352399697</v>
      </c>
      <c r="E4336">
        <v>0.82272929338747203</v>
      </c>
      <c r="F4336">
        <v>1.36256177965085</v>
      </c>
      <c r="G4336">
        <v>0.97306762922621204</v>
      </c>
      <c r="H4336">
        <v>1.1522295323068501</v>
      </c>
      <c r="I4336">
        <v>0.58496071377115999</v>
      </c>
      <c r="J4336">
        <v>4.5792864804155204</v>
      </c>
      <c r="K4336">
        <v>1.20178448671057</v>
      </c>
      <c r="L4336">
        <v>7124.8624943958703</v>
      </c>
      <c r="M4336">
        <v>109.91793204596399</v>
      </c>
      <c r="O4336">
        <v>64.798389097749094</v>
      </c>
      <c r="P4336">
        <v>0.21203832623985</v>
      </c>
      <c r="Q4336">
        <v>1.5</v>
      </c>
      <c r="R4336">
        <v>0.153369567319282</v>
      </c>
      <c r="S4336" t="s">
        <v>10197</v>
      </c>
      <c r="T4336" t="s">
        <v>11720</v>
      </c>
      <c r="U4336" t="s">
        <v>11720</v>
      </c>
      <c r="V4336" t="s">
        <v>11720</v>
      </c>
      <c r="W4336" t="s">
        <v>16001</v>
      </c>
      <c r="X4336">
        <v>2</v>
      </c>
      <c r="Y4336" t="s">
        <v>21714</v>
      </c>
      <c r="Z4336" t="s">
        <v>27543</v>
      </c>
      <c r="AA4336">
        <v>1.0860449643529251</v>
      </c>
      <c r="AB4336" t="str">
        <f>HYPERLINK("Melting_Curves/meltCurve_Q8WXH0_SYNE2.pdf", "Melting_Curves/meltCurve_Q8WXH0_SYNE2.pdf")</f>
        <v>Melting_Curves/meltCurve_Q8WXH0_SYNE2.pdf</v>
      </c>
    </row>
    <row r="4337" spans="1:28" x14ac:dyDescent="0.25">
      <c r="A4337" t="s">
        <v>4341</v>
      </c>
      <c r="B4337">
        <v>0.99334974765950101</v>
      </c>
      <c r="C4337">
        <v>0.97463216523107099</v>
      </c>
      <c r="D4337">
        <v>1.01964897686735</v>
      </c>
      <c r="E4337">
        <v>0.84533855471070696</v>
      </c>
      <c r="F4337">
        <v>0.22652626730248501</v>
      </c>
      <c r="G4337">
        <v>0.18612087538390901</v>
      </c>
      <c r="H4337">
        <v>0.155438079492662</v>
      </c>
      <c r="I4337">
        <v>0.28092919208830602</v>
      </c>
      <c r="J4337">
        <v>0.15324870017011299</v>
      </c>
      <c r="K4337">
        <v>0.12708320891261299</v>
      </c>
      <c r="L4337">
        <v>3783.7173815363799</v>
      </c>
      <c r="M4337">
        <v>74.215338618690495</v>
      </c>
      <c r="N4337">
        <v>51.292507099037003</v>
      </c>
      <c r="O4337">
        <v>50.945999257327102</v>
      </c>
      <c r="P4337">
        <v>-0.29844518145306498</v>
      </c>
      <c r="Q4337">
        <v>0.18051558158614001</v>
      </c>
      <c r="R4337">
        <v>0.98941589768302696</v>
      </c>
      <c r="S4337" t="s">
        <v>10198</v>
      </c>
      <c r="T4337" t="s">
        <v>11720</v>
      </c>
      <c r="U4337" t="s">
        <v>11720</v>
      </c>
      <c r="V4337" t="s">
        <v>11720</v>
      </c>
      <c r="W4337" t="s">
        <v>16002</v>
      </c>
      <c r="X4337">
        <v>3</v>
      </c>
      <c r="Y4337" t="s">
        <v>21715</v>
      </c>
      <c r="Z4337" t="s">
        <v>27544</v>
      </c>
      <c r="AA4337">
        <v>0.48136156997043711</v>
      </c>
      <c r="AB4337" t="str">
        <f>HYPERLINK("Melting_Curves/meltCurve_Q8WXI4_2_ACOT11.pdf", "Melting_Curves/meltCurve_Q8WXI4_2_ACOT11.pdf")</f>
        <v>Melting_Curves/meltCurve_Q8WXI4_2_ACOT11.pdf</v>
      </c>
    </row>
    <row r="4338" spans="1:28" x14ac:dyDescent="0.25">
      <c r="A4338" t="s">
        <v>4342</v>
      </c>
      <c r="B4338">
        <v>0.99334974765950101</v>
      </c>
      <c r="C4338">
        <v>0.97853156258448004</v>
      </c>
      <c r="D4338">
        <v>0.95500440329853298</v>
      </c>
      <c r="E4338">
        <v>0.89350514208978704</v>
      </c>
      <c r="F4338">
        <v>0.78178480333873501</v>
      </c>
      <c r="G4338">
        <v>0.580017757558981</v>
      </c>
      <c r="H4338">
        <v>0.53046169687505096</v>
      </c>
      <c r="I4338">
        <v>0.55747813403828295</v>
      </c>
      <c r="J4338">
        <v>0.42111582695939198</v>
      </c>
      <c r="K4338">
        <v>0.46486247397053798</v>
      </c>
      <c r="L4338">
        <v>884.22166089712096</v>
      </c>
      <c r="M4338">
        <v>16.373529923368402</v>
      </c>
      <c r="N4338">
        <v>62.982147417847401</v>
      </c>
      <c r="O4338">
        <v>53.216856921069102</v>
      </c>
      <c r="P4338">
        <v>-4.2188407945105699E-2</v>
      </c>
      <c r="Q4338">
        <v>0.45156023864580602</v>
      </c>
      <c r="R4338">
        <v>0.98046125415083596</v>
      </c>
      <c r="S4338" t="s">
        <v>10199</v>
      </c>
      <c r="T4338" t="s">
        <v>11720</v>
      </c>
      <c r="U4338" t="s">
        <v>11720</v>
      </c>
      <c r="V4338" t="s">
        <v>11720</v>
      </c>
      <c r="W4338" t="s">
        <v>16003</v>
      </c>
      <c r="X4338">
        <v>3</v>
      </c>
      <c r="Y4338" t="s">
        <v>21716</v>
      </c>
      <c r="Z4338" t="s">
        <v>27545</v>
      </c>
      <c r="AA4338">
        <v>0.7175954658681184</v>
      </c>
      <c r="AB4338" t="str">
        <f>HYPERLINK("Melting_Curves/meltCurve_Q8WXI9_GATAD2B.pdf", "Melting_Curves/meltCurve_Q8WXI9_GATAD2B.pdf")</f>
        <v>Melting_Curves/meltCurve_Q8WXI9_GATAD2B.pdf</v>
      </c>
    </row>
    <row r="4339" spans="1:28" x14ac:dyDescent="0.25">
      <c r="A4339" t="s">
        <v>4343</v>
      </c>
      <c r="B4339">
        <v>0.99334974765950101</v>
      </c>
      <c r="C4339">
        <v>0.99533182517170404</v>
      </c>
      <c r="D4339">
        <v>0.97071635495720299</v>
      </c>
      <c r="E4339">
        <v>0.73632322092222302</v>
      </c>
      <c r="F4339">
        <v>0.51103246695607496</v>
      </c>
      <c r="G4339">
        <v>0.25479678763065799</v>
      </c>
      <c r="H4339">
        <v>0.195082036284285</v>
      </c>
      <c r="I4339">
        <v>0.14825661119307401</v>
      </c>
      <c r="J4339">
        <v>0.14971611760329401</v>
      </c>
      <c r="K4339">
        <v>0.106159816274195</v>
      </c>
      <c r="L4339">
        <v>1053.3642583262399</v>
      </c>
      <c r="M4339">
        <v>20.150997436729799</v>
      </c>
      <c r="N4339">
        <v>53.044702907156903</v>
      </c>
      <c r="O4339">
        <v>51.766927444233303</v>
      </c>
      <c r="P4339">
        <v>-8.4962218640377493E-2</v>
      </c>
      <c r="Q4339">
        <v>0.12697255147948999</v>
      </c>
      <c r="R4339">
        <v>0.99827543959966103</v>
      </c>
      <c r="S4339" t="s">
        <v>10200</v>
      </c>
      <c r="T4339" t="s">
        <v>11720</v>
      </c>
      <c r="U4339" t="s">
        <v>11720</v>
      </c>
      <c r="V4339" t="s">
        <v>11720</v>
      </c>
      <c r="W4339" t="s">
        <v>16004</v>
      </c>
      <c r="X4339">
        <v>8</v>
      </c>
      <c r="Y4339" t="s">
        <v>21717</v>
      </c>
      <c r="Z4339" t="s">
        <v>27546</v>
      </c>
      <c r="AA4339">
        <v>0.49605071357650959</v>
      </c>
      <c r="AB4339" t="str">
        <f>HYPERLINK("Melting_Curves/meltCurve_Q8WXX5_DNAJC9.pdf", "Melting_Curves/meltCurve_Q8WXX5_DNAJC9.pdf")</f>
        <v>Melting_Curves/meltCurve_Q8WXX5_DNAJC9.pdf</v>
      </c>
    </row>
    <row r="4340" spans="1:28" x14ac:dyDescent="0.25">
      <c r="A4340" t="s">
        <v>4344</v>
      </c>
      <c r="B4340">
        <v>0.99334974765950101</v>
      </c>
      <c r="C4340">
        <v>0.98662479188639096</v>
      </c>
      <c r="D4340">
        <v>0.61406886211289902</v>
      </c>
      <c r="E4340">
        <v>0.128140313762896</v>
      </c>
      <c r="F4340">
        <v>0.12341955097658799</v>
      </c>
      <c r="G4340">
        <v>6.6150202048317605E-2</v>
      </c>
      <c r="H4340">
        <v>4.2339909934093603E-2</v>
      </c>
      <c r="I4340">
        <v>6.8545892502664005E-2</v>
      </c>
      <c r="J4340">
        <v>4.7708599290704597E-2</v>
      </c>
      <c r="K4340">
        <v>3.56952285183905E-2</v>
      </c>
      <c r="L4340">
        <v>1725.2146057566299</v>
      </c>
      <c r="M4340">
        <v>37.114654914072297</v>
      </c>
      <c r="N4340">
        <v>46.6499528504891</v>
      </c>
      <c r="O4340">
        <v>46.349033117323003</v>
      </c>
      <c r="P4340">
        <v>-0.18776617010368701</v>
      </c>
      <c r="Q4340">
        <v>6.2067594891566803E-2</v>
      </c>
      <c r="R4340">
        <v>0.99659857663808704</v>
      </c>
      <c r="S4340" t="s">
        <v>10201</v>
      </c>
      <c r="T4340" t="s">
        <v>11720</v>
      </c>
      <c r="U4340" t="s">
        <v>11720</v>
      </c>
      <c r="V4340" t="s">
        <v>11720</v>
      </c>
      <c r="W4340" t="s">
        <v>16005</v>
      </c>
      <c r="X4340">
        <v>1</v>
      </c>
      <c r="Y4340" t="s">
        <v>21718</v>
      </c>
      <c r="Z4340" t="s">
        <v>27547</v>
      </c>
      <c r="AA4340">
        <v>0.26834037653838938</v>
      </c>
      <c r="AB4340" t="str">
        <f>HYPERLINK("Melting_Curves/meltCurve_Q8WYA6_3_CTNNBL1.pdf", "Melting_Curves/meltCurve_Q8WYA6_3_CTNNBL1.pdf")</f>
        <v>Melting_Curves/meltCurve_Q8WYA6_3_CTNNBL1.pdf</v>
      </c>
    </row>
    <row r="4341" spans="1:28" x14ac:dyDescent="0.25">
      <c r="A4341" t="s">
        <v>4345</v>
      </c>
      <c r="B4341">
        <v>0.99334974765950101</v>
      </c>
      <c r="C4341">
        <v>0.92214972621042601</v>
      </c>
      <c r="D4341">
        <v>0.71134722102167103</v>
      </c>
      <c r="E4341">
        <v>0.406926906277575</v>
      </c>
      <c r="F4341">
        <v>0.32302373090179498</v>
      </c>
      <c r="G4341">
        <v>0.20754610303239299</v>
      </c>
      <c r="H4341">
        <v>0.16611839184924701</v>
      </c>
      <c r="I4341">
        <v>0.14901697468171199</v>
      </c>
      <c r="J4341">
        <v>0.145464107654246</v>
      </c>
      <c r="K4341">
        <v>0.127486200202758</v>
      </c>
      <c r="L4341">
        <v>808.96230696095802</v>
      </c>
      <c r="M4341">
        <v>16.8389928913973</v>
      </c>
      <c r="N4341">
        <v>48.999745407013798</v>
      </c>
      <c r="O4341">
        <v>47.378826637285002</v>
      </c>
      <c r="P4341">
        <v>-7.6387321712384298E-2</v>
      </c>
      <c r="Q4341">
        <v>0.14035015979124299</v>
      </c>
      <c r="R4341">
        <v>0.99654953633884102</v>
      </c>
      <c r="S4341" t="s">
        <v>10202</v>
      </c>
      <c r="T4341" t="s">
        <v>11720</v>
      </c>
      <c r="U4341" t="s">
        <v>11720</v>
      </c>
      <c r="V4341" t="s">
        <v>11720</v>
      </c>
      <c r="W4341" t="s">
        <v>16006</v>
      </c>
      <c r="X4341">
        <v>14</v>
      </c>
      <c r="Y4341" t="s">
        <v>21719</v>
      </c>
      <c r="Z4341" t="s">
        <v>27548</v>
      </c>
      <c r="AA4341">
        <v>0.38825270085914831</v>
      </c>
      <c r="AB4341" t="str">
        <f>HYPERLINK("Melting_Curves/meltCurve_Q8WYL5_SSH1.pdf", "Melting_Curves/meltCurve_Q8WYL5_SSH1.pdf")</f>
        <v>Melting_Curves/meltCurve_Q8WYL5_SSH1.pdf</v>
      </c>
    </row>
    <row r="4342" spans="1:28" x14ac:dyDescent="0.25">
      <c r="A4342" t="s">
        <v>4346</v>
      </c>
      <c r="B4342">
        <v>0.99334974765950101</v>
      </c>
      <c r="C4342">
        <v>0.928790242996544</v>
      </c>
      <c r="D4342">
        <v>0.70011057226429496</v>
      </c>
      <c r="E4342">
        <v>0.390194697764217</v>
      </c>
      <c r="F4342">
        <v>0.149859706675353</v>
      </c>
      <c r="G4342">
        <v>0.12765981289772599</v>
      </c>
      <c r="H4342">
        <v>8.2729503321317996E-2</v>
      </c>
      <c r="I4342">
        <v>7.0328248512795705E-2</v>
      </c>
      <c r="J4342">
        <v>8.9496978335753805E-2</v>
      </c>
      <c r="K4342">
        <v>0.107434046841898</v>
      </c>
      <c r="L4342">
        <v>976.82543935592503</v>
      </c>
      <c r="M4342">
        <v>20.407494570411401</v>
      </c>
      <c r="N4342">
        <v>48.285760544243701</v>
      </c>
      <c r="O4342">
        <v>47.413505869214099</v>
      </c>
      <c r="P4342">
        <v>-9.8860903877395406E-2</v>
      </c>
      <c r="Q4342">
        <v>8.12784695636736E-2</v>
      </c>
      <c r="R4342">
        <v>0.99592763760900704</v>
      </c>
      <c r="S4342" t="s">
        <v>10203</v>
      </c>
      <c r="T4342" t="s">
        <v>11720</v>
      </c>
      <c r="U4342" t="s">
        <v>11720</v>
      </c>
      <c r="V4342" t="s">
        <v>11720</v>
      </c>
      <c r="W4342" t="s">
        <v>16007</v>
      </c>
      <c r="X4342">
        <v>3</v>
      </c>
      <c r="Y4342" t="s">
        <v>21720</v>
      </c>
      <c r="Z4342" t="s">
        <v>27549</v>
      </c>
      <c r="AA4342">
        <v>0.33471028066042607</v>
      </c>
      <c r="AB4342" t="str">
        <f>HYPERLINK("Melting_Curves/meltCurve_Q8WYN0_ATG4A.pdf", "Melting_Curves/meltCurve_Q8WYN0_ATG4A.pdf")</f>
        <v>Melting_Curves/meltCurve_Q8WYN0_ATG4A.pdf</v>
      </c>
    </row>
    <row r="4343" spans="1:28" x14ac:dyDescent="0.25">
      <c r="A4343" t="s">
        <v>4347</v>
      </c>
      <c r="B4343">
        <v>0.99334974765950101</v>
      </c>
      <c r="C4343">
        <v>0.98542839319373499</v>
      </c>
      <c r="D4343">
        <v>0.93137975868011902</v>
      </c>
      <c r="E4343">
        <v>0.76771478350316003</v>
      </c>
      <c r="F4343">
        <v>0.65596721020717697</v>
      </c>
      <c r="G4343">
        <v>0.45931692646081002</v>
      </c>
      <c r="H4343">
        <v>0.39647153301437199</v>
      </c>
      <c r="I4343">
        <v>0.42482959012703497</v>
      </c>
      <c r="J4343">
        <v>0.32067233773866799</v>
      </c>
      <c r="K4343">
        <v>0.34937662021563298</v>
      </c>
      <c r="L4343">
        <v>806.73263164226</v>
      </c>
      <c r="M4343">
        <v>15.4197035176966</v>
      </c>
      <c r="N4343">
        <v>56.3779472396415</v>
      </c>
      <c r="O4343">
        <v>51.462049351563103</v>
      </c>
      <c r="P4343">
        <v>-4.9797730672274797E-2</v>
      </c>
      <c r="Q4343">
        <v>0.33527626401379401</v>
      </c>
      <c r="R4343">
        <v>0.99214449502092095</v>
      </c>
      <c r="S4343" t="s">
        <v>10204</v>
      </c>
      <c r="T4343" t="s">
        <v>11720</v>
      </c>
      <c r="U4343" t="s">
        <v>11720</v>
      </c>
      <c r="V4343" t="s">
        <v>11720</v>
      </c>
      <c r="W4343" t="s">
        <v>16008</v>
      </c>
      <c r="X4343">
        <v>2</v>
      </c>
      <c r="Y4343" t="s">
        <v>21721</v>
      </c>
      <c r="Z4343" t="s">
        <v>27550</v>
      </c>
      <c r="AA4343">
        <v>0.62231475453148344</v>
      </c>
      <c r="AB4343" t="str">
        <f>HYPERLINK("Melting_Curves/meltCurve_Q8WYP5_AHCTF1.pdf", "Melting_Curves/meltCurve_Q8WYP5_AHCTF1.pdf")</f>
        <v>Melting_Curves/meltCurve_Q8WYP5_AHCTF1.pdf</v>
      </c>
    </row>
    <row r="4344" spans="1:28" x14ac:dyDescent="0.25">
      <c r="A4344" t="s">
        <v>4348</v>
      </c>
      <c r="B4344">
        <v>0.99334974765950101</v>
      </c>
      <c r="C4344">
        <v>0.88595864427350901</v>
      </c>
      <c r="D4344">
        <v>0.76749244570277897</v>
      </c>
      <c r="E4344">
        <v>0.35811466743613102</v>
      </c>
      <c r="F4344">
        <v>0.16021285889630499</v>
      </c>
      <c r="G4344">
        <v>0.116686337421538</v>
      </c>
      <c r="H4344">
        <v>9.1952584626963901E-2</v>
      </c>
      <c r="I4344">
        <v>8.0609009699182693E-2</v>
      </c>
      <c r="J4344">
        <v>7.4736898147793496E-2</v>
      </c>
      <c r="K4344">
        <v>5.1025822902747903E-2</v>
      </c>
      <c r="L4344">
        <v>1012.95856863669</v>
      </c>
      <c r="M4344">
        <v>21.058635421742999</v>
      </c>
      <c r="N4344">
        <v>48.441906273752799</v>
      </c>
      <c r="O4344">
        <v>47.674354308280002</v>
      </c>
      <c r="P4344">
        <v>-0.10284340605169</v>
      </c>
      <c r="Q4344">
        <v>6.8721644183922098E-2</v>
      </c>
      <c r="R4344">
        <v>0.99664694871680803</v>
      </c>
      <c r="S4344" t="s">
        <v>10205</v>
      </c>
      <c r="T4344" t="s">
        <v>11720</v>
      </c>
      <c r="U4344" t="s">
        <v>11720</v>
      </c>
      <c r="V4344" t="s">
        <v>11720</v>
      </c>
      <c r="W4344" t="s">
        <v>16009</v>
      </c>
      <c r="X4344">
        <v>6</v>
      </c>
      <c r="Y4344" t="s">
        <v>21722</v>
      </c>
      <c r="Z4344" t="s">
        <v>27551</v>
      </c>
      <c r="AA4344">
        <v>0.33206552994604172</v>
      </c>
      <c r="AB4344" t="str">
        <f>HYPERLINK("Melting_Curves/meltCurve_Q8WZ82_OVCA2.pdf", "Melting_Curves/meltCurve_Q8WZ82_OVCA2.pdf")</f>
        <v>Melting_Curves/meltCurve_Q8WZ82_OVCA2.pdf</v>
      </c>
    </row>
    <row r="4345" spans="1:28" x14ac:dyDescent="0.25">
      <c r="A4345" t="s">
        <v>4349</v>
      </c>
      <c r="B4345">
        <v>0.99334974765950101</v>
      </c>
      <c r="C4345">
        <v>1.01307135253187</v>
      </c>
      <c r="D4345">
        <v>0.88472829078420601</v>
      </c>
      <c r="E4345">
        <v>0.82069622561838296</v>
      </c>
      <c r="F4345">
        <v>0.71475542746750698</v>
      </c>
      <c r="G4345">
        <v>0.58566987111762403</v>
      </c>
      <c r="H4345">
        <v>0.51304011914930503</v>
      </c>
      <c r="I4345">
        <v>0.85365598058974401</v>
      </c>
      <c r="J4345">
        <v>0.51440678061227996</v>
      </c>
      <c r="K4345">
        <v>0.47224505467399602</v>
      </c>
      <c r="L4345">
        <v>771.97435482896606</v>
      </c>
      <c r="M4345">
        <v>15.277765903269399</v>
      </c>
      <c r="O4345">
        <v>49.687285382107497</v>
      </c>
      <c r="P4345">
        <v>-3.34297501579622E-2</v>
      </c>
      <c r="Q4345">
        <v>0.56515176616494001</v>
      </c>
      <c r="R4345">
        <v>0.73685002447335401</v>
      </c>
      <c r="S4345" t="s">
        <v>10206</v>
      </c>
      <c r="T4345" t="s">
        <v>11720</v>
      </c>
      <c r="U4345" t="s">
        <v>11720</v>
      </c>
      <c r="V4345" t="s">
        <v>11720</v>
      </c>
      <c r="W4345" t="s">
        <v>16010</v>
      </c>
      <c r="X4345">
        <v>11</v>
      </c>
      <c r="Y4345" t="s">
        <v>21723</v>
      </c>
      <c r="Z4345" t="s">
        <v>27552</v>
      </c>
      <c r="AA4345">
        <v>0.72765333393160436</v>
      </c>
      <c r="AB4345" t="str">
        <f>HYPERLINK("Melting_Curves/meltCurve_Q8WZA0_LZIC.pdf", "Melting_Curves/meltCurve_Q8WZA0_LZIC.pdf")</f>
        <v>Melting_Curves/meltCurve_Q8WZA0_LZIC.pdf</v>
      </c>
    </row>
    <row r="4346" spans="1:28" x14ac:dyDescent="0.25">
      <c r="A4346" t="s">
        <v>4350</v>
      </c>
      <c r="B4346">
        <v>0.99334974765950101</v>
      </c>
      <c r="C4346">
        <v>0.96603064390096005</v>
      </c>
      <c r="D4346">
        <v>0.91644779395353004</v>
      </c>
      <c r="E4346">
        <v>0.771633135760324</v>
      </c>
      <c r="F4346">
        <v>0.19374738202659</v>
      </c>
      <c r="G4346">
        <v>0.10121840969059399</v>
      </c>
      <c r="H4346">
        <v>7.2339736399175902E-2</v>
      </c>
      <c r="I4346">
        <v>6.1465580622721998E-2</v>
      </c>
      <c r="J4346">
        <v>4.7754125791122398E-2</v>
      </c>
      <c r="K4346">
        <v>3.43356298544501E-2</v>
      </c>
      <c r="L4346">
        <v>2506.20927284661</v>
      </c>
      <c r="M4346">
        <v>49.0233782657223</v>
      </c>
      <c r="N4346">
        <v>51.258780785316603</v>
      </c>
      <c r="O4346">
        <v>51.037908128147201</v>
      </c>
      <c r="P4346">
        <v>-0.225484496085194</v>
      </c>
      <c r="Q4346">
        <v>6.0999754135561197E-2</v>
      </c>
      <c r="R4346">
        <v>0.99418560191670002</v>
      </c>
      <c r="S4346" t="s">
        <v>10207</v>
      </c>
      <c r="T4346" t="s">
        <v>11720</v>
      </c>
      <c r="U4346" t="s">
        <v>11720</v>
      </c>
      <c r="V4346" t="s">
        <v>11720</v>
      </c>
      <c r="W4346" t="s">
        <v>16011</v>
      </c>
      <c r="X4346">
        <v>20</v>
      </c>
      <c r="Y4346" t="s">
        <v>21724</v>
      </c>
      <c r="Z4346" t="s">
        <v>27553</v>
      </c>
      <c r="AA4346">
        <v>0.4113446154860147</v>
      </c>
      <c r="AB4346" t="str">
        <f>HYPERLINK("Melting_Curves/meltCurve_Q8WZA9_IRGQ.pdf", "Melting_Curves/meltCurve_Q8WZA9_IRGQ.pdf")</f>
        <v>Melting_Curves/meltCurve_Q8WZA9_IRGQ.pdf</v>
      </c>
    </row>
    <row r="4347" spans="1:28" x14ac:dyDescent="0.25">
      <c r="A4347" t="s">
        <v>4351</v>
      </c>
      <c r="B4347">
        <v>0.99334974765950101</v>
      </c>
      <c r="C4347">
        <v>0.86871344699327702</v>
      </c>
      <c r="D4347">
        <v>0.92115094411657905</v>
      </c>
      <c r="E4347">
        <v>0.94922240240935096</v>
      </c>
      <c r="F4347">
        <v>0.96686651565568305</v>
      </c>
      <c r="G4347">
        <v>0.79006441222658497</v>
      </c>
      <c r="H4347">
        <v>0.74203561510960703</v>
      </c>
      <c r="I4347">
        <v>0.85804181095503196</v>
      </c>
      <c r="J4347">
        <v>0.92969266996853805</v>
      </c>
      <c r="K4347">
        <v>0.76097279908086102</v>
      </c>
      <c r="L4347">
        <v>235.155674620882</v>
      </c>
      <c r="M4347">
        <v>4.1226001366136504</v>
      </c>
      <c r="O4347">
        <v>47.269954306607701</v>
      </c>
      <c r="P4347">
        <v>-6.0924076894735201E-3</v>
      </c>
      <c r="Q4347">
        <v>0.72379748441437597</v>
      </c>
      <c r="R4347">
        <v>0.34449934571711999</v>
      </c>
      <c r="S4347" t="s">
        <v>10208</v>
      </c>
      <c r="T4347" t="s">
        <v>11720</v>
      </c>
      <c r="U4347" t="s">
        <v>11720</v>
      </c>
      <c r="V4347" t="s">
        <v>11720</v>
      </c>
      <c r="W4347" t="s">
        <v>16012</v>
      </c>
      <c r="X4347">
        <v>3</v>
      </c>
      <c r="Y4347" t="s">
        <v>21725</v>
      </c>
      <c r="Z4347" t="s">
        <v>27554</v>
      </c>
      <c r="AA4347">
        <v>0.87745364303816409</v>
      </c>
      <c r="AB4347" t="str">
        <f>HYPERLINK("Melting_Curves/meltCurve_Q92478_CLEC2B.pdf", "Melting_Curves/meltCurve_Q92478_CLEC2B.pdf")</f>
        <v>Melting_Curves/meltCurve_Q92478_CLEC2B.pdf</v>
      </c>
    </row>
    <row r="4348" spans="1:28" x14ac:dyDescent="0.25">
      <c r="A4348" t="s">
        <v>4352</v>
      </c>
      <c r="B4348">
        <v>0.99334974765950101</v>
      </c>
      <c r="C4348">
        <v>0.99644693388829297</v>
      </c>
      <c r="D4348">
        <v>0.99834462504398502</v>
      </c>
      <c r="E4348">
        <v>0.76252898208531705</v>
      </c>
      <c r="F4348">
        <v>0.206055235837699</v>
      </c>
      <c r="G4348">
        <v>0.14464118570017101</v>
      </c>
      <c r="H4348">
        <v>0.10688219527636</v>
      </c>
      <c r="I4348">
        <v>9.9488675949022207E-2</v>
      </c>
      <c r="J4348">
        <v>8.4197475747749301E-2</v>
      </c>
      <c r="K4348">
        <v>7.04620007875017E-2</v>
      </c>
      <c r="L4348">
        <v>2646.2473996092999</v>
      </c>
      <c r="M4348">
        <v>51.904093881655101</v>
      </c>
      <c r="N4348">
        <v>51.202926352186402</v>
      </c>
      <c r="O4348">
        <v>50.907894107902401</v>
      </c>
      <c r="P4348">
        <v>-0.22946360508465499</v>
      </c>
      <c r="Q4348">
        <v>9.9762721180939207E-2</v>
      </c>
      <c r="R4348">
        <v>0.99824862969636396</v>
      </c>
      <c r="S4348" t="s">
        <v>10209</v>
      </c>
      <c r="T4348" t="s">
        <v>11720</v>
      </c>
      <c r="U4348" t="s">
        <v>11720</v>
      </c>
      <c r="V4348" t="s">
        <v>11720</v>
      </c>
      <c r="W4348" t="s">
        <v>16013</v>
      </c>
      <c r="X4348">
        <v>12</v>
      </c>
      <c r="Y4348" t="s">
        <v>21726</v>
      </c>
      <c r="Z4348" t="s">
        <v>27555</v>
      </c>
      <c r="AA4348">
        <v>0.43122965274419889</v>
      </c>
      <c r="AB4348" t="str">
        <f>HYPERLINK("Melting_Curves/meltCurve_Q92499_DDX1.pdf", "Melting_Curves/meltCurve_Q92499_DDX1.pdf")</f>
        <v>Melting_Curves/meltCurve_Q92499_DDX1.pdf</v>
      </c>
    </row>
    <row r="4349" spans="1:28" x14ac:dyDescent="0.25">
      <c r="A4349" t="s">
        <v>4353</v>
      </c>
      <c r="B4349">
        <v>0.99334974765950101</v>
      </c>
      <c r="C4349">
        <v>0.90394908883846004</v>
      </c>
      <c r="D4349">
        <v>0.76657045523652301</v>
      </c>
      <c r="E4349">
        <v>0.396973786825494</v>
      </c>
      <c r="F4349">
        <v>0.26925912564599003</v>
      </c>
      <c r="G4349">
        <v>0.18791797382862399</v>
      </c>
      <c r="H4349">
        <v>0.14339653727665</v>
      </c>
      <c r="I4349">
        <v>0.166414098304181</v>
      </c>
      <c r="J4349">
        <v>0.13855082323616399</v>
      </c>
      <c r="K4349">
        <v>7.8287731032129299E-2</v>
      </c>
      <c r="L4349">
        <v>904.49791618880795</v>
      </c>
      <c r="M4349">
        <v>18.771319507601302</v>
      </c>
      <c r="N4349">
        <v>48.945924758000402</v>
      </c>
      <c r="O4349">
        <v>47.648223866841903</v>
      </c>
      <c r="P4349">
        <v>-8.6030627455804198E-2</v>
      </c>
      <c r="Q4349">
        <v>0.12653213349060899</v>
      </c>
      <c r="R4349">
        <v>0.99511997133922903</v>
      </c>
      <c r="S4349" t="s">
        <v>10210</v>
      </c>
      <c r="T4349" t="s">
        <v>11720</v>
      </c>
      <c r="U4349" t="s">
        <v>11720</v>
      </c>
      <c r="V4349" t="s">
        <v>11720</v>
      </c>
      <c r="W4349" t="s">
        <v>16014</v>
      </c>
      <c r="X4349">
        <v>4</v>
      </c>
      <c r="Y4349" t="s">
        <v>21727</v>
      </c>
      <c r="Z4349" t="s">
        <v>27556</v>
      </c>
      <c r="AA4349">
        <v>0.37897293865710768</v>
      </c>
      <c r="AB4349" t="str">
        <f>HYPERLINK("Melting_Curves/meltCurve_Q92503_3_SEC14L1.pdf", "Melting_Curves/meltCurve_Q92503_3_SEC14L1.pdf")</f>
        <v>Melting_Curves/meltCurve_Q92503_3_SEC14L1.pdf</v>
      </c>
    </row>
    <row r="4350" spans="1:28" x14ac:dyDescent="0.25">
      <c r="A4350" t="s">
        <v>4354</v>
      </c>
      <c r="B4350">
        <v>0.99334974765950101</v>
      </c>
      <c r="C4350">
        <v>1.05868590935037</v>
      </c>
      <c r="D4350">
        <v>1.1124835630207599</v>
      </c>
      <c r="E4350">
        <v>1.4012066298277901</v>
      </c>
      <c r="F4350">
        <v>2.6586031517810298</v>
      </c>
      <c r="G4350">
        <v>2.6141681991241801</v>
      </c>
      <c r="H4350">
        <v>2.8661229576256102</v>
      </c>
      <c r="I4350">
        <v>3.8574635227783398</v>
      </c>
      <c r="J4350">
        <v>3.0902880791220602</v>
      </c>
      <c r="K4350">
        <v>1.2977063261911299</v>
      </c>
      <c r="L4350">
        <v>2770.48830623815</v>
      </c>
      <c r="M4350">
        <v>58.948364940622703</v>
      </c>
      <c r="O4350">
        <v>46.944563789386002</v>
      </c>
      <c r="P4350">
        <v>0.15696277207902001</v>
      </c>
      <c r="Q4350">
        <v>1.5</v>
      </c>
      <c r="R4350">
        <v>-0.30480224926523197</v>
      </c>
      <c r="S4350" t="s">
        <v>10211</v>
      </c>
      <c r="T4350" t="s">
        <v>11720</v>
      </c>
      <c r="U4350" t="s">
        <v>11720</v>
      </c>
      <c r="V4350" t="s">
        <v>11720</v>
      </c>
      <c r="W4350" t="s">
        <v>16015</v>
      </c>
      <c r="X4350">
        <v>1</v>
      </c>
      <c r="Y4350" t="s">
        <v>21728</v>
      </c>
      <c r="Z4350" t="s">
        <v>27557</v>
      </c>
      <c r="AA4350">
        <v>1.3826124384962879</v>
      </c>
      <c r="AB4350" t="str">
        <f>HYPERLINK("Melting_Curves/meltCurve_Q92504_SLC39A7.pdf", "Melting_Curves/meltCurve_Q92504_SLC39A7.pdf")</f>
        <v>Melting_Curves/meltCurve_Q92504_SLC39A7.pdf</v>
      </c>
    </row>
    <row r="4351" spans="1:28" x14ac:dyDescent="0.25">
      <c r="A4351" t="s">
        <v>4355</v>
      </c>
      <c r="B4351">
        <v>0.99334974765950101</v>
      </c>
      <c r="C4351">
        <v>0.830853476042963</v>
      </c>
      <c r="D4351">
        <v>0.78052541211099602</v>
      </c>
      <c r="E4351">
        <v>0.75932377696979902</v>
      </c>
      <c r="F4351">
        <v>0.57363493048745096</v>
      </c>
      <c r="G4351">
        <v>0.47962815653358898</v>
      </c>
      <c r="H4351">
        <v>0.42932080113156601</v>
      </c>
      <c r="I4351">
        <v>0.52846909950695098</v>
      </c>
      <c r="J4351">
        <v>0.276306695222719</v>
      </c>
      <c r="K4351">
        <v>0.16152319964623901</v>
      </c>
      <c r="L4351">
        <v>333.38032245026199</v>
      </c>
      <c r="M4351">
        <v>5.78869249992667</v>
      </c>
      <c r="N4351">
        <v>57.591644823442302</v>
      </c>
      <c r="O4351">
        <v>51.832425057036303</v>
      </c>
      <c r="P4351">
        <v>-2.80229330234219E-2</v>
      </c>
      <c r="Q4351">
        <v>0</v>
      </c>
      <c r="R4351">
        <v>0.91082100913212705</v>
      </c>
      <c r="S4351" t="s">
        <v>10212</v>
      </c>
      <c r="T4351" t="s">
        <v>11720</v>
      </c>
      <c r="U4351" t="s">
        <v>11720</v>
      </c>
      <c r="V4351" t="s">
        <v>11720</v>
      </c>
      <c r="W4351" t="s">
        <v>16016</v>
      </c>
      <c r="X4351">
        <v>4</v>
      </c>
      <c r="Y4351" t="s">
        <v>21729</v>
      </c>
      <c r="Z4351" t="s">
        <v>27558</v>
      </c>
      <c r="AA4351">
        <v>0.58121882075951248</v>
      </c>
      <c r="AB4351" t="str">
        <f>HYPERLINK("Melting_Curves/meltCurve_Q92508_PIEZO1.pdf", "Melting_Curves/meltCurve_Q92508_PIEZO1.pdf")</f>
        <v>Melting_Curves/meltCurve_Q92508_PIEZO1.pdf</v>
      </c>
    </row>
    <row r="4352" spans="1:28" x14ac:dyDescent="0.25">
      <c r="A4352" t="s">
        <v>4356</v>
      </c>
      <c r="B4352">
        <v>0.99334974765950101</v>
      </c>
      <c r="C4352">
        <v>0.90723240738712296</v>
      </c>
      <c r="D4352">
        <v>0.83132012327072002</v>
      </c>
      <c r="E4352">
        <v>0.788391897648415</v>
      </c>
      <c r="F4352">
        <v>0.67121933041737802</v>
      </c>
      <c r="G4352">
        <v>0.27087843255279398</v>
      </c>
      <c r="H4352">
        <v>0.18480484167717301</v>
      </c>
      <c r="I4352">
        <v>0.18529438302808701</v>
      </c>
      <c r="J4352">
        <v>0.19066587846452401</v>
      </c>
      <c r="K4352">
        <v>0.161635214526298</v>
      </c>
      <c r="L4352">
        <v>848.52991177982904</v>
      </c>
      <c r="M4352">
        <v>15.9337113575908</v>
      </c>
      <c r="N4352">
        <v>54.222839451266097</v>
      </c>
      <c r="O4352">
        <v>52.436129966412501</v>
      </c>
      <c r="P4352">
        <v>-6.6559684263170202E-2</v>
      </c>
      <c r="Q4352">
        <v>0.123907127711174</v>
      </c>
      <c r="R4352">
        <v>0.96802724083601699</v>
      </c>
      <c r="S4352" t="s">
        <v>10213</v>
      </c>
      <c r="T4352" t="s">
        <v>11720</v>
      </c>
      <c r="U4352" t="s">
        <v>11720</v>
      </c>
      <c r="V4352" t="s">
        <v>11720</v>
      </c>
      <c r="W4352" t="s">
        <v>16017</v>
      </c>
      <c r="X4352">
        <v>15</v>
      </c>
      <c r="Y4352" t="s">
        <v>21730</v>
      </c>
      <c r="Z4352" t="s">
        <v>27559</v>
      </c>
      <c r="AA4352">
        <v>0.5280996626784874</v>
      </c>
      <c r="AB4352" t="str">
        <f>HYPERLINK("Melting_Curves/meltCurve_Q92520_FAM3C.pdf", "Melting_Curves/meltCurve_Q92520_FAM3C.pdf")</f>
        <v>Melting_Curves/meltCurve_Q92520_FAM3C.pdf</v>
      </c>
    </row>
    <row r="4353" spans="1:28" x14ac:dyDescent="0.25">
      <c r="A4353" t="s">
        <v>4357</v>
      </c>
      <c r="B4353">
        <v>0.99334974765950101</v>
      </c>
      <c r="C4353">
        <v>0.927037551524307</v>
      </c>
      <c r="D4353">
        <v>1.0249134170754099</v>
      </c>
      <c r="E4353">
        <v>0.571069953024821</v>
      </c>
      <c r="F4353">
        <v>0.25259159418048599</v>
      </c>
      <c r="G4353">
        <v>0.152545397265583</v>
      </c>
      <c r="H4353">
        <v>0.11883613318882701</v>
      </c>
      <c r="I4353">
        <v>9.5027633010266996E-2</v>
      </c>
      <c r="J4353">
        <v>7.9588393495342705E-2</v>
      </c>
      <c r="K4353">
        <v>6.6792574159522097E-2</v>
      </c>
      <c r="L4353">
        <v>1665.77692519778</v>
      </c>
      <c r="M4353">
        <v>33.129247383870798</v>
      </c>
      <c r="N4353">
        <v>50.618976804932302</v>
      </c>
      <c r="O4353">
        <v>50.099014236031103</v>
      </c>
      <c r="P4353">
        <v>-0.14892271825807801</v>
      </c>
      <c r="Q4353">
        <v>9.9182840003486303E-2</v>
      </c>
      <c r="R4353">
        <v>0.99157726765777698</v>
      </c>
      <c r="S4353" t="s">
        <v>10214</v>
      </c>
      <c r="T4353" t="s">
        <v>11720</v>
      </c>
      <c r="U4353" t="s">
        <v>11720</v>
      </c>
      <c r="V4353" t="s">
        <v>11720</v>
      </c>
      <c r="W4353" t="s">
        <v>16018</v>
      </c>
      <c r="X4353">
        <v>7</v>
      </c>
      <c r="Y4353" t="s">
        <v>21731</v>
      </c>
      <c r="Z4353" t="s">
        <v>27560</v>
      </c>
      <c r="AA4353">
        <v>0.4124788580666961</v>
      </c>
      <c r="AB4353" t="str">
        <f>HYPERLINK("Melting_Curves/meltCurve_Q92526_CCT6B.pdf", "Melting_Curves/meltCurve_Q92526_CCT6B.pdf")</f>
        <v>Melting_Curves/meltCurve_Q92526_CCT6B.pdf</v>
      </c>
    </row>
    <row r="4354" spans="1:28" x14ac:dyDescent="0.25">
      <c r="A4354" t="s">
        <v>4358</v>
      </c>
      <c r="B4354">
        <v>0.99334974765950101</v>
      </c>
      <c r="C4354">
        <v>1.08830080150688</v>
      </c>
      <c r="D4354">
        <v>1.3313783320646999</v>
      </c>
      <c r="E4354">
        <v>1.29324860449338</v>
      </c>
      <c r="F4354">
        <v>1.5297373956275899</v>
      </c>
      <c r="G4354">
        <v>3.0239517000146399</v>
      </c>
      <c r="H4354">
        <v>2.6983608325561002</v>
      </c>
      <c r="I4354">
        <v>0.90665280228448197</v>
      </c>
      <c r="J4354">
        <v>0.205040335268526</v>
      </c>
      <c r="K4354">
        <v>6.0329257778472298E-2</v>
      </c>
      <c r="L4354">
        <v>6354.4347523195302</v>
      </c>
      <c r="M4354">
        <v>96.643759044405002</v>
      </c>
      <c r="N4354">
        <v>65.844243032519998</v>
      </c>
      <c r="O4354">
        <v>65.722996226122305</v>
      </c>
      <c r="P4354">
        <v>-0.344136647220109</v>
      </c>
      <c r="Q4354">
        <v>6.3874048674450901E-2</v>
      </c>
      <c r="R4354">
        <v>6.7543896271220497E-2</v>
      </c>
      <c r="S4354" t="s">
        <v>10215</v>
      </c>
      <c r="T4354" t="s">
        <v>11720</v>
      </c>
      <c r="U4354" t="s">
        <v>11720</v>
      </c>
      <c r="V4354" t="s">
        <v>11720</v>
      </c>
      <c r="W4354" t="s">
        <v>16019</v>
      </c>
      <c r="X4354">
        <v>2</v>
      </c>
      <c r="Y4354" t="s">
        <v>21732</v>
      </c>
      <c r="Z4354" t="s">
        <v>27561</v>
      </c>
      <c r="AA4354">
        <v>0.86807100650521229</v>
      </c>
      <c r="AB4354" t="str">
        <f>HYPERLINK("Melting_Curves/meltCurve_Q92529_SHC3.pdf", "Melting_Curves/meltCurve_Q92529_SHC3.pdf")</f>
        <v>Melting_Curves/meltCurve_Q92529_SHC3.pdf</v>
      </c>
    </row>
    <row r="4355" spans="1:28" x14ac:dyDescent="0.25">
      <c r="A4355" t="s">
        <v>4359</v>
      </c>
      <c r="B4355">
        <v>0.99334974765950101</v>
      </c>
      <c r="C4355">
        <v>0.89563582697809097</v>
      </c>
      <c r="D4355">
        <v>0.63210146733806105</v>
      </c>
      <c r="E4355">
        <v>0.60790091649956002</v>
      </c>
      <c r="F4355">
        <v>0.72606927697685897</v>
      </c>
      <c r="G4355">
        <v>0.449150635933727</v>
      </c>
      <c r="H4355">
        <v>0.44611344424945598</v>
      </c>
      <c r="I4355">
        <v>0.53047017473520397</v>
      </c>
      <c r="J4355">
        <v>0.53736080115615703</v>
      </c>
      <c r="K4355">
        <v>0.38794904026910498</v>
      </c>
      <c r="L4355">
        <v>550.04027434707996</v>
      </c>
      <c r="M4355">
        <v>11.827243285725199</v>
      </c>
      <c r="N4355">
        <v>59.520974429598297</v>
      </c>
      <c r="O4355">
        <v>45.236433486173702</v>
      </c>
      <c r="P4355">
        <v>-3.5151996508579503E-2</v>
      </c>
      <c r="Q4355">
        <v>0.46234431954357302</v>
      </c>
      <c r="R4355">
        <v>0.81579407844981799</v>
      </c>
      <c r="S4355" t="s">
        <v>10216</v>
      </c>
      <c r="T4355" t="s">
        <v>11720</v>
      </c>
      <c r="U4355" t="s">
        <v>11720</v>
      </c>
      <c r="V4355" t="s">
        <v>11720</v>
      </c>
      <c r="W4355" t="s">
        <v>16020</v>
      </c>
      <c r="X4355">
        <v>1</v>
      </c>
      <c r="Y4355" t="s">
        <v>21733</v>
      </c>
      <c r="Z4355" t="s">
        <v>27562</v>
      </c>
      <c r="AA4355">
        <v>0.60303590965758402</v>
      </c>
      <c r="AB4355" t="str">
        <f>HYPERLINK("Melting_Curves/meltCurve_Q92537_KIAA0247.pdf", "Melting_Curves/meltCurve_Q92537_KIAA0247.pdf")</f>
        <v>Melting_Curves/meltCurve_Q92537_KIAA0247.pdf</v>
      </c>
    </row>
    <row r="4356" spans="1:28" x14ac:dyDescent="0.25">
      <c r="A4356" t="s">
        <v>4360</v>
      </c>
      <c r="B4356">
        <v>0.99334974765950101</v>
      </c>
      <c r="C4356">
        <v>1.0762206168331601</v>
      </c>
      <c r="D4356">
        <v>1.1557619504889201</v>
      </c>
      <c r="E4356">
        <v>1.0301011189213201</v>
      </c>
      <c r="F4356">
        <v>0.33554687604525602</v>
      </c>
      <c r="G4356">
        <v>0.240894908517711</v>
      </c>
      <c r="H4356">
        <v>0.17821674584604</v>
      </c>
      <c r="I4356">
        <v>0.168839666564959</v>
      </c>
      <c r="J4356">
        <v>0.16290873609355699</v>
      </c>
      <c r="K4356">
        <v>0.14572858921597401</v>
      </c>
      <c r="L4356">
        <v>13173.275190570799</v>
      </c>
      <c r="M4356">
        <v>250</v>
      </c>
      <c r="N4356">
        <v>52.786892469044197</v>
      </c>
      <c r="O4356">
        <v>52.689728915116802</v>
      </c>
      <c r="P4356">
        <v>-0.97348469459946596</v>
      </c>
      <c r="Q4356">
        <v>0.17931768889826499</v>
      </c>
      <c r="R4356">
        <v>0.97992388494633298</v>
      </c>
      <c r="S4356" t="s">
        <v>10217</v>
      </c>
      <c r="T4356" t="s">
        <v>11720</v>
      </c>
      <c r="U4356" t="s">
        <v>11720</v>
      </c>
      <c r="V4356" t="s">
        <v>11720</v>
      </c>
      <c r="W4356" t="s">
        <v>16021</v>
      </c>
      <c r="X4356">
        <v>31</v>
      </c>
      <c r="Y4356" t="s">
        <v>21734</v>
      </c>
      <c r="Z4356" t="s">
        <v>27563</v>
      </c>
      <c r="AA4356">
        <v>0.52662702425213648</v>
      </c>
      <c r="AB4356" t="str">
        <f>HYPERLINK("Melting_Curves/meltCurve_Q92538_GBF1.pdf", "Melting_Curves/meltCurve_Q92538_GBF1.pdf")</f>
        <v>Melting_Curves/meltCurve_Q92538_GBF1.pdf</v>
      </c>
    </row>
    <row r="4357" spans="1:28" x14ac:dyDescent="0.25">
      <c r="A4357" t="s">
        <v>4361</v>
      </c>
      <c r="B4357">
        <v>0.99334974765950101</v>
      </c>
      <c r="C4357">
        <v>0.97282872457518499</v>
      </c>
      <c r="D4357">
        <v>0.85008760110867998</v>
      </c>
      <c r="E4357">
        <v>0.63872304837891503</v>
      </c>
      <c r="F4357">
        <v>0.32460860875002601</v>
      </c>
      <c r="G4357">
        <v>0.17526882960713999</v>
      </c>
      <c r="H4357">
        <v>0.13969156740098901</v>
      </c>
      <c r="I4357">
        <v>0.13193296896509499</v>
      </c>
      <c r="J4357">
        <v>0.13370631071900499</v>
      </c>
      <c r="K4357">
        <v>0.105280611109437</v>
      </c>
      <c r="L4357">
        <v>1027.1370931777501</v>
      </c>
      <c r="M4357">
        <v>20.366560637956201</v>
      </c>
      <c r="N4357">
        <v>51.065634910166203</v>
      </c>
      <c r="O4357">
        <v>49.953865382900702</v>
      </c>
      <c r="P4357">
        <v>-9.0557359360660103E-2</v>
      </c>
      <c r="Q4357">
        <v>0.11157250678681201</v>
      </c>
      <c r="R4357">
        <v>0.99606212401224603</v>
      </c>
      <c r="S4357" t="s">
        <v>10218</v>
      </c>
      <c r="T4357" t="s">
        <v>11720</v>
      </c>
      <c r="U4357" t="s">
        <v>11720</v>
      </c>
      <c r="V4357" t="s">
        <v>11720</v>
      </c>
      <c r="W4357" t="s">
        <v>16022</v>
      </c>
      <c r="X4357">
        <v>11</v>
      </c>
      <c r="Y4357" t="s">
        <v>21735</v>
      </c>
      <c r="Z4357" t="s">
        <v>27564</v>
      </c>
      <c r="AA4357">
        <v>0.43245112651337791</v>
      </c>
      <c r="AB4357" t="str">
        <f>HYPERLINK("Melting_Curves/meltCurve_Q92541_RTF1.pdf", "Melting_Curves/meltCurve_Q92541_RTF1.pdf")</f>
        <v>Melting_Curves/meltCurve_Q92541_RTF1.pdf</v>
      </c>
    </row>
    <row r="4358" spans="1:28" x14ac:dyDescent="0.25">
      <c r="A4358" t="s">
        <v>4362</v>
      </c>
      <c r="B4358">
        <v>0.99334974765950101</v>
      </c>
      <c r="C4358">
        <v>0.91444072404610999</v>
      </c>
      <c r="D4358">
        <v>0.87127729343126104</v>
      </c>
      <c r="E4358">
        <v>0.97851852872162903</v>
      </c>
      <c r="F4358">
        <v>0.246879846164126</v>
      </c>
      <c r="G4358">
        <v>0.17374604166028099</v>
      </c>
      <c r="H4358">
        <v>0.12389844469648</v>
      </c>
      <c r="I4358">
        <v>0.140949007812432</v>
      </c>
      <c r="J4358">
        <v>0.13543371618667599</v>
      </c>
      <c r="K4358">
        <v>0.10372588741033099</v>
      </c>
      <c r="L4358">
        <v>4908.7511819359097</v>
      </c>
      <c r="M4358">
        <v>94.527291737977606</v>
      </c>
      <c r="N4358">
        <v>52.103658004202003</v>
      </c>
      <c r="O4358">
        <v>51.906230399747997</v>
      </c>
      <c r="P4358">
        <v>-0.39359681316667899</v>
      </c>
      <c r="Q4358">
        <v>0.13548245706620099</v>
      </c>
      <c r="R4358">
        <v>0.98232840142449696</v>
      </c>
      <c r="S4358" t="s">
        <v>10219</v>
      </c>
      <c r="T4358" t="s">
        <v>11720</v>
      </c>
      <c r="U4358" t="s">
        <v>11720</v>
      </c>
      <c r="V4358" t="s">
        <v>11720</v>
      </c>
      <c r="W4358" t="s">
        <v>16023</v>
      </c>
      <c r="X4358">
        <v>12</v>
      </c>
      <c r="Y4358" t="s">
        <v>21736</v>
      </c>
      <c r="Z4358" t="s">
        <v>27565</v>
      </c>
      <c r="AA4358">
        <v>0.47980852331143659</v>
      </c>
      <c r="AB4358" t="str">
        <f>HYPERLINK("Melting_Curves/meltCurve_Q92544_TM9SF4.pdf", "Melting_Curves/meltCurve_Q92544_TM9SF4.pdf")</f>
        <v>Melting_Curves/meltCurve_Q92544_TM9SF4.pdf</v>
      </c>
    </row>
    <row r="4359" spans="1:28" x14ac:dyDescent="0.25">
      <c r="A4359" t="s">
        <v>4363</v>
      </c>
      <c r="B4359">
        <v>0.99334974765950101</v>
      </c>
      <c r="C4359">
        <v>0.91963336041677002</v>
      </c>
      <c r="D4359">
        <v>0.99174435595643995</v>
      </c>
      <c r="E4359">
        <v>0.90498625414883405</v>
      </c>
      <c r="F4359">
        <v>0.38127450807695301</v>
      </c>
      <c r="G4359">
        <v>0.191896246446081</v>
      </c>
      <c r="H4359">
        <v>0.21630775904591801</v>
      </c>
      <c r="I4359">
        <v>0.12136722921283701</v>
      </c>
      <c r="J4359">
        <v>0.12339621099664</v>
      </c>
      <c r="K4359">
        <v>6.1550036180420299E-2</v>
      </c>
      <c r="L4359">
        <v>2564.9291475032201</v>
      </c>
      <c r="M4359">
        <v>49.2971195860002</v>
      </c>
      <c r="N4359">
        <v>52.377758171727301</v>
      </c>
      <c r="O4359">
        <v>51.944596792358098</v>
      </c>
      <c r="P4359">
        <v>-0.204144796711273</v>
      </c>
      <c r="Q4359">
        <v>0.13956762795747099</v>
      </c>
      <c r="R4359">
        <v>0.98606049014672403</v>
      </c>
      <c r="S4359" t="s">
        <v>10220</v>
      </c>
      <c r="T4359" t="s">
        <v>11720</v>
      </c>
      <c r="U4359" t="s">
        <v>11720</v>
      </c>
      <c r="V4359" t="s">
        <v>11720</v>
      </c>
      <c r="W4359" t="s">
        <v>16024</v>
      </c>
      <c r="X4359">
        <v>2</v>
      </c>
      <c r="Y4359" t="s">
        <v>21737</v>
      </c>
      <c r="Z4359" t="s">
        <v>27566</v>
      </c>
      <c r="AA4359">
        <v>0.48663263146336178</v>
      </c>
      <c r="AB4359" t="str">
        <f>HYPERLINK("Melting_Curves/meltCurve_Q92546_RGP1.pdf", "Melting_Curves/meltCurve_Q92546_RGP1.pdf")</f>
        <v>Melting_Curves/meltCurve_Q92546_RGP1.pdf</v>
      </c>
    </row>
    <row r="4360" spans="1:28" x14ac:dyDescent="0.25">
      <c r="A4360" t="s">
        <v>4364</v>
      </c>
      <c r="B4360">
        <v>0.99334974765950101</v>
      </c>
      <c r="C4360">
        <v>0.906764754754111</v>
      </c>
      <c r="D4360">
        <v>0.62609124897269197</v>
      </c>
      <c r="E4360">
        <v>0.61999996559930604</v>
      </c>
      <c r="F4360">
        <v>0.47358467997571702</v>
      </c>
      <c r="G4360">
        <v>0.36896229692740501</v>
      </c>
      <c r="H4360">
        <v>0.33463176144329199</v>
      </c>
      <c r="I4360">
        <v>0.49774039214799598</v>
      </c>
      <c r="J4360">
        <v>0.52212664565697298</v>
      </c>
      <c r="K4360">
        <v>0.58043398501062904</v>
      </c>
      <c r="L4360">
        <v>1075.10525377967</v>
      </c>
      <c r="M4360">
        <v>23.8198814423404</v>
      </c>
      <c r="N4360">
        <v>51.261866724055203</v>
      </c>
      <c r="O4360">
        <v>44.820261137062097</v>
      </c>
      <c r="P4360">
        <v>-7.0286747829038099E-2</v>
      </c>
      <c r="Q4360">
        <v>0.47099309288899599</v>
      </c>
      <c r="R4360">
        <v>0.85388480634047303</v>
      </c>
      <c r="S4360" t="s">
        <v>10221</v>
      </c>
      <c r="T4360" t="s">
        <v>11720</v>
      </c>
      <c r="U4360" t="s">
        <v>11720</v>
      </c>
      <c r="V4360" t="s">
        <v>11720</v>
      </c>
      <c r="W4360" t="s">
        <v>16025</v>
      </c>
      <c r="X4360">
        <v>1</v>
      </c>
      <c r="Y4360" t="s">
        <v>21738</v>
      </c>
      <c r="Z4360" t="s">
        <v>27567</v>
      </c>
      <c r="AA4360">
        <v>0.56737526267276062</v>
      </c>
      <c r="AB4360" t="str">
        <f>HYPERLINK("Melting_Curves/meltCurve_Q92567_2_FAM168A.pdf", "Melting_Curves/meltCurve_Q92567_2_FAM168A.pdf")</f>
        <v>Melting_Curves/meltCurve_Q92567_2_FAM168A.pdf</v>
      </c>
    </row>
    <row r="4361" spans="1:28" x14ac:dyDescent="0.25">
      <c r="A4361" t="s">
        <v>4365</v>
      </c>
      <c r="B4361">
        <v>0.99334974765950101</v>
      </c>
      <c r="C4361">
        <v>0.96223757120032105</v>
      </c>
      <c r="D4361">
        <v>0.98035449883314296</v>
      </c>
      <c r="E4361">
        <v>0.97798564467446003</v>
      </c>
      <c r="F4361">
        <v>0.36332463474565602</v>
      </c>
      <c r="G4361">
        <v>0.28512705995358101</v>
      </c>
      <c r="H4361">
        <v>0.22173464854443201</v>
      </c>
      <c r="I4361">
        <v>0.186807943147936</v>
      </c>
      <c r="J4361">
        <v>0.16603292852549001</v>
      </c>
      <c r="K4361">
        <v>0.140554278435845</v>
      </c>
      <c r="L4361">
        <v>4219.0501679651397</v>
      </c>
      <c r="M4361">
        <v>80.955151641539203</v>
      </c>
      <c r="N4361">
        <v>52.446234292236397</v>
      </c>
      <c r="O4361">
        <v>52.084119350696596</v>
      </c>
      <c r="P4361">
        <v>-0.31097029506346902</v>
      </c>
      <c r="Q4361">
        <v>0.19972422018011901</v>
      </c>
      <c r="R4361">
        <v>0.98969851724328495</v>
      </c>
      <c r="S4361" t="s">
        <v>10222</v>
      </c>
      <c r="T4361" t="s">
        <v>11720</v>
      </c>
      <c r="U4361" t="s">
        <v>11720</v>
      </c>
      <c r="V4361" t="s">
        <v>11720</v>
      </c>
      <c r="W4361" t="s">
        <v>16026</v>
      </c>
      <c r="X4361">
        <v>6</v>
      </c>
      <c r="Y4361" t="s">
        <v>21739</v>
      </c>
      <c r="Z4361" t="s">
        <v>27568</v>
      </c>
      <c r="AA4361">
        <v>0.52362548015429733</v>
      </c>
      <c r="AB4361" t="str">
        <f>HYPERLINK("Melting_Curves/meltCurve_Q92572_AP3S1.pdf", "Melting_Curves/meltCurve_Q92572_AP3S1.pdf")</f>
        <v>Melting_Curves/meltCurve_Q92572_AP3S1.pdf</v>
      </c>
    </row>
    <row r="4362" spans="1:28" x14ac:dyDescent="0.25">
      <c r="A4362" t="s">
        <v>4366</v>
      </c>
      <c r="B4362">
        <v>0.99334974765950101</v>
      </c>
      <c r="C4362">
        <v>1.14752658748311</v>
      </c>
      <c r="D4362">
        <v>0.82643267529089903</v>
      </c>
      <c r="E4362">
        <v>0.50635388161142103</v>
      </c>
      <c r="F4362">
        <v>0.44397074397035102</v>
      </c>
      <c r="G4362">
        <v>0.218446489355729</v>
      </c>
      <c r="H4362">
        <v>0.16742547658499099</v>
      </c>
      <c r="I4362">
        <v>0.13885356437576399</v>
      </c>
      <c r="J4362">
        <v>0.141865159349568</v>
      </c>
      <c r="K4362">
        <v>0.12904012236201301</v>
      </c>
      <c r="L4362">
        <v>933.72266902009699</v>
      </c>
      <c r="M4362">
        <v>18.635052589964499</v>
      </c>
      <c r="N4362">
        <v>50.977128013425798</v>
      </c>
      <c r="O4362">
        <v>49.539421272345301</v>
      </c>
      <c r="P4362">
        <v>-8.1218008700400399E-2</v>
      </c>
      <c r="Q4362">
        <v>0.13639757243207001</v>
      </c>
      <c r="R4362">
        <v>0.96562693349750595</v>
      </c>
      <c r="S4362" t="s">
        <v>10223</v>
      </c>
      <c r="T4362" t="s">
        <v>11720</v>
      </c>
      <c r="U4362" t="s">
        <v>11720</v>
      </c>
      <c r="V4362" t="s">
        <v>11720</v>
      </c>
      <c r="W4362" t="s">
        <v>16027</v>
      </c>
      <c r="X4362">
        <v>1</v>
      </c>
      <c r="Y4362" t="s">
        <v>21740</v>
      </c>
      <c r="Z4362" t="s">
        <v>27569</v>
      </c>
      <c r="AA4362">
        <v>0.44107869581328862</v>
      </c>
      <c r="AB4362" t="str">
        <f>HYPERLINK("Melting_Curves/meltCurve_Q92574_TSC1.pdf", "Melting_Curves/meltCurve_Q92574_TSC1.pdf")</f>
        <v>Melting_Curves/meltCurve_Q92574_TSC1.pdf</v>
      </c>
    </row>
    <row r="4363" spans="1:28" x14ac:dyDescent="0.25">
      <c r="A4363" t="s">
        <v>4367</v>
      </c>
      <c r="B4363">
        <v>0.99334974765950101</v>
      </c>
      <c r="C4363">
        <v>0.98794299677124497</v>
      </c>
      <c r="D4363">
        <v>0.93632610882695499</v>
      </c>
      <c r="E4363">
        <v>0.78821718235498295</v>
      </c>
      <c r="F4363">
        <v>0.50815202078159105</v>
      </c>
      <c r="G4363">
        <v>0.200571555669943</v>
      </c>
      <c r="H4363">
        <v>0.14511870879816</v>
      </c>
      <c r="I4363">
        <v>0.112322217686463</v>
      </c>
      <c r="J4363">
        <v>0.13720901418482001</v>
      </c>
      <c r="K4363">
        <v>9.6214679218174601E-2</v>
      </c>
      <c r="L4363">
        <v>1239.1503863452699</v>
      </c>
      <c r="M4363">
        <v>23.634669448448101</v>
      </c>
      <c r="N4363">
        <v>52.966089288557797</v>
      </c>
      <c r="O4363">
        <v>52.0583358960574</v>
      </c>
      <c r="P4363">
        <v>-0.101416010832622</v>
      </c>
      <c r="Q4363">
        <v>0.106488874917349</v>
      </c>
      <c r="R4363">
        <v>0.99810611182207598</v>
      </c>
      <c r="S4363" t="s">
        <v>10224</v>
      </c>
      <c r="T4363" t="s">
        <v>11720</v>
      </c>
      <c r="U4363" t="s">
        <v>11720</v>
      </c>
      <c r="V4363" t="s">
        <v>11720</v>
      </c>
      <c r="W4363" t="s">
        <v>16028</v>
      </c>
      <c r="X4363">
        <v>14</v>
      </c>
      <c r="Y4363" t="s">
        <v>21741</v>
      </c>
      <c r="Z4363" t="s">
        <v>27570</v>
      </c>
      <c r="AA4363">
        <v>0.48578776609843721</v>
      </c>
      <c r="AB4363" t="str">
        <f>HYPERLINK("Melting_Curves/meltCurve_Q92575_UBXN4.pdf", "Melting_Curves/meltCurve_Q92575_UBXN4.pdf")</f>
        <v>Melting_Curves/meltCurve_Q92575_UBXN4.pdf</v>
      </c>
    </row>
    <row r="4364" spans="1:28" x14ac:dyDescent="0.25">
      <c r="A4364" t="s">
        <v>4368</v>
      </c>
      <c r="B4364">
        <v>0.99334974765950101</v>
      </c>
      <c r="C4364">
        <v>0.85775980319572598</v>
      </c>
      <c r="D4364">
        <v>0.89151936088843298</v>
      </c>
      <c r="E4364">
        <v>0.84550338835101202</v>
      </c>
      <c r="F4364">
        <v>0.746650950044904</v>
      </c>
      <c r="G4364">
        <v>0.72779323933823303</v>
      </c>
      <c r="H4364">
        <v>0.67728340125921205</v>
      </c>
      <c r="I4364">
        <v>0.70847796678608599</v>
      </c>
      <c r="J4364">
        <v>0.55923459355634197</v>
      </c>
      <c r="K4364">
        <v>0.88820662600887101</v>
      </c>
      <c r="L4364">
        <v>536.22208777526998</v>
      </c>
      <c r="M4364">
        <v>11.4169999231916</v>
      </c>
      <c r="O4364">
        <v>45.595322363146899</v>
      </c>
      <c r="P4364">
        <v>-1.8855876218752302E-2</v>
      </c>
      <c r="Q4364">
        <v>0.69887404079214299</v>
      </c>
      <c r="R4364">
        <v>0.55462567797219497</v>
      </c>
      <c r="S4364" t="s">
        <v>10225</v>
      </c>
      <c r="T4364" t="s">
        <v>11720</v>
      </c>
      <c r="U4364" t="s">
        <v>11720</v>
      </c>
      <c r="V4364" t="s">
        <v>11720</v>
      </c>
      <c r="W4364" t="s">
        <v>16029</v>
      </c>
      <c r="X4364">
        <v>3</v>
      </c>
      <c r="Y4364" t="s">
        <v>21742</v>
      </c>
      <c r="Z4364" t="s">
        <v>27571</v>
      </c>
      <c r="AA4364">
        <v>0.78266899825179748</v>
      </c>
      <c r="AB4364" t="str">
        <f>HYPERLINK("Melting_Curves/meltCurve_Q92581_3_SLC9A6.pdf", "Melting_Curves/meltCurve_Q92581_3_SLC9A6.pdf")</f>
        <v>Melting_Curves/meltCurve_Q92581_3_SLC9A6.pdf</v>
      </c>
    </row>
    <row r="4365" spans="1:28" x14ac:dyDescent="0.25">
      <c r="A4365" t="s">
        <v>4369</v>
      </c>
      <c r="B4365">
        <v>0.99334974765950101</v>
      </c>
      <c r="C4365">
        <v>0.98390577737597795</v>
      </c>
      <c r="D4365">
        <v>0.89353044183531505</v>
      </c>
      <c r="E4365">
        <v>0.81882110419286303</v>
      </c>
      <c r="F4365">
        <v>0.34210360098956</v>
      </c>
      <c r="G4365">
        <v>0.110064240046697</v>
      </c>
      <c r="H4365">
        <v>6.9606137784990904E-2</v>
      </c>
      <c r="I4365">
        <v>6.3347682212378395E-2</v>
      </c>
      <c r="J4365">
        <v>5.9852808605904903E-2</v>
      </c>
      <c r="K4365">
        <v>4.2530643829920202E-2</v>
      </c>
      <c r="L4365">
        <v>1835.5609355351401</v>
      </c>
      <c r="M4365">
        <v>35.410366743463399</v>
      </c>
      <c r="N4365">
        <v>52.022088249111498</v>
      </c>
      <c r="O4365">
        <v>51.672334859551</v>
      </c>
      <c r="P4365">
        <v>-0.16117388456531501</v>
      </c>
      <c r="Q4365">
        <v>5.9235624801405998E-2</v>
      </c>
      <c r="R4365">
        <v>0.99356408376319705</v>
      </c>
      <c r="S4365" t="s">
        <v>10226</v>
      </c>
      <c r="T4365" t="s">
        <v>11720</v>
      </c>
      <c r="U4365" t="s">
        <v>11720</v>
      </c>
      <c r="V4365" t="s">
        <v>11720</v>
      </c>
      <c r="W4365" t="s">
        <v>16030</v>
      </c>
      <c r="X4365">
        <v>9</v>
      </c>
      <c r="Y4365" t="s">
        <v>21743</v>
      </c>
      <c r="Z4365" t="s">
        <v>27572</v>
      </c>
      <c r="AA4365">
        <v>0.43472898623069117</v>
      </c>
      <c r="AB4365" t="str">
        <f>HYPERLINK("Melting_Curves/meltCurve_Q92597_NDRG1.pdf", "Melting_Curves/meltCurve_Q92597_NDRG1.pdf")</f>
        <v>Melting_Curves/meltCurve_Q92597_NDRG1.pdf</v>
      </c>
    </row>
    <row r="4366" spans="1:28" x14ac:dyDescent="0.25">
      <c r="A4366" t="s">
        <v>4370</v>
      </c>
      <c r="B4366">
        <v>0.99334974765950101</v>
      </c>
      <c r="C4366">
        <v>0.93896539732191997</v>
      </c>
      <c r="D4366">
        <v>1.07003374306548</v>
      </c>
      <c r="E4366">
        <v>0.67654852982943303</v>
      </c>
      <c r="F4366">
        <v>0.27512216624492603</v>
      </c>
      <c r="G4366">
        <v>0.17417080682118399</v>
      </c>
      <c r="H4366">
        <v>0.11308320728669501</v>
      </c>
      <c r="I4366">
        <v>0.106804647105836</v>
      </c>
      <c r="J4366">
        <v>9.4013010875687503E-2</v>
      </c>
      <c r="K4366">
        <v>7.8012416631656298E-2</v>
      </c>
      <c r="L4366">
        <v>1882.79065332409</v>
      </c>
      <c r="M4366">
        <v>37.027983151951901</v>
      </c>
      <c r="N4366">
        <v>51.188938275931697</v>
      </c>
      <c r="O4366">
        <v>50.700160769056602</v>
      </c>
      <c r="P4366">
        <v>-0.16261891505548801</v>
      </c>
      <c r="Q4366">
        <v>0.109346013318374</v>
      </c>
      <c r="R4366">
        <v>0.99036964636496205</v>
      </c>
      <c r="S4366" t="s">
        <v>10227</v>
      </c>
      <c r="T4366" t="s">
        <v>11720</v>
      </c>
      <c r="U4366" t="s">
        <v>11720</v>
      </c>
      <c r="V4366" t="s">
        <v>11720</v>
      </c>
      <c r="W4366" t="s">
        <v>16031</v>
      </c>
      <c r="X4366">
        <v>46</v>
      </c>
      <c r="Y4366" t="s">
        <v>21744</v>
      </c>
      <c r="Z4366" t="s">
        <v>27573</v>
      </c>
      <c r="AA4366">
        <v>0.43505723135465918</v>
      </c>
      <c r="AB4366" t="str">
        <f>HYPERLINK("Melting_Curves/meltCurve_Q92598_2_HSPH1.pdf", "Melting_Curves/meltCurve_Q92598_2_HSPH1.pdf")</f>
        <v>Melting_Curves/meltCurve_Q92598_2_HSPH1.pdf</v>
      </c>
    </row>
    <row r="4367" spans="1:28" x14ac:dyDescent="0.25">
      <c r="A4367" t="s">
        <v>4371</v>
      </c>
      <c r="B4367">
        <v>0.99334974765950101</v>
      </c>
      <c r="C4367">
        <v>0.86559785676441703</v>
      </c>
      <c r="D4367">
        <v>0.99919414961032604</v>
      </c>
      <c r="E4367">
        <v>1.0302618986671801</v>
      </c>
      <c r="F4367">
        <v>0.97747925367358701</v>
      </c>
      <c r="G4367">
        <v>1.5032920926336899</v>
      </c>
      <c r="H4367">
        <v>1.0223671995235599</v>
      </c>
      <c r="I4367">
        <v>0.53564243484029805</v>
      </c>
      <c r="J4367">
        <v>0.39170991699802998</v>
      </c>
      <c r="K4367">
        <v>0.284425366527991</v>
      </c>
      <c r="L4367">
        <v>13523.0391930394</v>
      </c>
      <c r="M4367">
        <v>212.15182301343401</v>
      </c>
      <c r="N4367">
        <v>64.082793081496504</v>
      </c>
      <c r="O4367">
        <v>63.736608941377803</v>
      </c>
      <c r="P4367">
        <v>-0.55083614864097996</v>
      </c>
      <c r="Q4367">
        <v>0.33805089199554</v>
      </c>
      <c r="R4367">
        <v>0.76266974356034201</v>
      </c>
      <c r="S4367" t="s">
        <v>10228</v>
      </c>
      <c r="T4367" t="s">
        <v>11720</v>
      </c>
      <c r="U4367" t="s">
        <v>11720</v>
      </c>
      <c r="V4367" t="s">
        <v>11720</v>
      </c>
      <c r="W4367" t="s">
        <v>16032</v>
      </c>
      <c r="X4367">
        <v>2</v>
      </c>
      <c r="Y4367" t="s">
        <v>21745</v>
      </c>
      <c r="Z4367" t="s">
        <v>27574</v>
      </c>
      <c r="AA4367">
        <v>0.86202625312047665</v>
      </c>
      <c r="AB4367" t="str">
        <f>HYPERLINK("Melting_Curves/meltCurve_Q92600_RQCD1.pdf", "Melting_Curves/meltCurve_Q92600_RQCD1.pdf")</f>
        <v>Melting_Curves/meltCurve_Q92600_RQCD1.pdf</v>
      </c>
    </row>
    <row r="4368" spans="1:28" x14ac:dyDescent="0.25">
      <c r="A4368" t="s">
        <v>4372</v>
      </c>
      <c r="B4368">
        <v>0.99334974765950101</v>
      </c>
      <c r="C4368">
        <v>1.00933123374218</v>
      </c>
      <c r="D4368">
        <v>0.93805756230328696</v>
      </c>
      <c r="E4368">
        <v>0.65158983771026002</v>
      </c>
      <c r="F4368">
        <v>0.392517950435881</v>
      </c>
      <c r="G4368">
        <v>0.22204878036198999</v>
      </c>
      <c r="H4368">
        <v>0.18778172159996101</v>
      </c>
      <c r="I4368">
        <v>0.18041005598930801</v>
      </c>
      <c r="J4368">
        <v>0.198347532380071</v>
      </c>
      <c r="K4368">
        <v>0.14934538792731999</v>
      </c>
      <c r="L4368">
        <v>1232.72018539893</v>
      </c>
      <c r="M4368">
        <v>24.312192435870799</v>
      </c>
      <c r="N4368">
        <v>51.606156418482797</v>
      </c>
      <c r="O4368">
        <v>50.364477154110503</v>
      </c>
      <c r="P4368">
        <v>-9.9786409756512304E-2</v>
      </c>
      <c r="Q4368">
        <v>0.17315309966168499</v>
      </c>
      <c r="R4368">
        <v>0.99867279013636401</v>
      </c>
      <c r="S4368" t="s">
        <v>10229</v>
      </c>
      <c r="T4368" t="s">
        <v>11720</v>
      </c>
      <c r="U4368" t="s">
        <v>11720</v>
      </c>
      <c r="V4368" t="s">
        <v>11720</v>
      </c>
      <c r="W4368" t="s">
        <v>16033</v>
      </c>
      <c r="X4368">
        <v>13</v>
      </c>
      <c r="Y4368" t="s">
        <v>21746</v>
      </c>
      <c r="Z4368" t="s">
        <v>27575</v>
      </c>
      <c r="AA4368">
        <v>0.47603381056323008</v>
      </c>
      <c r="AB4368" t="str">
        <f>HYPERLINK("Melting_Curves/meltCurve_Q92609_TBC1D5.pdf", "Melting_Curves/meltCurve_Q92609_TBC1D5.pdf")</f>
        <v>Melting_Curves/meltCurve_Q92609_TBC1D5.pdf</v>
      </c>
    </row>
    <row r="4369" spans="1:28" x14ac:dyDescent="0.25">
      <c r="A4369" t="s">
        <v>4373</v>
      </c>
      <c r="B4369">
        <v>0.99334974765950101</v>
      </c>
      <c r="C4369">
        <v>0.949736726253955</v>
      </c>
      <c r="D4369">
        <v>0.72907097738944904</v>
      </c>
      <c r="E4369">
        <v>0.50858286948583897</v>
      </c>
      <c r="F4369">
        <v>0.43056647051366798</v>
      </c>
      <c r="G4369">
        <v>0.31062984421951101</v>
      </c>
      <c r="H4369">
        <v>0.26633181317005</v>
      </c>
      <c r="I4369">
        <v>0.321083542667354</v>
      </c>
      <c r="J4369">
        <v>0.29752726787205003</v>
      </c>
      <c r="K4369">
        <v>0.273162396930272</v>
      </c>
      <c r="L4369">
        <v>834.77261790985096</v>
      </c>
      <c r="M4369">
        <v>17.457071113766599</v>
      </c>
      <c r="N4369">
        <v>50.233443230696899</v>
      </c>
      <c r="O4369">
        <v>47.204340450618098</v>
      </c>
      <c r="P4369">
        <v>-6.6203796128661299E-2</v>
      </c>
      <c r="Q4369">
        <v>0.28397318000132898</v>
      </c>
      <c r="R4369">
        <v>0.99127768253437598</v>
      </c>
      <c r="S4369" t="s">
        <v>10230</v>
      </c>
      <c r="T4369" t="s">
        <v>11720</v>
      </c>
      <c r="U4369" t="s">
        <v>11720</v>
      </c>
      <c r="V4369" t="s">
        <v>11720</v>
      </c>
      <c r="W4369" t="s">
        <v>16034</v>
      </c>
      <c r="X4369">
        <v>7</v>
      </c>
      <c r="Y4369" t="s">
        <v>21747</v>
      </c>
      <c r="Z4369" t="s">
        <v>27576</v>
      </c>
      <c r="AA4369">
        <v>0.48420964947330108</v>
      </c>
      <c r="AB4369" t="str">
        <f>HYPERLINK("Melting_Curves/meltCurve_Q92615_LARP4B.pdf", "Melting_Curves/meltCurve_Q92615_LARP4B.pdf")</f>
        <v>Melting_Curves/meltCurve_Q92615_LARP4B.pdf</v>
      </c>
    </row>
    <row r="4370" spans="1:28" x14ac:dyDescent="0.25">
      <c r="A4370" t="s">
        <v>4374</v>
      </c>
      <c r="B4370">
        <v>0.99334974765950101</v>
      </c>
      <c r="C4370">
        <v>0.79784687357329698</v>
      </c>
      <c r="D4370">
        <v>0.32839197525081898</v>
      </c>
      <c r="E4370">
        <v>0.26027440043968297</v>
      </c>
      <c r="F4370">
        <v>0.20125387556719501</v>
      </c>
      <c r="G4370">
        <v>0.13646793653809999</v>
      </c>
      <c r="H4370">
        <v>9.6531930283782597E-2</v>
      </c>
      <c r="I4370">
        <v>7.7665294387901304E-2</v>
      </c>
      <c r="J4370">
        <v>8.6597243250072994E-2</v>
      </c>
      <c r="K4370">
        <v>5.5063832236879301E-2</v>
      </c>
      <c r="L4370">
        <v>1229.4292293021699</v>
      </c>
      <c r="M4370">
        <v>27.583604891919801</v>
      </c>
      <c r="N4370">
        <v>45.008182444830197</v>
      </c>
      <c r="O4370">
        <v>44.338725565349399</v>
      </c>
      <c r="P4370">
        <v>-0.137251927234393</v>
      </c>
      <c r="Q4370">
        <v>0.117516335446666</v>
      </c>
      <c r="R4370">
        <v>0.97222861534739702</v>
      </c>
      <c r="S4370" t="s">
        <v>10231</v>
      </c>
      <c r="T4370" t="s">
        <v>11720</v>
      </c>
      <c r="U4370" t="s">
        <v>11720</v>
      </c>
      <c r="V4370" t="s">
        <v>11720</v>
      </c>
      <c r="W4370" t="s">
        <v>16035</v>
      </c>
      <c r="X4370">
        <v>21</v>
      </c>
      <c r="Y4370" t="s">
        <v>21748</v>
      </c>
      <c r="Z4370" t="s">
        <v>27577</v>
      </c>
      <c r="AA4370">
        <v>0.25925527635354551</v>
      </c>
      <c r="AB4370" t="str">
        <f>HYPERLINK("Melting_Curves/meltCurve_Q92616_GCN1L1.pdf", "Melting_Curves/meltCurve_Q92616_GCN1L1.pdf")</f>
        <v>Melting_Curves/meltCurve_Q92616_GCN1L1.pdf</v>
      </c>
    </row>
    <row r="4371" spans="1:28" x14ac:dyDescent="0.25">
      <c r="A4371" t="s">
        <v>4375</v>
      </c>
      <c r="B4371">
        <v>0.99334974765950101</v>
      </c>
      <c r="C4371">
        <v>1.1242760992691501</v>
      </c>
      <c r="D4371">
        <v>0.94706721554653694</v>
      </c>
      <c r="E4371">
        <v>0.78730586543125203</v>
      </c>
      <c r="F4371">
        <v>0.89270886071542999</v>
      </c>
      <c r="G4371">
        <v>0.44250795854365799</v>
      </c>
      <c r="H4371">
        <v>0.52925036502226797</v>
      </c>
      <c r="I4371">
        <v>0.42934265674935301</v>
      </c>
      <c r="J4371">
        <v>0.48612898974146301</v>
      </c>
      <c r="K4371">
        <v>0.37926088434946098</v>
      </c>
      <c r="L4371">
        <v>1065.35586683664</v>
      </c>
      <c r="M4371">
        <v>19.7924451029705</v>
      </c>
      <c r="N4371">
        <v>59.2542724015657</v>
      </c>
      <c r="O4371">
        <v>53.285941069619398</v>
      </c>
      <c r="P4371">
        <v>-5.40069280745408E-2</v>
      </c>
      <c r="Q4371">
        <v>0.41842194525376702</v>
      </c>
      <c r="R4371">
        <v>0.89556531922827198</v>
      </c>
      <c r="S4371" t="s">
        <v>10232</v>
      </c>
      <c r="T4371" t="s">
        <v>11720</v>
      </c>
      <c r="U4371" t="s">
        <v>11720</v>
      </c>
      <c r="V4371" t="s">
        <v>11720</v>
      </c>
      <c r="W4371" t="s">
        <v>16036</v>
      </c>
      <c r="X4371">
        <v>2</v>
      </c>
      <c r="Y4371" t="s">
        <v>21749</v>
      </c>
      <c r="Z4371" t="s">
        <v>27578</v>
      </c>
      <c r="AA4371">
        <v>0.69451969909551203</v>
      </c>
      <c r="AB4371" t="str">
        <f>HYPERLINK("Melting_Curves/meltCurve_Q92620_DHX38.pdf", "Melting_Curves/meltCurve_Q92620_DHX38.pdf")</f>
        <v>Melting_Curves/meltCurve_Q92620_DHX38.pdf</v>
      </c>
    </row>
    <row r="4372" spans="1:28" x14ac:dyDescent="0.25">
      <c r="A4372" t="s">
        <v>4376</v>
      </c>
      <c r="B4372">
        <v>0.99334974765950101</v>
      </c>
      <c r="C4372">
        <v>0.92750635187508101</v>
      </c>
      <c r="D4372">
        <v>0.54057549446746</v>
      </c>
      <c r="E4372">
        <v>0.257753529018796</v>
      </c>
      <c r="F4372">
        <v>0.17058189263791201</v>
      </c>
      <c r="G4372">
        <v>6.4375869936515007E-2</v>
      </c>
      <c r="H4372">
        <v>5.4908923375725997E-2</v>
      </c>
      <c r="I4372">
        <v>4.4140901493527403E-2</v>
      </c>
      <c r="J4372">
        <v>4.1844150290370197E-2</v>
      </c>
      <c r="K4372">
        <v>2.1942315233160401E-2</v>
      </c>
      <c r="L4372">
        <v>958.51935549726295</v>
      </c>
      <c r="M4372">
        <v>20.523557557473101</v>
      </c>
      <c r="N4372">
        <v>46.925668012612903</v>
      </c>
      <c r="O4372">
        <v>46.266756859600598</v>
      </c>
      <c r="P4372">
        <v>-0.10576388881481</v>
      </c>
      <c r="Q4372">
        <v>4.6323557656757601E-2</v>
      </c>
      <c r="R4372">
        <v>0.99162046072290599</v>
      </c>
      <c r="S4372" t="s">
        <v>10233</v>
      </c>
      <c r="T4372" t="s">
        <v>11720</v>
      </c>
      <c r="U4372" t="s">
        <v>11720</v>
      </c>
      <c r="V4372" t="s">
        <v>11720</v>
      </c>
      <c r="W4372" t="s">
        <v>16037</v>
      </c>
      <c r="X4372">
        <v>7</v>
      </c>
      <c r="Y4372" t="s">
        <v>21750</v>
      </c>
      <c r="Z4372" t="s">
        <v>27579</v>
      </c>
      <c r="AA4372">
        <v>0.27276838459744879</v>
      </c>
      <c r="AB4372" t="str">
        <f>HYPERLINK("Melting_Curves/meltCurve_Q92625_ANKS1A.pdf", "Melting_Curves/meltCurve_Q92625_ANKS1A.pdf")</f>
        <v>Melting_Curves/meltCurve_Q92625_ANKS1A.pdf</v>
      </c>
    </row>
    <row r="4373" spans="1:28" x14ac:dyDescent="0.25">
      <c r="A4373" t="s">
        <v>4377</v>
      </c>
      <c r="B4373">
        <v>0.99334974765950101</v>
      </c>
      <c r="C4373">
        <v>0.97002630076228202</v>
      </c>
      <c r="D4373">
        <v>0.94966813939252903</v>
      </c>
      <c r="E4373">
        <v>0.76002065000114005</v>
      </c>
      <c r="F4373">
        <v>0.42234725531462403</v>
      </c>
      <c r="G4373">
        <v>0.325619796589391</v>
      </c>
      <c r="H4373">
        <v>0.23848526794865199</v>
      </c>
      <c r="I4373">
        <v>0.25534756709933498</v>
      </c>
      <c r="J4373">
        <v>0.20426952413965699</v>
      </c>
      <c r="K4373">
        <v>0.131276347343359</v>
      </c>
      <c r="L4373">
        <v>1168.1072666336599</v>
      </c>
      <c r="M4373">
        <v>22.7002358915692</v>
      </c>
      <c r="N4373">
        <v>52.658153122611502</v>
      </c>
      <c r="O4373">
        <v>51.063597806090499</v>
      </c>
      <c r="P4373">
        <v>-8.86928898377492E-2</v>
      </c>
      <c r="Q4373">
        <v>0.20196638975884099</v>
      </c>
      <c r="R4373">
        <v>0.98785438641192302</v>
      </c>
      <c r="S4373" t="s">
        <v>10234</v>
      </c>
      <c r="T4373" t="s">
        <v>11720</v>
      </c>
      <c r="U4373" t="s">
        <v>11720</v>
      </c>
      <c r="V4373" t="s">
        <v>11720</v>
      </c>
      <c r="W4373" t="s">
        <v>16038</v>
      </c>
      <c r="X4373">
        <v>15</v>
      </c>
      <c r="Y4373" t="s">
        <v>21751</v>
      </c>
      <c r="Z4373" t="s">
        <v>27580</v>
      </c>
      <c r="AA4373">
        <v>0.51548775388416701</v>
      </c>
      <c r="AB4373" t="str">
        <f>HYPERLINK("Melting_Curves/meltCurve_Q92626_PXDN.pdf", "Melting_Curves/meltCurve_Q92626_PXDN.pdf")</f>
        <v>Melting_Curves/meltCurve_Q92626_PXDN.pdf</v>
      </c>
    </row>
    <row r="4374" spans="1:28" x14ac:dyDescent="0.25">
      <c r="A4374" t="s">
        <v>4378</v>
      </c>
      <c r="B4374">
        <v>0.99334974765950101</v>
      </c>
      <c r="C4374">
        <v>0.92369963951658496</v>
      </c>
      <c r="D4374">
        <v>0.99881705654519803</v>
      </c>
      <c r="E4374">
        <v>1.2833928571894899</v>
      </c>
      <c r="F4374">
        <v>1.2507603493021799</v>
      </c>
      <c r="G4374">
        <v>0.99729945307910595</v>
      </c>
      <c r="H4374">
        <v>0.58753952290904299</v>
      </c>
      <c r="I4374">
        <v>0.57367676067898699</v>
      </c>
      <c r="J4374">
        <v>0.47669786146024101</v>
      </c>
      <c r="K4374">
        <v>0.35575012128917999</v>
      </c>
      <c r="L4374">
        <v>3172.82305607852</v>
      </c>
      <c r="M4374">
        <v>52.9089034837979</v>
      </c>
      <c r="N4374">
        <v>62.8304992126141</v>
      </c>
      <c r="O4374">
        <v>59.882180587287401</v>
      </c>
      <c r="P4374">
        <v>-0.12035577283433201</v>
      </c>
      <c r="Q4374">
        <v>0.45512683270598098</v>
      </c>
      <c r="R4374">
        <v>0.81923766272155396</v>
      </c>
      <c r="S4374" t="s">
        <v>10235</v>
      </c>
      <c r="T4374" t="s">
        <v>11720</v>
      </c>
      <c r="U4374" t="s">
        <v>11720</v>
      </c>
      <c r="V4374" t="s">
        <v>11720</v>
      </c>
      <c r="W4374" t="s">
        <v>16039</v>
      </c>
      <c r="X4374">
        <v>16</v>
      </c>
      <c r="Y4374" t="s">
        <v>21752</v>
      </c>
      <c r="Z4374" t="s">
        <v>27581</v>
      </c>
      <c r="AA4374">
        <v>0.81905965482687693</v>
      </c>
      <c r="AB4374" t="str">
        <f>HYPERLINK("Melting_Curves/meltCurve_Q92629_2_SGCD.pdf", "Melting_Curves/meltCurve_Q92629_2_SGCD.pdf")</f>
        <v>Melting_Curves/meltCurve_Q92629_2_SGCD.pdf</v>
      </c>
    </row>
    <row r="4375" spans="1:28" x14ac:dyDescent="0.25">
      <c r="A4375" t="s">
        <v>4379</v>
      </c>
      <c r="B4375">
        <v>0.99334974765950101</v>
      </c>
      <c r="C4375">
        <v>1.0319146180954799</v>
      </c>
      <c r="D4375">
        <v>1.0241966023226501</v>
      </c>
      <c r="E4375">
        <v>0.94980209253958903</v>
      </c>
      <c r="F4375">
        <v>0.458599160104741</v>
      </c>
      <c r="G4375">
        <v>0.25198622378993502</v>
      </c>
      <c r="H4375">
        <v>0.22485207079170499</v>
      </c>
      <c r="I4375">
        <v>0.136102178618008</v>
      </c>
      <c r="J4375">
        <v>0.124016927068407</v>
      </c>
      <c r="K4375">
        <v>7.2245127440413698E-2</v>
      </c>
      <c r="L4375">
        <v>2496.1112535416501</v>
      </c>
      <c r="M4375">
        <v>47.596148690314102</v>
      </c>
      <c r="N4375">
        <v>52.858887082543397</v>
      </c>
      <c r="O4375">
        <v>52.3512302600098</v>
      </c>
      <c r="P4375">
        <v>-0.19183393195416301</v>
      </c>
      <c r="Q4375">
        <v>0.156004704414654</v>
      </c>
      <c r="R4375">
        <v>0.98640528633569202</v>
      </c>
      <c r="S4375" t="s">
        <v>10236</v>
      </c>
      <c r="T4375" t="s">
        <v>11720</v>
      </c>
      <c r="U4375" t="s">
        <v>11720</v>
      </c>
      <c r="V4375" t="s">
        <v>11720</v>
      </c>
      <c r="W4375" t="s">
        <v>16040</v>
      </c>
      <c r="X4375">
        <v>4</v>
      </c>
      <c r="Y4375" t="s">
        <v>21753</v>
      </c>
      <c r="Z4375" t="s">
        <v>27582</v>
      </c>
      <c r="AA4375">
        <v>0.50823694028000821</v>
      </c>
      <c r="AB4375" t="str">
        <f>HYPERLINK("Melting_Curves/meltCurve_Q92636_NSMAF.pdf", "Melting_Curves/meltCurve_Q92636_NSMAF.pdf")</f>
        <v>Melting_Curves/meltCurve_Q92636_NSMAF.pdf</v>
      </c>
    </row>
    <row r="4376" spans="1:28" x14ac:dyDescent="0.25">
      <c r="A4376" t="s">
        <v>4380</v>
      </c>
      <c r="B4376">
        <v>0.99334974765950101</v>
      </c>
      <c r="C4376">
        <v>1.04555060006677</v>
      </c>
      <c r="D4376">
        <v>0.90315252898679099</v>
      </c>
      <c r="E4376">
        <v>1.030509230504</v>
      </c>
      <c r="F4376">
        <v>1.09903127269141</v>
      </c>
      <c r="G4376">
        <v>1.00794738388635</v>
      </c>
      <c r="H4376">
        <v>0.91621405348029605</v>
      </c>
      <c r="I4376">
        <v>1.58249972153003</v>
      </c>
      <c r="J4376">
        <v>1.5870825924863601</v>
      </c>
      <c r="K4376">
        <v>1.2113196113559399</v>
      </c>
      <c r="L4376">
        <v>15000</v>
      </c>
      <c r="M4376">
        <v>240.322752031671</v>
      </c>
      <c r="O4376">
        <v>62.411729648159898</v>
      </c>
      <c r="P4376">
        <v>0.44328727896043302</v>
      </c>
      <c r="Q4376">
        <v>1.4604862482621599</v>
      </c>
      <c r="R4376">
        <v>0.78378100643723603</v>
      </c>
      <c r="S4376" t="s">
        <v>10237</v>
      </c>
      <c r="T4376" t="s">
        <v>11720</v>
      </c>
      <c r="U4376" t="s">
        <v>11720</v>
      </c>
      <c r="V4376" t="s">
        <v>11720</v>
      </c>
      <c r="W4376" t="s">
        <v>16041</v>
      </c>
      <c r="X4376">
        <v>2</v>
      </c>
      <c r="Y4376" t="s">
        <v>21754</v>
      </c>
      <c r="Z4376" t="s">
        <v>27583</v>
      </c>
      <c r="AA4376">
        <v>1.116355372130408</v>
      </c>
      <c r="AB4376" t="str">
        <f>HYPERLINK("Melting_Curves/meltCurve_Q92686_NRGN.pdf", "Melting_Curves/meltCurve_Q92686_NRGN.pdf")</f>
        <v>Melting_Curves/meltCurve_Q92686_NRGN.pdf</v>
      </c>
    </row>
    <row r="4377" spans="1:28" x14ac:dyDescent="0.25">
      <c r="A4377" t="s">
        <v>4381</v>
      </c>
      <c r="B4377">
        <v>0.99334974765950101</v>
      </c>
      <c r="C4377">
        <v>0.99200778948115498</v>
      </c>
      <c r="D4377">
        <v>1.0187134359396499</v>
      </c>
      <c r="E4377">
        <v>0.85485579053009897</v>
      </c>
      <c r="F4377">
        <v>0.69605319220721995</v>
      </c>
      <c r="G4377">
        <v>0.33623679580319299</v>
      </c>
      <c r="H4377">
        <v>0.15530176869770301</v>
      </c>
      <c r="I4377">
        <v>0.113475373474134</v>
      </c>
      <c r="J4377">
        <v>9.6472042627905694E-2</v>
      </c>
      <c r="K4377">
        <v>7.5341115505739895E-2</v>
      </c>
      <c r="L4377">
        <v>1157.52418260383</v>
      </c>
      <c r="M4377">
        <v>21.200667395930299</v>
      </c>
      <c r="N4377">
        <v>54.9954323705159</v>
      </c>
      <c r="O4377">
        <v>54.119683594369597</v>
      </c>
      <c r="P4377">
        <v>-9.0988582044556607E-2</v>
      </c>
      <c r="Q4377">
        <v>7.0945320915438204E-2</v>
      </c>
      <c r="R4377">
        <v>0.99827953036023898</v>
      </c>
      <c r="S4377" t="s">
        <v>10238</v>
      </c>
      <c r="T4377" t="s">
        <v>11720</v>
      </c>
      <c r="U4377" t="s">
        <v>11720</v>
      </c>
      <c r="V4377" t="s">
        <v>11720</v>
      </c>
      <c r="W4377" t="s">
        <v>16042</v>
      </c>
      <c r="X4377">
        <v>9</v>
      </c>
      <c r="Y4377" t="s">
        <v>21755</v>
      </c>
      <c r="Z4377" t="s">
        <v>27584</v>
      </c>
      <c r="AA4377">
        <v>0.53442729096349129</v>
      </c>
      <c r="AB4377" t="str">
        <f>HYPERLINK("Melting_Curves/meltCurve_Q92688_ANP32B.pdf", "Melting_Curves/meltCurve_Q92688_ANP32B.pdf")</f>
        <v>Melting_Curves/meltCurve_Q92688_ANP32B.pdf</v>
      </c>
    </row>
    <row r="4378" spans="1:28" x14ac:dyDescent="0.25">
      <c r="A4378" t="s">
        <v>4382</v>
      </c>
      <c r="B4378">
        <v>0.99334974765950101</v>
      </c>
      <c r="C4378">
        <v>0.89426090419391502</v>
      </c>
      <c r="D4378">
        <v>0.79326451040712698</v>
      </c>
      <c r="E4378">
        <v>0.76749342774128404</v>
      </c>
      <c r="F4378">
        <v>1.0279058204387099</v>
      </c>
      <c r="G4378">
        <v>0.70387949953415996</v>
      </c>
      <c r="H4378">
        <v>0.52047589293260399</v>
      </c>
      <c r="I4378">
        <v>0.461127252732287</v>
      </c>
      <c r="J4378">
        <v>0.368812578312668</v>
      </c>
      <c r="K4378">
        <v>0.19798286771804599</v>
      </c>
      <c r="L4378">
        <v>567.92651318467404</v>
      </c>
      <c r="M4378">
        <v>9.1208934005420801</v>
      </c>
      <c r="N4378">
        <v>62.266532556855303</v>
      </c>
      <c r="O4378">
        <v>59.492383483545503</v>
      </c>
      <c r="P4378">
        <v>-3.8354450630001501E-2</v>
      </c>
      <c r="Q4378">
        <v>0</v>
      </c>
      <c r="R4378">
        <v>0.85425648714158398</v>
      </c>
      <c r="S4378" t="s">
        <v>10239</v>
      </c>
      <c r="T4378" t="s">
        <v>11720</v>
      </c>
      <c r="U4378" t="s">
        <v>11720</v>
      </c>
      <c r="V4378" t="s">
        <v>11720</v>
      </c>
      <c r="W4378" t="s">
        <v>16043</v>
      </c>
      <c r="X4378">
        <v>15</v>
      </c>
      <c r="Y4378" t="s">
        <v>21756</v>
      </c>
      <c r="Z4378" t="s">
        <v>27585</v>
      </c>
      <c r="AA4378">
        <v>0.71223747575694041</v>
      </c>
      <c r="AB4378" t="str">
        <f>HYPERLINK("Melting_Curves/meltCurve_Q92692_PVRL2.pdf", "Melting_Curves/meltCurve_Q92692_PVRL2.pdf")</f>
        <v>Melting_Curves/meltCurve_Q92692_PVRL2.pdf</v>
      </c>
    </row>
    <row r="4379" spans="1:28" x14ac:dyDescent="0.25">
      <c r="A4379" t="s">
        <v>4383</v>
      </c>
      <c r="B4379">
        <v>0.99334974765950101</v>
      </c>
      <c r="C4379">
        <v>0.90126713039590101</v>
      </c>
      <c r="D4379">
        <v>0.76724964556152297</v>
      </c>
      <c r="E4379">
        <v>0.916317383380578</v>
      </c>
      <c r="F4379">
        <v>0.960844911647735</v>
      </c>
      <c r="G4379">
        <v>0.75746463816532905</v>
      </c>
      <c r="H4379">
        <v>0.61241354820737404</v>
      </c>
      <c r="I4379">
        <v>0.52879915508769004</v>
      </c>
      <c r="J4379">
        <v>0.42821344840921099</v>
      </c>
      <c r="K4379">
        <v>0.269674489986166</v>
      </c>
      <c r="L4379">
        <v>576.18127379594796</v>
      </c>
      <c r="M4379">
        <v>8.9694331021714309</v>
      </c>
      <c r="N4379">
        <v>64.238309179719707</v>
      </c>
      <c r="O4379">
        <v>61.286129574390202</v>
      </c>
      <c r="P4379">
        <v>-3.6615264383725102E-2</v>
      </c>
      <c r="Q4379">
        <v>0</v>
      </c>
      <c r="R4379">
        <v>0.88640933329656901</v>
      </c>
      <c r="S4379" t="s">
        <v>10240</v>
      </c>
      <c r="T4379" t="s">
        <v>11720</v>
      </c>
      <c r="U4379" t="s">
        <v>11720</v>
      </c>
      <c r="V4379" t="s">
        <v>11720</v>
      </c>
      <c r="W4379" t="s">
        <v>16044</v>
      </c>
      <c r="X4379">
        <v>14</v>
      </c>
      <c r="Y4379" t="s">
        <v>21756</v>
      </c>
      <c r="Z4379" t="s">
        <v>27586</v>
      </c>
      <c r="AA4379">
        <v>0.75365280316707561</v>
      </c>
      <c r="AB4379" t="str">
        <f>HYPERLINK("Melting_Curves/meltCurve_Q92692_2_PVRL2.pdf", "Melting_Curves/meltCurve_Q92692_2_PVRL2.pdf")</f>
        <v>Melting_Curves/meltCurve_Q92692_2_PVRL2.pdf</v>
      </c>
    </row>
    <row r="4380" spans="1:28" x14ac:dyDescent="0.25">
      <c r="A4380" t="s">
        <v>4384</v>
      </c>
      <c r="B4380">
        <v>0.99334974765950101</v>
      </c>
      <c r="C4380">
        <v>0.93935494669870301</v>
      </c>
      <c r="D4380">
        <v>0.99924141079584405</v>
      </c>
      <c r="E4380">
        <v>0.87869220039787999</v>
      </c>
      <c r="F4380">
        <v>0.40777388987304097</v>
      </c>
      <c r="G4380">
        <v>0.16016095708781899</v>
      </c>
      <c r="H4380">
        <v>0.10585053043550199</v>
      </c>
      <c r="I4380">
        <v>9.0645260178633905E-2</v>
      </c>
      <c r="J4380">
        <v>8.3376618925332505E-2</v>
      </c>
      <c r="K4380">
        <v>6.9571830460095505E-2</v>
      </c>
      <c r="L4380">
        <v>2067.01362217323</v>
      </c>
      <c r="M4380">
        <v>39.5779140806087</v>
      </c>
      <c r="N4380">
        <v>52.500739565063903</v>
      </c>
      <c r="O4380">
        <v>52.093621816158901</v>
      </c>
      <c r="P4380">
        <v>-0.172196520484798</v>
      </c>
      <c r="Q4380">
        <v>9.3401004553621603E-2</v>
      </c>
      <c r="R4380">
        <v>0.99632896485160705</v>
      </c>
      <c r="S4380" t="s">
        <v>10241</v>
      </c>
      <c r="T4380" t="s">
        <v>11720</v>
      </c>
      <c r="U4380" t="s">
        <v>11720</v>
      </c>
      <c r="V4380" t="s">
        <v>11720</v>
      </c>
      <c r="W4380" t="s">
        <v>16045</v>
      </c>
      <c r="X4380">
        <v>25</v>
      </c>
      <c r="Y4380" t="s">
        <v>21757</v>
      </c>
      <c r="Z4380" t="s">
        <v>27587</v>
      </c>
      <c r="AA4380">
        <v>0.46622510150701069</v>
      </c>
      <c r="AB4380" t="str">
        <f>HYPERLINK("Melting_Curves/meltCurve_Q92696_RABGGTA.pdf", "Melting_Curves/meltCurve_Q92696_RABGGTA.pdf")</f>
        <v>Melting_Curves/meltCurve_Q92696_RABGGTA.pdf</v>
      </c>
    </row>
    <row r="4381" spans="1:28" x14ac:dyDescent="0.25">
      <c r="A4381" t="s">
        <v>4385</v>
      </c>
      <c r="B4381">
        <v>0.99334974765950101</v>
      </c>
      <c r="C4381">
        <v>0.99559833278961496</v>
      </c>
      <c r="D4381">
        <v>1.03752745372204</v>
      </c>
      <c r="E4381">
        <v>1.0329175242005899</v>
      </c>
      <c r="F4381">
        <v>1.2409846123013399</v>
      </c>
      <c r="G4381">
        <v>1.08135855403823</v>
      </c>
      <c r="H4381">
        <v>0.95918977800989302</v>
      </c>
      <c r="I4381">
        <v>1.6692933661930101</v>
      </c>
      <c r="J4381">
        <v>0.91311069284744495</v>
      </c>
      <c r="K4381">
        <v>0.77266677158047503</v>
      </c>
      <c r="L4381">
        <v>15000</v>
      </c>
      <c r="M4381">
        <v>223.39929114696801</v>
      </c>
      <c r="O4381">
        <v>67.138967993760403</v>
      </c>
      <c r="P4381">
        <v>-0.189134786804419</v>
      </c>
      <c r="Q4381">
        <v>0.77263465131951004</v>
      </c>
      <c r="R4381">
        <v>2.04371252162934E-2</v>
      </c>
      <c r="S4381" t="s">
        <v>10242</v>
      </c>
      <c r="T4381" t="s">
        <v>11720</v>
      </c>
      <c r="U4381" t="s">
        <v>11720</v>
      </c>
      <c r="V4381" t="s">
        <v>11720</v>
      </c>
      <c r="W4381" t="s">
        <v>16046</v>
      </c>
      <c r="X4381">
        <v>12</v>
      </c>
      <c r="Y4381" t="s">
        <v>21758</v>
      </c>
      <c r="Z4381" t="s">
        <v>27588</v>
      </c>
      <c r="AA4381">
        <v>0.9783907437687307</v>
      </c>
      <c r="AB4381" t="str">
        <f>HYPERLINK("Melting_Curves/meltCurve_Q92734_2_TFG.pdf", "Melting_Curves/meltCurve_Q92734_2_TFG.pdf")</f>
        <v>Melting_Curves/meltCurve_Q92734_2_TFG.pdf</v>
      </c>
    </row>
    <row r="4382" spans="1:28" x14ac:dyDescent="0.25">
      <c r="A4382" t="s">
        <v>4386</v>
      </c>
      <c r="B4382">
        <v>0.99334974765950101</v>
      </c>
      <c r="C4382">
        <v>1.06081335298512</v>
      </c>
      <c r="D4382">
        <v>0.85443491375873104</v>
      </c>
      <c r="E4382">
        <v>0.676057243527174</v>
      </c>
      <c r="F4382">
        <v>0.55342765233900704</v>
      </c>
      <c r="G4382">
        <v>0.468240371719992</v>
      </c>
      <c r="H4382">
        <v>0.37058583977972298</v>
      </c>
      <c r="I4382">
        <v>0.43086243500439197</v>
      </c>
      <c r="J4382">
        <v>0.25165406075195801</v>
      </c>
      <c r="K4382">
        <v>0.15864222349548601</v>
      </c>
      <c r="L4382">
        <v>562.713798657089</v>
      </c>
      <c r="M4382">
        <v>10.618440304912401</v>
      </c>
      <c r="N4382">
        <v>55.548486806064197</v>
      </c>
      <c r="O4382">
        <v>51.218084904388398</v>
      </c>
      <c r="P4382">
        <v>-4.1833989861498402E-2</v>
      </c>
      <c r="Q4382">
        <v>0.193166192647654</v>
      </c>
      <c r="R4382">
        <v>0.94791566059112897</v>
      </c>
      <c r="S4382" t="s">
        <v>10243</v>
      </c>
      <c r="T4382" t="s">
        <v>11720</v>
      </c>
      <c r="U4382" t="s">
        <v>11720</v>
      </c>
      <c r="V4382" t="s">
        <v>11720</v>
      </c>
      <c r="W4382" t="s">
        <v>16047</v>
      </c>
      <c r="X4382">
        <v>2</v>
      </c>
      <c r="Y4382" t="s">
        <v>21759</v>
      </c>
      <c r="Z4382" t="s">
        <v>27589</v>
      </c>
      <c r="AA4382">
        <v>0.56874475221237908</v>
      </c>
      <c r="AB4382" t="str">
        <f>HYPERLINK("Melting_Curves/meltCurve_Q92738_USP6NL.pdf", "Melting_Curves/meltCurve_Q92738_USP6NL.pdf")</f>
        <v>Melting_Curves/meltCurve_Q92738_USP6NL.pdf</v>
      </c>
    </row>
    <row r="4383" spans="1:28" x14ac:dyDescent="0.25">
      <c r="A4383" t="s">
        <v>4387</v>
      </c>
      <c r="B4383">
        <v>0.99334974765950101</v>
      </c>
      <c r="C4383">
        <v>1.0723674059166699</v>
      </c>
      <c r="D4383">
        <v>1.2038696832746201</v>
      </c>
      <c r="E4383">
        <v>1.3980874804061501</v>
      </c>
      <c r="F4383">
        <v>1.30322579346058</v>
      </c>
      <c r="G4383">
        <v>1.6098781981821999</v>
      </c>
      <c r="H4383">
        <v>1.3302418220933601</v>
      </c>
      <c r="I4383">
        <v>1.52282577327155</v>
      </c>
      <c r="J4383">
        <v>0.340500908226818</v>
      </c>
      <c r="K4383">
        <v>0.25545528914888499</v>
      </c>
      <c r="L4383">
        <v>15000</v>
      </c>
      <c r="M4383">
        <v>225.905171956988</v>
      </c>
      <c r="N4383">
        <v>66.609430688057301</v>
      </c>
      <c r="O4383">
        <v>66.394348337337703</v>
      </c>
      <c r="P4383">
        <v>-0.63403579512238495</v>
      </c>
      <c r="Q4383">
        <v>0.25461844473831702</v>
      </c>
      <c r="R4383">
        <v>0.45640109987702299</v>
      </c>
      <c r="S4383" t="s">
        <v>10244</v>
      </c>
      <c r="T4383" t="s">
        <v>11720</v>
      </c>
      <c r="U4383" t="s">
        <v>11720</v>
      </c>
      <c r="V4383" t="s">
        <v>11720</v>
      </c>
      <c r="W4383" t="s">
        <v>16048</v>
      </c>
      <c r="X4383">
        <v>17</v>
      </c>
      <c r="Y4383" t="s">
        <v>21760</v>
      </c>
      <c r="Z4383" t="s">
        <v>27590</v>
      </c>
      <c r="AA4383">
        <v>0.91064914688901244</v>
      </c>
      <c r="AB4383" t="str">
        <f>HYPERLINK("Melting_Curves/meltCurve_Q92747_ARPC1A.pdf", "Melting_Curves/meltCurve_Q92747_ARPC1A.pdf")</f>
        <v>Melting_Curves/meltCurve_Q92747_ARPC1A.pdf</v>
      </c>
    </row>
    <row r="4384" spans="1:28" x14ac:dyDescent="0.25">
      <c r="A4384" t="s">
        <v>4388</v>
      </c>
      <c r="B4384">
        <v>0.99334974765950101</v>
      </c>
      <c r="C4384">
        <v>0.90500446496766196</v>
      </c>
      <c r="D4384">
        <v>0.80612135870149204</v>
      </c>
      <c r="E4384">
        <v>0.59381360955321905</v>
      </c>
      <c r="F4384">
        <v>0.67058394658113096</v>
      </c>
      <c r="G4384">
        <v>0.41926087835386699</v>
      </c>
      <c r="H4384">
        <v>0.330575932789201</v>
      </c>
      <c r="I4384">
        <v>0.28660574993792998</v>
      </c>
      <c r="J4384">
        <v>0.24851180576481</v>
      </c>
      <c r="K4384">
        <v>0.22000261932901199</v>
      </c>
      <c r="L4384">
        <v>448.95391553481301</v>
      </c>
      <c r="M4384">
        <v>8.4088223187475197</v>
      </c>
      <c r="N4384">
        <v>55.035492059333201</v>
      </c>
      <c r="O4384">
        <v>50.627523434045003</v>
      </c>
      <c r="P4384">
        <v>-3.6944363104896301E-2</v>
      </c>
      <c r="Q4384">
        <v>0.111101142130066</v>
      </c>
      <c r="R4384">
        <v>0.97277682873238303</v>
      </c>
      <c r="S4384" t="s">
        <v>10245</v>
      </c>
      <c r="T4384" t="s">
        <v>11720</v>
      </c>
      <c r="U4384" t="s">
        <v>11720</v>
      </c>
      <c r="V4384" t="s">
        <v>11720</v>
      </c>
      <c r="W4384" t="s">
        <v>16049</v>
      </c>
      <c r="X4384">
        <v>5</v>
      </c>
      <c r="Y4384" t="s">
        <v>21761</v>
      </c>
      <c r="Z4384" t="s">
        <v>27591</v>
      </c>
      <c r="AA4384">
        <v>0.54079058585814244</v>
      </c>
      <c r="AB4384" t="str">
        <f>HYPERLINK("Melting_Curves/meltCurve_Q92781_RDH5.pdf", "Melting_Curves/meltCurve_Q92781_RDH5.pdf")</f>
        <v>Melting_Curves/meltCurve_Q92781_RDH5.pdf</v>
      </c>
    </row>
    <row r="4385" spans="1:28" x14ac:dyDescent="0.25">
      <c r="A4385" t="s">
        <v>4389</v>
      </c>
      <c r="B4385">
        <v>0.99334974765950101</v>
      </c>
      <c r="C4385">
        <v>0.99544157908085296</v>
      </c>
      <c r="D4385">
        <v>1.05912937672923</v>
      </c>
      <c r="E4385">
        <v>0.89832756098365096</v>
      </c>
      <c r="F4385">
        <v>0.423422147904568</v>
      </c>
      <c r="G4385">
        <v>0.222613123133932</v>
      </c>
      <c r="H4385">
        <v>0.16106250921692999</v>
      </c>
      <c r="I4385">
        <v>0.18169919827971101</v>
      </c>
      <c r="J4385">
        <v>0.184319543203189</v>
      </c>
      <c r="K4385">
        <v>0.16825359880652799</v>
      </c>
      <c r="L4385">
        <v>2452.9808097805499</v>
      </c>
      <c r="M4385">
        <v>47.124426938161697</v>
      </c>
      <c r="N4385">
        <v>52.551532841619</v>
      </c>
      <c r="O4385">
        <v>51.959797481233103</v>
      </c>
      <c r="P4385">
        <v>-0.18588570400302201</v>
      </c>
      <c r="Q4385">
        <v>0.18016420108331699</v>
      </c>
      <c r="R4385">
        <v>0.99645898947801104</v>
      </c>
      <c r="S4385" t="s">
        <v>10246</v>
      </c>
      <c r="T4385" t="s">
        <v>11720</v>
      </c>
      <c r="U4385" t="s">
        <v>11720</v>
      </c>
      <c r="V4385" t="s">
        <v>11720</v>
      </c>
      <c r="W4385" t="s">
        <v>16050</v>
      </c>
      <c r="X4385">
        <v>17</v>
      </c>
      <c r="Y4385" t="s">
        <v>21762</v>
      </c>
      <c r="Z4385" t="s">
        <v>27592</v>
      </c>
      <c r="AA4385">
        <v>0.51167479541535177</v>
      </c>
      <c r="AB4385" t="str">
        <f>HYPERLINK("Melting_Curves/meltCurve_Q92783_2_STAM.pdf", "Melting_Curves/meltCurve_Q92783_2_STAM.pdf")</f>
        <v>Melting_Curves/meltCurve_Q92783_2_STAM.pdf</v>
      </c>
    </row>
    <row r="4386" spans="1:28" x14ac:dyDescent="0.25">
      <c r="A4386" t="s">
        <v>4390</v>
      </c>
      <c r="B4386">
        <v>0.99334974765950101</v>
      </c>
      <c r="C4386">
        <v>1.12325864468823</v>
      </c>
      <c r="D4386">
        <v>0.51560067746837301</v>
      </c>
      <c r="E4386">
        <v>1.43015053818382</v>
      </c>
      <c r="F4386">
        <v>0.45346651393291199</v>
      </c>
      <c r="G4386">
        <v>0.25817914199615899</v>
      </c>
      <c r="H4386">
        <v>0.42664614233520198</v>
      </c>
      <c r="I4386">
        <v>0.38167119877225397</v>
      </c>
      <c r="J4386">
        <v>0.33899452057773999</v>
      </c>
      <c r="K4386">
        <v>0</v>
      </c>
      <c r="L4386">
        <v>13188.8411586448</v>
      </c>
      <c r="M4386">
        <v>250</v>
      </c>
      <c r="N4386">
        <v>52.930242891854199</v>
      </c>
      <c r="O4386">
        <v>52.751988643303598</v>
      </c>
      <c r="P4386">
        <v>-0.85174764127446101</v>
      </c>
      <c r="Q4386">
        <v>0.28109789048031197</v>
      </c>
      <c r="R4386">
        <v>0.68948043516351198</v>
      </c>
      <c r="S4386" t="s">
        <v>10247</v>
      </c>
      <c r="T4386" t="s">
        <v>11720</v>
      </c>
      <c r="U4386" t="s">
        <v>11720</v>
      </c>
      <c r="V4386" t="s">
        <v>11720</v>
      </c>
      <c r="W4386" t="s">
        <v>16051</v>
      </c>
      <c r="X4386">
        <v>5</v>
      </c>
      <c r="Y4386" t="s">
        <v>21763</v>
      </c>
      <c r="Z4386" t="s">
        <v>27593</v>
      </c>
      <c r="AA4386">
        <v>0.58682640136961317</v>
      </c>
      <c r="AB4386" t="str">
        <f>HYPERLINK("Melting_Curves/meltCurve_Q92793_CREBBP.pdf", "Melting_Curves/meltCurve_Q92793_CREBBP.pdf")</f>
        <v>Melting_Curves/meltCurve_Q92793_CREBBP.pdf</v>
      </c>
    </row>
    <row r="4387" spans="1:28" x14ac:dyDescent="0.25">
      <c r="A4387" t="s">
        <v>4391</v>
      </c>
      <c r="B4387">
        <v>0.99334974765950101</v>
      </c>
      <c r="C4387">
        <v>0.97015945093988398</v>
      </c>
      <c r="D4387">
        <v>0.75722907213291801</v>
      </c>
      <c r="E4387">
        <v>0.33726026258298702</v>
      </c>
      <c r="F4387">
        <v>0.18828978134621599</v>
      </c>
      <c r="G4387">
        <v>0.13221907027476201</v>
      </c>
      <c r="H4387">
        <v>0.109586251458242</v>
      </c>
      <c r="I4387">
        <v>9.6347368818457305E-2</v>
      </c>
      <c r="J4387">
        <v>0.122266001852414</v>
      </c>
      <c r="K4387">
        <v>9.0544003122367503E-2</v>
      </c>
      <c r="L4387">
        <v>1185.4412212602799</v>
      </c>
      <c r="M4387">
        <v>24.750240891685301</v>
      </c>
      <c r="N4387">
        <v>48.362344580769999</v>
      </c>
      <c r="O4387">
        <v>47.5867572401202</v>
      </c>
      <c r="P4387">
        <v>-0.116228353570488</v>
      </c>
      <c r="Q4387">
        <v>0.106133459363237</v>
      </c>
      <c r="R4387">
        <v>0.99913246164972203</v>
      </c>
      <c r="S4387" t="s">
        <v>10248</v>
      </c>
      <c r="T4387" t="s">
        <v>11720</v>
      </c>
      <c r="U4387" t="s">
        <v>11720</v>
      </c>
      <c r="V4387" t="s">
        <v>11720</v>
      </c>
      <c r="W4387" t="s">
        <v>16052</v>
      </c>
      <c r="X4387">
        <v>6</v>
      </c>
      <c r="Y4387" t="s">
        <v>21764</v>
      </c>
      <c r="Z4387" t="s">
        <v>27594</v>
      </c>
      <c r="AA4387">
        <v>0.3494775411927869</v>
      </c>
      <c r="AB4387" t="str">
        <f>HYPERLINK("Melting_Curves/meltCurve_Q92797_SYMPK.pdf", "Melting_Curves/meltCurve_Q92797_SYMPK.pdf")</f>
        <v>Melting_Curves/meltCurve_Q92797_SYMPK.pdf</v>
      </c>
    </row>
    <row r="4388" spans="1:28" x14ac:dyDescent="0.25">
      <c r="A4388" t="s">
        <v>4392</v>
      </c>
      <c r="B4388">
        <v>0.99334974765950101</v>
      </c>
      <c r="C4388">
        <v>1.0360391022813</v>
      </c>
      <c r="D4388">
        <v>0.92713568712231098</v>
      </c>
      <c r="E4388">
        <v>0.79260790790816105</v>
      </c>
      <c r="F4388">
        <v>0.59483145078467003</v>
      </c>
      <c r="G4388">
        <v>0.49946044966789199</v>
      </c>
      <c r="H4388">
        <v>0.45254706994961102</v>
      </c>
      <c r="I4388">
        <v>0.46710762040692999</v>
      </c>
      <c r="J4388">
        <v>0.52949483070534897</v>
      </c>
      <c r="K4388">
        <v>0.52862001066652897</v>
      </c>
      <c r="L4388">
        <v>1384.9941072858801</v>
      </c>
      <c r="M4388">
        <v>27.4407458083958</v>
      </c>
      <c r="N4388">
        <v>58.929172096164301</v>
      </c>
      <c r="O4388">
        <v>50.206409793352996</v>
      </c>
      <c r="P4388">
        <v>-6.9651759253399795E-2</v>
      </c>
      <c r="Q4388">
        <v>0.49025696151522802</v>
      </c>
      <c r="R4388">
        <v>0.98144561566736799</v>
      </c>
      <c r="S4388" t="s">
        <v>10249</v>
      </c>
      <c r="T4388" t="s">
        <v>11720</v>
      </c>
      <c r="U4388" t="s">
        <v>11720</v>
      </c>
      <c r="V4388" t="s">
        <v>11720</v>
      </c>
      <c r="W4388" t="s">
        <v>16053</v>
      </c>
      <c r="X4388">
        <v>10</v>
      </c>
      <c r="Y4388" t="s">
        <v>21765</v>
      </c>
      <c r="Z4388" t="s">
        <v>27595</v>
      </c>
      <c r="AA4388">
        <v>0.67199514164258856</v>
      </c>
      <c r="AB4388" t="str">
        <f>HYPERLINK("Melting_Curves/meltCurve_Q92804_2_TAF15.pdf", "Melting_Curves/meltCurve_Q92804_2_TAF15.pdf")</f>
        <v>Melting_Curves/meltCurve_Q92804_2_TAF15.pdf</v>
      </c>
    </row>
    <row r="4389" spans="1:28" x14ac:dyDescent="0.25">
      <c r="A4389" t="s">
        <v>4393</v>
      </c>
      <c r="B4389">
        <v>0.99334974765950101</v>
      </c>
      <c r="C4389">
        <v>0.97208378449499</v>
      </c>
      <c r="D4389">
        <v>0.83252280301179804</v>
      </c>
      <c r="E4389">
        <v>0.38136024396926199</v>
      </c>
      <c r="F4389">
        <v>0.33673621932995401</v>
      </c>
      <c r="G4389">
        <v>0.218572285452764</v>
      </c>
      <c r="H4389">
        <v>0.17794346933314201</v>
      </c>
      <c r="I4389">
        <v>0.15382568332631699</v>
      </c>
      <c r="J4389">
        <v>0.14127914605245401</v>
      </c>
      <c r="K4389">
        <v>0.116841610471589</v>
      </c>
      <c r="L4389">
        <v>1064.54627740516</v>
      </c>
      <c r="M4389">
        <v>21.9389528710105</v>
      </c>
      <c r="N4389">
        <v>49.366625247950502</v>
      </c>
      <c r="O4389">
        <v>48.125375020901302</v>
      </c>
      <c r="P4389">
        <v>-9.6155753612290507E-2</v>
      </c>
      <c r="Q4389">
        <v>0.156308755199417</v>
      </c>
      <c r="R4389">
        <v>0.98896799797625801</v>
      </c>
      <c r="S4389" t="s">
        <v>10250</v>
      </c>
      <c r="T4389" t="s">
        <v>11720</v>
      </c>
      <c r="U4389" t="s">
        <v>11720</v>
      </c>
      <c r="V4389" t="s">
        <v>11720</v>
      </c>
      <c r="W4389" t="s">
        <v>16054</v>
      </c>
      <c r="X4389">
        <v>30</v>
      </c>
      <c r="Y4389" t="s">
        <v>21766</v>
      </c>
      <c r="Z4389" t="s">
        <v>27596</v>
      </c>
      <c r="AA4389">
        <v>0.40580513330433071</v>
      </c>
      <c r="AB4389" t="str">
        <f>HYPERLINK("Melting_Curves/meltCurve_Q92805_GOLGA1.pdf", "Melting_Curves/meltCurve_Q92805_GOLGA1.pdf")</f>
        <v>Melting_Curves/meltCurve_Q92805_GOLGA1.pdf</v>
      </c>
    </row>
    <row r="4390" spans="1:28" x14ac:dyDescent="0.25">
      <c r="A4390" t="s">
        <v>4394</v>
      </c>
      <c r="B4390">
        <v>0.99334974765950101</v>
      </c>
      <c r="C4390">
        <v>0.96998022834788999</v>
      </c>
      <c r="D4390">
        <v>0.99436472123636599</v>
      </c>
      <c r="E4390">
        <v>0.92942521902880704</v>
      </c>
      <c r="F4390">
        <v>0.86422113045297</v>
      </c>
      <c r="G4390">
        <v>0.64970950912864001</v>
      </c>
      <c r="H4390">
        <v>0.55725127514156403</v>
      </c>
      <c r="I4390">
        <v>0.61113048065400999</v>
      </c>
      <c r="J4390">
        <v>0.441030099117455</v>
      </c>
      <c r="K4390">
        <v>0.31020482501109398</v>
      </c>
      <c r="L4390">
        <v>507.84182201782698</v>
      </c>
      <c r="M4390">
        <v>7.9663471419139604</v>
      </c>
      <c r="N4390">
        <v>64.321995938276302</v>
      </c>
      <c r="O4390">
        <v>60.107223341631503</v>
      </c>
      <c r="P4390">
        <v>-3.2034557538844599E-2</v>
      </c>
      <c r="Q4390">
        <v>3.4288406767210802E-2</v>
      </c>
      <c r="R4390">
        <v>0.95830411345599698</v>
      </c>
      <c r="S4390" t="s">
        <v>10251</v>
      </c>
      <c r="T4390" t="s">
        <v>11720</v>
      </c>
      <c r="U4390" t="s">
        <v>11720</v>
      </c>
      <c r="V4390" t="s">
        <v>11720</v>
      </c>
      <c r="W4390" t="s">
        <v>16055</v>
      </c>
      <c r="X4390">
        <v>2</v>
      </c>
      <c r="Y4390" t="s">
        <v>21767</v>
      </c>
      <c r="Z4390" t="s">
        <v>27597</v>
      </c>
      <c r="AA4390">
        <v>0.74199968563544128</v>
      </c>
      <c r="AB4390" t="str">
        <f>HYPERLINK("Melting_Curves/meltCurve_Q92819_HAS2.pdf", "Melting_Curves/meltCurve_Q92819_HAS2.pdf")</f>
        <v>Melting_Curves/meltCurve_Q92819_HAS2.pdf</v>
      </c>
    </row>
    <row r="4391" spans="1:28" x14ac:dyDescent="0.25">
      <c r="A4391" t="s">
        <v>4395</v>
      </c>
      <c r="B4391">
        <v>0.99334974765950101</v>
      </c>
      <c r="C4391">
        <v>0.98461555514652799</v>
      </c>
      <c r="D4391">
        <v>0.87851915439499595</v>
      </c>
      <c r="E4391">
        <v>0.87948505850014003</v>
      </c>
      <c r="F4391">
        <v>0.606130683512628</v>
      </c>
      <c r="G4391">
        <v>0.55774657599510402</v>
      </c>
      <c r="H4391">
        <v>0.51949264625359304</v>
      </c>
      <c r="I4391">
        <v>0.96786051707990495</v>
      </c>
      <c r="J4391">
        <v>0.78568281144692698</v>
      </c>
      <c r="K4391">
        <v>0.486726908742245</v>
      </c>
      <c r="L4391">
        <v>12531.3371528711</v>
      </c>
      <c r="M4391">
        <v>250</v>
      </c>
      <c r="O4391">
        <v>50.122161976748501</v>
      </c>
      <c r="P4391">
        <v>-0.431520903958864</v>
      </c>
      <c r="Q4391">
        <v>0.65393997451040697</v>
      </c>
      <c r="R4391">
        <v>0.49573367651526501</v>
      </c>
      <c r="S4391" t="s">
        <v>10252</v>
      </c>
      <c r="T4391" t="s">
        <v>11720</v>
      </c>
      <c r="U4391" t="s">
        <v>11720</v>
      </c>
      <c r="V4391" t="s">
        <v>11720</v>
      </c>
      <c r="W4391" t="s">
        <v>16056</v>
      </c>
      <c r="X4391">
        <v>8</v>
      </c>
      <c r="Y4391" t="s">
        <v>21768</v>
      </c>
      <c r="Z4391" t="s">
        <v>27598</v>
      </c>
      <c r="AA4391">
        <v>0.77076969708902665</v>
      </c>
      <c r="AB4391" t="str">
        <f>HYPERLINK("Melting_Curves/meltCurve_Q92820_GGH.pdf", "Melting_Curves/meltCurve_Q92820_GGH.pdf")</f>
        <v>Melting_Curves/meltCurve_Q92820_GGH.pdf</v>
      </c>
    </row>
    <row r="4392" spans="1:28" x14ac:dyDescent="0.25">
      <c r="A4392" t="s">
        <v>4396</v>
      </c>
      <c r="B4392">
        <v>0.99334974765950101</v>
      </c>
      <c r="C4392">
        <v>0.93899265649040797</v>
      </c>
      <c r="D4392">
        <v>0.95912655987643103</v>
      </c>
      <c r="E4392">
        <v>0.81421819509582505</v>
      </c>
      <c r="F4392">
        <v>0.54735542821017802</v>
      </c>
      <c r="G4392">
        <v>0.304465923525918</v>
      </c>
      <c r="H4392">
        <v>0.22204623715167399</v>
      </c>
      <c r="I4392">
        <v>0.21631827583945201</v>
      </c>
      <c r="J4392">
        <v>0.197563700031198</v>
      </c>
      <c r="K4392">
        <v>0.13617512433983001</v>
      </c>
      <c r="L4392">
        <v>1110.33562196771</v>
      </c>
      <c r="M4392">
        <v>21.0843926246793</v>
      </c>
      <c r="N4392">
        <v>53.735102882507697</v>
      </c>
      <c r="O4392">
        <v>52.194640679282898</v>
      </c>
      <c r="P4392">
        <v>-8.3632438354712804E-2</v>
      </c>
      <c r="Q4392">
        <v>0.171889876908907</v>
      </c>
      <c r="R4392">
        <v>0.99480742494805996</v>
      </c>
      <c r="S4392" t="s">
        <v>10253</v>
      </c>
      <c r="T4392" t="s">
        <v>11720</v>
      </c>
      <c r="U4392" t="s">
        <v>11720</v>
      </c>
      <c r="V4392" t="s">
        <v>11720</v>
      </c>
      <c r="W4392" t="s">
        <v>16057</v>
      </c>
      <c r="X4392">
        <v>3</v>
      </c>
      <c r="Y4392" t="s">
        <v>21769</v>
      </c>
      <c r="Z4392" t="s">
        <v>27599</v>
      </c>
      <c r="AA4392">
        <v>0.53180006164189897</v>
      </c>
      <c r="AB4392" t="str">
        <f>HYPERLINK("Melting_Curves/meltCurve_Q92834_4_RPGR.pdf", "Melting_Curves/meltCurve_Q92834_4_RPGR.pdf")</f>
        <v>Melting_Curves/meltCurve_Q92834_4_RPGR.pdf</v>
      </c>
    </row>
    <row r="4393" spans="1:28" x14ac:dyDescent="0.25">
      <c r="A4393" t="s">
        <v>4397</v>
      </c>
      <c r="B4393">
        <v>0.99334974765950101</v>
      </c>
      <c r="C4393">
        <v>1.09739724939491</v>
      </c>
      <c r="D4393">
        <v>0.89343776288461396</v>
      </c>
      <c r="E4393">
        <v>0.85093628156984602</v>
      </c>
      <c r="F4393">
        <v>0.61058238046827495</v>
      </c>
      <c r="G4393">
        <v>0.37865593029892203</v>
      </c>
      <c r="H4393">
        <v>0.36287182750011399</v>
      </c>
      <c r="I4393">
        <v>0.30678588857858702</v>
      </c>
      <c r="J4393">
        <v>0.33496603950187398</v>
      </c>
      <c r="K4393">
        <v>0.28301622376355401</v>
      </c>
      <c r="L4393">
        <v>1200.40723852428</v>
      </c>
      <c r="M4393">
        <v>22.893856562657501</v>
      </c>
      <c r="N4393">
        <v>54.698215555149901</v>
      </c>
      <c r="O4393">
        <v>52.038454772064597</v>
      </c>
      <c r="P4393">
        <v>-7.6307913975607294E-2</v>
      </c>
      <c r="Q4393">
        <v>0.30621209004668098</v>
      </c>
      <c r="R4393">
        <v>0.97813887152571</v>
      </c>
      <c r="S4393" t="s">
        <v>10254</v>
      </c>
      <c r="T4393" t="s">
        <v>11720</v>
      </c>
      <c r="U4393" t="s">
        <v>11720</v>
      </c>
      <c r="V4393" t="s">
        <v>11720</v>
      </c>
      <c r="W4393" t="s">
        <v>16058</v>
      </c>
      <c r="X4393">
        <v>6</v>
      </c>
      <c r="Y4393" t="s">
        <v>21770</v>
      </c>
      <c r="Z4393" t="s">
        <v>27600</v>
      </c>
      <c r="AA4393">
        <v>0.60125877695025021</v>
      </c>
      <c r="AB4393" t="str">
        <f>HYPERLINK("Melting_Curves/meltCurve_Q92843_2_BCL2L2.pdf", "Melting_Curves/meltCurve_Q92843_2_BCL2L2.pdf")</f>
        <v>Melting_Curves/meltCurve_Q92843_2_BCL2L2.pdf</v>
      </c>
    </row>
    <row r="4394" spans="1:28" x14ac:dyDescent="0.25">
      <c r="A4394" t="s">
        <v>4398</v>
      </c>
      <c r="B4394">
        <v>0.99334974765950101</v>
      </c>
      <c r="C4394">
        <v>1.0144508864231001</v>
      </c>
      <c r="D4394">
        <v>0.91163295876997696</v>
      </c>
      <c r="E4394">
        <v>0.77111121379580205</v>
      </c>
      <c r="F4394">
        <v>0.76096447655645305</v>
      </c>
      <c r="G4394">
        <v>0.65076206511115298</v>
      </c>
      <c r="H4394">
        <v>0.53255159521534801</v>
      </c>
      <c r="I4394">
        <v>0.67750338979078895</v>
      </c>
      <c r="J4394">
        <v>0.72921956740085203</v>
      </c>
      <c r="K4394">
        <v>0.80803058951800599</v>
      </c>
      <c r="L4394">
        <v>1188.20962232333</v>
      </c>
      <c r="M4394">
        <v>24.6617574251798</v>
      </c>
      <c r="O4394">
        <v>47.866809933857297</v>
      </c>
      <c r="P4394">
        <v>-4.0557649016617098E-2</v>
      </c>
      <c r="Q4394">
        <v>0.68512581321890298</v>
      </c>
      <c r="R4394">
        <v>0.78208980082477297</v>
      </c>
      <c r="S4394" t="s">
        <v>10255</v>
      </c>
      <c r="T4394" t="s">
        <v>11720</v>
      </c>
      <c r="U4394" t="s">
        <v>11720</v>
      </c>
      <c r="V4394" t="s">
        <v>11720</v>
      </c>
      <c r="W4394" t="s">
        <v>16059</v>
      </c>
      <c r="X4394">
        <v>8</v>
      </c>
      <c r="Y4394" t="s">
        <v>21771</v>
      </c>
      <c r="Z4394" t="s">
        <v>27601</v>
      </c>
      <c r="AA4394">
        <v>0.77384774041644022</v>
      </c>
      <c r="AB4394" t="str">
        <f>HYPERLINK("Melting_Curves/meltCurve_Q92844_TANK.pdf", "Melting_Curves/meltCurve_Q92844_TANK.pdf")</f>
        <v>Melting_Curves/meltCurve_Q92844_TANK.pdf</v>
      </c>
    </row>
    <row r="4395" spans="1:28" x14ac:dyDescent="0.25">
      <c r="A4395" t="s">
        <v>4399</v>
      </c>
      <c r="B4395">
        <v>0.99334974765950101</v>
      </c>
      <c r="C4395">
        <v>0.99332216978315102</v>
      </c>
      <c r="D4395">
        <v>1.0014885199461701</v>
      </c>
      <c r="E4395">
        <v>0.97650916700294899</v>
      </c>
      <c r="F4395">
        <v>0.94461870348514598</v>
      </c>
      <c r="G4395">
        <v>0.71747851064161206</v>
      </c>
      <c r="H4395">
        <v>0.60054227146823802</v>
      </c>
      <c r="I4395">
        <v>0.65251006483305196</v>
      </c>
      <c r="J4395">
        <v>0.60253201327739703</v>
      </c>
      <c r="K4395">
        <v>0.51027798165735605</v>
      </c>
      <c r="L4395">
        <v>1703.5743826785199</v>
      </c>
      <c r="M4395">
        <v>30.507130833470701</v>
      </c>
      <c r="O4395">
        <v>55.603525733413697</v>
      </c>
      <c r="P4395">
        <v>-5.7627751724742798E-2</v>
      </c>
      <c r="Q4395">
        <v>0.579863774162649</v>
      </c>
      <c r="R4395">
        <v>0.97193787439176005</v>
      </c>
      <c r="S4395" t="s">
        <v>10256</v>
      </c>
      <c r="T4395" t="s">
        <v>11720</v>
      </c>
      <c r="U4395" t="s">
        <v>11720</v>
      </c>
      <c r="V4395" t="s">
        <v>11720</v>
      </c>
      <c r="W4395" t="s">
        <v>16060</v>
      </c>
      <c r="X4395">
        <v>9</v>
      </c>
      <c r="Y4395" t="s">
        <v>21772</v>
      </c>
      <c r="Z4395" t="s">
        <v>27602</v>
      </c>
      <c r="AA4395">
        <v>0.80443643583607971</v>
      </c>
      <c r="AB4395" t="str">
        <f>HYPERLINK("Melting_Curves/meltCurve_Q92859_3_NEO1.pdf", "Melting_Curves/meltCurve_Q92859_3_NEO1.pdf")</f>
        <v>Melting_Curves/meltCurve_Q92859_3_NEO1.pdf</v>
      </c>
    </row>
    <row r="4396" spans="1:28" x14ac:dyDescent="0.25">
      <c r="A4396" t="s">
        <v>4400</v>
      </c>
      <c r="B4396">
        <v>0.99334974765950101</v>
      </c>
      <c r="C4396">
        <v>0.90951704281280399</v>
      </c>
      <c r="D4396">
        <v>0.74415260044045295</v>
      </c>
      <c r="E4396">
        <v>0.45977482367207101</v>
      </c>
      <c r="F4396">
        <v>0.21373488751179301</v>
      </c>
      <c r="G4396">
        <v>0.142592490368253</v>
      </c>
      <c r="H4396">
        <v>0.100252183704262</v>
      </c>
      <c r="I4396">
        <v>7.3110478124510297E-2</v>
      </c>
      <c r="J4396">
        <v>8.7104060535274405E-2</v>
      </c>
      <c r="K4396">
        <v>8.1609072183483497E-2</v>
      </c>
      <c r="L4396">
        <v>859.64722082452897</v>
      </c>
      <c r="M4396">
        <v>17.665612367528599</v>
      </c>
      <c r="N4396">
        <v>49.090377058255903</v>
      </c>
      <c r="O4396">
        <v>48.051458954741001</v>
      </c>
      <c r="P4396">
        <v>-8.5351787837148002E-2</v>
      </c>
      <c r="Q4396">
        <v>7.1402681774361404E-2</v>
      </c>
      <c r="R4396">
        <v>0.99762961982137299</v>
      </c>
      <c r="S4396" t="s">
        <v>10257</v>
      </c>
      <c r="T4396" t="s">
        <v>11720</v>
      </c>
      <c r="U4396" t="s">
        <v>11720</v>
      </c>
      <c r="V4396" t="s">
        <v>11720</v>
      </c>
      <c r="W4396" t="s">
        <v>16061</v>
      </c>
      <c r="X4396">
        <v>10</v>
      </c>
      <c r="Y4396" t="s">
        <v>21773</v>
      </c>
      <c r="Z4396" t="s">
        <v>27603</v>
      </c>
      <c r="AA4396">
        <v>0.35634625502970502</v>
      </c>
      <c r="AB4396" t="str">
        <f>HYPERLINK("Melting_Curves/meltCurve_Q92871_PMM1.pdf", "Melting_Curves/meltCurve_Q92871_PMM1.pdf")</f>
        <v>Melting_Curves/meltCurve_Q92871_PMM1.pdf</v>
      </c>
    </row>
    <row r="4397" spans="1:28" x14ac:dyDescent="0.25">
      <c r="A4397" t="s">
        <v>4401</v>
      </c>
      <c r="B4397">
        <v>0.99334974765950101</v>
      </c>
      <c r="C4397">
        <v>0.95379807176902598</v>
      </c>
      <c r="D4397">
        <v>0.83836892012534003</v>
      </c>
      <c r="E4397">
        <v>0.55370828151590401</v>
      </c>
      <c r="F4397">
        <v>0.35764965337160398</v>
      </c>
      <c r="G4397">
        <v>0.197270524545584</v>
      </c>
      <c r="H4397">
        <v>0.15885045505742301</v>
      </c>
      <c r="I4397">
        <v>0.16415184735868801</v>
      </c>
      <c r="J4397">
        <v>0.17122553528360701</v>
      </c>
      <c r="K4397">
        <v>0.15373024479605599</v>
      </c>
      <c r="L4397">
        <v>933.67742118312401</v>
      </c>
      <c r="M4397">
        <v>18.791869692406301</v>
      </c>
      <c r="N4397">
        <v>50.626308164340003</v>
      </c>
      <c r="O4397">
        <v>49.132786870746102</v>
      </c>
      <c r="P4397">
        <v>-8.1525144224292106E-2</v>
      </c>
      <c r="Q4397">
        <v>0.14742047111599499</v>
      </c>
      <c r="R4397">
        <v>0.99900389001152701</v>
      </c>
      <c r="S4397" t="s">
        <v>10258</v>
      </c>
      <c r="T4397" t="s">
        <v>11720</v>
      </c>
      <c r="U4397" t="s">
        <v>11720</v>
      </c>
      <c r="V4397" t="s">
        <v>11720</v>
      </c>
      <c r="W4397" t="s">
        <v>16062</v>
      </c>
      <c r="X4397">
        <v>10</v>
      </c>
      <c r="Y4397" t="s">
        <v>21774</v>
      </c>
      <c r="Z4397" t="s">
        <v>27604</v>
      </c>
      <c r="AA4397">
        <v>0.43609906068182541</v>
      </c>
      <c r="AB4397" t="str">
        <f>HYPERLINK("Melting_Curves/meltCurve_Q92882_OSTF1.pdf", "Melting_Curves/meltCurve_Q92882_OSTF1.pdf")</f>
        <v>Melting_Curves/meltCurve_Q92882_OSTF1.pdf</v>
      </c>
    </row>
    <row r="4398" spans="1:28" x14ac:dyDescent="0.25">
      <c r="A4398" t="s">
        <v>4402</v>
      </c>
      <c r="B4398">
        <v>0.99334974765950101</v>
      </c>
      <c r="C4398">
        <v>0.97028279975467202</v>
      </c>
      <c r="D4398">
        <v>0.69612372019180901</v>
      </c>
      <c r="E4398">
        <v>0.25791046892223501</v>
      </c>
      <c r="F4398">
        <v>0.199759841598139</v>
      </c>
      <c r="G4398">
        <v>0.11770267139379301</v>
      </c>
      <c r="H4398">
        <v>9.4077098331220896E-2</v>
      </c>
      <c r="I4398">
        <v>9.7690189690421994E-2</v>
      </c>
      <c r="J4398">
        <v>9.1130810288587202E-2</v>
      </c>
      <c r="K4398">
        <v>8.2263502721691806E-2</v>
      </c>
      <c r="L4398">
        <v>1227.9842433630499</v>
      </c>
      <c r="M4398">
        <v>25.9797502310185</v>
      </c>
      <c r="N4398">
        <v>47.675996740528298</v>
      </c>
      <c r="O4398">
        <v>46.989608610659197</v>
      </c>
      <c r="P4398">
        <v>-0.124414465385825</v>
      </c>
      <c r="Q4398">
        <v>9.9896317349318794E-2</v>
      </c>
      <c r="R4398">
        <v>0.99671021561509898</v>
      </c>
      <c r="S4398" t="s">
        <v>10259</v>
      </c>
      <c r="T4398" t="s">
        <v>11720</v>
      </c>
      <c r="U4398" t="s">
        <v>11720</v>
      </c>
      <c r="V4398" t="s">
        <v>11720</v>
      </c>
      <c r="W4398" t="s">
        <v>16063</v>
      </c>
      <c r="X4398">
        <v>25</v>
      </c>
      <c r="Y4398" t="s">
        <v>21775</v>
      </c>
      <c r="Z4398" t="s">
        <v>27605</v>
      </c>
      <c r="AA4398">
        <v>0.32528873471210717</v>
      </c>
      <c r="AB4398" t="str">
        <f>HYPERLINK("Melting_Curves/meltCurve_Q92888_3_ARHGEF1.pdf", "Melting_Curves/meltCurve_Q92888_3_ARHGEF1.pdf")</f>
        <v>Melting_Curves/meltCurve_Q92888_3_ARHGEF1.pdf</v>
      </c>
    </row>
    <row r="4399" spans="1:28" x14ac:dyDescent="0.25">
      <c r="A4399" t="s">
        <v>4403</v>
      </c>
      <c r="B4399">
        <v>0.99334974765950101</v>
      </c>
      <c r="C4399">
        <v>1.00204379417167</v>
      </c>
      <c r="D4399">
        <v>0.96247651813766499</v>
      </c>
      <c r="E4399">
        <v>0.52303159720755699</v>
      </c>
      <c r="F4399">
        <v>0.21624976335718701</v>
      </c>
      <c r="G4399">
        <v>0.13655370692017199</v>
      </c>
      <c r="H4399">
        <v>0.18584333415337101</v>
      </c>
      <c r="I4399">
        <v>0.137293463098243</v>
      </c>
      <c r="J4399">
        <v>0.22116409302098</v>
      </c>
      <c r="K4399">
        <v>0.166926459957769</v>
      </c>
      <c r="L4399">
        <v>2127.7194991996498</v>
      </c>
      <c r="M4399">
        <v>42.864322965347498</v>
      </c>
      <c r="N4399">
        <v>50.118747655031598</v>
      </c>
      <c r="O4399">
        <v>49.530816962896502</v>
      </c>
      <c r="P4399">
        <v>-0.179912885096699</v>
      </c>
      <c r="Q4399">
        <v>0.16842595358635501</v>
      </c>
      <c r="R4399">
        <v>0.99586164460957405</v>
      </c>
      <c r="S4399" t="s">
        <v>10260</v>
      </c>
      <c r="T4399" t="s">
        <v>11720</v>
      </c>
      <c r="U4399" t="s">
        <v>11720</v>
      </c>
      <c r="V4399" t="s">
        <v>11720</v>
      </c>
      <c r="W4399" t="s">
        <v>16064</v>
      </c>
      <c r="X4399">
        <v>2</v>
      </c>
      <c r="Y4399" t="s">
        <v>21776</v>
      </c>
      <c r="Z4399" t="s">
        <v>27606</v>
      </c>
      <c r="AA4399">
        <v>0.43807898950003782</v>
      </c>
      <c r="AB4399" t="str">
        <f>HYPERLINK("Melting_Curves/meltCurve_Q92889_ERCC4.pdf", "Melting_Curves/meltCurve_Q92889_ERCC4.pdf")</f>
        <v>Melting_Curves/meltCurve_Q92889_ERCC4.pdf</v>
      </c>
    </row>
    <row r="4400" spans="1:28" x14ac:dyDescent="0.25">
      <c r="A4400" t="s">
        <v>4404</v>
      </c>
      <c r="B4400">
        <v>0.99334974765950101</v>
      </c>
      <c r="C4400">
        <v>0.98712938944560702</v>
      </c>
      <c r="D4400">
        <v>0.99284303364360904</v>
      </c>
      <c r="E4400">
        <v>0.91108096871503497</v>
      </c>
      <c r="F4400">
        <v>0.86555562107849204</v>
      </c>
      <c r="G4400">
        <v>0.56503492842956105</v>
      </c>
      <c r="H4400">
        <v>0.370986957148217</v>
      </c>
      <c r="I4400">
        <v>0.22087330692528301</v>
      </c>
      <c r="J4400">
        <v>0.155796549159675</v>
      </c>
      <c r="K4400">
        <v>9.9516652804470598E-2</v>
      </c>
      <c r="L4400">
        <v>922.466388855334</v>
      </c>
      <c r="M4400">
        <v>15.8762978161005</v>
      </c>
      <c r="N4400">
        <v>58.461896114870797</v>
      </c>
      <c r="O4400">
        <v>57.204969132151398</v>
      </c>
      <c r="P4400">
        <v>-6.61702432267329E-2</v>
      </c>
      <c r="Q4400">
        <v>4.63870794753505E-2</v>
      </c>
      <c r="R4400">
        <v>0.99737491718247895</v>
      </c>
      <c r="S4400" t="s">
        <v>10261</v>
      </c>
      <c r="T4400" t="s">
        <v>11720</v>
      </c>
      <c r="U4400" t="s">
        <v>11720</v>
      </c>
      <c r="V4400" t="s">
        <v>11720</v>
      </c>
      <c r="W4400" t="s">
        <v>16065</v>
      </c>
      <c r="X4400">
        <v>19</v>
      </c>
      <c r="Y4400" t="s">
        <v>21777</v>
      </c>
      <c r="Z4400" t="s">
        <v>27607</v>
      </c>
      <c r="AA4400">
        <v>0.63422938334037893</v>
      </c>
      <c r="AB4400" t="str">
        <f>HYPERLINK("Melting_Curves/meltCurve_Q92890_UFD1L.pdf", "Melting_Curves/meltCurve_Q92890_UFD1L.pdf")</f>
        <v>Melting_Curves/meltCurve_Q92890_UFD1L.pdf</v>
      </c>
    </row>
    <row r="4401" spans="1:28" x14ac:dyDescent="0.25">
      <c r="A4401" t="s">
        <v>4405</v>
      </c>
      <c r="B4401">
        <v>0.99334974765950101</v>
      </c>
      <c r="C4401">
        <v>1.0378766111415301</v>
      </c>
      <c r="D4401">
        <v>1.0761772367614</v>
      </c>
      <c r="E4401">
        <v>1.30959108227955</v>
      </c>
      <c r="F4401">
        <v>1.2844012261720199</v>
      </c>
      <c r="G4401">
        <v>1.1011603711593601</v>
      </c>
      <c r="H4401">
        <v>0.82944380812413798</v>
      </c>
      <c r="I4401">
        <v>1.0441942673011699</v>
      </c>
      <c r="J4401">
        <v>0.80060951502900402</v>
      </c>
      <c r="K4401">
        <v>0.64344512037822099</v>
      </c>
      <c r="L4401">
        <v>15000</v>
      </c>
      <c r="M4401">
        <v>224.11836384895801</v>
      </c>
      <c r="O4401">
        <v>66.923591007998397</v>
      </c>
      <c r="P4401">
        <v>-0.29853160131676998</v>
      </c>
      <c r="Q4401">
        <v>0.64342401425068396</v>
      </c>
      <c r="R4401">
        <v>0.42341428051326901</v>
      </c>
      <c r="S4401" t="s">
        <v>10262</v>
      </c>
      <c r="T4401" t="s">
        <v>11720</v>
      </c>
      <c r="U4401" t="s">
        <v>11720</v>
      </c>
      <c r="V4401" t="s">
        <v>11720</v>
      </c>
      <c r="W4401" t="s">
        <v>16066</v>
      </c>
      <c r="X4401">
        <v>68</v>
      </c>
      <c r="Y4401" t="s">
        <v>21778</v>
      </c>
      <c r="Z4401" t="s">
        <v>27608</v>
      </c>
      <c r="AA4401">
        <v>0.96354945934325686</v>
      </c>
      <c r="AB4401" t="str">
        <f>HYPERLINK("Melting_Curves/meltCurve_Q92896_GLG1.pdf", "Melting_Curves/meltCurve_Q92896_GLG1.pdf")</f>
        <v>Melting_Curves/meltCurve_Q92896_GLG1.pdf</v>
      </c>
    </row>
    <row r="4402" spans="1:28" x14ac:dyDescent="0.25">
      <c r="A4402" t="s">
        <v>4406</v>
      </c>
      <c r="B4402">
        <v>0.99334974765950101</v>
      </c>
      <c r="C4402">
        <v>0.99451078222884903</v>
      </c>
      <c r="D4402">
        <v>0.98066240723250397</v>
      </c>
      <c r="E4402">
        <v>0.82481784849065798</v>
      </c>
      <c r="F4402">
        <v>0.62106335359498999</v>
      </c>
      <c r="G4402">
        <v>0.42885420444908301</v>
      </c>
      <c r="H4402">
        <v>0.42878051350725799</v>
      </c>
      <c r="I4402">
        <v>0.34884839882451002</v>
      </c>
      <c r="J4402">
        <v>0.28981358092535803</v>
      </c>
      <c r="K4402">
        <v>0.21325785442610901</v>
      </c>
      <c r="L4402">
        <v>828.72874575987498</v>
      </c>
      <c r="M4402">
        <v>15.5153326381584</v>
      </c>
      <c r="N4402">
        <v>56.075589429221303</v>
      </c>
      <c r="O4402">
        <v>52.549826337491297</v>
      </c>
      <c r="P4402">
        <v>-5.45803571304306E-2</v>
      </c>
      <c r="Q4402">
        <v>0.26061946361628102</v>
      </c>
      <c r="R4402">
        <v>0.98284355722868799</v>
      </c>
      <c r="S4402" t="s">
        <v>10263</v>
      </c>
      <c r="T4402" t="s">
        <v>11720</v>
      </c>
      <c r="U4402" t="s">
        <v>11720</v>
      </c>
      <c r="V4402" t="s">
        <v>11720</v>
      </c>
      <c r="W4402" t="s">
        <v>16067</v>
      </c>
      <c r="X4402">
        <v>34</v>
      </c>
      <c r="Y4402" t="s">
        <v>21779</v>
      </c>
      <c r="Z4402" t="s">
        <v>27609</v>
      </c>
      <c r="AA4402">
        <v>0.6061338910515478</v>
      </c>
      <c r="AB4402" t="str">
        <f>HYPERLINK("Melting_Curves/meltCurve_Q92900_2_UPF1.pdf", "Melting_Curves/meltCurve_Q92900_2_UPF1.pdf")</f>
        <v>Melting_Curves/meltCurve_Q92900_2_UPF1.pdf</v>
      </c>
    </row>
    <row r="4403" spans="1:28" x14ac:dyDescent="0.25">
      <c r="A4403" t="s">
        <v>4407</v>
      </c>
      <c r="B4403">
        <v>0.99334974765950101</v>
      </c>
      <c r="C4403">
        <v>1.0165415243926501</v>
      </c>
      <c r="D4403">
        <v>1.0159203529673499</v>
      </c>
      <c r="E4403">
        <v>1.2191833726752701</v>
      </c>
      <c r="F4403">
        <v>1.2668056811861199</v>
      </c>
      <c r="G4403">
        <v>0.69249713489965403</v>
      </c>
      <c r="H4403">
        <v>0.276165309277349</v>
      </c>
      <c r="I4403">
        <v>0.18117960460498</v>
      </c>
      <c r="J4403">
        <v>0.16793187034964399</v>
      </c>
      <c r="K4403">
        <v>0.12482511678365101</v>
      </c>
      <c r="L4403">
        <v>3026.6529803946601</v>
      </c>
      <c r="M4403">
        <v>52.440622799340197</v>
      </c>
      <c r="N4403">
        <v>58.184480583164799</v>
      </c>
      <c r="O4403">
        <v>57.6320772850544</v>
      </c>
      <c r="P4403">
        <v>-0.18829439394123301</v>
      </c>
      <c r="Q4403">
        <v>0.172261039728175</v>
      </c>
      <c r="R4403">
        <v>0.93280360696763898</v>
      </c>
      <c r="S4403" t="s">
        <v>10264</v>
      </c>
      <c r="T4403" t="s">
        <v>11720</v>
      </c>
      <c r="U4403" t="s">
        <v>11720</v>
      </c>
      <c r="V4403" t="s">
        <v>11720</v>
      </c>
      <c r="W4403" t="s">
        <v>16068</v>
      </c>
      <c r="X4403">
        <v>7</v>
      </c>
      <c r="Y4403" t="s">
        <v>21780</v>
      </c>
      <c r="Z4403" t="s">
        <v>27610</v>
      </c>
      <c r="AA4403">
        <v>0.66297324568528604</v>
      </c>
      <c r="AB4403" t="str">
        <f>HYPERLINK("Melting_Curves/meltCurve_Q92905_COPS5.pdf", "Melting_Curves/meltCurve_Q92905_COPS5.pdf")</f>
        <v>Melting_Curves/meltCurve_Q92905_COPS5.pdf</v>
      </c>
    </row>
    <row r="4404" spans="1:28" x14ac:dyDescent="0.25">
      <c r="A4404" t="s">
        <v>4408</v>
      </c>
      <c r="B4404">
        <v>0.99334974765950101</v>
      </c>
      <c r="C4404">
        <v>0.94440332401326899</v>
      </c>
      <c r="D4404">
        <v>0.76554589167963205</v>
      </c>
      <c r="E4404">
        <v>0.525356180312609</v>
      </c>
      <c r="F4404">
        <v>0.28988519762288401</v>
      </c>
      <c r="G4404">
        <v>0.19457620592993699</v>
      </c>
      <c r="H4404">
        <v>0.15845322318387001</v>
      </c>
      <c r="I4404">
        <v>0.14767760876525499</v>
      </c>
      <c r="J4404">
        <v>0.140928876803673</v>
      </c>
      <c r="K4404">
        <v>0.12263918998927301</v>
      </c>
      <c r="L4404">
        <v>850.72063016996401</v>
      </c>
      <c r="M4404">
        <v>17.337575178732401</v>
      </c>
      <c r="N4404">
        <v>49.903253220147299</v>
      </c>
      <c r="O4404">
        <v>48.429197770154197</v>
      </c>
      <c r="P4404">
        <v>-7.8233008659217396E-2</v>
      </c>
      <c r="Q4404">
        <v>0.12593426980710901</v>
      </c>
      <c r="R4404">
        <v>0.99753446408566704</v>
      </c>
      <c r="S4404" t="s">
        <v>10265</v>
      </c>
      <c r="T4404" t="s">
        <v>11720</v>
      </c>
      <c r="U4404" t="s">
        <v>11720</v>
      </c>
      <c r="V4404" t="s">
        <v>11720</v>
      </c>
      <c r="W4404" t="s">
        <v>16069</v>
      </c>
      <c r="X4404">
        <v>7</v>
      </c>
      <c r="Y4404" t="s">
        <v>21781</v>
      </c>
      <c r="Z4404" t="s">
        <v>27611</v>
      </c>
      <c r="AA4404">
        <v>0.40642067107280683</v>
      </c>
      <c r="AB4404" t="str">
        <f>HYPERLINK("Melting_Curves/meltCurve_Q92917_GPKOW.pdf", "Melting_Curves/meltCurve_Q92917_GPKOW.pdf")</f>
        <v>Melting_Curves/meltCurve_Q92917_GPKOW.pdf</v>
      </c>
    </row>
    <row r="4405" spans="1:28" x14ac:dyDescent="0.25">
      <c r="A4405" t="s">
        <v>4409</v>
      </c>
      <c r="B4405">
        <v>0.99334974765950101</v>
      </c>
      <c r="C4405">
        <v>1.0209940511272699</v>
      </c>
      <c r="D4405">
        <v>0.94076250056161304</v>
      </c>
      <c r="E4405">
        <v>0.88859766067239399</v>
      </c>
      <c r="F4405">
        <v>0.94668597322765402</v>
      </c>
      <c r="G4405">
        <v>0.64715293762553605</v>
      </c>
      <c r="H4405">
        <v>0.50930365622348395</v>
      </c>
      <c r="I4405">
        <v>0.303927831530793</v>
      </c>
      <c r="J4405">
        <v>0.16963778708779301</v>
      </c>
      <c r="K4405">
        <v>8.9279447448792501E-2</v>
      </c>
      <c r="L4405">
        <v>883.99513571290402</v>
      </c>
      <c r="M4405">
        <v>14.658775327753901</v>
      </c>
      <c r="N4405">
        <v>60.304842518403099</v>
      </c>
      <c r="O4405">
        <v>59.215895242802802</v>
      </c>
      <c r="P4405">
        <v>-6.1893839830938199E-2</v>
      </c>
      <c r="Q4405">
        <v>0</v>
      </c>
      <c r="R4405">
        <v>0.98480822788050804</v>
      </c>
      <c r="S4405" t="s">
        <v>10266</v>
      </c>
      <c r="T4405" t="s">
        <v>11720</v>
      </c>
      <c r="U4405" t="s">
        <v>11720</v>
      </c>
      <c r="V4405" t="s">
        <v>11720</v>
      </c>
      <c r="W4405" t="s">
        <v>16070</v>
      </c>
      <c r="X4405">
        <v>17</v>
      </c>
      <c r="Y4405" t="s">
        <v>21782</v>
      </c>
      <c r="Z4405" t="s">
        <v>27612</v>
      </c>
      <c r="AA4405">
        <v>0.68208131322234233</v>
      </c>
      <c r="AB4405" t="str">
        <f>HYPERLINK("Melting_Curves/meltCurve_Q92930_RAB8B.pdf", "Melting_Curves/meltCurve_Q92930_RAB8B.pdf")</f>
        <v>Melting_Curves/meltCurve_Q92930_RAB8B.pdf</v>
      </c>
    </row>
    <row r="4406" spans="1:28" x14ac:dyDescent="0.25">
      <c r="A4406" t="s">
        <v>4410</v>
      </c>
      <c r="B4406">
        <v>0.99334974765950101</v>
      </c>
      <c r="C4406">
        <v>0.96518336444040098</v>
      </c>
      <c r="D4406">
        <v>0.90983036839584297</v>
      </c>
      <c r="E4406">
        <v>0.84145670517416604</v>
      </c>
      <c r="F4406">
        <v>0.85738848903076303</v>
      </c>
      <c r="G4406">
        <v>0.73173723442212601</v>
      </c>
      <c r="H4406">
        <v>0.70839389955841803</v>
      </c>
      <c r="I4406">
        <v>0.88508028770180402</v>
      </c>
      <c r="J4406">
        <v>0.83306947826481703</v>
      </c>
      <c r="K4406">
        <v>0.66759302444290303</v>
      </c>
      <c r="L4406">
        <v>672.10405266614703</v>
      </c>
      <c r="M4406">
        <v>13.976398789389201</v>
      </c>
      <c r="O4406">
        <v>47.136122979497898</v>
      </c>
      <c r="P4406">
        <v>-1.7670021873525298E-2</v>
      </c>
      <c r="Q4406">
        <v>0.76165951898439399</v>
      </c>
      <c r="R4406">
        <v>0.65110274896451903</v>
      </c>
      <c r="S4406" t="s">
        <v>10267</v>
      </c>
      <c r="T4406" t="s">
        <v>11720</v>
      </c>
      <c r="U4406" t="s">
        <v>11720</v>
      </c>
      <c r="V4406" t="s">
        <v>11720</v>
      </c>
      <c r="W4406" t="s">
        <v>16071</v>
      </c>
      <c r="X4406">
        <v>5</v>
      </c>
      <c r="Y4406" t="s">
        <v>21783</v>
      </c>
      <c r="Z4406" t="s">
        <v>27613</v>
      </c>
      <c r="AA4406">
        <v>0.83292690662907798</v>
      </c>
      <c r="AB4406" t="str">
        <f>HYPERLINK("Melting_Curves/meltCurve_Q92934_BAD.pdf", "Melting_Curves/meltCurve_Q92934_BAD.pdf")</f>
        <v>Melting_Curves/meltCurve_Q92934_BAD.pdf</v>
      </c>
    </row>
    <row r="4407" spans="1:28" x14ac:dyDescent="0.25">
      <c r="A4407" t="s">
        <v>4411</v>
      </c>
      <c r="B4407">
        <v>0.99334974765950101</v>
      </c>
      <c r="C4407">
        <v>1.00144245239403</v>
      </c>
      <c r="D4407">
        <v>0.981984441617054</v>
      </c>
      <c r="E4407">
        <v>0.84557295002107902</v>
      </c>
      <c r="F4407">
        <v>0.84573125468129595</v>
      </c>
      <c r="G4407">
        <v>0.645842552552224</v>
      </c>
      <c r="H4407">
        <v>0.59971880498427999</v>
      </c>
      <c r="I4407">
        <v>0.50278407865096597</v>
      </c>
      <c r="J4407">
        <v>0.49312966460935098</v>
      </c>
      <c r="K4407">
        <v>0.49758227483054401</v>
      </c>
      <c r="L4407">
        <v>742.90423120747698</v>
      </c>
      <c r="M4407">
        <v>13.4515849405438</v>
      </c>
      <c r="N4407">
        <v>67.011779736026099</v>
      </c>
      <c r="O4407">
        <v>54.050283823992999</v>
      </c>
      <c r="P4407">
        <v>-3.4035691917393501E-2</v>
      </c>
      <c r="Q4407">
        <v>0.45304457805764298</v>
      </c>
      <c r="R4407">
        <v>0.98383227565959097</v>
      </c>
      <c r="S4407" t="s">
        <v>10268</v>
      </c>
      <c r="T4407" t="s">
        <v>11720</v>
      </c>
      <c r="U4407" t="s">
        <v>11720</v>
      </c>
      <c r="V4407" t="s">
        <v>11720</v>
      </c>
      <c r="W4407" t="s">
        <v>16072</v>
      </c>
      <c r="X4407">
        <v>44</v>
      </c>
      <c r="Y4407" t="s">
        <v>21784</v>
      </c>
      <c r="Z4407" t="s">
        <v>27614</v>
      </c>
      <c r="AA4407">
        <v>0.7421487219431514</v>
      </c>
      <c r="AB4407" t="str">
        <f>HYPERLINK("Melting_Curves/meltCurve_Q92945_KHSRP.pdf", "Melting_Curves/meltCurve_Q92945_KHSRP.pdf")</f>
        <v>Melting_Curves/meltCurve_Q92945_KHSRP.pdf</v>
      </c>
    </row>
    <row r="4408" spans="1:28" x14ac:dyDescent="0.25">
      <c r="A4408" t="s">
        <v>4412</v>
      </c>
      <c r="B4408">
        <v>0.99334974765950101</v>
      </c>
      <c r="C4408">
        <v>1.0250817683256901</v>
      </c>
      <c r="D4408">
        <v>1.1347888702823199</v>
      </c>
      <c r="E4408">
        <v>1.0977556335163801</v>
      </c>
      <c r="F4408">
        <v>0.65932405408176997</v>
      </c>
      <c r="G4408">
        <v>0.45400307373144999</v>
      </c>
      <c r="H4408">
        <v>0.25594327889392099</v>
      </c>
      <c r="I4408">
        <v>0.21562241662133599</v>
      </c>
      <c r="J4408">
        <v>0.13617842814570499</v>
      </c>
      <c r="K4408">
        <v>9.9674312896772102E-2</v>
      </c>
      <c r="L4408">
        <v>1300.03485746817</v>
      </c>
      <c r="M4408">
        <v>23.5033357188222</v>
      </c>
      <c r="N4408">
        <v>56.104835805061498</v>
      </c>
      <c r="O4408">
        <v>54.917041632773298</v>
      </c>
      <c r="P4408">
        <v>-9.1890056660480904E-2</v>
      </c>
      <c r="Q4408">
        <v>0.14118710294186901</v>
      </c>
      <c r="R4408">
        <v>0.95919617599993401</v>
      </c>
      <c r="S4408" t="s">
        <v>10269</v>
      </c>
      <c r="T4408" t="s">
        <v>11720</v>
      </c>
      <c r="U4408" t="s">
        <v>11720</v>
      </c>
      <c r="V4408" t="s">
        <v>11720</v>
      </c>
      <c r="W4408" t="s">
        <v>16073</v>
      </c>
      <c r="X4408">
        <v>10</v>
      </c>
      <c r="Y4408" t="s">
        <v>21785</v>
      </c>
      <c r="Z4408" t="s">
        <v>27615</v>
      </c>
      <c r="AA4408">
        <v>0.58835557322469778</v>
      </c>
      <c r="AB4408" t="str">
        <f>HYPERLINK("Melting_Curves/meltCurve_Q92947_GCDH.pdf", "Melting_Curves/meltCurve_Q92947_GCDH.pdf")</f>
        <v>Melting_Curves/meltCurve_Q92947_GCDH.pdf</v>
      </c>
    </row>
    <row r="4409" spans="1:28" x14ac:dyDescent="0.25">
      <c r="A4409" t="s">
        <v>4413</v>
      </c>
      <c r="B4409">
        <v>0.99334974765950101</v>
      </c>
      <c r="C4409">
        <v>0.83598156388183498</v>
      </c>
      <c r="D4409">
        <v>0.67173675580012504</v>
      </c>
      <c r="E4409">
        <v>0.43373395803824899</v>
      </c>
      <c r="F4409">
        <v>0.173761760958766</v>
      </c>
      <c r="G4409">
        <v>0.106251640462726</v>
      </c>
      <c r="H4409">
        <v>7.8611501149348298E-2</v>
      </c>
      <c r="I4409">
        <v>5.6821318598534898E-2</v>
      </c>
      <c r="J4409">
        <v>4.6407318596966202E-2</v>
      </c>
      <c r="K4409">
        <v>5.6947054930050499E-2</v>
      </c>
      <c r="L4409">
        <v>738.48660564721195</v>
      </c>
      <c r="M4409">
        <v>15.3562704481072</v>
      </c>
      <c r="N4409">
        <v>48.321791483346999</v>
      </c>
      <c r="O4409">
        <v>47.296839299523498</v>
      </c>
      <c r="P4409">
        <v>-7.8297360475395594E-2</v>
      </c>
      <c r="Q4409">
        <v>3.5475059631700299E-2</v>
      </c>
      <c r="R4409">
        <v>0.99325985012492501</v>
      </c>
      <c r="S4409" t="s">
        <v>10270</v>
      </c>
      <c r="T4409" t="s">
        <v>11720</v>
      </c>
      <c r="U4409" t="s">
        <v>11720</v>
      </c>
      <c r="V4409" t="s">
        <v>11720</v>
      </c>
      <c r="W4409" t="s">
        <v>16074</v>
      </c>
      <c r="X4409">
        <v>4</v>
      </c>
      <c r="Y4409" t="s">
        <v>21786</v>
      </c>
      <c r="Z4409" t="s">
        <v>27616</v>
      </c>
      <c r="AA4409">
        <v>0.31917673621141829</v>
      </c>
      <c r="AB4409" t="str">
        <f>HYPERLINK("Melting_Curves/meltCurve_Q92963_RIT1.pdf", "Melting_Curves/meltCurve_Q92963_RIT1.pdf")</f>
        <v>Melting_Curves/meltCurve_Q92963_RIT1.pdf</v>
      </c>
    </row>
    <row r="4410" spans="1:28" x14ac:dyDescent="0.25">
      <c r="A4410" t="s">
        <v>4414</v>
      </c>
      <c r="B4410">
        <v>0.99334974765950101</v>
      </c>
      <c r="C4410">
        <v>0.98333187475391404</v>
      </c>
      <c r="D4410">
        <v>0.85844471637356201</v>
      </c>
      <c r="E4410">
        <v>0.73066713880826595</v>
      </c>
      <c r="F4410">
        <v>0.64434337727855595</v>
      </c>
      <c r="G4410">
        <v>0.43757560046759703</v>
      </c>
      <c r="H4410">
        <v>0.36234158362048302</v>
      </c>
      <c r="I4410">
        <v>0.44977912277990201</v>
      </c>
      <c r="J4410">
        <v>0.33227095548733099</v>
      </c>
      <c r="K4410">
        <v>0.29895890213090898</v>
      </c>
      <c r="L4410">
        <v>657.56096077697998</v>
      </c>
      <c r="M4410">
        <v>12.6566093486674</v>
      </c>
      <c r="N4410">
        <v>56.093934677813202</v>
      </c>
      <c r="O4410">
        <v>50.708176484741401</v>
      </c>
      <c r="P4410">
        <v>-4.3467544801350302E-2</v>
      </c>
      <c r="Q4410">
        <v>0.30353293470111298</v>
      </c>
      <c r="R4410">
        <v>0.97836798651838996</v>
      </c>
      <c r="S4410" t="s">
        <v>10271</v>
      </c>
      <c r="T4410" t="s">
        <v>11720</v>
      </c>
      <c r="U4410" t="s">
        <v>11720</v>
      </c>
      <c r="V4410" t="s">
        <v>11720</v>
      </c>
      <c r="W4410" t="s">
        <v>16075</v>
      </c>
      <c r="X4410">
        <v>4</v>
      </c>
      <c r="Y4410" t="s">
        <v>21787</v>
      </c>
      <c r="Z4410" t="s">
        <v>27617</v>
      </c>
      <c r="AA4410">
        <v>0.60097867154968265</v>
      </c>
      <c r="AB4410" t="str">
        <f>HYPERLINK("Melting_Curves/meltCurve_Q92968_PEX13.pdf", "Melting_Curves/meltCurve_Q92968_PEX13.pdf")</f>
        <v>Melting_Curves/meltCurve_Q92968_PEX13.pdf</v>
      </c>
    </row>
    <row r="4411" spans="1:28" x14ac:dyDescent="0.25">
      <c r="A4411" t="s">
        <v>4415</v>
      </c>
      <c r="B4411">
        <v>0.99334974765950101</v>
      </c>
      <c r="C4411">
        <v>0.76494918721071203</v>
      </c>
      <c r="D4411">
        <v>1.11414246120385</v>
      </c>
      <c r="E4411">
        <v>0.79741663802302598</v>
      </c>
      <c r="F4411">
        <v>0.28185523930339101</v>
      </c>
      <c r="G4411">
        <v>0.25372044479693501</v>
      </c>
      <c r="H4411">
        <v>0.165200992555814</v>
      </c>
      <c r="I4411">
        <v>6.6123637342464098E-2</v>
      </c>
      <c r="J4411">
        <v>5.6936851126474702E-2</v>
      </c>
      <c r="K4411">
        <v>4.8985873688890701E-2</v>
      </c>
      <c r="L4411">
        <v>2230.0792743685001</v>
      </c>
      <c r="M4411">
        <v>43.399232122458002</v>
      </c>
      <c r="N4411">
        <v>51.6892445179136</v>
      </c>
      <c r="O4411">
        <v>51.276482721715901</v>
      </c>
      <c r="P4411">
        <v>-0.187758949059842</v>
      </c>
      <c r="Q4411">
        <v>0.11264753816968801</v>
      </c>
      <c r="R4411">
        <v>0.93715206432599696</v>
      </c>
      <c r="S4411" t="s">
        <v>10272</v>
      </c>
      <c r="T4411" t="s">
        <v>11720</v>
      </c>
      <c r="U4411" t="s">
        <v>11720</v>
      </c>
      <c r="V4411" t="s">
        <v>11720</v>
      </c>
      <c r="W4411" t="s">
        <v>16076</v>
      </c>
      <c r="X4411">
        <v>29</v>
      </c>
      <c r="Y4411" t="s">
        <v>21788</v>
      </c>
      <c r="Z4411" t="s">
        <v>27618</v>
      </c>
      <c r="AA4411">
        <v>0.45207842530794973</v>
      </c>
      <c r="AB4411" t="str">
        <f>HYPERLINK("Melting_Curves/meltCurve_Q92973_2_TNPO1.pdf", "Melting_Curves/meltCurve_Q92973_2_TNPO1.pdf")</f>
        <v>Melting_Curves/meltCurve_Q92973_2_TNPO1.pdf</v>
      </c>
    </row>
    <row r="4412" spans="1:28" x14ac:dyDescent="0.25">
      <c r="A4412" t="s">
        <v>4416</v>
      </c>
      <c r="B4412">
        <v>0.99334974765950101</v>
      </c>
      <c r="C4412">
        <v>0.89208501256336004</v>
      </c>
      <c r="D4412">
        <v>0.75615858910329903</v>
      </c>
      <c r="E4412">
        <v>0.61527381365453004</v>
      </c>
      <c r="F4412">
        <v>0.46982054009961399</v>
      </c>
      <c r="G4412">
        <v>0.30560846444640899</v>
      </c>
      <c r="H4412">
        <v>0.26794474521627099</v>
      </c>
      <c r="I4412">
        <v>0.32909657234324602</v>
      </c>
      <c r="J4412">
        <v>0.28666622222396898</v>
      </c>
      <c r="K4412">
        <v>0.27382061990579998</v>
      </c>
      <c r="L4412">
        <v>666.13125606901303</v>
      </c>
      <c r="M4412">
        <v>13.5918591806445</v>
      </c>
      <c r="N4412">
        <v>51.768615559116</v>
      </c>
      <c r="O4412">
        <v>47.9852014138065</v>
      </c>
      <c r="P4412">
        <v>-5.2572995337056297E-2</v>
      </c>
      <c r="Q4412">
        <v>0.25768800897345301</v>
      </c>
      <c r="R4412">
        <v>0.98719315917813</v>
      </c>
      <c r="S4412" t="s">
        <v>10273</v>
      </c>
      <c r="T4412" t="s">
        <v>11720</v>
      </c>
      <c r="U4412" t="s">
        <v>11720</v>
      </c>
      <c r="V4412" t="s">
        <v>11720</v>
      </c>
      <c r="W4412" t="s">
        <v>16077</v>
      </c>
      <c r="X4412">
        <v>6</v>
      </c>
      <c r="Y4412" t="s">
        <v>21789</v>
      </c>
      <c r="Z4412" t="s">
        <v>27619</v>
      </c>
      <c r="AA4412">
        <v>0.50257340946440665</v>
      </c>
      <c r="AB4412" t="str">
        <f>HYPERLINK("Melting_Curves/meltCurve_Q92974_2_ARHGEF2.pdf", "Melting_Curves/meltCurve_Q92974_2_ARHGEF2.pdf")</f>
        <v>Melting_Curves/meltCurve_Q92974_2_ARHGEF2.pdf</v>
      </c>
    </row>
    <row r="4413" spans="1:28" x14ac:dyDescent="0.25">
      <c r="A4413" t="s">
        <v>4417</v>
      </c>
      <c r="B4413">
        <v>0.99334974765950101</v>
      </c>
      <c r="C4413">
        <v>1.07734814470491</v>
      </c>
      <c r="D4413">
        <v>1.02557379093778</v>
      </c>
      <c r="E4413">
        <v>0.81034706299190695</v>
      </c>
      <c r="F4413">
        <v>0.50370027516863503</v>
      </c>
      <c r="G4413">
        <v>0.18096211393905701</v>
      </c>
      <c r="H4413">
        <v>0.12784194300603799</v>
      </c>
      <c r="I4413">
        <v>0.102926449673964</v>
      </c>
      <c r="J4413">
        <v>0.12883086027613599</v>
      </c>
      <c r="K4413">
        <v>0.115604256967104</v>
      </c>
      <c r="L4413">
        <v>1535.6104917585999</v>
      </c>
      <c r="M4413">
        <v>29.270609183158999</v>
      </c>
      <c r="N4413">
        <v>52.922559060922403</v>
      </c>
      <c r="O4413">
        <v>52.219496723081399</v>
      </c>
      <c r="P4413">
        <v>-0.124393693509685</v>
      </c>
      <c r="Q4413">
        <v>0.112320579268647</v>
      </c>
      <c r="R4413">
        <v>0.99454387287831203</v>
      </c>
      <c r="S4413" t="s">
        <v>10274</v>
      </c>
      <c r="T4413" t="s">
        <v>11720</v>
      </c>
      <c r="U4413" t="s">
        <v>11720</v>
      </c>
      <c r="V4413" t="s">
        <v>11720</v>
      </c>
      <c r="W4413" t="s">
        <v>16078</v>
      </c>
      <c r="X4413">
        <v>2</v>
      </c>
      <c r="Y4413" t="s">
        <v>21790</v>
      </c>
      <c r="Z4413" t="s">
        <v>27620</v>
      </c>
      <c r="AA4413">
        <v>0.48707415804372189</v>
      </c>
      <c r="AB4413" t="str">
        <f>HYPERLINK("Melting_Curves/meltCurve_Q92979_EMG1.pdf", "Melting_Curves/meltCurve_Q92979_EMG1.pdf")</f>
        <v>Melting_Curves/meltCurve_Q92979_EMG1.pdf</v>
      </c>
    </row>
    <row r="4414" spans="1:28" x14ac:dyDescent="0.25">
      <c r="A4414" t="s">
        <v>4418</v>
      </c>
      <c r="B4414">
        <v>0.99334974765950101</v>
      </c>
      <c r="C4414">
        <v>0.99445066622765499</v>
      </c>
      <c r="D4414">
        <v>0.92505360751313304</v>
      </c>
      <c r="E4414">
        <v>0.77473285205725195</v>
      </c>
      <c r="F4414">
        <v>0.29352445830855201</v>
      </c>
      <c r="G4414">
        <v>0.18161637189862301</v>
      </c>
      <c r="H4414">
        <v>0.136651841694612</v>
      </c>
      <c r="I4414">
        <v>0.11288938312175401</v>
      </c>
      <c r="J4414">
        <v>0.13053853927612</v>
      </c>
      <c r="K4414">
        <v>9.3679398684624798E-2</v>
      </c>
      <c r="L4414">
        <v>2034.90111481401</v>
      </c>
      <c r="M4414">
        <v>39.717306508316298</v>
      </c>
      <c r="N4414">
        <v>51.610222159527403</v>
      </c>
      <c r="O4414">
        <v>51.105250155527997</v>
      </c>
      <c r="P4414">
        <v>-0.16990508263597301</v>
      </c>
      <c r="Q4414">
        <v>0.125517410209083</v>
      </c>
      <c r="R4414">
        <v>0.99468975838324303</v>
      </c>
      <c r="S4414" t="s">
        <v>10275</v>
      </c>
      <c r="T4414" t="s">
        <v>11720</v>
      </c>
      <c r="U4414" t="s">
        <v>11720</v>
      </c>
      <c r="V4414" t="s">
        <v>11720</v>
      </c>
      <c r="W4414" t="s">
        <v>16079</v>
      </c>
      <c r="X4414">
        <v>15</v>
      </c>
      <c r="Y4414" t="s">
        <v>21791</v>
      </c>
      <c r="Z4414" t="s">
        <v>27621</v>
      </c>
      <c r="AA4414">
        <v>0.45614110342162228</v>
      </c>
      <c r="AB4414" t="str">
        <f>HYPERLINK("Melting_Curves/meltCurve_Q92990_GLMN.pdf", "Melting_Curves/meltCurve_Q92990_GLMN.pdf")</f>
        <v>Melting_Curves/meltCurve_Q92990_GLMN.pdf</v>
      </c>
    </row>
    <row r="4415" spans="1:28" x14ac:dyDescent="0.25">
      <c r="A4415" t="s">
        <v>4419</v>
      </c>
      <c r="B4415">
        <v>0.99334974765950101</v>
      </c>
      <c r="C4415">
        <v>0.994943545168262</v>
      </c>
      <c r="D4415">
        <v>0.83703355026318504</v>
      </c>
      <c r="E4415">
        <v>0.50318333993930997</v>
      </c>
      <c r="F4415">
        <v>0.264375299378034</v>
      </c>
      <c r="G4415">
        <v>0.23833780466007901</v>
      </c>
      <c r="H4415">
        <v>0.19978258300806401</v>
      </c>
      <c r="I4415">
        <v>8.9312107174442101E-2</v>
      </c>
      <c r="J4415">
        <v>0.108217694996619</v>
      </c>
      <c r="K4415">
        <v>3.88595261640894E-2</v>
      </c>
      <c r="L4415">
        <v>952.93252939443505</v>
      </c>
      <c r="M4415">
        <v>19.248390923172298</v>
      </c>
      <c r="N4415">
        <v>50.125359806380899</v>
      </c>
      <c r="O4415">
        <v>48.982044055383</v>
      </c>
      <c r="P4415">
        <v>-8.78647656521888E-2</v>
      </c>
      <c r="Q4415">
        <v>0.105663581770814</v>
      </c>
      <c r="R4415">
        <v>0.98600322086815095</v>
      </c>
      <c r="S4415" t="s">
        <v>10276</v>
      </c>
      <c r="T4415" t="s">
        <v>11720</v>
      </c>
      <c r="U4415" t="s">
        <v>11720</v>
      </c>
      <c r="V4415" t="s">
        <v>11720</v>
      </c>
      <c r="W4415" t="s">
        <v>16080</v>
      </c>
      <c r="X4415">
        <v>8</v>
      </c>
      <c r="Y4415" t="s">
        <v>21792</v>
      </c>
      <c r="Z4415" t="s">
        <v>27622</v>
      </c>
      <c r="AA4415">
        <v>0.40254762762799778</v>
      </c>
      <c r="AB4415" t="str">
        <f>HYPERLINK("Melting_Curves/meltCurve_Q92995_USP13.pdf", "Melting_Curves/meltCurve_Q92995_USP13.pdf")</f>
        <v>Melting_Curves/meltCurve_Q92995_USP13.pdf</v>
      </c>
    </row>
    <row r="4416" spans="1:28" x14ac:dyDescent="0.25">
      <c r="A4416" t="s">
        <v>4420</v>
      </c>
      <c r="B4416">
        <v>0.99334974765950101</v>
      </c>
      <c r="C4416">
        <v>1.04497379703358</v>
      </c>
      <c r="D4416">
        <v>1.03870929945197</v>
      </c>
      <c r="E4416">
        <v>0.79996278452343506</v>
      </c>
      <c r="F4416">
        <v>0.24748419670726199</v>
      </c>
      <c r="G4416">
        <v>0.158526392248312</v>
      </c>
      <c r="H4416">
        <v>0.109902330317159</v>
      </c>
      <c r="I4416">
        <v>0.10465460214080299</v>
      </c>
      <c r="J4416">
        <v>9.3516054794511999E-2</v>
      </c>
      <c r="K4416">
        <v>7.1055274883914804E-2</v>
      </c>
      <c r="L4416">
        <v>2549.9744275050102</v>
      </c>
      <c r="M4416">
        <v>49.754791837383102</v>
      </c>
      <c r="N4416">
        <v>51.496624358418202</v>
      </c>
      <c r="O4416">
        <v>51.168241741061998</v>
      </c>
      <c r="P4416">
        <v>-0.21739907592702601</v>
      </c>
      <c r="Q4416">
        <v>0.105700704146991</v>
      </c>
      <c r="R4416">
        <v>0.99576737451440001</v>
      </c>
      <c r="S4416" t="s">
        <v>10277</v>
      </c>
      <c r="T4416" t="s">
        <v>11720</v>
      </c>
      <c r="U4416" t="s">
        <v>11720</v>
      </c>
      <c r="V4416" t="s">
        <v>11720</v>
      </c>
      <c r="W4416" t="s">
        <v>16081</v>
      </c>
      <c r="X4416">
        <v>17</v>
      </c>
      <c r="Y4416" t="s">
        <v>21793</v>
      </c>
      <c r="Z4416" t="s">
        <v>27623</v>
      </c>
      <c r="AA4416">
        <v>0.44312945841260448</v>
      </c>
      <c r="AB4416" t="str">
        <f>HYPERLINK("Melting_Curves/meltCurve_Q93008_1_USP9X.pdf", "Melting_Curves/meltCurve_Q93008_1_USP9X.pdf")</f>
        <v>Melting_Curves/meltCurve_Q93008_1_USP9X.pdf</v>
      </c>
    </row>
    <row r="4417" spans="1:28" x14ac:dyDescent="0.25">
      <c r="A4417" t="s">
        <v>4421</v>
      </c>
      <c r="B4417">
        <v>0.99334974765950101</v>
      </c>
      <c r="C4417">
        <v>0.91718495381486798</v>
      </c>
      <c r="D4417">
        <v>0.47945426981859601</v>
      </c>
      <c r="E4417">
        <v>0.21454936238393399</v>
      </c>
      <c r="F4417">
        <v>0.16520876233308501</v>
      </c>
      <c r="G4417">
        <v>8.7048732581090998E-2</v>
      </c>
      <c r="H4417">
        <v>6.4912134401393207E-2</v>
      </c>
      <c r="I4417">
        <v>5.8862680606037103E-2</v>
      </c>
      <c r="J4417">
        <v>5.6036039912148797E-2</v>
      </c>
      <c r="K4417">
        <v>4.9640904623632E-2</v>
      </c>
      <c r="L4417">
        <v>1153.22321953698</v>
      </c>
      <c r="M4417">
        <v>25.112054204817699</v>
      </c>
      <c r="N4417">
        <v>46.223201359042299</v>
      </c>
      <c r="O4417">
        <v>45.634840079771003</v>
      </c>
      <c r="P4417">
        <v>-0.12722383745983501</v>
      </c>
      <c r="Q4417">
        <v>7.5222852284157093E-2</v>
      </c>
      <c r="R4417">
        <v>0.99053282228315298</v>
      </c>
      <c r="S4417" t="s">
        <v>10278</v>
      </c>
      <c r="T4417" t="s">
        <v>11720</v>
      </c>
      <c r="U4417" t="s">
        <v>11720</v>
      </c>
      <c r="V4417" t="s">
        <v>11720</v>
      </c>
      <c r="W4417" t="s">
        <v>16082</v>
      </c>
      <c r="X4417">
        <v>5</v>
      </c>
      <c r="Y4417" t="s">
        <v>21794</v>
      </c>
      <c r="Z4417" t="s">
        <v>27624</v>
      </c>
      <c r="AA4417">
        <v>0.26629727863690578</v>
      </c>
      <c r="AB4417" t="str">
        <f>HYPERLINK("Melting_Curves/meltCurve_Q93015_2_NAT6.pdf", "Melting_Curves/meltCurve_Q93015_2_NAT6.pdf")</f>
        <v>Melting_Curves/meltCurve_Q93015_2_NAT6.pdf</v>
      </c>
    </row>
    <row r="4418" spans="1:28" x14ac:dyDescent="0.25">
      <c r="A4418" t="s">
        <v>4422</v>
      </c>
      <c r="B4418">
        <v>0.99334974765950101</v>
      </c>
      <c r="C4418">
        <v>1.0633261805798699</v>
      </c>
      <c r="D4418">
        <v>1.2609897287452601</v>
      </c>
      <c r="E4418">
        <v>1.6359565218157499</v>
      </c>
      <c r="F4418">
        <v>1.83775910407871</v>
      </c>
      <c r="G4418">
        <v>1.8088506461357501</v>
      </c>
      <c r="H4418">
        <v>0.34882132876583199</v>
      </c>
      <c r="I4418">
        <v>0.312751842387815</v>
      </c>
      <c r="J4418">
        <v>0.224918690068174</v>
      </c>
      <c r="K4418">
        <v>0.18479730489084401</v>
      </c>
      <c r="L4418">
        <v>15000</v>
      </c>
      <c r="M4418">
        <v>247.69827015667201</v>
      </c>
      <c r="N4418">
        <v>60.718623669305003</v>
      </c>
      <c r="O4418">
        <v>60.553600825632401</v>
      </c>
      <c r="P4418">
        <v>-0.77636664926214605</v>
      </c>
      <c r="Q4418">
        <v>0.24082156738900801</v>
      </c>
      <c r="R4418">
        <v>0.53778520778900796</v>
      </c>
      <c r="S4418" t="s">
        <v>10279</v>
      </c>
      <c r="T4418" t="s">
        <v>11720</v>
      </c>
      <c r="U4418" t="s">
        <v>11720</v>
      </c>
      <c r="V4418" t="s">
        <v>11720</v>
      </c>
      <c r="W4418" t="s">
        <v>16083</v>
      </c>
      <c r="X4418">
        <v>23</v>
      </c>
      <c r="Y4418" t="s">
        <v>21795</v>
      </c>
      <c r="Z4418" t="s">
        <v>27625</v>
      </c>
      <c r="AA4418">
        <v>0.76113200525349534</v>
      </c>
      <c r="AB4418" t="str">
        <f>HYPERLINK("Melting_Curves/meltCurve_Q93034_CUL5.pdf", "Melting_Curves/meltCurve_Q93034_CUL5.pdf")</f>
        <v>Melting_Curves/meltCurve_Q93034_CUL5.pdf</v>
      </c>
    </row>
    <row r="4419" spans="1:28" x14ac:dyDescent="0.25">
      <c r="A4419" t="s">
        <v>4423</v>
      </c>
      <c r="B4419">
        <v>0.99334974765950101</v>
      </c>
      <c r="C4419">
        <v>0.92411551331907404</v>
      </c>
      <c r="D4419">
        <v>0.861176647760592</v>
      </c>
      <c r="E4419">
        <v>0.70262455140159297</v>
      </c>
      <c r="F4419">
        <v>0.52287065328752602</v>
      </c>
      <c r="G4419">
        <v>0.351269922779258</v>
      </c>
      <c r="H4419">
        <v>0.17007218224836201</v>
      </c>
      <c r="I4419">
        <v>0.12589138277324299</v>
      </c>
      <c r="J4419">
        <v>0.100992936591287</v>
      </c>
      <c r="K4419">
        <v>8.6919749840997804E-2</v>
      </c>
      <c r="L4419">
        <v>625.16620878501203</v>
      </c>
      <c r="M4419">
        <v>11.7169986250919</v>
      </c>
      <c r="N4419">
        <v>53.483866205334401</v>
      </c>
      <c r="O4419">
        <v>51.872438298035497</v>
      </c>
      <c r="P4419">
        <v>-5.5701942161847401E-2</v>
      </c>
      <c r="Q4419">
        <v>1.3866302933548499E-2</v>
      </c>
      <c r="R4419">
        <v>0.99792497623823395</v>
      </c>
      <c r="S4419" t="s">
        <v>10280</v>
      </c>
      <c r="T4419" t="s">
        <v>11720</v>
      </c>
      <c r="U4419" t="s">
        <v>11720</v>
      </c>
      <c r="V4419" t="s">
        <v>11720</v>
      </c>
      <c r="W4419" t="s">
        <v>16084</v>
      </c>
      <c r="X4419">
        <v>33</v>
      </c>
      <c r="Y4419" t="s">
        <v>17840</v>
      </c>
      <c r="Z4419" t="s">
        <v>27626</v>
      </c>
      <c r="AA4419">
        <v>0.48084034161448502</v>
      </c>
      <c r="AB4419" t="str">
        <f>HYPERLINK("Melting_Curves/meltCurve_Q93052_LPP.pdf", "Melting_Curves/meltCurve_Q93052_LPP.pdf")</f>
        <v>Melting_Curves/meltCurve_Q93052_LPP.pdf</v>
      </c>
    </row>
    <row r="4420" spans="1:28" x14ac:dyDescent="0.25">
      <c r="A4420" t="s">
        <v>4424</v>
      </c>
      <c r="B4420">
        <v>0.99334974765950101</v>
      </c>
      <c r="C4420">
        <v>0.814488181901457</v>
      </c>
      <c r="D4420">
        <v>0.36781062328027397</v>
      </c>
      <c r="E4420">
        <v>0.357887522281642</v>
      </c>
      <c r="F4420">
        <v>0.221668051504916</v>
      </c>
      <c r="G4420">
        <v>0.11932707706850899</v>
      </c>
      <c r="H4420">
        <v>2.5083703871139802E-2</v>
      </c>
      <c r="I4420">
        <v>0</v>
      </c>
      <c r="J4420">
        <v>0</v>
      </c>
      <c r="K4420">
        <v>0</v>
      </c>
      <c r="L4420">
        <v>613.66499145520697</v>
      </c>
      <c r="M4420">
        <v>13.181612486371</v>
      </c>
      <c r="N4420">
        <v>46.558816951113599</v>
      </c>
      <c r="O4420">
        <v>45.522276343412997</v>
      </c>
      <c r="P4420">
        <v>-7.2360270693256096E-2</v>
      </c>
      <c r="Q4420">
        <v>5.9177474321076896E-4</v>
      </c>
      <c r="R4420">
        <v>0.95316173778083702</v>
      </c>
      <c r="S4420" t="s">
        <v>10281</v>
      </c>
      <c r="T4420" t="s">
        <v>11720</v>
      </c>
      <c r="U4420" t="s">
        <v>11720</v>
      </c>
      <c r="V4420" t="s">
        <v>11720</v>
      </c>
      <c r="W4420" t="s">
        <v>16085</v>
      </c>
      <c r="X4420">
        <v>3</v>
      </c>
      <c r="Y4420" t="s">
        <v>21796</v>
      </c>
      <c r="Z4420" t="s">
        <v>27627</v>
      </c>
      <c r="AA4420">
        <v>0.2552702879680423</v>
      </c>
      <c r="AB4420" t="str">
        <f>HYPERLINK("Melting_Curves/meltCurve_Q93063_EXT2.pdf", "Melting_Curves/meltCurve_Q93063_EXT2.pdf")</f>
        <v>Melting_Curves/meltCurve_Q93063_EXT2.pdf</v>
      </c>
    </row>
    <row r="4421" spans="1:28" x14ac:dyDescent="0.25">
      <c r="A4421" t="s">
        <v>4425</v>
      </c>
      <c r="B4421">
        <v>0.99334974765950101</v>
      </c>
      <c r="C4421">
        <v>0.85272705823528105</v>
      </c>
      <c r="D4421">
        <v>0.79978843457135196</v>
      </c>
      <c r="E4421">
        <v>0.80528003132064796</v>
      </c>
      <c r="F4421">
        <v>0.66954195571030295</v>
      </c>
      <c r="G4421">
        <v>0.72770796652337999</v>
      </c>
      <c r="H4421">
        <v>0.51156890693606605</v>
      </c>
      <c r="I4421">
        <v>0.42185076798240201</v>
      </c>
      <c r="J4421">
        <v>0.52721379176942895</v>
      </c>
      <c r="K4421">
        <v>0.38655126660733602</v>
      </c>
      <c r="L4421">
        <v>278.43083093045198</v>
      </c>
      <c r="M4421">
        <v>4.3562335115905704</v>
      </c>
      <c r="N4421">
        <v>63.915497844525603</v>
      </c>
      <c r="O4421">
        <v>53.833780984651298</v>
      </c>
      <c r="P4421">
        <v>-2.0427043307977202E-2</v>
      </c>
      <c r="Q4421">
        <v>0</v>
      </c>
      <c r="R4421">
        <v>0.90633773230822801</v>
      </c>
      <c r="S4421" t="s">
        <v>10282</v>
      </c>
      <c r="T4421" t="s">
        <v>11720</v>
      </c>
      <c r="U4421" t="s">
        <v>11720</v>
      </c>
      <c r="V4421" t="s">
        <v>11720</v>
      </c>
      <c r="W4421" t="s">
        <v>16086</v>
      </c>
      <c r="X4421">
        <v>1</v>
      </c>
      <c r="Y4421" t="s">
        <v>21797</v>
      </c>
      <c r="Z4421" t="s">
        <v>27628</v>
      </c>
      <c r="AA4421">
        <v>0.67074353531089315</v>
      </c>
      <c r="AB4421" t="str">
        <f>HYPERLINK("Melting_Curves/meltCurve_Q969E2_2_SCAMP4.pdf", "Melting_Curves/meltCurve_Q969E2_2_SCAMP4.pdf")</f>
        <v>Melting_Curves/meltCurve_Q969E2_2_SCAMP4.pdf</v>
      </c>
    </row>
    <row r="4422" spans="1:28" x14ac:dyDescent="0.25">
      <c r="A4422" t="s">
        <v>4426</v>
      </c>
      <c r="B4422">
        <v>0.99334974765950101</v>
      </c>
      <c r="C4422">
        <v>1.01461915367308</v>
      </c>
      <c r="D4422">
        <v>0.84092771804571098</v>
      </c>
      <c r="E4422">
        <v>0.806168245203709</v>
      </c>
      <c r="F4422">
        <v>0.93928336932975898</v>
      </c>
      <c r="G4422">
        <v>0.73002182072993704</v>
      </c>
      <c r="H4422">
        <v>0.77516917517566797</v>
      </c>
      <c r="I4422">
        <v>0.92156602498763696</v>
      </c>
      <c r="J4422">
        <v>1.0713051095620001</v>
      </c>
      <c r="K4422">
        <v>0.983203902750723</v>
      </c>
      <c r="L4422">
        <v>11076.4025658547</v>
      </c>
      <c r="M4422">
        <v>250</v>
      </c>
      <c r="O4422">
        <v>44.302785092219899</v>
      </c>
      <c r="P4422">
        <v>-0.164392675839243</v>
      </c>
      <c r="Q4422">
        <v>0.88347117237719797</v>
      </c>
      <c r="R4422">
        <v>0.19952410649491201</v>
      </c>
      <c r="S4422" t="s">
        <v>10283</v>
      </c>
      <c r="T4422" t="s">
        <v>11720</v>
      </c>
      <c r="U4422" t="s">
        <v>11720</v>
      </c>
      <c r="V4422" t="s">
        <v>11720</v>
      </c>
      <c r="W4422" t="s">
        <v>16087</v>
      </c>
      <c r="X4422">
        <v>11</v>
      </c>
      <c r="Y4422" t="s">
        <v>21798</v>
      </c>
      <c r="Z4422" t="s">
        <v>27629</v>
      </c>
      <c r="AA4422">
        <v>0.90020449035925121</v>
      </c>
      <c r="AB4422" t="str">
        <f>HYPERLINK("Melting_Curves/meltCurve_Q969E4_TCEAL3.pdf", "Melting_Curves/meltCurve_Q969E4_TCEAL3.pdf")</f>
        <v>Melting_Curves/meltCurve_Q969E4_TCEAL3.pdf</v>
      </c>
    </row>
    <row r="4423" spans="1:28" x14ac:dyDescent="0.25">
      <c r="A4423" t="s">
        <v>4427</v>
      </c>
      <c r="B4423">
        <v>0.99334974765950101</v>
      </c>
      <c r="C4423">
        <v>1.14375271342592</v>
      </c>
      <c r="D4423">
        <v>0.96605298366296399</v>
      </c>
      <c r="E4423">
        <v>0.92831314894878803</v>
      </c>
      <c r="F4423">
        <v>0.676129691958683</v>
      </c>
      <c r="G4423">
        <v>0.52612308652361495</v>
      </c>
      <c r="H4423">
        <v>0.45581802234399599</v>
      </c>
      <c r="I4423">
        <v>0.444087241592449</v>
      </c>
      <c r="J4423">
        <v>0.47168425163307998</v>
      </c>
      <c r="K4423">
        <v>0.49498488037528598</v>
      </c>
      <c r="L4423">
        <v>1812.36817733015</v>
      </c>
      <c r="M4423">
        <v>34.565020904916899</v>
      </c>
      <c r="N4423">
        <v>57.080268403726301</v>
      </c>
      <c r="O4423">
        <v>52.259033014631697</v>
      </c>
      <c r="P4423">
        <v>-8.7636138470134198E-2</v>
      </c>
      <c r="Q4423">
        <v>0.47001201641142198</v>
      </c>
      <c r="R4423">
        <v>0.96304495324941497</v>
      </c>
      <c r="S4423" t="s">
        <v>10284</v>
      </c>
      <c r="T4423" t="s">
        <v>11720</v>
      </c>
      <c r="U4423" t="s">
        <v>11720</v>
      </c>
      <c r="V4423" t="s">
        <v>11720</v>
      </c>
      <c r="W4423" t="s">
        <v>16088</v>
      </c>
      <c r="X4423">
        <v>4</v>
      </c>
      <c r="Y4423" t="s">
        <v>21799</v>
      </c>
      <c r="Z4423" t="s">
        <v>27630</v>
      </c>
      <c r="AA4423">
        <v>0.69223959625640186</v>
      </c>
      <c r="AB4423" t="str">
        <f>HYPERLINK("Melting_Curves/meltCurve_Q969E8_TSR2.pdf", "Melting_Curves/meltCurve_Q969E8_TSR2.pdf")</f>
        <v>Melting_Curves/meltCurve_Q969E8_TSR2.pdf</v>
      </c>
    </row>
    <row r="4424" spans="1:28" x14ac:dyDescent="0.25">
      <c r="A4424" t="s">
        <v>4428</v>
      </c>
      <c r="B4424">
        <v>0.99334974765950101</v>
      </c>
      <c r="C4424">
        <v>0.96760031268118796</v>
      </c>
      <c r="D4424">
        <v>0.80378695418869095</v>
      </c>
      <c r="E4424">
        <v>0.64317277406140305</v>
      </c>
      <c r="F4424">
        <v>0.29730426325814802</v>
      </c>
      <c r="G4424">
        <v>0.13508645445589401</v>
      </c>
      <c r="H4424">
        <v>7.3868934768936703E-2</v>
      </c>
      <c r="I4424">
        <v>5.9797613186477999E-2</v>
      </c>
      <c r="J4424">
        <v>6.8463990435507299E-2</v>
      </c>
      <c r="K4424">
        <v>6.0398883579337898E-2</v>
      </c>
      <c r="L4424">
        <v>924.58433387892899</v>
      </c>
      <c r="M4424">
        <v>18.268550688208499</v>
      </c>
      <c r="N4424">
        <v>50.852903380767302</v>
      </c>
      <c r="O4424">
        <v>50.015970109927103</v>
      </c>
      <c r="P4424">
        <v>-8.7513305762196195E-2</v>
      </c>
      <c r="Q4424">
        <v>4.1662587078506598E-2</v>
      </c>
      <c r="R4424">
        <v>0.99230183070658695</v>
      </c>
      <c r="S4424" t="s">
        <v>10285</v>
      </c>
      <c r="T4424" t="s">
        <v>11720</v>
      </c>
      <c r="U4424" t="s">
        <v>11720</v>
      </c>
      <c r="V4424" t="s">
        <v>11720</v>
      </c>
      <c r="W4424" t="s">
        <v>16089</v>
      </c>
      <c r="X4424">
        <v>4</v>
      </c>
      <c r="Y4424" t="s">
        <v>21800</v>
      </c>
      <c r="Z4424" t="s">
        <v>27631</v>
      </c>
      <c r="AA4424">
        <v>0.39640080025261559</v>
      </c>
      <c r="AB4424" t="str">
        <f>HYPERLINK("Melting_Curves/meltCurve_Q969G6_RFK.pdf", "Melting_Curves/meltCurve_Q969G6_RFK.pdf")</f>
        <v>Melting_Curves/meltCurve_Q969G6_RFK.pdf</v>
      </c>
    </row>
    <row r="4425" spans="1:28" x14ac:dyDescent="0.25">
      <c r="A4425" t="s">
        <v>4429</v>
      </c>
      <c r="B4425">
        <v>0.99334974765950101</v>
      </c>
      <c r="C4425">
        <v>1.00003981911849</v>
      </c>
      <c r="D4425">
        <v>0.91029053019033102</v>
      </c>
      <c r="E4425">
        <v>0.76920296785660702</v>
      </c>
      <c r="F4425">
        <v>0.74844787238681898</v>
      </c>
      <c r="G4425">
        <v>0.57785020632710404</v>
      </c>
      <c r="H4425">
        <v>0.48937614950265601</v>
      </c>
      <c r="I4425">
        <v>0.26352471746957301</v>
      </c>
      <c r="J4425">
        <v>0.13117301867317999</v>
      </c>
      <c r="K4425">
        <v>0.15407359751060501</v>
      </c>
      <c r="L4425">
        <v>586.49679067427405</v>
      </c>
      <c r="M4425">
        <v>10.053234973736</v>
      </c>
      <c r="N4425">
        <v>58.339109148675703</v>
      </c>
      <c r="O4425">
        <v>56.171796865172702</v>
      </c>
      <c r="P4425">
        <v>-4.4764579749284203E-2</v>
      </c>
      <c r="Q4425">
        <v>0</v>
      </c>
      <c r="R4425">
        <v>0.97564834598623096</v>
      </c>
      <c r="S4425" t="s">
        <v>10286</v>
      </c>
      <c r="T4425" t="s">
        <v>11720</v>
      </c>
      <c r="U4425" t="s">
        <v>11720</v>
      </c>
      <c r="V4425" t="s">
        <v>11720</v>
      </c>
      <c r="W4425" t="s">
        <v>16090</v>
      </c>
      <c r="X4425">
        <v>9</v>
      </c>
      <c r="Y4425" t="s">
        <v>21801</v>
      </c>
      <c r="Z4425" t="s">
        <v>27632</v>
      </c>
      <c r="AA4425">
        <v>0.61919795689569113</v>
      </c>
      <c r="AB4425" t="str">
        <f>HYPERLINK("Melting_Curves/meltCurve_Q969H8_C19orf10.pdf", "Melting_Curves/meltCurve_Q969H8_C19orf10.pdf")</f>
        <v>Melting_Curves/meltCurve_Q969H8_C19orf10.pdf</v>
      </c>
    </row>
    <row r="4426" spans="1:28" x14ac:dyDescent="0.25">
      <c r="A4426" t="s">
        <v>4430</v>
      </c>
      <c r="B4426">
        <v>0.99334974765950101</v>
      </c>
      <c r="C4426">
        <v>0.87284611568159698</v>
      </c>
      <c r="D4426">
        <v>0.83857872821970003</v>
      </c>
      <c r="E4426">
        <v>0.59053830641901295</v>
      </c>
      <c r="F4426">
        <v>0.25996022008630298</v>
      </c>
      <c r="G4426">
        <v>0.14952813985954999</v>
      </c>
      <c r="H4426">
        <v>0.152134368848305</v>
      </c>
      <c r="I4426">
        <v>9.5258634032682504E-2</v>
      </c>
      <c r="J4426">
        <v>0.117394070466687</v>
      </c>
      <c r="K4426">
        <v>0.12272948944503299</v>
      </c>
      <c r="L4426">
        <v>945.52602521567098</v>
      </c>
      <c r="M4426">
        <v>19.0047635916311</v>
      </c>
      <c r="N4426">
        <v>50.345068264429202</v>
      </c>
      <c r="O4426">
        <v>49.2110102211292</v>
      </c>
      <c r="P4426">
        <v>-8.6868516160932802E-2</v>
      </c>
      <c r="Q4426">
        <v>0.100284933159206</v>
      </c>
      <c r="R4426">
        <v>0.98645427972323896</v>
      </c>
      <c r="S4426" t="s">
        <v>10287</v>
      </c>
      <c r="T4426" t="s">
        <v>11720</v>
      </c>
      <c r="U4426" t="s">
        <v>11720</v>
      </c>
      <c r="V4426" t="s">
        <v>11720</v>
      </c>
      <c r="W4426" t="s">
        <v>16091</v>
      </c>
      <c r="X4426">
        <v>3</v>
      </c>
      <c r="Y4426" t="s">
        <v>21802</v>
      </c>
      <c r="Z4426" t="s">
        <v>27633</v>
      </c>
      <c r="AA4426">
        <v>0.40661197204004229</v>
      </c>
      <c r="AB4426" t="str">
        <f>HYPERLINK("Melting_Curves/meltCurve_Q969K3_RNF34.pdf", "Melting_Curves/meltCurve_Q969K3_RNF34.pdf")</f>
        <v>Melting_Curves/meltCurve_Q969K3_RNF34.pdf</v>
      </c>
    </row>
    <row r="4427" spans="1:28" x14ac:dyDescent="0.25">
      <c r="A4427" t="s">
        <v>4431</v>
      </c>
      <c r="B4427">
        <v>0.99334974765950101</v>
      </c>
      <c r="C4427">
        <v>0.98629995635586298</v>
      </c>
      <c r="D4427">
        <v>0.71048924602607799</v>
      </c>
      <c r="E4427">
        <v>0.778237461362286</v>
      </c>
      <c r="F4427">
        <v>0.75685245901218301</v>
      </c>
      <c r="G4427">
        <v>0.56899824873229499</v>
      </c>
      <c r="H4427">
        <v>0.48875691216913197</v>
      </c>
      <c r="I4427">
        <v>0.63221415148293703</v>
      </c>
      <c r="J4427">
        <v>0.58297461671355599</v>
      </c>
      <c r="K4427">
        <v>0.40838931145620999</v>
      </c>
      <c r="L4427">
        <v>424.48884255975901</v>
      </c>
      <c r="M4427">
        <v>8.2427168896231002</v>
      </c>
      <c r="N4427">
        <v>69.524046522735603</v>
      </c>
      <c r="O4427">
        <v>48.734235130366699</v>
      </c>
      <c r="P4427">
        <v>-2.3660655538345801E-2</v>
      </c>
      <c r="Q4427">
        <v>0.441000328222802</v>
      </c>
      <c r="R4427">
        <v>0.819476186859741</v>
      </c>
      <c r="S4427" t="s">
        <v>10288</v>
      </c>
      <c r="T4427" t="s">
        <v>11720</v>
      </c>
      <c r="U4427" t="s">
        <v>11720</v>
      </c>
      <c r="V4427" t="s">
        <v>11720</v>
      </c>
      <c r="W4427" t="s">
        <v>16092</v>
      </c>
      <c r="X4427">
        <v>1</v>
      </c>
      <c r="Y4427" t="s">
        <v>21803</v>
      </c>
      <c r="Z4427" t="s">
        <v>27634</v>
      </c>
      <c r="AA4427">
        <v>0.68257004538503252</v>
      </c>
      <c r="AB4427" t="str">
        <f>HYPERLINK("Melting_Curves/meltCurve_Q969K7_3_TMEM54.pdf", "Melting_Curves/meltCurve_Q969K7_3_TMEM54.pdf")</f>
        <v>Melting_Curves/meltCurve_Q969K7_3_TMEM54.pdf</v>
      </c>
    </row>
    <row r="4428" spans="1:28" x14ac:dyDescent="0.25">
      <c r="A4428" t="s">
        <v>4432</v>
      </c>
      <c r="B4428">
        <v>0.99334974765950101</v>
      </c>
      <c r="C4428">
        <v>0.97881216212494504</v>
      </c>
      <c r="D4428">
        <v>0.75730756322639903</v>
      </c>
      <c r="E4428">
        <v>0.78373302019477498</v>
      </c>
      <c r="F4428">
        <v>0.43285660634704598</v>
      </c>
      <c r="G4428">
        <v>0.35541333383489598</v>
      </c>
      <c r="H4428">
        <v>0.27940031886145</v>
      </c>
      <c r="I4428">
        <v>0.35248380477472002</v>
      </c>
      <c r="J4428">
        <v>0.212385357887828</v>
      </c>
      <c r="K4428">
        <v>0.109787568536459</v>
      </c>
      <c r="L4428">
        <v>601.40155136392298</v>
      </c>
      <c r="M4428">
        <v>11.5887508693664</v>
      </c>
      <c r="N4428">
        <v>53.557663853940497</v>
      </c>
      <c r="O4428">
        <v>50.4221978604455</v>
      </c>
      <c r="P4428">
        <v>-4.8792441633220301E-2</v>
      </c>
      <c r="Q4428">
        <v>0.151057955104722</v>
      </c>
      <c r="R4428">
        <v>0.94441027265874899</v>
      </c>
      <c r="S4428" t="s">
        <v>10289</v>
      </c>
      <c r="T4428" t="s">
        <v>11720</v>
      </c>
      <c r="U4428" t="s">
        <v>11720</v>
      </c>
      <c r="V4428" t="s">
        <v>11720</v>
      </c>
      <c r="W4428" t="s">
        <v>16093</v>
      </c>
      <c r="X4428">
        <v>2</v>
      </c>
      <c r="Y4428" t="s">
        <v>21804</v>
      </c>
      <c r="Z4428" t="s">
        <v>27635</v>
      </c>
      <c r="AA4428">
        <v>0.51502896026784029</v>
      </c>
      <c r="AB4428" t="str">
        <f>HYPERLINK("Melting_Curves/meltCurve_Q969M3_YIPF5.pdf", "Melting_Curves/meltCurve_Q969M3_YIPF5.pdf")</f>
        <v>Melting_Curves/meltCurve_Q969M3_YIPF5.pdf</v>
      </c>
    </row>
    <row r="4429" spans="1:28" x14ac:dyDescent="0.25">
      <c r="A4429" t="s">
        <v>4433</v>
      </c>
      <c r="B4429">
        <v>0.99334974765950101</v>
      </c>
      <c r="C4429">
        <v>1.02830673233711</v>
      </c>
      <c r="D4429">
        <v>1.1402659335757801</v>
      </c>
      <c r="E4429">
        <v>1.3632768448927599</v>
      </c>
      <c r="F4429">
        <v>0.48661437649136302</v>
      </c>
      <c r="G4429">
        <v>0.39378852283300902</v>
      </c>
      <c r="H4429">
        <v>0.26611316840585902</v>
      </c>
      <c r="I4429">
        <v>0.23563033004063499</v>
      </c>
      <c r="J4429">
        <v>0.18222626220216101</v>
      </c>
      <c r="K4429">
        <v>0.135959802971862</v>
      </c>
      <c r="L4429">
        <v>13210.547798338799</v>
      </c>
      <c r="M4429">
        <v>250</v>
      </c>
      <c r="N4429">
        <v>52.983016457333299</v>
      </c>
      <c r="O4429">
        <v>52.838811983168</v>
      </c>
      <c r="P4429">
        <v>-0.895715315029042</v>
      </c>
      <c r="Q4429">
        <v>0.242743504453593</v>
      </c>
      <c r="R4429">
        <v>0.89933515146995802</v>
      </c>
      <c r="S4429" t="s">
        <v>10290</v>
      </c>
      <c r="T4429" t="s">
        <v>11720</v>
      </c>
      <c r="U4429" t="s">
        <v>11720</v>
      </c>
      <c r="V4429" t="s">
        <v>11720</v>
      </c>
      <c r="W4429" t="s">
        <v>16094</v>
      </c>
      <c r="X4429">
        <v>3</v>
      </c>
      <c r="Y4429" t="s">
        <v>21805</v>
      </c>
      <c r="Z4429" t="s">
        <v>27636</v>
      </c>
      <c r="AA4429">
        <v>0.56697482025876289</v>
      </c>
      <c r="AB4429" t="str">
        <f>HYPERLINK("Melting_Curves/meltCurve_Q969N2_3_PIGT.pdf", "Melting_Curves/meltCurve_Q969N2_3_PIGT.pdf")</f>
        <v>Melting_Curves/meltCurve_Q969N2_3_PIGT.pdf</v>
      </c>
    </row>
    <row r="4430" spans="1:28" x14ac:dyDescent="0.25">
      <c r="A4430" t="s">
        <v>4434</v>
      </c>
      <c r="B4430">
        <v>0.99334974765950101</v>
      </c>
      <c r="C4430">
        <v>1.09797310739955</v>
      </c>
      <c r="D4430">
        <v>0.99392722425820001</v>
      </c>
      <c r="E4430">
        <v>1.1051113378477899</v>
      </c>
      <c r="F4430">
        <v>1.0352689608114101</v>
      </c>
      <c r="G4430">
        <v>0.896388616119007</v>
      </c>
      <c r="H4430">
        <v>0.68283007002461604</v>
      </c>
      <c r="I4430">
        <v>0.75348609501559904</v>
      </c>
      <c r="J4430">
        <v>0.66762019024204899</v>
      </c>
      <c r="K4430">
        <v>0.58997445899922896</v>
      </c>
      <c r="L4430">
        <v>2744.7325312534399</v>
      </c>
      <c r="M4430">
        <v>47.316508559641001</v>
      </c>
      <c r="O4430">
        <v>57.904598965750701</v>
      </c>
      <c r="P4430">
        <v>-6.8477045399480699E-2</v>
      </c>
      <c r="Q4430">
        <v>0.66479932721792501</v>
      </c>
      <c r="R4430">
        <v>0.89401230914402197</v>
      </c>
      <c r="S4430" t="s">
        <v>10291</v>
      </c>
      <c r="T4430" t="s">
        <v>11720</v>
      </c>
      <c r="U4430" t="s">
        <v>11720</v>
      </c>
      <c r="V4430" t="s">
        <v>11720</v>
      </c>
      <c r="W4430" t="s">
        <v>16095</v>
      </c>
      <c r="X4430">
        <v>3</v>
      </c>
      <c r="Y4430" t="s">
        <v>21806</v>
      </c>
      <c r="Z4430" t="s">
        <v>27637</v>
      </c>
      <c r="AA4430">
        <v>0.86696031372814653</v>
      </c>
      <c r="AB4430" t="str">
        <f>HYPERLINK("Melting_Curves/meltCurve_Q969P0_3_IGSF8.pdf", "Melting_Curves/meltCurve_Q969P0_3_IGSF8.pdf")</f>
        <v>Melting_Curves/meltCurve_Q969P0_3_IGSF8.pdf</v>
      </c>
    </row>
    <row r="4431" spans="1:28" x14ac:dyDescent="0.25">
      <c r="A4431" t="s">
        <v>4435</v>
      </c>
      <c r="B4431">
        <v>0.99334974765950101</v>
      </c>
      <c r="C4431">
        <v>0.91408758288879799</v>
      </c>
      <c r="D4431">
        <v>0.80388538039357504</v>
      </c>
      <c r="E4431">
        <v>0.69596290700363905</v>
      </c>
      <c r="F4431">
        <v>0.62689433525771798</v>
      </c>
      <c r="G4431">
        <v>0.48598407134543598</v>
      </c>
      <c r="H4431">
        <v>0.40821390720413497</v>
      </c>
      <c r="I4431">
        <v>0.32201208808954401</v>
      </c>
      <c r="J4431">
        <v>0.20579231741569201</v>
      </c>
      <c r="K4431">
        <v>0.106447166048352</v>
      </c>
      <c r="L4431">
        <v>427.63520871786397</v>
      </c>
      <c r="M4431">
        <v>7.5998219131139102</v>
      </c>
      <c r="N4431">
        <v>56.269109144052699</v>
      </c>
      <c r="O4431">
        <v>52.769593436405401</v>
      </c>
      <c r="P4431">
        <v>-3.6054040724141298E-2</v>
      </c>
      <c r="Q4431">
        <v>0</v>
      </c>
      <c r="R4431">
        <v>0.98220099696293195</v>
      </c>
      <c r="S4431" t="s">
        <v>10292</v>
      </c>
      <c r="T4431" t="s">
        <v>11720</v>
      </c>
      <c r="U4431" t="s">
        <v>11720</v>
      </c>
      <c r="V4431" t="s">
        <v>11720</v>
      </c>
      <c r="W4431" t="s">
        <v>16096</v>
      </c>
      <c r="X4431">
        <v>13</v>
      </c>
      <c r="Y4431" t="s">
        <v>21807</v>
      </c>
      <c r="Z4431" t="s">
        <v>27638</v>
      </c>
      <c r="AA4431">
        <v>0.5592612690152019</v>
      </c>
      <c r="AB4431" t="str">
        <f>HYPERLINK("Melting_Curves/meltCurve_Q969Q5_RAB24.pdf", "Melting_Curves/meltCurve_Q969Q5_RAB24.pdf")</f>
        <v>Melting_Curves/meltCurve_Q969Q5_RAB24.pdf</v>
      </c>
    </row>
    <row r="4432" spans="1:28" x14ac:dyDescent="0.25">
      <c r="A4432" t="s">
        <v>4436</v>
      </c>
      <c r="B4432">
        <v>0.99334974765950101</v>
      </c>
      <c r="C4432">
        <v>0.88003196310366605</v>
      </c>
      <c r="D4432">
        <v>0.64194891180894498</v>
      </c>
      <c r="E4432">
        <v>0.46207906845767099</v>
      </c>
      <c r="F4432">
        <v>0.236562450977023</v>
      </c>
      <c r="G4432">
        <v>0.14361538542539401</v>
      </c>
      <c r="H4432">
        <v>0.108699789662562</v>
      </c>
      <c r="I4432">
        <v>0.114265870780726</v>
      </c>
      <c r="J4432">
        <v>0.11482315739946899</v>
      </c>
      <c r="K4432">
        <v>0.101400260643026</v>
      </c>
      <c r="L4432">
        <v>738.17774572231804</v>
      </c>
      <c r="M4432">
        <v>15.3971517640949</v>
      </c>
      <c r="N4432">
        <v>48.564622640684597</v>
      </c>
      <c r="O4432">
        <v>47.155606304103102</v>
      </c>
      <c r="P4432">
        <v>-7.4329863052530795E-2</v>
      </c>
      <c r="Q4432">
        <v>8.9506768031244605E-2</v>
      </c>
      <c r="R4432">
        <v>0.99262798416905695</v>
      </c>
      <c r="S4432" t="s">
        <v>10293</v>
      </c>
      <c r="T4432" t="s">
        <v>11720</v>
      </c>
      <c r="U4432" t="s">
        <v>11720</v>
      </c>
      <c r="V4432" t="s">
        <v>11720</v>
      </c>
      <c r="W4432" t="s">
        <v>16097</v>
      </c>
      <c r="X4432">
        <v>6</v>
      </c>
      <c r="Y4432" t="s">
        <v>21808</v>
      </c>
      <c r="Z4432" t="s">
        <v>27639</v>
      </c>
      <c r="AA4432">
        <v>0.35286061465238749</v>
      </c>
      <c r="AB4432" t="str">
        <f>HYPERLINK("Melting_Curves/meltCurve_Q969S3_ZNF622.pdf", "Melting_Curves/meltCurve_Q969S3_ZNF622.pdf")</f>
        <v>Melting_Curves/meltCurve_Q969S3_ZNF622.pdf</v>
      </c>
    </row>
    <row r="4433" spans="1:28" x14ac:dyDescent="0.25">
      <c r="A4433" t="s">
        <v>4437</v>
      </c>
      <c r="B4433">
        <v>0.99334974765950101</v>
      </c>
      <c r="C4433">
        <v>0.772930468729908</v>
      </c>
      <c r="D4433">
        <v>0.42129803122085802</v>
      </c>
      <c r="E4433">
        <v>0.23298873516896201</v>
      </c>
      <c r="F4433">
        <v>0.15934017483885299</v>
      </c>
      <c r="G4433">
        <v>0.10827256285041199</v>
      </c>
      <c r="H4433">
        <v>7.6495255409999394E-2</v>
      </c>
      <c r="I4433">
        <v>7.5390862145362794E-2</v>
      </c>
      <c r="J4433">
        <v>6.9885489179320401E-2</v>
      </c>
      <c r="K4433">
        <v>5.4340857402336698E-2</v>
      </c>
      <c r="L4433">
        <v>922.23589369559295</v>
      </c>
      <c r="M4433">
        <v>20.401512657901801</v>
      </c>
      <c r="N4433">
        <v>45.603314716174502</v>
      </c>
      <c r="O4433">
        <v>44.7766750867086</v>
      </c>
      <c r="P4433">
        <v>-0.10459864981092699</v>
      </c>
      <c r="Q4433">
        <v>8.1746296259741696E-2</v>
      </c>
      <c r="R4433">
        <v>0.99162537839342502</v>
      </c>
      <c r="S4433" t="s">
        <v>10294</v>
      </c>
      <c r="T4433" t="s">
        <v>11720</v>
      </c>
      <c r="U4433" t="s">
        <v>11720</v>
      </c>
      <c r="V4433" t="s">
        <v>11720</v>
      </c>
      <c r="W4433" t="s">
        <v>16098</v>
      </c>
      <c r="X4433">
        <v>10</v>
      </c>
      <c r="Y4433" t="s">
        <v>21809</v>
      </c>
      <c r="Z4433" t="s">
        <v>27640</v>
      </c>
      <c r="AA4433">
        <v>0.25555796961923888</v>
      </c>
      <c r="AB4433" t="str">
        <f>HYPERLINK("Melting_Curves/meltCurve_Q969S9_3_GFM2.pdf", "Melting_Curves/meltCurve_Q969S9_3_GFM2.pdf")</f>
        <v>Melting_Curves/meltCurve_Q969S9_3_GFM2.pdf</v>
      </c>
    </row>
    <row r="4434" spans="1:28" x14ac:dyDescent="0.25">
      <c r="A4434" t="s">
        <v>4438</v>
      </c>
      <c r="B4434">
        <v>0.99334974765950101</v>
      </c>
      <c r="C4434">
        <v>0.93280174455218501</v>
      </c>
      <c r="D4434">
        <v>0.83268365324365001</v>
      </c>
      <c r="E4434">
        <v>0.490788632228293</v>
      </c>
      <c r="F4434">
        <v>0.122587685502591</v>
      </c>
      <c r="G4434">
        <v>8.8774112176890296E-2</v>
      </c>
      <c r="H4434">
        <v>6.0870484296782199E-2</v>
      </c>
      <c r="I4434">
        <v>5.2228646155649899E-2</v>
      </c>
      <c r="J4434">
        <v>3.7272056463630202E-2</v>
      </c>
      <c r="K4434">
        <v>2.83490028186347E-2</v>
      </c>
      <c r="L4434">
        <v>1174.14286677878</v>
      </c>
      <c r="M4434">
        <v>23.806676295990901</v>
      </c>
      <c r="N4434">
        <v>49.475173101789601</v>
      </c>
      <c r="O4434">
        <v>48.975861758382997</v>
      </c>
      <c r="P4434">
        <v>-0.117150076929864</v>
      </c>
      <c r="Q4434">
        <v>3.5996233042000302E-2</v>
      </c>
      <c r="R4434">
        <v>0.99336089872661004</v>
      </c>
      <c r="S4434" t="s">
        <v>10295</v>
      </c>
      <c r="T4434" t="s">
        <v>11720</v>
      </c>
      <c r="U4434" t="s">
        <v>11720</v>
      </c>
      <c r="V4434" t="s">
        <v>11720</v>
      </c>
      <c r="W4434" t="s">
        <v>16099</v>
      </c>
      <c r="X4434">
        <v>6</v>
      </c>
      <c r="Y4434" t="s">
        <v>21810</v>
      </c>
      <c r="Z4434" t="s">
        <v>27641</v>
      </c>
      <c r="AA4434">
        <v>0.34493846429120251</v>
      </c>
      <c r="AB4434" t="str">
        <f>HYPERLINK("Melting_Curves/meltCurve_Q969T7_2_NT5C3B.pdf", "Melting_Curves/meltCurve_Q969T7_2_NT5C3B.pdf")</f>
        <v>Melting_Curves/meltCurve_Q969T7_2_NT5C3B.pdf</v>
      </c>
    </row>
    <row r="4435" spans="1:28" x14ac:dyDescent="0.25">
      <c r="A4435" t="s">
        <v>4439</v>
      </c>
      <c r="B4435">
        <v>0.99334974765950101</v>
      </c>
      <c r="C4435">
        <v>0.80680901989352105</v>
      </c>
      <c r="D4435">
        <v>1.0664643100093101</v>
      </c>
      <c r="E4435">
        <v>0.97033123676758803</v>
      </c>
      <c r="F4435">
        <v>0.28396003671022702</v>
      </c>
      <c r="G4435">
        <v>0.17367620047375301</v>
      </c>
      <c r="H4435">
        <v>0.13239512532797601</v>
      </c>
      <c r="I4435">
        <v>0.11054305530207099</v>
      </c>
      <c r="J4435">
        <v>0.122358056347459</v>
      </c>
      <c r="K4435">
        <v>9.6792870311894597E-2</v>
      </c>
      <c r="L4435">
        <v>4259.4197010800199</v>
      </c>
      <c r="M4435">
        <v>81.879742894637801</v>
      </c>
      <c r="N4435">
        <v>52.207167297405398</v>
      </c>
      <c r="O4435">
        <v>51.989427164780402</v>
      </c>
      <c r="P4435">
        <v>-0.34375527576452702</v>
      </c>
      <c r="Q4435">
        <v>0.12693239785232099</v>
      </c>
      <c r="R4435">
        <v>0.97211742635847598</v>
      </c>
      <c r="S4435" t="s">
        <v>10296</v>
      </c>
      <c r="T4435" t="s">
        <v>11720</v>
      </c>
      <c r="U4435" t="s">
        <v>11720</v>
      </c>
      <c r="V4435" t="s">
        <v>11720</v>
      </c>
      <c r="W4435" t="s">
        <v>16100</v>
      </c>
      <c r="X4435">
        <v>13</v>
      </c>
      <c r="Y4435" t="s">
        <v>21811</v>
      </c>
      <c r="Z4435" t="s">
        <v>27642</v>
      </c>
      <c r="AA4435">
        <v>0.4774985238225517</v>
      </c>
      <c r="AB4435" t="str">
        <f>HYPERLINK("Melting_Curves/meltCurve_Q969V3_2_NCLN.pdf", "Melting_Curves/meltCurve_Q969V3_2_NCLN.pdf")</f>
        <v>Melting_Curves/meltCurve_Q969V3_2_NCLN.pdf</v>
      </c>
    </row>
    <row r="4436" spans="1:28" x14ac:dyDescent="0.25">
      <c r="A4436" t="s">
        <v>4440</v>
      </c>
      <c r="B4436">
        <v>0.99334974765950101</v>
      </c>
      <c r="C4436">
        <v>0.982424884111192</v>
      </c>
      <c r="D4436">
        <v>1.02704367183053</v>
      </c>
      <c r="E4436">
        <v>1.03363337043537</v>
      </c>
      <c r="F4436">
        <v>0.84946322515095596</v>
      </c>
      <c r="G4436">
        <v>0.62415819337328404</v>
      </c>
      <c r="H4436">
        <v>0.21028794177746399</v>
      </c>
      <c r="I4436">
        <v>0.149361742278763</v>
      </c>
      <c r="J4436">
        <v>0.10668742320956601</v>
      </c>
      <c r="K4436">
        <v>8.5742342988537404E-2</v>
      </c>
      <c r="L4436">
        <v>1493.1734297102</v>
      </c>
      <c r="M4436">
        <v>25.9739597462302</v>
      </c>
      <c r="N4436">
        <v>57.858047472445598</v>
      </c>
      <c r="O4436">
        <v>57.149809614035298</v>
      </c>
      <c r="P4436">
        <v>-0.10491321389483101</v>
      </c>
      <c r="Q4436">
        <v>7.6659699654105296E-2</v>
      </c>
      <c r="R4436">
        <v>0.993779906199312</v>
      </c>
      <c r="S4436" t="s">
        <v>10297</v>
      </c>
      <c r="T4436" t="s">
        <v>11720</v>
      </c>
      <c r="U4436" t="s">
        <v>11720</v>
      </c>
      <c r="V4436" t="s">
        <v>11720</v>
      </c>
      <c r="W4436" t="s">
        <v>16101</v>
      </c>
      <c r="X4436">
        <v>9</v>
      </c>
      <c r="Y4436" t="s">
        <v>21812</v>
      </c>
      <c r="Z4436" t="s">
        <v>27643</v>
      </c>
      <c r="AA4436">
        <v>0.62262392685688295</v>
      </c>
      <c r="AB4436" t="str">
        <f>HYPERLINK("Melting_Curves/meltCurve_Q969X5_2_ERGIC1.pdf", "Melting_Curves/meltCurve_Q969X5_2_ERGIC1.pdf")</f>
        <v>Melting_Curves/meltCurve_Q969X5_2_ERGIC1.pdf</v>
      </c>
    </row>
    <row r="4437" spans="1:28" x14ac:dyDescent="0.25">
      <c r="A4437" t="s">
        <v>4441</v>
      </c>
      <c r="B4437">
        <v>0.99334974765950101</v>
      </c>
      <c r="C4437">
        <v>0.71643943178098202</v>
      </c>
      <c r="D4437">
        <v>0.95894936200706404</v>
      </c>
      <c r="E4437">
        <v>0.52202698937391301</v>
      </c>
      <c r="F4437">
        <v>0.58210714614830705</v>
      </c>
      <c r="G4437">
        <v>0.62829112753223504</v>
      </c>
      <c r="H4437">
        <v>0.75683384539565501</v>
      </c>
      <c r="I4437">
        <v>0.90613021200902599</v>
      </c>
      <c r="J4437">
        <v>0.82145397351339</v>
      </c>
      <c r="K4437">
        <v>1.0777476084034101</v>
      </c>
      <c r="L4437">
        <v>10139.745869697699</v>
      </c>
      <c r="M4437">
        <v>250</v>
      </c>
      <c r="O4437">
        <v>40.556387981601198</v>
      </c>
      <c r="P4437">
        <v>-0.34759910495368102</v>
      </c>
      <c r="Q4437">
        <v>0.77444217371200397</v>
      </c>
      <c r="R4437">
        <v>0.13715161840165899</v>
      </c>
      <c r="S4437" t="s">
        <v>10298</v>
      </c>
      <c r="T4437" t="s">
        <v>11720</v>
      </c>
      <c r="U4437" t="s">
        <v>11720</v>
      </c>
      <c r="V4437" t="s">
        <v>11720</v>
      </c>
      <c r="W4437" t="s">
        <v>16102</v>
      </c>
      <c r="X4437">
        <v>3</v>
      </c>
      <c r="Y4437" t="s">
        <v>21813</v>
      </c>
      <c r="Z4437" t="s">
        <v>27644</v>
      </c>
      <c r="AA4437">
        <v>0.77869623731693016</v>
      </c>
      <c r="AB4437" t="str">
        <f>HYPERLINK("Melting_Curves/meltCurve_Q969Y2_3_GTPBP3.pdf", "Melting_Curves/meltCurve_Q969Y2_3_GTPBP3.pdf")</f>
        <v>Melting_Curves/meltCurve_Q969Y2_3_GTPBP3.pdf</v>
      </c>
    </row>
    <row r="4438" spans="1:28" x14ac:dyDescent="0.25">
      <c r="A4438" t="s">
        <v>4442</v>
      </c>
      <c r="B4438">
        <v>0.99334974765950101</v>
      </c>
      <c r="C4438">
        <v>0.84954513155873002</v>
      </c>
      <c r="D4438">
        <v>0.48695072640412701</v>
      </c>
      <c r="E4438">
        <v>0.27604533713993501</v>
      </c>
      <c r="F4438">
        <v>0.199873510931624</v>
      </c>
      <c r="G4438">
        <v>0.141343588910532</v>
      </c>
      <c r="H4438">
        <v>9.6148022927102103E-2</v>
      </c>
      <c r="I4438">
        <v>9.0899801288264803E-2</v>
      </c>
      <c r="J4438">
        <v>8.0069336920397E-2</v>
      </c>
      <c r="K4438">
        <v>7.8886603176328896E-2</v>
      </c>
      <c r="L4438">
        <v>899.33796460779104</v>
      </c>
      <c r="M4438">
        <v>19.587790102116902</v>
      </c>
      <c r="N4438">
        <v>46.4347774150474</v>
      </c>
      <c r="O4438">
        <v>45.442686574890601</v>
      </c>
      <c r="P4438">
        <v>-9.7123341522501405E-2</v>
      </c>
      <c r="Q4438">
        <v>9.8746812500042899E-2</v>
      </c>
      <c r="R4438">
        <v>0.99081414554195602</v>
      </c>
      <c r="S4438" t="s">
        <v>10299</v>
      </c>
      <c r="T4438" t="s">
        <v>11720</v>
      </c>
      <c r="U4438" t="s">
        <v>11720</v>
      </c>
      <c r="V4438" t="s">
        <v>11720</v>
      </c>
      <c r="W4438" t="s">
        <v>16103</v>
      </c>
      <c r="X4438">
        <v>7</v>
      </c>
      <c r="Y4438" t="s">
        <v>21814</v>
      </c>
      <c r="Z4438" t="s">
        <v>27645</v>
      </c>
      <c r="AA4438">
        <v>0.29109493050312651</v>
      </c>
      <c r="AB4438" t="str">
        <f>HYPERLINK("Melting_Curves/meltCurve_Q969Z0_TBRG4.pdf", "Melting_Curves/meltCurve_Q969Z0_TBRG4.pdf")</f>
        <v>Melting_Curves/meltCurve_Q969Z0_TBRG4.pdf</v>
      </c>
    </row>
    <row r="4439" spans="1:28" x14ac:dyDescent="0.25">
      <c r="A4439" t="s">
        <v>4443</v>
      </c>
      <c r="B4439">
        <v>0.99334974765950101</v>
      </c>
      <c r="C4439">
        <v>0.80196561573296998</v>
      </c>
      <c r="D4439">
        <v>0.72832986853086201</v>
      </c>
      <c r="E4439">
        <v>0.72938166717991104</v>
      </c>
      <c r="F4439">
        <v>0.466595986379086</v>
      </c>
      <c r="G4439">
        <v>0.35341337725162397</v>
      </c>
      <c r="H4439">
        <v>0.177444905097078</v>
      </c>
      <c r="I4439">
        <v>0.22489932175827301</v>
      </c>
      <c r="J4439">
        <v>0.115675671600126</v>
      </c>
      <c r="K4439">
        <v>0.105067510571421</v>
      </c>
      <c r="L4439">
        <v>456.02688006253902</v>
      </c>
      <c r="M4439">
        <v>8.6381064909081697</v>
      </c>
      <c r="N4439">
        <v>52.792457467445502</v>
      </c>
      <c r="O4439">
        <v>50.191808453272202</v>
      </c>
      <c r="P4439">
        <v>-4.3061970695468903E-2</v>
      </c>
      <c r="Q4439">
        <v>0</v>
      </c>
      <c r="R4439">
        <v>0.96699947023787902</v>
      </c>
      <c r="S4439" t="s">
        <v>10300</v>
      </c>
      <c r="T4439" t="s">
        <v>11720</v>
      </c>
      <c r="U4439" t="s">
        <v>11720</v>
      </c>
      <c r="V4439" t="s">
        <v>11720</v>
      </c>
      <c r="W4439" t="s">
        <v>16104</v>
      </c>
      <c r="X4439">
        <v>6</v>
      </c>
      <c r="Y4439" t="s">
        <v>21815</v>
      </c>
      <c r="Z4439" t="s">
        <v>27646</v>
      </c>
      <c r="AA4439">
        <v>0.46613016616085973</v>
      </c>
      <c r="AB4439" t="str">
        <f>HYPERLINK("Melting_Curves/meltCurve_Q969Z3_MARC2.pdf", "Melting_Curves/meltCurve_Q969Z3_MARC2.pdf")</f>
        <v>Melting_Curves/meltCurve_Q969Z3_MARC2.pdf</v>
      </c>
    </row>
    <row r="4440" spans="1:28" x14ac:dyDescent="0.25">
      <c r="A4440" t="s">
        <v>4444</v>
      </c>
      <c r="B4440">
        <v>0.99334974765950101</v>
      </c>
      <c r="C4440">
        <v>1.0610268097720501</v>
      </c>
      <c r="D4440">
        <v>0.87939107076355105</v>
      </c>
      <c r="E4440">
        <v>0.80595233686312895</v>
      </c>
      <c r="F4440">
        <v>0.67073315929392396</v>
      </c>
      <c r="G4440">
        <v>0.58897219172486004</v>
      </c>
      <c r="H4440">
        <v>0.51370259797488504</v>
      </c>
      <c r="I4440">
        <v>0.71189164738927802</v>
      </c>
      <c r="J4440">
        <v>0.521198495595247</v>
      </c>
      <c r="K4440">
        <v>0.43704682862731598</v>
      </c>
      <c r="L4440">
        <v>836.64039096109502</v>
      </c>
      <c r="M4440">
        <v>16.5218524678465</v>
      </c>
      <c r="O4440">
        <v>49.914009423258499</v>
      </c>
      <c r="P4440">
        <v>-3.8896794510967003E-2</v>
      </c>
      <c r="Q4440">
        <v>0.529989578919288</v>
      </c>
      <c r="R4440">
        <v>0.87850798528469198</v>
      </c>
      <c r="S4440" t="s">
        <v>10301</v>
      </c>
      <c r="T4440" t="s">
        <v>11720</v>
      </c>
      <c r="U4440" t="s">
        <v>11720</v>
      </c>
      <c r="V4440" t="s">
        <v>11720</v>
      </c>
      <c r="W4440" t="s">
        <v>16105</v>
      </c>
      <c r="X4440">
        <v>4</v>
      </c>
      <c r="Y4440" t="s">
        <v>21816</v>
      </c>
      <c r="Z4440" t="s">
        <v>27647</v>
      </c>
      <c r="AA4440">
        <v>0.70594745828490113</v>
      </c>
      <c r="AB4440" t="str">
        <f>HYPERLINK("Melting_Curves/meltCurve_Q96A00_PPP1R14A.pdf", "Melting_Curves/meltCurve_Q96A00_PPP1R14A.pdf")</f>
        <v>Melting_Curves/meltCurve_Q96A00_PPP1R14A.pdf</v>
      </c>
    </row>
    <row r="4441" spans="1:28" x14ac:dyDescent="0.25">
      <c r="A4441" t="s">
        <v>4445</v>
      </c>
      <c r="B4441">
        <v>0.99334974765950101</v>
      </c>
      <c r="C4441">
        <v>1.10425998585462</v>
      </c>
      <c r="D4441">
        <v>1.1412640190554599</v>
      </c>
      <c r="E4441">
        <v>1.5044324845210499</v>
      </c>
      <c r="F4441">
        <v>0.98590276840805402</v>
      </c>
      <c r="G4441">
        <v>0.53485902375182903</v>
      </c>
      <c r="H4441">
        <v>0.376727438773866</v>
      </c>
      <c r="I4441">
        <v>0.31460000731726601</v>
      </c>
      <c r="J4441">
        <v>0.35086843196426498</v>
      </c>
      <c r="K4441">
        <v>0.37385385417393702</v>
      </c>
      <c r="L4441">
        <v>3982.9593057512998</v>
      </c>
      <c r="M4441">
        <v>70.814108494126899</v>
      </c>
      <c r="N4441">
        <v>57.236096908231602</v>
      </c>
      <c r="O4441">
        <v>56.2004764325265</v>
      </c>
      <c r="P4441">
        <v>-0.20373110966437799</v>
      </c>
      <c r="Q4441">
        <v>0.35324851317539302</v>
      </c>
      <c r="R4441">
        <v>0.82400296173864496</v>
      </c>
      <c r="S4441" t="s">
        <v>10302</v>
      </c>
      <c r="T4441" t="s">
        <v>11720</v>
      </c>
      <c r="U4441" t="s">
        <v>11720</v>
      </c>
      <c r="V4441" t="s">
        <v>11720</v>
      </c>
      <c r="W4441" t="s">
        <v>16106</v>
      </c>
      <c r="X4441">
        <v>6</v>
      </c>
      <c r="Y4441" t="s">
        <v>21817</v>
      </c>
      <c r="Z4441" t="s">
        <v>27648</v>
      </c>
      <c r="AA4441">
        <v>0.70426814569500584</v>
      </c>
      <c r="AB4441" t="str">
        <f>HYPERLINK("Melting_Curves/meltCurve_Q96A19_CCDC102A.pdf", "Melting_Curves/meltCurve_Q96A19_CCDC102A.pdf")</f>
        <v>Melting_Curves/meltCurve_Q96A19_CCDC102A.pdf</v>
      </c>
    </row>
    <row r="4442" spans="1:28" x14ac:dyDescent="0.25">
      <c r="A4442" t="s">
        <v>4446</v>
      </c>
      <c r="B4442">
        <v>0.99334974765950101</v>
      </c>
      <c r="C4442">
        <v>0.97621030471014503</v>
      </c>
      <c r="D4442">
        <v>0.888949258423546</v>
      </c>
      <c r="E4442">
        <v>0.96502293083478696</v>
      </c>
      <c r="F4442">
        <v>0.36487330555597702</v>
      </c>
      <c r="G4442">
        <v>0.14976913469040401</v>
      </c>
      <c r="H4442">
        <v>0.11282531447235999</v>
      </c>
      <c r="I4442">
        <v>8.5513154240228303E-2</v>
      </c>
      <c r="J4442">
        <v>9.4437294635722396E-2</v>
      </c>
      <c r="K4442">
        <v>7.1078267138103501E-2</v>
      </c>
      <c r="L4442">
        <v>3456.8021088692199</v>
      </c>
      <c r="M4442">
        <v>66.092383593309705</v>
      </c>
      <c r="N4442">
        <v>52.483073124412797</v>
      </c>
      <c r="O4442">
        <v>52.254758234534897</v>
      </c>
      <c r="P4442">
        <v>-0.28405835647505201</v>
      </c>
      <c r="Q4442">
        <v>0.101657666265344</v>
      </c>
      <c r="R4442">
        <v>0.99006774134875597</v>
      </c>
      <c r="S4442" t="s">
        <v>10303</v>
      </c>
      <c r="T4442" t="s">
        <v>11720</v>
      </c>
      <c r="U4442" t="s">
        <v>11720</v>
      </c>
      <c r="V4442" t="s">
        <v>11720</v>
      </c>
      <c r="W4442" t="s">
        <v>16107</v>
      </c>
      <c r="X4442">
        <v>15</v>
      </c>
      <c r="Y4442" t="s">
        <v>21818</v>
      </c>
      <c r="Z4442" t="s">
        <v>27649</v>
      </c>
      <c r="AA4442">
        <v>0.47123856214072168</v>
      </c>
      <c r="AB4442" t="str">
        <f>HYPERLINK("Melting_Curves/meltCurve_Q96A33_CCDC47.pdf", "Melting_Curves/meltCurve_Q96A33_CCDC47.pdf")</f>
        <v>Melting_Curves/meltCurve_Q96A33_CCDC47.pdf</v>
      </c>
    </row>
    <row r="4443" spans="1:28" x14ac:dyDescent="0.25">
      <c r="A4443" t="s">
        <v>4447</v>
      </c>
      <c r="B4443">
        <v>0.99334974765950101</v>
      </c>
      <c r="C4443">
        <v>1.00947682934008</v>
      </c>
      <c r="D4443">
        <v>0.76866976611572202</v>
      </c>
      <c r="E4443">
        <v>0.95145236722789595</v>
      </c>
      <c r="F4443">
        <v>0.89623115280063703</v>
      </c>
      <c r="G4443">
        <v>0.85691677744130801</v>
      </c>
      <c r="H4443">
        <v>0.83492913066867602</v>
      </c>
      <c r="I4443">
        <v>1.17466678815819</v>
      </c>
      <c r="J4443">
        <v>1.22929009545485</v>
      </c>
      <c r="K4443">
        <v>0.816550136905283</v>
      </c>
      <c r="L4443">
        <v>15000</v>
      </c>
      <c r="M4443">
        <v>212.79241108300599</v>
      </c>
      <c r="Q4443">
        <v>0</v>
      </c>
      <c r="R4443">
        <v>5.5908202501162498E-2</v>
      </c>
      <c r="S4443" t="s">
        <v>10304</v>
      </c>
      <c r="T4443" t="s">
        <v>11720</v>
      </c>
      <c r="U4443" t="s">
        <v>11720</v>
      </c>
      <c r="V4443" t="s">
        <v>11720</v>
      </c>
      <c r="W4443" t="s">
        <v>16108</v>
      </c>
      <c r="X4443">
        <v>1</v>
      </c>
      <c r="Y4443" t="s">
        <v>21819</v>
      </c>
      <c r="Z4443" t="s">
        <v>27650</v>
      </c>
      <c r="AA4443">
        <v>0.99781484952728583</v>
      </c>
      <c r="AB4443" t="str">
        <f>HYPERLINK("Melting_Curves/meltCurve_Q96A46_SLC25A28.pdf", "Melting_Curves/meltCurve_Q96A46_SLC25A28.pdf")</f>
        <v>Melting_Curves/meltCurve_Q96A46_SLC25A28.pdf</v>
      </c>
    </row>
    <row r="4444" spans="1:28" x14ac:dyDescent="0.25">
      <c r="A4444" t="s">
        <v>4448</v>
      </c>
      <c r="B4444">
        <v>0.99334974765950101</v>
      </c>
      <c r="C4444">
        <v>1.0127820551022</v>
      </c>
      <c r="D4444">
        <v>0.94551592081351599</v>
      </c>
      <c r="E4444">
        <v>0.80429585522636404</v>
      </c>
      <c r="F4444">
        <v>0.58461085662018897</v>
      </c>
      <c r="G4444">
        <v>0.32121351933570702</v>
      </c>
      <c r="H4444">
        <v>0.176000267953627</v>
      </c>
      <c r="I4444">
        <v>0.147735226681702</v>
      </c>
      <c r="J4444">
        <v>0.13162786820411099</v>
      </c>
      <c r="K4444">
        <v>0.11090176480628</v>
      </c>
      <c r="L4444">
        <v>988.17765229294605</v>
      </c>
      <c r="M4444">
        <v>18.497868836650401</v>
      </c>
      <c r="N4444">
        <v>54.1029207237519</v>
      </c>
      <c r="O4444">
        <v>52.808560043573401</v>
      </c>
      <c r="P4444">
        <v>-7.8470010412147601E-2</v>
      </c>
      <c r="Q4444">
        <v>0.10396052612165201</v>
      </c>
      <c r="R4444">
        <v>0.99937801454412201</v>
      </c>
      <c r="S4444" t="s">
        <v>10305</v>
      </c>
      <c r="T4444" t="s">
        <v>11720</v>
      </c>
      <c r="U4444" t="s">
        <v>11720</v>
      </c>
      <c r="V4444" t="s">
        <v>11720</v>
      </c>
      <c r="W4444" t="s">
        <v>16109</v>
      </c>
      <c r="X4444">
        <v>17</v>
      </c>
      <c r="Y4444" t="s">
        <v>21820</v>
      </c>
      <c r="Z4444" t="s">
        <v>27651</v>
      </c>
      <c r="AA4444">
        <v>0.51875870588973017</v>
      </c>
      <c r="AB4444" t="str">
        <f>HYPERLINK("Melting_Curves/meltCurve_Q96A49_SYAP1.pdf", "Melting_Curves/meltCurve_Q96A49_SYAP1.pdf")</f>
        <v>Melting_Curves/meltCurve_Q96A49_SYAP1.pdf</v>
      </c>
    </row>
    <row r="4445" spans="1:28" x14ac:dyDescent="0.25">
      <c r="A4445" t="s">
        <v>4449</v>
      </c>
      <c r="B4445">
        <v>0.99334974765950101</v>
      </c>
      <c r="C4445">
        <v>0.91649320421501201</v>
      </c>
      <c r="D4445">
        <v>0.84624739680027306</v>
      </c>
      <c r="E4445">
        <v>0.50064793065199198</v>
      </c>
      <c r="F4445">
        <v>0.179767640783765</v>
      </c>
      <c r="G4445">
        <v>0.109415071987443</v>
      </c>
      <c r="H4445">
        <v>7.7939094573211007E-2</v>
      </c>
      <c r="I4445">
        <v>7.8767105153471503E-2</v>
      </c>
      <c r="J4445">
        <v>7.6578264779294303E-2</v>
      </c>
      <c r="K4445">
        <v>6.7610954861159506E-2</v>
      </c>
      <c r="L4445">
        <v>1131.1936186693299</v>
      </c>
      <c r="M4445">
        <v>22.9186657310768</v>
      </c>
      <c r="N4445">
        <v>49.662408082223997</v>
      </c>
      <c r="O4445">
        <v>48.985725395597797</v>
      </c>
      <c r="P4445">
        <v>-0.109276921277178</v>
      </c>
      <c r="Q4445">
        <v>6.5756093590245604E-2</v>
      </c>
      <c r="R4445">
        <v>0.99520433648692097</v>
      </c>
      <c r="S4445" t="s">
        <v>10306</v>
      </c>
      <c r="T4445" t="s">
        <v>11720</v>
      </c>
      <c r="U4445" t="s">
        <v>11720</v>
      </c>
      <c r="V4445" t="s">
        <v>11720</v>
      </c>
      <c r="W4445" t="s">
        <v>16110</v>
      </c>
      <c r="X4445">
        <v>10</v>
      </c>
      <c r="Y4445" t="s">
        <v>21821</v>
      </c>
      <c r="Z4445" t="s">
        <v>27652</v>
      </c>
      <c r="AA4445">
        <v>0.36705222365197682</v>
      </c>
      <c r="AB4445" t="str">
        <f>HYPERLINK("Melting_Curves/meltCurve_Q96A65_EXOC4.pdf", "Melting_Curves/meltCurve_Q96A65_EXOC4.pdf")</f>
        <v>Melting_Curves/meltCurve_Q96A65_EXOC4.pdf</v>
      </c>
    </row>
    <row r="4446" spans="1:28" x14ac:dyDescent="0.25">
      <c r="A4446" t="s">
        <v>4450</v>
      </c>
      <c r="B4446">
        <v>0.99334974765950101</v>
      </c>
      <c r="C4446">
        <v>0.78368046111836198</v>
      </c>
      <c r="D4446">
        <v>0.82313975359802705</v>
      </c>
      <c r="E4446">
        <v>0.70691644084999705</v>
      </c>
      <c r="F4446">
        <v>0.29605320343455999</v>
      </c>
      <c r="G4446">
        <v>0.30778428600318503</v>
      </c>
      <c r="H4446">
        <v>0.26211256340551498</v>
      </c>
      <c r="I4446">
        <v>0.61141342065833104</v>
      </c>
      <c r="J4446">
        <v>1.06189012269633</v>
      </c>
      <c r="K4446">
        <v>1.1379255882055199</v>
      </c>
      <c r="L4446">
        <v>1023.37703659255</v>
      </c>
      <c r="M4446">
        <v>23.4014196281511</v>
      </c>
      <c r="O4446">
        <v>43.415818134951301</v>
      </c>
      <c r="P4446">
        <v>-4.9761087038377498E-2</v>
      </c>
      <c r="Q4446">
        <v>0.63072658353446698</v>
      </c>
      <c r="R4446">
        <v>0.13317022941103501</v>
      </c>
      <c r="S4446" t="s">
        <v>10307</v>
      </c>
      <c r="T4446" t="s">
        <v>11720</v>
      </c>
      <c r="U4446" t="s">
        <v>11720</v>
      </c>
      <c r="V4446" t="s">
        <v>11720</v>
      </c>
      <c r="W4446" t="s">
        <v>16111</v>
      </c>
      <c r="X4446">
        <v>12</v>
      </c>
      <c r="Y4446" t="s">
        <v>21822</v>
      </c>
      <c r="Z4446" t="s">
        <v>27653</v>
      </c>
      <c r="AA4446">
        <v>0.68187409380747299</v>
      </c>
      <c r="AB4446" t="str">
        <f>HYPERLINK("Melting_Curves/meltCurve_Q96A73_2_KIAA1191.pdf", "Melting_Curves/meltCurve_Q96A73_2_KIAA1191.pdf")</f>
        <v>Melting_Curves/meltCurve_Q96A73_2_KIAA1191.pdf</v>
      </c>
    </row>
    <row r="4447" spans="1:28" x14ac:dyDescent="0.25">
      <c r="A4447" t="s">
        <v>4451</v>
      </c>
      <c r="B4447">
        <v>0.99334974765950101</v>
      </c>
      <c r="C4447">
        <v>0.96188220856329498</v>
      </c>
      <c r="D4447">
        <v>0.97499665795935198</v>
      </c>
      <c r="E4447">
        <v>0.83030844868411502</v>
      </c>
      <c r="F4447">
        <v>0.74758767540517701</v>
      </c>
      <c r="G4447">
        <v>0.51305514670103003</v>
      </c>
      <c r="H4447">
        <v>0.38875589461070098</v>
      </c>
      <c r="I4447">
        <v>0.33740308848617501</v>
      </c>
      <c r="J4447">
        <v>0.26634700267846301</v>
      </c>
      <c r="K4447">
        <v>0.166305112837003</v>
      </c>
      <c r="L4447">
        <v>638.68355270461097</v>
      </c>
      <c r="M4447">
        <v>11.219970641014701</v>
      </c>
      <c r="N4447">
        <v>58.122060954090699</v>
      </c>
      <c r="O4447">
        <v>55.205398754469002</v>
      </c>
      <c r="P4447">
        <v>-4.5578028251527798E-2</v>
      </c>
      <c r="Q4447">
        <v>0.103253658654229</v>
      </c>
      <c r="R4447">
        <v>0.99343692240192205</v>
      </c>
      <c r="S4447" t="s">
        <v>10308</v>
      </c>
      <c r="T4447" t="s">
        <v>11720</v>
      </c>
      <c r="U4447" t="s">
        <v>11720</v>
      </c>
      <c r="V4447" t="s">
        <v>11720</v>
      </c>
      <c r="W4447" t="s">
        <v>16112</v>
      </c>
      <c r="X4447">
        <v>5</v>
      </c>
      <c r="Y4447" t="s">
        <v>21823</v>
      </c>
      <c r="Z4447" t="s">
        <v>27654</v>
      </c>
      <c r="AA4447">
        <v>0.62438122934280638</v>
      </c>
      <c r="AB4447" t="str">
        <f>HYPERLINK("Melting_Curves/meltCurve_Q96AB3_ISOC2.pdf", "Melting_Curves/meltCurve_Q96AB3_ISOC2.pdf")</f>
        <v>Melting_Curves/meltCurve_Q96AB3_ISOC2.pdf</v>
      </c>
    </row>
    <row r="4448" spans="1:28" x14ac:dyDescent="0.25">
      <c r="A4448" t="s">
        <v>4452</v>
      </c>
      <c r="B4448">
        <v>0.99334974765950101</v>
      </c>
      <c r="C4448">
        <v>0.95499352252813396</v>
      </c>
      <c r="D4448">
        <v>0.84643977915842605</v>
      </c>
      <c r="E4448">
        <v>0.63976170257439802</v>
      </c>
      <c r="F4448">
        <v>0.23967559158492999</v>
      </c>
      <c r="G4448">
        <v>0.15339342661406799</v>
      </c>
      <c r="H4448">
        <v>0.10832551284394699</v>
      </c>
      <c r="I4448">
        <v>9.2931047478673007E-2</v>
      </c>
      <c r="J4448">
        <v>9.8157314121196701E-2</v>
      </c>
      <c r="K4448">
        <v>7.4847569505661404E-2</v>
      </c>
      <c r="L4448">
        <v>1134.6905751693901</v>
      </c>
      <c r="M4448">
        <v>22.5561397101601</v>
      </c>
      <c r="N4448">
        <v>50.71096976722</v>
      </c>
      <c r="O4448">
        <v>49.914784122868298</v>
      </c>
      <c r="P4448">
        <v>-0.103646922480221</v>
      </c>
      <c r="Q4448">
        <v>8.2571889069471396E-2</v>
      </c>
      <c r="R4448">
        <v>0.99076595601002104</v>
      </c>
      <c r="S4448" t="s">
        <v>10309</v>
      </c>
      <c r="T4448" t="s">
        <v>11720</v>
      </c>
      <c r="U4448" t="s">
        <v>11720</v>
      </c>
      <c r="V4448" t="s">
        <v>11720</v>
      </c>
      <c r="W4448" t="s">
        <v>16113</v>
      </c>
      <c r="X4448">
        <v>13</v>
      </c>
      <c r="Y4448" t="s">
        <v>21824</v>
      </c>
      <c r="Z4448" t="s">
        <v>27655</v>
      </c>
      <c r="AA4448">
        <v>0.40780382565064283</v>
      </c>
      <c r="AB4448" t="str">
        <f>HYPERLINK("Melting_Curves/meltCurve_Q96AB6_NTAN1.pdf", "Melting_Curves/meltCurve_Q96AB6_NTAN1.pdf")</f>
        <v>Melting_Curves/meltCurve_Q96AB6_NTAN1.pdf</v>
      </c>
    </row>
    <row r="4449" spans="1:28" x14ac:dyDescent="0.25">
      <c r="A4449" t="s">
        <v>4453</v>
      </c>
      <c r="B4449">
        <v>0.99334974765950101</v>
      </c>
      <c r="C4449">
        <v>0.791172935885185</v>
      </c>
      <c r="D4449">
        <v>0.929591339826078</v>
      </c>
      <c r="E4449">
        <v>0.56017520718275104</v>
      </c>
      <c r="F4449">
        <v>0.50095218700196198</v>
      </c>
      <c r="G4449">
        <v>0.33972185645122599</v>
      </c>
      <c r="H4449">
        <v>0.12107607272092</v>
      </c>
      <c r="I4449">
        <v>0.10469707157293701</v>
      </c>
      <c r="J4449">
        <v>0.11947309087773</v>
      </c>
      <c r="K4449">
        <v>0.12188572690569</v>
      </c>
      <c r="L4449">
        <v>585.99378952470499</v>
      </c>
      <c r="M4449">
        <v>11.262858179323199</v>
      </c>
      <c r="N4449">
        <v>52.344157239039099</v>
      </c>
      <c r="O4449">
        <v>50.4695552125185</v>
      </c>
      <c r="P4449">
        <v>-5.3977314197176801E-2</v>
      </c>
      <c r="Q4449">
        <v>3.2795035367294403E-2</v>
      </c>
      <c r="R4449">
        <v>0.96088082173118206</v>
      </c>
      <c r="S4449" t="s">
        <v>10310</v>
      </c>
      <c r="T4449" t="s">
        <v>11720</v>
      </c>
      <c r="U4449" t="s">
        <v>11720</v>
      </c>
      <c r="V4449" t="s">
        <v>11720</v>
      </c>
      <c r="W4449" t="s">
        <v>16114</v>
      </c>
      <c r="X4449">
        <v>36</v>
      </c>
      <c r="Y4449" t="s">
        <v>18358</v>
      </c>
      <c r="Z4449" t="s">
        <v>27656</v>
      </c>
      <c r="AA4449">
        <v>0.45257364107397441</v>
      </c>
      <c r="AB4449" t="str">
        <f>HYPERLINK("Melting_Curves/meltCurve_Q96AC1_FERMT2.pdf", "Melting_Curves/meltCurve_Q96AC1_FERMT2.pdf")</f>
        <v>Melting_Curves/meltCurve_Q96AC1_FERMT2.pdf</v>
      </c>
    </row>
    <row r="4450" spans="1:28" x14ac:dyDescent="0.25">
      <c r="A4450" t="s">
        <v>4454</v>
      </c>
      <c r="B4450">
        <v>0.99334974765950101</v>
      </c>
      <c r="C4450">
        <v>0.90553217567509603</v>
      </c>
      <c r="D4450">
        <v>0.77828722425478003</v>
      </c>
      <c r="E4450">
        <v>0.41324321330743902</v>
      </c>
      <c r="F4450">
        <v>0.376752815853095</v>
      </c>
      <c r="G4450">
        <v>0.177728625564955</v>
      </c>
      <c r="H4450">
        <v>0.16893866784222999</v>
      </c>
      <c r="I4450">
        <v>0.17063284355319999</v>
      </c>
      <c r="J4450">
        <v>0.17265054001167501</v>
      </c>
      <c r="K4450">
        <v>0.15020536911796101</v>
      </c>
      <c r="L4450">
        <v>837.13223182766797</v>
      </c>
      <c r="M4450">
        <v>17.289840485386499</v>
      </c>
      <c r="N4450">
        <v>49.465601055755698</v>
      </c>
      <c r="O4450">
        <v>47.783806673425502</v>
      </c>
      <c r="P4450">
        <v>-7.6590484114289203E-2</v>
      </c>
      <c r="Q4450">
        <v>0.15335869300364699</v>
      </c>
      <c r="R4450">
        <v>0.99062991626533603</v>
      </c>
      <c r="S4450" t="s">
        <v>10311</v>
      </c>
      <c r="T4450" t="s">
        <v>11720</v>
      </c>
      <c r="U4450" t="s">
        <v>11720</v>
      </c>
      <c r="V4450" t="s">
        <v>11720</v>
      </c>
      <c r="W4450" t="s">
        <v>16115</v>
      </c>
      <c r="X4450">
        <v>3</v>
      </c>
      <c r="Y4450" t="s">
        <v>21825</v>
      </c>
      <c r="Z4450" t="s">
        <v>27657</v>
      </c>
      <c r="AA4450">
        <v>0.40703584886531119</v>
      </c>
      <c r="AB4450" t="str">
        <f>HYPERLINK("Melting_Curves/meltCurve_Q96AD5_PNPLA2.pdf", "Melting_Curves/meltCurve_Q96AD5_PNPLA2.pdf")</f>
        <v>Melting_Curves/meltCurve_Q96AD5_PNPLA2.pdf</v>
      </c>
    </row>
    <row r="4451" spans="1:28" x14ac:dyDescent="0.25">
      <c r="A4451" t="s">
        <v>4455</v>
      </c>
      <c r="B4451">
        <v>0.99334974765950101</v>
      </c>
      <c r="C4451">
        <v>1.1952649440835399</v>
      </c>
      <c r="D4451">
        <v>0.98559413740005297</v>
      </c>
      <c r="E4451">
        <v>0.81808470337391004</v>
      </c>
      <c r="F4451">
        <v>0.95281958209741202</v>
      </c>
      <c r="G4451">
        <v>0.59990259537605095</v>
      </c>
      <c r="H4451">
        <v>0.58997244518642</v>
      </c>
      <c r="I4451">
        <v>0.45594034294768399</v>
      </c>
      <c r="J4451">
        <v>0.453688429678064</v>
      </c>
      <c r="K4451">
        <v>0.325356584726196</v>
      </c>
      <c r="L4451">
        <v>756.77122573632505</v>
      </c>
      <c r="M4451">
        <v>13.047410806551801</v>
      </c>
      <c r="N4451">
        <v>62.473267582635401</v>
      </c>
      <c r="O4451">
        <v>56.689853546330703</v>
      </c>
      <c r="P4451">
        <v>-4.00832174525022E-2</v>
      </c>
      <c r="Q4451">
        <v>0.30348908719088202</v>
      </c>
      <c r="R4451">
        <v>0.89597599300841901</v>
      </c>
      <c r="S4451" t="s">
        <v>10312</v>
      </c>
      <c r="T4451" t="s">
        <v>11720</v>
      </c>
      <c r="U4451" t="s">
        <v>11720</v>
      </c>
      <c r="V4451" t="s">
        <v>11720</v>
      </c>
      <c r="W4451" t="s">
        <v>16116</v>
      </c>
      <c r="X4451">
        <v>42</v>
      </c>
      <c r="Y4451" t="s">
        <v>21826</v>
      </c>
      <c r="Z4451" t="s">
        <v>27658</v>
      </c>
      <c r="AA4451">
        <v>0.73068810271826523</v>
      </c>
      <c r="AB4451" t="str">
        <f>HYPERLINK("Melting_Curves/meltCurve_Q96AE4_FUBP1.pdf", "Melting_Curves/meltCurve_Q96AE4_FUBP1.pdf")</f>
        <v>Melting_Curves/meltCurve_Q96AE4_FUBP1.pdf</v>
      </c>
    </row>
    <row r="4452" spans="1:28" x14ac:dyDescent="0.25">
      <c r="A4452" t="s">
        <v>4456</v>
      </c>
      <c r="B4452">
        <v>0.99334974765950101</v>
      </c>
      <c r="C4452">
        <v>1.00392311915247</v>
      </c>
      <c r="D4452">
        <v>0.87633557197279699</v>
      </c>
      <c r="E4452">
        <v>0.81653968262976495</v>
      </c>
      <c r="F4452">
        <v>0.99763547843529099</v>
      </c>
      <c r="G4452">
        <v>0.73330989683937498</v>
      </c>
      <c r="H4452">
        <v>0.70655395338226601</v>
      </c>
      <c r="I4452">
        <v>0.67805129763538396</v>
      </c>
      <c r="J4452">
        <v>0.70037839726957896</v>
      </c>
      <c r="K4452">
        <v>0.52869669325977597</v>
      </c>
      <c r="L4452">
        <v>320.10835375389598</v>
      </c>
      <c r="M4452">
        <v>4.2615084536402499</v>
      </c>
      <c r="O4452">
        <v>62.868530017363199</v>
      </c>
      <c r="P4452">
        <v>-1.7123511269426499E-2</v>
      </c>
      <c r="Q4452">
        <v>0</v>
      </c>
      <c r="R4452">
        <v>0.81223006327166902</v>
      </c>
      <c r="S4452" t="s">
        <v>10313</v>
      </c>
      <c r="T4452" t="s">
        <v>11720</v>
      </c>
      <c r="U4452" t="s">
        <v>11720</v>
      </c>
      <c r="V4452" t="s">
        <v>11720</v>
      </c>
      <c r="W4452" t="s">
        <v>16117</v>
      </c>
      <c r="X4452">
        <v>42</v>
      </c>
      <c r="Y4452" t="s">
        <v>21826</v>
      </c>
      <c r="Z4452" t="s">
        <v>27659</v>
      </c>
      <c r="AA4452">
        <v>0.8089081487669092</v>
      </c>
      <c r="AB4452" t="str">
        <f>HYPERLINK("Melting_Curves/meltCurve_Q96AE4_2_FUBP1.pdf", "Melting_Curves/meltCurve_Q96AE4_2_FUBP1.pdf")</f>
        <v>Melting_Curves/meltCurve_Q96AE4_2_FUBP1.pdf</v>
      </c>
    </row>
    <row r="4453" spans="1:28" x14ac:dyDescent="0.25">
      <c r="A4453" t="s">
        <v>4457</v>
      </c>
      <c r="B4453">
        <v>0.99334974765950101</v>
      </c>
      <c r="C4453">
        <v>0.98893960973804995</v>
      </c>
      <c r="D4453">
        <v>0.91947214237282804</v>
      </c>
      <c r="E4453">
        <v>0.96499624822393404</v>
      </c>
      <c r="F4453">
        <v>0.986477876571488</v>
      </c>
      <c r="G4453">
        <v>0.65789911889302499</v>
      </c>
      <c r="H4453">
        <v>0.379597444323308</v>
      </c>
      <c r="I4453">
        <v>0.29566185250726701</v>
      </c>
      <c r="J4453">
        <v>0.19153450145591899</v>
      </c>
      <c r="K4453">
        <v>0.13628336372775601</v>
      </c>
      <c r="L4453">
        <v>1298.70365932402</v>
      </c>
      <c r="M4453">
        <v>22.210642738239098</v>
      </c>
      <c r="N4453">
        <v>59.369249080172402</v>
      </c>
      <c r="O4453">
        <v>58.004317344168797</v>
      </c>
      <c r="P4453">
        <v>-8.2084062235949898E-2</v>
      </c>
      <c r="Q4453">
        <v>0.14255012762490801</v>
      </c>
      <c r="R4453">
        <v>0.98774333880402398</v>
      </c>
      <c r="S4453" t="s">
        <v>10314</v>
      </c>
      <c r="T4453" t="s">
        <v>11720</v>
      </c>
      <c r="U4453" t="s">
        <v>11720</v>
      </c>
      <c r="V4453" t="s">
        <v>11720</v>
      </c>
      <c r="W4453" t="s">
        <v>16118</v>
      </c>
      <c r="X4453">
        <v>9</v>
      </c>
      <c r="Y4453" t="s">
        <v>21827</v>
      </c>
      <c r="Z4453" t="s">
        <v>27660</v>
      </c>
      <c r="AA4453">
        <v>0.67888863983665315</v>
      </c>
      <c r="AB4453" t="str">
        <f>HYPERLINK("Melting_Curves/meltCurve_Q96AG3_SLC25A46.pdf", "Melting_Curves/meltCurve_Q96AG3_SLC25A46.pdf")</f>
        <v>Melting_Curves/meltCurve_Q96AG3_SLC25A46.pdf</v>
      </c>
    </row>
    <row r="4454" spans="1:28" x14ac:dyDescent="0.25">
      <c r="A4454" t="s">
        <v>4458</v>
      </c>
      <c r="B4454">
        <v>0.99334974765950101</v>
      </c>
      <c r="C4454">
        <v>1.0392511879619999</v>
      </c>
      <c r="D4454">
        <v>0.96166041829850302</v>
      </c>
      <c r="E4454">
        <v>0.86687634870718799</v>
      </c>
      <c r="F4454">
        <v>0.77116890499587198</v>
      </c>
      <c r="G4454">
        <v>0.386413631252503</v>
      </c>
      <c r="H4454">
        <v>0.22702107507333</v>
      </c>
      <c r="I4454">
        <v>0.21353859138544601</v>
      </c>
      <c r="J4454">
        <v>0.21513288161069599</v>
      </c>
      <c r="K4454">
        <v>0.17637332221156199</v>
      </c>
      <c r="L4454">
        <v>1289.8159713227401</v>
      </c>
      <c r="M4454">
        <v>23.6218381139815</v>
      </c>
      <c r="N4454">
        <v>55.665652067103998</v>
      </c>
      <c r="O4454">
        <v>54.215882840987298</v>
      </c>
      <c r="P4454">
        <v>-8.9153652213567094E-2</v>
      </c>
      <c r="Q4454">
        <v>0.18152642744447001</v>
      </c>
      <c r="R4454">
        <v>0.99365784929429002</v>
      </c>
      <c r="S4454" t="s">
        <v>10315</v>
      </c>
      <c r="T4454" t="s">
        <v>11720</v>
      </c>
      <c r="U4454" t="s">
        <v>11720</v>
      </c>
      <c r="V4454" t="s">
        <v>11720</v>
      </c>
      <c r="W4454" t="s">
        <v>16119</v>
      </c>
      <c r="X4454">
        <v>14</v>
      </c>
      <c r="Y4454" t="s">
        <v>21828</v>
      </c>
      <c r="Z4454" t="s">
        <v>27661</v>
      </c>
      <c r="AA4454">
        <v>0.58829568412386335</v>
      </c>
      <c r="AB4454" t="str">
        <f>HYPERLINK("Melting_Curves/meltCurve_Q96AG4_LRRC59.pdf", "Melting_Curves/meltCurve_Q96AG4_LRRC59.pdf")</f>
        <v>Melting_Curves/meltCurve_Q96AG4_LRRC59.pdf</v>
      </c>
    </row>
    <row r="4455" spans="1:28" x14ac:dyDescent="0.25">
      <c r="A4455" t="s">
        <v>4459</v>
      </c>
      <c r="B4455">
        <v>0.99334974765950101</v>
      </c>
      <c r="C4455">
        <v>0.92950035805720199</v>
      </c>
      <c r="D4455">
        <v>0.81156120042772895</v>
      </c>
      <c r="E4455">
        <v>0.74995372667676896</v>
      </c>
      <c r="F4455">
        <v>0.70731454960870299</v>
      </c>
      <c r="G4455">
        <v>0.48707919140875799</v>
      </c>
      <c r="H4455">
        <v>0.33872471009517502</v>
      </c>
      <c r="I4455">
        <v>0.280908755577983</v>
      </c>
      <c r="J4455">
        <v>0.29732094451744501</v>
      </c>
      <c r="K4455">
        <v>0.22232521137444899</v>
      </c>
      <c r="L4455">
        <v>475.79506839072201</v>
      </c>
      <c r="M4455">
        <v>8.5429244317637707</v>
      </c>
      <c r="N4455">
        <v>56.896898962038499</v>
      </c>
      <c r="O4455">
        <v>52.894570895425502</v>
      </c>
      <c r="P4455">
        <v>-3.7075523588061897E-2</v>
      </c>
      <c r="Q4455">
        <v>8.2580629381614895E-2</v>
      </c>
      <c r="R4455">
        <v>0.98319707546702795</v>
      </c>
      <c r="S4455" t="s">
        <v>10316</v>
      </c>
      <c r="T4455" t="s">
        <v>11720</v>
      </c>
      <c r="U4455" t="s">
        <v>11720</v>
      </c>
      <c r="V4455" t="s">
        <v>11720</v>
      </c>
      <c r="W4455" t="s">
        <v>16120</v>
      </c>
      <c r="X4455">
        <v>4</v>
      </c>
      <c r="Y4455" t="s">
        <v>21829</v>
      </c>
      <c r="Z4455" t="s">
        <v>27662</v>
      </c>
      <c r="AA4455">
        <v>0.58316444185118099</v>
      </c>
      <c r="AB4455" t="str">
        <f>HYPERLINK("Melting_Curves/meltCurve_Q96AH8_RAB7B.pdf", "Melting_Curves/meltCurve_Q96AH8_RAB7B.pdf")</f>
        <v>Melting_Curves/meltCurve_Q96AH8_RAB7B.pdf</v>
      </c>
    </row>
    <row r="4456" spans="1:28" x14ac:dyDescent="0.25">
      <c r="A4456" t="s">
        <v>4460</v>
      </c>
      <c r="B4456">
        <v>0.99334974765950101</v>
      </c>
      <c r="C4456">
        <v>0.997910599358524</v>
      </c>
      <c r="D4456">
        <v>0.837955629385295</v>
      </c>
      <c r="E4456">
        <v>0.76730352073630004</v>
      </c>
      <c r="F4456">
        <v>0.81708569937193798</v>
      </c>
      <c r="G4456">
        <v>0.62712897774453602</v>
      </c>
      <c r="H4456">
        <v>0.58513463315798397</v>
      </c>
      <c r="I4456">
        <v>0.69966097111815495</v>
      </c>
      <c r="J4456">
        <v>0.763266264339998</v>
      </c>
      <c r="K4456">
        <v>0.61420739376953404</v>
      </c>
      <c r="L4456">
        <v>731.45991349809401</v>
      </c>
      <c r="M4456">
        <v>15.213642877206301</v>
      </c>
      <c r="O4456">
        <v>47.271472338474901</v>
      </c>
      <c r="P4456">
        <v>-2.74485687458959E-2</v>
      </c>
      <c r="Q4456">
        <v>0.65888243499919497</v>
      </c>
      <c r="R4456">
        <v>0.80546220056654205</v>
      </c>
      <c r="S4456" t="s">
        <v>10317</v>
      </c>
      <c r="T4456" t="s">
        <v>11720</v>
      </c>
      <c r="U4456" t="s">
        <v>11720</v>
      </c>
      <c r="V4456" t="s">
        <v>11720</v>
      </c>
      <c r="W4456" t="s">
        <v>16121</v>
      </c>
      <c r="X4456">
        <v>15</v>
      </c>
      <c r="Y4456" t="s">
        <v>21830</v>
      </c>
      <c r="Z4456" t="s">
        <v>27663</v>
      </c>
      <c r="AA4456">
        <v>0.75925232764356176</v>
      </c>
      <c r="AB4456" t="str">
        <f>HYPERLINK("Melting_Curves/meltCurve_Q96AJ9_1_VTI1A.pdf", "Melting_Curves/meltCurve_Q96AJ9_1_VTI1A.pdf")</f>
        <v>Melting_Curves/meltCurve_Q96AJ9_1_VTI1A.pdf</v>
      </c>
    </row>
    <row r="4457" spans="1:28" x14ac:dyDescent="0.25">
      <c r="A4457" t="s">
        <v>4461</v>
      </c>
      <c r="B4457">
        <v>0.99334974765950101</v>
      </c>
      <c r="C4457">
        <v>0.97946700937726106</v>
      </c>
      <c r="D4457">
        <v>1.0144215225005</v>
      </c>
      <c r="E4457">
        <v>0.98129236341811499</v>
      </c>
      <c r="F4457">
        <v>1.10435809428552</v>
      </c>
      <c r="G4457">
        <v>1.0536142048032</v>
      </c>
      <c r="H4457">
        <v>1.0306818918340199</v>
      </c>
      <c r="I4457">
        <v>1.0486885654709599</v>
      </c>
      <c r="J4457">
        <v>1.3534695001297401</v>
      </c>
      <c r="K4457">
        <v>1.1451184272000301</v>
      </c>
      <c r="L4457">
        <v>15000</v>
      </c>
      <c r="M4457">
        <v>232.96103504080699</v>
      </c>
      <c r="O4457">
        <v>64.383705097025697</v>
      </c>
      <c r="P4457">
        <v>0.22550731004166599</v>
      </c>
      <c r="Q4457">
        <v>1.2492948421015799</v>
      </c>
      <c r="R4457">
        <v>0.67292898533037304</v>
      </c>
      <c r="S4457" t="s">
        <v>10318</v>
      </c>
      <c r="T4457" t="s">
        <v>11720</v>
      </c>
      <c r="U4457" t="s">
        <v>11720</v>
      </c>
      <c r="V4457" t="s">
        <v>11720</v>
      </c>
      <c r="W4457" t="s">
        <v>16122</v>
      </c>
      <c r="X4457">
        <v>4</v>
      </c>
      <c r="Y4457" t="s">
        <v>21831</v>
      </c>
      <c r="Z4457" t="s">
        <v>27664</v>
      </c>
      <c r="AA4457">
        <v>1.0465985710670991</v>
      </c>
      <c r="AB4457" t="str">
        <f>HYPERLINK("Melting_Curves/meltCurve_Q96AM1_MRGPRF.pdf", "Melting_Curves/meltCurve_Q96AM1_MRGPRF.pdf")</f>
        <v>Melting_Curves/meltCurve_Q96AM1_MRGPRF.pdf</v>
      </c>
    </row>
    <row r="4458" spans="1:28" x14ac:dyDescent="0.25">
      <c r="A4458" t="s">
        <v>4462</v>
      </c>
      <c r="B4458">
        <v>0.99334974765950101</v>
      </c>
      <c r="C4458">
        <v>0.97348113906370504</v>
      </c>
      <c r="D4458">
        <v>0.88547793205010505</v>
      </c>
      <c r="E4458">
        <v>0.85337127804280999</v>
      </c>
      <c r="F4458">
        <v>0.76599220933466605</v>
      </c>
      <c r="G4458">
        <v>0.734596537355519</v>
      </c>
      <c r="H4458">
        <v>0.66385125988368299</v>
      </c>
      <c r="I4458">
        <v>0.70424948925073705</v>
      </c>
      <c r="J4458">
        <v>0.76991642593340504</v>
      </c>
      <c r="K4458">
        <v>0.65246529161835098</v>
      </c>
      <c r="L4458">
        <v>667.84411583893404</v>
      </c>
      <c r="M4458">
        <v>13.5743629673507</v>
      </c>
      <c r="O4458">
        <v>48.168012813128001</v>
      </c>
      <c r="P4458">
        <v>-2.1992232937386801E-2</v>
      </c>
      <c r="Q4458">
        <v>0.68789280834104405</v>
      </c>
      <c r="R4458">
        <v>0.91888673462593795</v>
      </c>
      <c r="S4458" t="s">
        <v>10319</v>
      </c>
      <c r="T4458" t="s">
        <v>11720</v>
      </c>
      <c r="U4458" t="s">
        <v>11720</v>
      </c>
      <c r="V4458" t="s">
        <v>11720</v>
      </c>
      <c r="W4458" t="s">
        <v>16123</v>
      </c>
      <c r="X4458">
        <v>14</v>
      </c>
      <c r="Y4458" t="s">
        <v>21832</v>
      </c>
      <c r="Z4458" t="s">
        <v>27665</v>
      </c>
      <c r="AA4458">
        <v>0.79276454392251172</v>
      </c>
      <c r="AB4458" t="str">
        <f>HYPERLINK("Melting_Curves/meltCurve_Q96AQ6_2_PBXIP1.pdf", "Melting_Curves/meltCurve_Q96AQ6_2_PBXIP1.pdf")</f>
        <v>Melting_Curves/meltCurve_Q96AQ6_2_PBXIP1.pdf</v>
      </c>
    </row>
    <row r="4459" spans="1:28" x14ac:dyDescent="0.25">
      <c r="A4459" t="s">
        <v>4463</v>
      </c>
      <c r="B4459">
        <v>0.99334974765950101</v>
      </c>
      <c r="C4459">
        <v>0.82019053542744103</v>
      </c>
      <c r="D4459">
        <v>0.80872713322092704</v>
      </c>
      <c r="E4459">
        <v>0.81461840142184705</v>
      </c>
      <c r="F4459">
        <v>0.85015064939810903</v>
      </c>
      <c r="G4459">
        <v>0.87441965687762602</v>
      </c>
      <c r="H4459">
        <v>0.27217381796170598</v>
      </c>
      <c r="I4459">
        <v>0.21593655112842</v>
      </c>
      <c r="J4459">
        <v>0.139538696620193</v>
      </c>
      <c r="K4459">
        <v>0.181599173276973</v>
      </c>
      <c r="L4459">
        <v>3028.12061782504</v>
      </c>
      <c r="M4459">
        <v>51.497082816176899</v>
      </c>
      <c r="N4459">
        <v>59.284730646942499</v>
      </c>
      <c r="O4459">
        <v>58.713322284171198</v>
      </c>
      <c r="P4459">
        <v>-0.18170774422663</v>
      </c>
      <c r="Q4459">
        <v>0.171319523044627</v>
      </c>
      <c r="R4459">
        <v>0.88127822427914604</v>
      </c>
      <c r="S4459" t="s">
        <v>10320</v>
      </c>
      <c r="T4459" t="s">
        <v>11720</v>
      </c>
      <c r="U4459" t="s">
        <v>11720</v>
      </c>
      <c r="V4459" t="s">
        <v>11720</v>
      </c>
      <c r="W4459" t="s">
        <v>16124</v>
      </c>
      <c r="X4459">
        <v>3</v>
      </c>
      <c r="Y4459" t="s">
        <v>21833</v>
      </c>
      <c r="Z4459" t="s">
        <v>27666</v>
      </c>
      <c r="AA4459">
        <v>0.69268858001649058</v>
      </c>
      <c r="AB4459" t="str">
        <f>HYPERLINK("Melting_Curves/meltCurve_Q96AQ8_MCUR1.pdf", "Melting_Curves/meltCurve_Q96AQ8_MCUR1.pdf")</f>
        <v>Melting_Curves/meltCurve_Q96AQ8_MCUR1.pdf</v>
      </c>
    </row>
    <row r="4460" spans="1:28" x14ac:dyDescent="0.25">
      <c r="A4460" t="s">
        <v>4464</v>
      </c>
      <c r="B4460">
        <v>0.99334974765950101</v>
      </c>
      <c r="C4460">
        <v>0.99424341042126696</v>
      </c>
      <c r="D4460">
        <v>0.84198038195083302</v>
      </c>
      <c r="E4460">
        <v>0.77285619442925801</v>
      </c>
      <c r="F4460">
        <v>0.75241743344367196</v>
      </c>
      <c r="G4460">
        <v>0.63135872019296302</v>
      </c>
      <c r="H4460">
        <v>0.60393194427236696</v>
      </c>
      <c r="I4460">
        <v>0.69079258734920701</v>
      </c>
      <c r="J4460">
        <v>0.85740664931289601</v>
      </c>
      <c r="K4460">
        <v>0.80066266293334198</v>
      </c>
      <c r="L4460">
        <v>1434.2741040298299</v>
      </c>
      <c r="M4460">
        <v>31.252683223054799</v>
      </c>
      <c r="O4460">
        <v>45.7061636998341</v>
      </c>
      <c r="P4460">
        <v>-4.69617173918968E-2</v>
      </c>
      <c r="Q4460">
        <v>0.72528082553230899</v>
      </c>
      <c r="R4460">
        <v>0.69008601055553098</v>
      </c>
      <c r="S4460" t="s">
        <v>10321</v>
      </c>
      <c r="T4460" t="s">
        <v>11720</v>
      </c>
      <c r="U4460" t="s">
        <v>11720</v>
      </c>
      <c r="V4460" t="s">
        <v>11720</v>
      </c>
      <c r="W4460" t="s">
        <v>16125</v>
      </c>
      <c r="X4460">
        <v>9</v>
      </c>
      <c r="Y4460" t="s">
        <v>21834</v>
      </c>
      <c r="Z4460" t="s">
        <v>27667</v>
      </c>
      <c r="AA4460">
        <v>0.78077525647306123</v>
      </c>
      <c r="AB4460" t="str">
        <f>HYPERLINK("Melting_Curves/meltCurve_Q96AT1_KIAA1143.pdf", "Melting_Curves/meltCurve_Q96AT1_KIAA1143.pdf")</f>
        <v>Melting_Curves/meltCurve_Q96AT1_KIAA1143.pdf</v>
      </c>
    </row>
    <row r="4461" spans="1:28" x14ac:dyDescent="0.25">
      <c r="A4461" t="s">
        <v>4465</v>
      </c>
      <c r="B4461">
        <v>0.99334974765950101</v>
      </c>
      <c r="C4461">
        <v>0.98969346588669005</v>
      </c>
      <c r="D4461">
        <v>0.97483540082779596</v>
      </c>
      <c r="E4461">
        <v>0.77050895792657004</v>
      </c>
      <c r="F4461">
        <v>0.66558843715591898</v>
      </c>
      <c r="G4461">
        <v>0.454755957108466</v>
      </c>
      <c r="H4461">
        <v>0.173419916204997</v>
      </c>
      <c r="I4461">
        <v>6.5786886182550602E-2</v>
      </c>
      <c r="J4461">
        <v>5.00972442409576E-2</v>
      </c>
      <c r="K4461">
        <v>6.9398137351029801E-2</v>
      </c>
      <c r="L4461">
        <v>826.138792355953</v>
      </c>
      <c r="M4461">
        <v>14.9348944876582</v>
      </c>
      <c r="N4461">
        <v>55.316010315057902</v>
      </c>
      <c r="O4461">
        <v>54.352686958209702</v>
      </c>
      <c r="P4461">
        <v>-6.8701429375668796E-2</v>
      </c>
      <c r="Q4461">
        <v>0</v>
      </c>
      <c r="R4461">
        <v>0.99163805760200396</v>
      </c>
      <c r="S4461" t="s">
        <v>10322</v>
      </c>
      <c r="T4461" t="s">
        <v>11720</v>
      </c>
      <c r="U4461" t="s">
        <v>11720</v>
      </c>
      <c r="V4461" t="s">
        <v>11720</v>
      </c>
      <c r="W4461" t="s">
        <v>16126</v>
      </c>
      <c r="X4461">
        <v>8</v>
      </c>
      <c r="Y4461" t="s">
        <v>21835</v>
      </c>
      <c r="Z4461" t="s">
        <v>27668</v>
      </c>
      <c r="AA4461">
        <v>0.52944781992555368</v>
      </c>
      <c r="AB4461" t="str">
        <f>HYPERLINK("Melting_Curves/meltCurve_Q96AT9_RPE.pdf", "Melting_Curves/meltCurve_Q96AT9_RPE.pdf")</f>
        <v>Melting_Curves/meltCurve_Q96AT9_RPE.pdf</v>
      </c>
    </row>
    <row r="4462" spans="1:28" x14ac:dyDescent="0.25">
      <c r="A4462" t="s">
        <v>4466</v>
      </c>
      <c r="B4462">
        <v>0.99334974765950101</v>
      </c>
      <c r="C4462">
        <v>0.98106020896870205</v>
      </c>
      <c r="D4462">
        <v>0.84640155109887805</v>
      </c>
      <c r="E4462">
        <v>0.59129662960868001</v>
      </c>
      <c r="F4462">
        <v>0.42837575369041497</v>
      </c>
      <c r="G4462">
        <v>0.33506039035082003</v>
      </c>
      <c r="H4462">
        <v>0.29755286990212398</v>
      </c>
      <c r="I4462">
        <v>0.36466115072518202</v>
      </c>
      <c r="J4462">
        <v>0.306079055391201</v>
      </c>
      <c r="K4462">
        <v>0.28469480876312098</v>
      </c>
      <c r="L4462">
        <v>1010.26612432288</v>
      </c>
      <c r="M4462">
        <v>20.6053136326051</v>
      </c>
      <c r="N4462">
        <v>51.396520188551001</v>
      </c>
      <c r="O4462">
        <v>48.574619214009601</v>
      </c>
      <c r="P4462">
        <v>-7.3554428694348695E-2</v>
      </c>
      <c r="Q4462">
        <v>0.30643629243577297</v>
      </c>
      <c r="R4462">
        <v>0.99441278419521995</v>
      </c>
      <c r="S4462" t="s">
        <v>10323</v>
      </c>
      <c r="T4462" t="s">
        <v>11720</v>
      </c>
      <c r="U4462" t="s">
        <v>11720</v>
      </c>
      <c r="V4462" t="s">
        <v>11720</v>
      </c>
      <c r="W4462" t="s">
        <v>16127</v>
      </c>
      <c r="X4462">
        <v>35</v>
      </c>
      <c r="Y4462" t="s">
        <v>21836</v>
      </c>
      <c r="Z4462" t="s">
        <v>27669</v>
      </c>
      <c r="AA4462">
        <v>0.52432602025034813</v>
      </c>
      <c r="AB4462" t="str">
        <f>HYPERLINK("Melting_Curves/meltCurve_Q96AY3_FKBP10.pdf", "Melting_Curves/meltCurve_Q96AY3_FKBP10.pdf")</f>
        <v>Melting_Curves/meltCurve_Q96AY3_FKBP10.pdf</v>
      </c>
    </row>
    <row r="4463" spans="1:28" x14ac:dyDescent="0.25">
      <c r="A4463" t="s">
        <v>4467</v>
      </c>
      <c r="B4463">
        <v>0.99334974765950101</v>
      </c>
      <c r="C4463">
        <v>0.92142066354680896</v>
      </c>
      <c r="D4463">
        <v>0.63376755527346396</v>
      </c>
      <c r="E4463">
        <v>0.52001483703606599</v>
      </c>
      <c r="F4463">
        <v>0.39047397003905598</v>
      </c>
      <c r="G4463">
        <v>0.307796708878187</v>
      </c>
      <c r="H4463">
        <v>0.294064051626586</v>
      </c>
      <c r="I4463">
        <v>0.28241792517952602</v>
      </c>
      <c r="J4463">
        <v>0.30412602210954798</v>
      </c>
      <c r="K4463">
        <v>0.28609453524165002</v>
      </c>
      <c r="L4463">
        <v>782.97323954945398</v>
      </c>
      <c r="M4463">
        <v>16.680004744739001</v>
      </c>
      <c r="N4463">
        <v>49.463047642262701</v>
      </c>
      <c r="O4463">
        <v>46.281718713898599</v>
      </c>
      <c r="P4463">
        <v>-6.4299153091030598E-2</v>
      </c>
      <c r="Q4463">
        <v>0.286408875122659</v>
      </c>
      <c r="R4463">
        <v>0.98417557514165499</v>
      </c>
      <c r="S4463" t="s">
        <v>10324</v>
      </c>
      <c r="T4463" t="s">
        <v>11720</v>
      </c>
      <c r="U4463" t="s">
        <v>11720</v>
      </c>
      <c r="V4463" t="s">
        <v>11720</v>
      </c>
      <c r="W4463" t="s">
        <v>16128</v>
      </c>
      <c r="X4463">
        <v>3</v>
      </c>
      <c r="Y4463" t="s">
        <v>21837</v>
      </c>
      <c r="Z4463" t="s">
        <v>27670</v>
      </c>
      <c r="AA4463">
        <v>0.46707312502941478</v>
      </c>
      <c r="AB4463" t="str">
        <f>HYPERLINK("Melting_Curves/meltCurve_Q96AY4_TTC28.pdf", "Melting_Curves/meltCurve_Q96AY4_TTC28.pdf")</f>
        <v>Melting_Curves/meltCurve_Q96AY4_TTC28.pdf</v>
      </c>
    </row>
    <row r="4464" spans="1:28" x14ac:dyDescent="0.25">
      <c r="A4464" t="s">
        <v>4468</v>
      </c>
      <c r="B4464">
        <v>0.99334974765950101</v>
      </c>
      <c r="C4464">
        <v>0.96167059531965404</v>
      </c>
      <c r="D4464">
        <v>1.2142201500676899</v>
      </c>
      <c r="E4464">
        <v>1.08669105469103</v>
      </c>
      <c r="F4464">
        <v>0.93395833440626497</v>
      </c>
      <c r="G4464">
        <v>0.54125639872861897</v>
      </c>
      <c r="H4464">
        <v>0.47512617287995401</v>
      </c>
      <c r="I4464">
        <v>0.50375591082646798</v>
      </c>
      <c r="J4464">
        <v>0.414960486354917</v>
      </c>
      <c r="K4464">
        <v>0.36097057559413498</v>
      </c>
      <c r="L4464">
        <v>2697.0748804488098</v>
      </c>
      <c r="M4464">
        <v>48.764464368697098</v>
      </c>
      <c r="N4464">
        <v>57.749800246744201</v>
      </c>
      <c r="O4464">
        <v>55.215428315719798</v>
      </c>
      <c r="P4464">
        <v>-0.12444243334280999</v>
      </c>
      <c r="Q4464">
        <v>0.43638172471911302</v>
      </c>
      <c r="R4464">
        <v>0.92615715724146996</v>
      </c>
      <c r="S4464" t="s">
        <v>10325</v>
      </c>
      <c r="T4464" t="s">
        <v>11720</v>
      </c>
      <c r="U4464" t="s">
        <v>11720</v>
      </c>
      <c r="V4464" t="s">
        <v>11720</v>
      </c>
      <c r="W4464" t="s">
        <v>16129</v>
      </c>
      <c r="X4464">
        <v>7</v>
      </c>
      <c r="Y4464" t="s">
        <v>21838</v>
      </c>
      <c r="Z4464" t="s">
        <v>27671</v>
      </c>
      <c r="AA4464">
        <v>0.72542587937027825</v>
      </c>
      <c r="AB4464" t="str">
        <f>HYPERLINK("Melting_Curves/meltCurve_Q96B23_2_C18orf25.pdf", "Melting_Curves/meltCurve_Q96B23_2_C18orf25.pdf")</f>
        <v>Melting_Curves/meltCurve_Q96B23_2_C18orf25.pdf</v>
      </c>
    </row>
    <row r="4465" spans="1:28" x14ac:dyDescent="0.25">
      <c r="A4465" t="s">
        <v>4469</v>
      </c>
      <c r="B4465">
        <v>0.99334974765950101</v>
      </c>
      <c r="C4465">
        <v>0.93616637669257796</v>
      </c>
      <c r="D4465">
        <v>1.18029028396092</v>
      </c>
      <c r="E4465">
        <v>1.61532591849186</v>
      </c>
      <c r="F4465">
        <v>1.90525776161798</v>
      </c>
      <c r="G4465">
        <v>1.31847583453119</v>
      </c>
      <c r="H4465">
        <v>0.46207959259894699</v>
      </c>
      <c r="I4465">
        <v>0.18093154597238201</v>
      </c>
      <c r="J4465">
        <v>0.13847285452855401</v>
      </c>
      <c r="K4465">
        <v>0</v>
      </c>
      <c r="L4465">
        <v>7026.3864150459804</v>
      </c>
      <c r="M4465">
        <v>115.589951100145</v>
      </c>
      <c r="N4465">
        <v>60.9116994512639</v>
      </c>
      <c r="O4465">
        <v>60.768984332318801</v>
      </c>
      <c r="P4465">
        <v>-0.425488360660572</v>
      </c>
      <c r="Q4465">
        <v>0.105233821007225</v>
      </c>
      <c r="R4465">
        <v>0.65081459069770797</v>
      </c>
      <c r="S4465" t="s">
        <v>10326</v>
      </c>
      <c r="T4465" t="s">
        <v>11720</v>
      </c>
      <c r="U4465" t="s">
        <v>11720</v>
      </c>
      <c r="V4465" t="s">
        <v>11720</v>
      </c>
      <c r="W4465" t="s">
        <v>16130</v>
      </c>
      <c r="X4465">
        <v>2</v>
      </c>
      <c r="Y4465" t="s">
        <v>21839</v>
      </c>
      <c r="Z4465" t="s">
        <v>27672</v>
      </c>
      <c r="AA4465">
        <v>0.72566935415163991</v>
      </c>
      <c r="AB4465" t="str">
        <f>HYPERLINK("Melting_Curves/meltCurve_Q96B26_EXOSC8.pdf", "Melting_Curves/meltCurve_Q96B26_EXOSC8.pdf")</f>
        <v>Melting_Curves/meltCurve_Q96B26_EXOSC8.pdf</v>
      </c>
    </row>
    <row r="4466" spans="1:28" x14ac:dyDescent="0.25">
      <c r="A4466" t="s">
        <v>4470</v>
      </c>
      <c r="B4466">
        <v>0.99334974765950101</v>
      </c>
      <c r="C4466">
        <v>0.94860266566205997</v>
      </c>
      <c r="D4466">
        <v>0.91775765641999496</v>
      </c>
      <c r="E4466">
        <v>0.77612329079767794</v>
      </c>
      <c r="F4466">
        <v>0.67789945156697795</v>
      </c>
      <c r="G4466">
        <v>0.47936071080689002</v>
      </c>
      <c r="H4466">
        <v>0.43004147576019403</v>
      </c>
      <c r="I4466">
        <v>0.453049922034787</v>
      </c>
      <c r="J4466">
        <v>0.585516778730794</v>
      </c>
      <c r="K4466">
        <v>0.59021930798678901</v>
      </c>
      <c r="L4466">
        <v>1073.81661519051</v>
      </c>
      <c r="M4466">
        <v>21.3152373278146</v>
      </c>
      <c r="O4466">
        <v>49.940740823377404</v>
      </c>
      <c r="P4466">
        <v>-5.2967007941167099E-2</v>
      </c>
      <c r="Q4466">
        <v>0.50361411759460095</v>
      </c>
      <c r="R4466">
        <v>0.92072768610590705</v>
      </c>
      <c r="S4466" t="s">
        <v>10327</v>
      </c>
      <c r="T4466" t="s">
        <v>11720</v>
      </c>
      <c r="U4466" t="s">
        <v>11720</v>
      </c>
      <c r="V4466" t="s">
        <v>11720</v>
      </c>
      <c r="W4466" t="s">
        <v>16131</v>
      </c>
      <c r="X4466">
        <v>12</v>
      </c>
      <c r="Y4466" t="s">
        <v>18649</v>
      </c>
      <c r="Z4466" t="s">
        <v>27673</v>
      </c>
      <c r="AA4466">
        <v>0.68143013995781176</v>
      </c>
      <c r="AB4466" t="str">
        <f>HYPERLINK("Melting_Curves/meltCurve_Q96B36_AKT1S1.pdf", "Melting_Curves/meltCurve_Q96B36_AKT1S1.pdf")</f>
        <v>Melting_Curves/meltCurve_Q96B36_AKT1S1.pdf</v>
      </c>
    </row>
    <row r="4467" spans="1:28" x14ac:dyDescent="0.25">
      <c r="A4467" t="s">
        <v>4471</v>
      </c>
      <c r="B4467">
        <v>0.99334974765950101</v>
      </c>
      <c r="C4467">
        <v>1.0636719945108499</v>
      </c>
      <c r="D4467">
        <v>1.07788655804262</v>
      </c>
      <c r="E4467">
        <v>1.04090029012914</v>
      </c>
      <c r="F4467">
        <v>1.0297022213423499</v>
      </c>
      <c r="G4467">
        <v>0.80751047614247395</v>
      </c>
      <c r="H4467">
        <v>0.60997768576699196</v>
      </c>
      <c r="I4467">
        <v>0.62782757147829105</v>
      </c>
      <c r="J4467">
        <v>0.65514535817963304</v>
      </c>
      <c r="K4467">
        <v>0.59491083431289005</v>
      </c>
      <c r="L4467">
        <v>14247.9056108723</v>
      </c>
      <c r="M4467">
        <v>250</v>
      </c>
      <c r="O4467">
        <v>56.9879753713128</v>
      </c>
      <c r="P4467">
        <v>-0.41459913477470201</v>
      </c>
      <c r="Q4467">
        <v>0.621965356029477</v>
      </c>
      <c r="R4467">
        <v>0.96305221776294403</v>
      </c>
      <c r="S4467" t="s">
        <v>10328</v>
      </c>
      <c r="T4467" t="s">
        <v>11720</v>
      </c>
      <c r="U4467" t="s">
        <v>11720</v>
      </c>
      <c r="V4467" t="s">
        <v>11720</v>
      </c>
      <c r="W4467" t="s">
        <v>16132</v>
      </c>
      <c r="X4467">
        <v>5</v>
      </c>
      <c r="Y4467" t="s">
        <v>21840</v>
      </c>
      <c r="Z4467" t="s">
        <v>27674</v>
      </c>
      <c r="AA4467">
        <v>0.836117231528545</v>
      </c>
      <c r="AB4467" t="str">
        <f>HYPERLINK("Melting_Curves/meltCurve_Q96B45_C10orf32.pdf", "Melting_Curves/meltCurve_Q96B45_C10orf32.pdf")</f>
        <v>Melting_Curves/meltCurve_Q96B45_C10orf32.pdf</v>
      </c>
    </row>
    <row r="4468" spans="1:28" x14ac:dyDescent="0.25">
      <c r="A4468" t="s">
        <v>4472</v>
      </c>
      <c r="B4468">
        <v>0.99334974765950101</v>
      </c>
      <c r="C4468">
        <v>0.83582898849073695</v>
      </c>
      <c r="D4468">
        <v>0.65788249218997397</v>
      </c>
      <c r="E4468">
        <v>0.59002786177611599</v>
      </c>
      <c r="F4468">
        <v>0.61769699466820704</v>
      </c>
      <c r="G4468">
        <v>0.48106869910735001</v>
      </c>
      <c r="H4468">
        <v>0.56043414388741197</v>
      </c>
      <c r="I4468">
        <v>0.45183898996841598</v>
      </c>
      <c r="J4468">
        <v>0.93225046856378901</v>
      </c>
      <c r="K4468">
        <v>1.1290562566153099</v>
      </c>
      <c r="L4468">
        <v>10723.4369102276</v>
      </c>
      <c r="M4468">
        <v>250</v>
      </c>
      <c r="O4468">
        <v>42.891002737584103</v>
      </c>
      <c r="P4468">
        <v>-0.46989460648317999</v>
      </c>
      <c r="Q4468">
        <v>0.67753198681957105</v>
      </c>
      <c r="R4468">
        <v>0.21046786608754101</v>
      </c>
      <c r="S4468" t="s">
        <v>10329</v>
      </c>
      <c r="T4468" t="s">
        <v>11720</v>
      </c>
      <c r="U4468" t="s">
        <v>11720</v>
      </c>
      <c r="V4468" t="s">
        <v>11720</v>
      </c>
      <c r="W4468" t="s">
        <v>16133</v>
      </c>
      <c r="X4468">
        <v>3</v>
      </c>
      <c r="Y4468" t="s">
        <v>21841</v>
      </c>
      <c r="Z4468" t="s">
        <v>27675</v>
      </c>
      <c r="AA4468">
        <v>0.70866096329061912</v>
      </c>
      <c r="AB4468" t="str">
        <f>HYPERLINK("Melting_Curves/meltCurve_Q96B49_TOMM6.pdf", "Melting_Curves/meltCurve_Q96B49_TOMM6.pdf")</f>
        <v>Melting_Curves/meltCurve_Q96B49_TOMM6.pdf</v>
      </c>
    </row>
    <row r="4469" spans="1:28" x14ac:dyDescent="0.25">
      <c r="A4469" t="s">
        <v>4473</v>
      </c>
      <c r="B4469">
        <v>0.99334974765950101</v>
      </c>
      <c r="C4469">
        <v>0.96843298429935498</v>
      </c>
      <c r="D4469">
        <v>0.83924470578731203</v>
      </c>
      <c r="E4469">
        <v>0.70822044909944104</v>
      </c>
      <c r="F4469">
        <v>0.63452542765148101</v>
      </c>
      <c r="G4469">
        <v>0.60472514439618097</v>
      </c>
      <c r="H4469">
        <v>0.52549826756653495</v>
      </c>
      <c r="I4469">
        <v>0.62794008368334198</v>
      </c>
      <c r="J4469">
        <v>0.56131582529806701</v>
      </c>
      <c r="K4469">
        <v>0.607962771153572</v>
      </c>
      <c r="L4469">
        <v>914.45647149696197</v>
      </c>
      <c r="M4469">
        <v>19.2397641327385</v>
      </c>
      <c r="O4469">
        <v>47.024993063427701</v>
      </c>
      <c r="P4469">
        <v>-4.2836793880753503E-2</v>
      </c>
      <c r="Q4469">
        <v>0.58121680390038999</v>
      </c>
      <c r="R4469">
        <v>0.97039504710354296</v>
      </c>
      <c r="S4469" t="s">
        <v>10330</v>
      </c>
      <c r="T4469" t="s">
        <v>11720</v>
      </c>
      <c r="U4469" t="s">
        <v>11720</v>
      </c>
      <c r="V4469" t="s">
        <v>11720</v>
      </c>
      <c r="W4469" t="s">
        <v>16134</v>
      </c>
      <c r="X4469">
        <v>6</v>
      </c>
      <c r="Y4469" t="s">
        <v>21842</v>
      </c>
      <c r="Z4469" t="s">
        <v>27676</v>
      </c>
      <c r="AA4469">
        <v>0.69287041006505501</v>
      </c>
      <c r="AB4469" t="str">
        <f>HYPERLINK("Melting_Curves/meltCurve_Q96BA8_CREB3L1.pdf", "Melting_Curves/meltCurve_Q96BA8_CREB3L1.pdf")</f>
        <v>Melting_Curves/meltCurve_Q96BA8_CREB3L1.pdf</v>
      </c>
    </row>
    <row r="4470" spans="1:28" x14ac:dyDescent="0.25">
      <c r="A4470" t="s">
        <v>4474</v>
      </c>
      <c r="B4470">
        <v>0.99334974765950101</v>
      </c>
      <c r="C4470">
        <v>0.98287066803396095</v>
      </c>
      <c r="D4470">
        <v>0.849797257550851</v>
      </c>
      <c r="E4470">
        <v>0.71894831114521995</v>
      </c>
      <c r="F4470">
        <v>0.37641970950044301</v>
      </c>
      <c r="G4470">
        <v>0.204842121284083</v>
      </c>
      <c r="H4470">
        <v>0.16009297708172299</v>
      </c>
      <c r="I4470">
        <v>0.142053731089266</v>
      </c>
      <c r="J4470">
        <v>0.17736498377919199</v>
      </c>
      <c r="K4470">
        <v>0.15949302385344299</v>
      </c>
      <c r="L4470">
        <v>1110.6330264286401</v>
      </c>
      <c r="M4470">
        <v>21.787068365852001</v>
      </c>
      <c r="N4470">
        <v>51.789737632566698</v>
      </c>
      <c r="O4470">
        <v>50.553073757762398</v>
      </c>
      <c r="P4470">
        <v>-9.21401921703046E-2</v>
      </c>
      <c r="Q4470">
        <v>0.14483914636419801</v>
      </c>
      <c r="R4470">
        <v>0.99062261703933097</v>
      </c>
      <c r="S4470" t="s">
        <v>10331</v>
      </c>
      <c r="T4470" t="s">
        <v>11720</v>
      </c>
      <c r="U4470" t="s">
        <v>11720</v>
      </c>
      <c r="V4470" t="s">
        <v>11720</v>
      </c>
      <c r="W4470" t="s">
        <v>16135</v>
      </c>
      <c r="X4470">
        <v>11</v>
      </c>
      <c r="Y4470" t="s">
        <v>21843</v>
      </c>
      <c r="Z4470" t="s">
        <v>27677</v>
      </c>
      <c r="AA4470">
        <v>0.46782715919519352</v>
      </c>
      <c r="AB4470" t="str">
        <f>HYPERLINK("Melting_Curves/meltCurve_Q96BH1_RNF25.pdf", "Melting_Curves/meltCurve_Q96BH1_RNF25.pdf")</f>
        <v>Melting_Curves/meltCurve_Q96BH1_RNF25.pdf</v>
      </c>
    </row>
    <row r="4471" spans="1:28" x14ac:dyDescent="0.25">
      <c r="A4471" t="s">
        <v>4475</v>
      </c>
      <c r="B4471">
        <v>0.99334974765950101</v>
      </c>
      <c r="C4471">
        <v>0.95787255149862904</v>
      </c>
      <c r="D4471">
        <v>0.82579956269417298</v>
      </c>
      <c r="E4471">
        <v>0.61018203475820099</v>
      </c>
      <c r="F4471">
        <v>0.25241698222334602</v>
      </c>
      <c r="G4471">
        <v>0.12849766932669801</v>
      </c>
      <c r="H4471">
        <v>7.31713086796274E-2</v>
      </c>
      <c r="I4471">
        <v>5.6247830689309997E-2</v>
      </c>
      <c r="J4471">
        <v>4.5479864380175997E-2</v>
      </c>
      <c r="K4471">
        <v>3.07090633068542E-2</v>
      </c>
      <c r="L4471">
        <v>969.03353567399904</v>
      </c>
      <c r="M4471">
        <v>19.235263531331899</v>
      </c>
      <c r="N4471">
        <v>50.556500062482002</v>
      </c>
      <c r="O4471">
        <v>49.842952355818703</v>
      </c>
      <c r="P4471">
        <v>-9.3315013315255504E-2</v>
      </c>
      <c r="Q4471">
        <v>3.2834874082643101E-2</v>
      </c>
      <c r="R4471">
        <v>0.99466949116404002</v>
      </c>
      <c r="S4471" t="s">
        <v>10332</v>
      </c>
      <c r="T4471" t="s">
        <v>11720</v>
      </c>
      <c r="U4471" t="s">
        <v>11720</v>
      </c>
      <c r="V4471" t="s">
        <v>11720</v>
      </c>
      <c r="W4471" t="s">
        <v>16136</v>
      </c>
      <c r="X4471">
        <v>16</v>
      </c>
      <c r="Y4471" t="s">
        <v>21844</v>
      </c>
      <c r="Z4471" t="s">
        <v>27678</v>
      </c>
      <c r="AA4471">
        <v>0.38189606294028289</v>
      </c>
      <c r="AB4471" t="str">
        <f>HYPERLINK("Melting_Curves/meltCurve_Q96BJ3_AIDA.pdf", "Melting_Curves/meltCurve_Q96BJ3_AIDA.pdf")</f>
        <v>Melting_Curves/meltCurve_Q96BJ3_AIDA.pdf</v>
      </c>
    </row>
    <row r="4472" spans="1:28" x14ac:dyDescent="0.25">
      <c r="A4472" t="s">
        <v>4476</v>
      </c>
      <c r="B4472">
        <v>0.99334974765950101</v>
      </c>
      <c r="C4472">
        <v>0.94656364019276495</v>
      </c>
      <c r="D4472">
        <v>0.94087495887669104</v>
      </c>
      <c r="E4472">
        <v>0.75943598484229402</v>
      </c>
      <c r="F4472">
        <v>0.63812867360589498</v>
      </c>
      <c r="G4472">
        <v>0.51965745870208202</v>
      </c>
      <c r="H4472">
        <v>0.49659308767468202</v>
      </c>
      <c r="I4472">
        <v>0.538528065652643</v>
      </c>
      <c r="J4472">
        <v>0.33890292788068499</v>
      </c>
      <c r="K4472">
        <v>0.21032459013555499</v>
      </c>
      <c r="L4472">
        <v>384.38622125325099</v>
      </c>
      <c r="M4472">
        <v>6.40507008817033</v>
      </c>
      <c r="N4472">
        <v>60.012806350629397</v>
      </c>
      <c r="O4472">
        <v>54.963824140606199</v>
      </c>
      <c r="P4472">
        <v>-2.9207738503795499E-2</v>
      </c>
      <c r="Q4472">
        <v>0</v>
      </c>
      <c r="R4472">
        <v>0.93916548319977999</v>
      </c>
      <c r="S4472" t="s">
        <v>10333</v>
      </c>
      <c r="T4472" t="s">
        <v>11720</v>
      </c>
      <c r="U4472" t="s">
        <v>11720</v>
      </c>
      <c r="V4472" t="s">
        <v>11720</v>
      </c>
      <c r="W4472" t="s">
        <v>16137</v>
      </c>
      <c r="X4472">
        <v>10</v>
      </c>
      <c r="Y4472" t="s">
        <v>21845</v>
      </c>
      <c r="Z4472" t="s">
        <v>27679</v>
      </c>
      <c r="AA4472">
        <v>0.63762003730679839</v>
      </c>
      <c r="AB4472" t="str">
        <f>HYPERLINK("Melting_Curves/meltCurve_Q96BM9_ARL8A.pdf", "Melting_Curves/meltCurve_Q96BM9_ARL8A.pdf")</f>
        <v>Melting_Curves/meltCurve_Q96BM9_ARL8A.pdf</v>
      </c>
    </row>
    <row r="4473" spans="1:28" x14ac:dyDescent="0.25">
      <c r="A4473" t="s">
        <v>4477</v>
      </c>
      <c r="B4473">
        <v>0.99334974765950101</v>
      </c>
      <c r="C4473">
        <v>0.96323844888129195</v>
      </c>
      <c r="D4473">
        <v>0.80348033733666602</v>
      </c>
      <c r="E4473">
        <v>0.64222943538319899</v>
      </c>
      <c r="F4473">
        <v>0.166834634109574</v>
      </c>
      <c r="G4473">
        <v>8.2306056086643306E-2</v>
      </c>
      <c r="H4473">
        <v>6.0719826993658403E-2</v>
      </c>
      <c r="I4473">
        <v>5.6682925101896701E-2</v>
      </c>
      <c r="J4473">
        <v>6.85802539653972E-2</v>
      </c>
      <c r="K4473">
        <v>5.9382929370141502E-2</v>
      </c>
      <c r="L4473">
        <v>1227.4065006349001</v>
      </c>
      <c r="M4473">
        <v>24.453205929378701</v>
      </c>
      <c r="N4473">
        <v>50.391779944813599</v>
      </c>
      <c r="O4473">
        <v>49.862018885737598</v>
      </c>
      <c r="P4473">
        <v>-0.116998643306061</v>
      </c>
      <c r="Q4473">
        <v>4.5736075575820399E-2</v>
      </c>
      <c r="R4473">
        <v>0.98103814918949095</v>
      </c>
      <c r="S4473" t="s">
        <v>10334</v>
      </c>
      <c r="T4473" t="s">
        <v>11720</v>
      </c>
      <c r="U4473" t="s">
        <v>11720</v>
      </c>
      <c r="V4473" t="s">
        <v>11720</v>
      </c>
      <c r="W4473" t="s">
        <v>16138</v>
      </c>
      <c r="X4473">
        <v>9</v>
      </c>
      <c r="Y4473" t="s">
        <v>21846</v>
      </c>
      <c r="Z4473" t="s">
        <v>27680</v>
      </c>
      <c r="AA4473">
        <v>0.37893046558808569</v>
      </c>
      <c r="AB4473" t="str">
        <f>HYPERLINK("Melting_Curves/meltCurve_Q96BN8_FAM105B.pdf", "Melting_Curves/meltCurve_Q96BN8_FAM105B.pdf")</f>
        <v>Melting_Curves/meltCurve_Q96BN8_FAM105B.pdf</v>
      </c>
    </row>
    <row r="4474" spans="1:28" x14ac:dyDescent="0.25">
      <c r="A4474" t="s">
        <v>4478</v>
      </c>
      <c r="B4474">
        <v>0.99334974765950101</v>
      </c>
      <c r="C4474">
        <v>0.95310655687614099</v>
      </c>
      <c r="D4474">
        <v>0.82319812654180002</v>
      </c>
      <c r="E4474">
        <v>0.56261532563272598</v>
      </c>
      <c r="F4474">
        <v>0.411263236346259</v>
      </c>
      <c r="G4474">
        <v>0.30636762702757397</v>
      </c>
      <c r="H4474">
        <v>0.204429991211384</v>
      </c>
      <c r="I4474">
        <v>0.196903731666529</v>
      </c>
      <c r="J4474">
        <v>0.17510299807478599</v>
      </c>
      <c r="K4474">
        <v>0.157836979058261</v>
      </c>
      <c r="L4474">
        <v>747.58720064701697</v>
      </c>
      <c r="M4474">
        <v>14.944593570238199</v>
      </c>
      <c r="N4474">
        <v>51.3439506705433</v>
      </c>
      <c r="O4474">
        <v>49.153859538036997</v>
      </c>
      <c r="P4474">
        <v>-6.3891730770802596E-2</v>
      </c>
      <c r="Q4474">
        <v>0.159507899021717</v>
      </c>
      <c r="R4474">
        <v>0.99792282609239802</v>
      </c>
      <c r="S4474" t="s">
        <v>10335</v>
      </c>
      <c r="T4474" t="s">
        <v>11720</v>
      </c>
      <c r="U4474" t="s">
        <v>11720</v>
      </c>
      <c r="V4474" t="s">
        <v>11720</v>
      </c>
      <c r="W4474" t="s">
        <v>16139</v>
      </c>
      <c r="X4474">
        <v>2</v>
      </c>
      <c r="Y4474" t="s">
        <v>21847</v>
      </c>
      <c r="Z4474" t="s">
        <v>27681</v>
      </c>
      <c r="AA4474">
        <v>0.46050072001652109</v>
      </c>
      <c r="AB4474" t="str">
        <f>HYPERLINK("Melting_Curves/meltCurve_Q96BP2_CHCHD1.pdf", "Melting_Curves/meltCurve_Q96BP2_CHCHD1.pdf")</f>
        <v>Melting_Curves/meltCurve_Q96BP2_CHCHD1.pdf</v>
      </c>
    </row>
    <row r="4475" spans="1:28" x14ac:dyDescent="0.25">
      <c r="A4475" t="s">
        <v>4479</v>
      </c>
      <c r="B4475">
        <v>0.99334974765950101</v>
      </c>
      <c r="C4475">
        <v>0.88431034912137196</v>
      </c>
      <c r="D4475">
        <v>0.90919706189134897</v>
      </c>
      <c r="E4475">
        <v>0.54266244617341997</v>
      </c>
      <c r="F4475">
        <v>0.213812838188777</v>
      </c>
      <c r="G4475">
        <v>0.13162474087981901</v>
      </c>
      <c r="H4475">
        <v>0.120581385157307</v>
      </c>
      <c r="I4475">
        <v>0.101319195365189</v>
      </c>
      <c r="J4475">
        <v>0.105059935269448</v>
      </c>
      <c r="K4475">
        <v>9.5127430114897493E-2</v>
      </c>
      <c r="L4475">
        <v>1323.1392337325999</v>
      </c>
      <c r="M4475">
        <v>26.594610071900998</v>
      </c>
      <c r="N4475">
        <v>50.1699109151646</v>
      </c>
      <c r="O4475">
        <v>49.473428099619198</v>
      </c>
      <c r="P4475">
        <v>-0.121042574821129</v>
      </c>
      <c r="Q4475">
        <v>9.9317409349976404E-2</v>
      </c>
      <c r="R4475">
        <v>0.99051554636646</v>
      </c>
      <c r="S4475" t="s">
        <v>10336</v>
      </c>
      <c r="T4475" t="s">
        <v>11720</v>
      </c>
      <c r="U4475" t="s">
        <v>11720</v>
      </c>
      <c r="V4475" t="s">
        <v>11720</v>
      </c>
      <c r="W4475" t="s">
        <v>16140</v>
      </c>
      <c r="X4475">
        <v>10</v>
      </c>
      <c r="Y4475" t="s">
        <v>21848</v>
      </c>
      <c r="Z4475" t="s">
        <v>27682</v>
      </c>
      <c r="AA4475">
        <v>0.39918938396156228</v>
      </c>
      <c r="AB4475" t="str">
        <f>HYPERLINK("Melting_Curves/meltCurve_Q96BP3_PPWD1.pdf", "Melting_Curves/meltCurve_Q96BP3_PPWD1.pdf")</f>
        <v>Melting_Curves/meltCurve_Q96BP3_PPWD1.pdf</v>
      </c>
    </row>
    <row r="4476" spans="1:28" x14ac:dyDescent="0.25">
      <c r="A4476" t="s">
        <v>4480</v>
      </c>
      <c r="B4476">
        <v>0.99334974765950101</v>
      </c>
      <c r="C4476">
        <v>0.94357105864034796</v>
      </c>
      <c r="D4476">
        <v>0.87241726565595101</v>
      </c>
      <c r="E4476">
        <v>0.77062646243261701</v>
      </c>
      <c r="F4476">
        <v>0.59630947689299996</v>
      </c>
      <c r="G4476">
        <v>0.400622191736689</v>
      </c>
      <c r="H4476">
        <v>0.29857339853266901</v>
      </c>
      <c r="I4476">
        <v>0.27494424817247898</v>
      </c>
      <c r="J4476">
        <v>0.272731670993836</v>
      </c>
      <c r="K4476">
        <v>0.26276870312134598</v>
      </c>
      <c r="L4476">
        <v>738.35323122946602</v>
      </c>
      <c r="M4476">
        <v>14.073920667689301</v>
      </c>
      <c r="N4476">
        <v>54.795874447918997</v>
      </c>
      <c r="O4476">
        <v>51.437400498455602</v>
      </c>
      <c r="P4476">
        <v>-5.2991679334846102E-2</v>
      </c>
      <c r="Q4476">
        <v>0.22540399090534499</v>
      </c>
      <c r="R4476">
        <v>0.99537737792081105</v>
      </c>
      <c r="S4476" t="s">
        <v>10337</v>
      </c>
      <c r="T4476" t="s">
        <v>11720</v>
      </c>
      <c r="U4476" t="s">
        <v>11720</v>
      </c>
      <c r="V4476" t="s">
        <v>11720</v>
      </c>
      <c r="W4476" t="s">
        <v>16141</v>
      </c>
      <c r="X4476">
        <v>13</v>
      </c>
      <c r="Y4476" t="s">
        <v>21849</v>
      </c>
      <c r="Z4476" t="s">
        <v>27683</v>
      </c>
      <c r="AA4476">
        <v>0.56583929196174931</v>
      </c>
      <c r="AB4476" t="str">
        <f>HYPERLINK("Melting_Curves/meltCurve_Q96BR5_SELRC1.pdf", "Melting_Curves/meltCurve_Q96BR5_SELRC1.pdf")</f>
        <v>Melting_Curves/meltCurve_Q96BR5_SELRC1.pdf</v>
      </c>
    </row>
    <row r="4477" spans="1:28" x14ac:dyDescent="0.25">
      <c r="A4477" t="s">
        <v>4481</v>
      </c>
      <c r="B4477">
        <v>0.99334974765950101</v>
      </c>
      <c r="C4477">
        <v>1.01880384933284</v>
      </c>
      <c r="D4477">
        <v>1.02198234586711</v>
      </c>
      <c r="E4477">
        <v>0.93613488803604805</v>
      </c>
      <c r="F4477">
        <v>0.79260526615501103</v>
      </c>
      <c r="G4477">
        <v>0.73579388467655105</v>
      </c>
      <c r="H4477">
        <v>0.57201317669429896</v>
      </c>
      <c r="I4477">
        <v>0.38879372416438701</v>
      </c>
      <c r="J4477">
        <v>0.20941577479090101</v>
      </c>
      <c r="K4477">
        <v>0.16938302602576799</v>
      </c>
      <c r="L4477">
        <v>754.89863086011906</v>
      </c>
      <c r="M4477">
        <v>12.3047578152266</v>
      </c>
      <c r="N4477">
        <v>61.350141371947402</v>
      </c>
      <c r="O4477">
        <v>59.797278322388898</v>
      </c>
      <c r="P4477">
        <v>-5.1454893263919103E-2</v>
      </c>
      <c r="Q4477">
        <v>0</v>
      </c>
      <c r="R4477">
        <v>0.98485097054591697</v>
      </c>
      <c r="S4477" t="s">
        <v>10338</v>
      </c>
      <c r="T4477" t="s">
        <v>11720</v>
      </c>
      <c r="U4477" t="s">
        <v>11720</v>
      </c>
      <c r="V4477" t="s">
        <v>11720</v>
      </c>
      <c r="W4477" t="s">
        <v>16142</v>
      </c>
      <c r="X4477">
        <v>8</v>
      </c>
      <c r="Y4477" t="s">
        <v>21850</v>
      </c>
      <c r="Z4477" t="s">
        <v>27684</v>
      </c>
      <c r="AA4477">
        <v>0.70619735398281591</v>
      </c>
      <c r="AB4477" t="str">
        <f>HYPERLINK("Melting_Curves/meltCurve_Q96BW5_2_PTER.pdf", "Melting_Curves/meltCurve_Q96BW5_2_PTER.pdf")</f>
        <v>Melting_Curves/meltCurve_Q96BW5_2_PTER.pdf</v>
      </c>
    </row>
    <row r="4478" spans="1:28" x14ac:dyDescent="0.25">
      <c r="A4478" t="s">
        <v>4482</v>
      </c>
      <c r="B4478">
        <v>0.99334974765950101</v>
      </c>
      <c r="C4478">
        <v>0.99120935612802596</v>
      </c>
      <c r="D4478">
        <v>0.85625775190494002</v>
      </c>
      <c r="E4478">
        <v>0.59114377582895095</v>
      </c>
      <c r="F4478">
        <v>0.23044860237932999</v>
      </c>
      <c r="G4478">
        <v>0.149072814635268</v>
      </c>
      <c r="H4478">
        <v>0.105020007814196</v>
      </c>
      <c r="I4478">
        <v>7.6548360781437993E-2</v>
      </c>
      <c r="J4478">
        <v>6.9598997150929806E-2</v>
      </c>
      <c r="K4478">
        <v>6.0666843066738502E-2</v>
      </c>
      <c r="L4478">
        <v>1141.0057396490699</v>
      </c>
      <c r="M4478">
        <v>22.764487089461198</v>
      </c>
      <c r="N4478">
        <v>50.461435499033797</v>
      </c>
      <c r="O4478">
        <v>49.740206677844803</v>
      </c>
      <c r="P4478">
        <v>-0.106300543775599</v>
      </c>
      <c r="Q4478">
        <v>7.0955044744801798E-2</v>
      </c>
      <c r="R4478">
        <v>0.99534219021660797</v>
      </c>
      <c r="S4478" t="s">
        <v>10339</v>
      </c>
      <c r="T4478" t="s">
        <v>11720</v>
      </c>
      <c r="U4478" t="s">
        <v>11720</v>
      </c>
      <c r="V4478" t="s">
        <v>11720</v>
      </c>
      <c r="W4478" t="s">
        <v>16143</v>
      </c>
      <c r="X4478">
        <v>5</v>
      </c>
      <c r="Y4478" t="s">
        <v>21851</v>
      </c>
      <c r="Z4478" t="s">
        <v>27685</v>
      </c>
      <c r="AA4478">
        <v>0.3944440066894605</v>
      </c>
      <c r="AB4478" t="str">
        <f>HYPERLINK("Melting_Curves/meltCurve_Q96BX8_MOB3A.pdf", "Melting_Curves/meltCurve_Q96BX8_MOB3A.pdf")</f>
        <v>Melting_Curves/meltCurve_Q96BX8_MOB3A.pdf</v>
      </c>
    </row>
    <row r="4479" spans="1:28" x14ac:dyDescent="0.25">
      <c r="A4479" t="s">
        <v>4483</v>
      </c>
      <c r="B4479">
        <v>0.99334974765950101</v>
      </c>
      <c r="C4479">
        <v>0.975668834785828</v>
      </c>
      <c r="D4479">
        <v>1.3083431972941999</v>
      </c>
      <c r="E4479">
        <v>0.90820817708526203</v>
      </c>
      <c r="F4479">
        <v>0.99923428012012705</v>
      </c>
      <c r="G4479">
        <v>0.53588062938811198</v>
      </c>
      <c r="H4479">
        <v>0.42285885977846999</v>
      </c>
      <c r="I4479">
        <v>0.216875567827363</v>
      </c>
      <c r="J4479">
        <v>0.421316012311928</v>
      </c>
      <c r="K4479">
        <v>0.26573808602162602</v>
      </c>
      <c r="L4479">
        <v>2821.3614387361599</v>
      </c>
      <c r="M4479">
        <v>50.2143737260674</v>
      </c>
      <c r="N4479">
        <v>57.394060087916699</v>
      </c>
      <c r="O4479">
        <v>56.097436051638802</v>
      </c>
      <c r="P4479">
        <v>-0.15078653278643001</v>
      </c>
      <c r="Q4479">
        <v>0.32619050004964101</v>
      </c>
      <c r="R4479">
        <v>0.89198998761063597</v>
      </c>
      <c r="S4479" t="s">
        <v>10340</v>
      </c>
      <c r="T4479" t="s">
        <v>11720</v>
      </c>
      <c r="U4479" t="s">
        <v>11720</v>
      </c>
      <c r="V4479" t="s">
        <v>11720</v>
      </c>
      <c r="W4479" t="s">
        <v>16144</v>
      </c>
      <c r="X4479">
        <v>4</v>
      </c>
      <c r="Y4479" t="s">
        <v>21852</v>
      </c>
      <c r="Z4479" t="s">
        <v>27686</v>
      </c>
      <c r="AA4479">
        <v>0.69139424794990179</v>
      </c>
      <c r="AB4479" t="str">
        <f>HYPERLINK("Melting_Curves/meltCurve_Q96BY7_ATG2B.pdf", "Melting_Curves/meltCurve_Q96BY7_ATG2B.pdf")</f>
        <v>Melting_Curves/meltCurve_Q96BY7_ATG2B.pdf</v>
      </c>
    </row>
    <row r="4480" spans="1:28" x14ac:dyDescent="0.25">
      <c r="A4480" t="s">
        <v>4484</v>
      </c>
      <c r="B4480">
        <v>0.99334974765950101</v>
      </c>
      <c r="C4480">
        <v>0.93617474563540204</v>
      </c>
      <c r="D4480">
        <v>0.86380660523009001</v>
      </c>
      <c r="E4480">
        <v>0.578183417562256</v>
      </c>
      <c r="F4480">
        <v>0.20066872312068501</v>
      </c>
      <c r="G4480">
        <v>0.12911246334961801</v>
      </c>
      <c r="H4480">
        <v>0.115924733295417</v>
      </c>
      <c r="I4480">
        <v>0.118042705972673</v>
      </c>
      <c r="J4480">
        <v>0.112998351746443</v>
      </c>
      <c r="K4480">
        <v>5.4350093378183098E-2</v>
      </c>
      <c r="L4480">
        <v>1239.3529746910699</v>
      </c>
      <c r="M4480">
        <v>24.865815552049298</v>
      </c>
      <c r="N4480">
        <v>50.243430996323603</v>
      </c>
      <c r="O4480">
        <v>49.522636387419602</v>
      </c>
      <c r="P4480">
        <v>-0.1142112483404</v>
      </c>
      <c r="Q4480">
        <v>9.01623044184027E-2</v>
      </c>
      <c r="R4480">
        <v>0.99109186650145598</v>
      </c>
      <c r="S4480" t="s">
        <v>10341</v>
      </c>
      <c r="T4480" t="s">
        <v>11720</v>
      </c>
      <c r="U4480" t="s">
        <v>11720</v>
      </c>
      <c r="V4480" t="s">
        <v>11720</v>
      </c>
      <c r="W4480" t="s">
        <v>16145</v>
      </c>
      <c r="X4480">
        <v>6</v>
      </c>
      <c r="Y4480" t="s">
        <v>21853</v>
      </c>
      <c r="Z4480" t="s">
        <v>27687</v>
      </c>
      <c r="AA4480">
        <v>0.39684647694563818</v>
      </c>
      <c r="AB4480" t="str">
        <f>HYPERLINK("Melting_Curves/meltCurve_Q96BZ9_TBC1D20.pdf", "Melting_Curves/meltCurve_Q96BZ9_TBC1D20.pdf")</f>
        <v>Melting_Curves/meltCurve_Q96BZ9_TBC1D20.pdf</v>
      </c>
    </row>
    <row r="4481" spans="1:28" x14ac:dyDescent="0.25">
      <c r="A4481" t="s">
        <v>4485</v>
      </c>
      <c r="B4481">
        <v>0.99334974765950101</v>
      </c>
      <c r="C4481">
        <v>0.97075444655049303</v>
      </c>
      <c r="D4481">
        <v>0.89107956380936904</v>
      </c>
      <c r="E4481">
        <v>0.81437759382863395</v>
      </c>
      <c r="F4481">
        <v>0.73094651999555005</v>
      </c>
      <c r="G4481">
        <v>0.47847857355896301</v>
      </c>
      <c r="H4481">
        <v>0.391682987096589</v>
      </c>
      <c r="I4481">
        <v>0.41617809407029199</v>
      </c>
      <c r="J4481">
        <v>0.48413149013135098</v>
      </c>
      <c r="K4481">
        <v>0.45280637245107702</v>
      </c>
      <c r="L4481">
        <v>937.86017474450603</v>
      </c>
      <c r="M4481">
        <v>17.972226481424698</v>
      </c>
      <c r="N4481">
        <v>57.950268692979797</v>
      </c>
      <c r="O4481">
        <v>51.550628123377301</v>
      </c>
      <c r="P4481">
        <v>-5.0869539281690003E-2</v>
      </c>
      <c r="Q4481">
        <v>0.41638221303491502</v>
      </c>
      <c r="R4481">
        <v>0.96460918871674195</v>
      </c>
      <c r="S4481" t="s">
        <v>10342</v>
      </c>
      <c r="T4481" t="s">
        <v>11720</v>
      </c>
      <c r="U4481" t="s">
        <v>11720</v>
      </c>
      <c r="V4481" t="s">
        <v>11720</v>
      </c>
      <c r="W4481" t="s">
        <v>16146</v>
      </c>
      <c r="X4481">
        <v>11</v>
      </c>
      <c r="Y4481" t="s">
        <v>21854</v>
      </c>
      <c r="Z4481" t="s">
        <v>27688</v>
      </c>
      <c r="AA4481">
        <v>0.66311809804074262</v>
      </c>
      <c r="AB4481" t="str">
        <f>HYPERLINK("Melting_Curves/meltCurve_Q96C01_FAM136A.pdf", "Melting_Curves/meltCurve_Q96C01_FAM136A.pdf")</f>
        <v>Melting_Curves/meltCurve_Q96C01_FAM136A.pdf</v>
      </c>
    </row>
    <row r="4482" spans="1:28" x14ac:dyDescent="0.25">
      <c r="A4482" t="s">
        <v>4486</v>
      </c>
      <c r="B4482">
        <v>0.99334974765950101</v>
      </c>
      <c r="C4482">
        <v>1.0058346627238901</v>
      </c>
      <c r="D4482">
        <v>1.0363763531235199</v>
      </c>
      <c r="E4482">
        <v>1.0619374677188</v>
      </c>
      <c r="F4482">
        <v>0.97520180642190002</v>
      </c>
      <c r="G4482">
        <v>0.75290901662286402</v>
      </c>
      <c r="H4482">
        <v>0.26936322826950798</v>
      </c>
      <c r="I4482">
        <v>0.128539153294979</v>
      </c>
      <c r="J4482">
        <v>0.13288720220283501</v>
      </c>
      <c r="K4482">
        <v>0.16967373474459399</v>
      </c>
      <c r="L4482">
        <v>2376.3737281282001</v>
      </c>
      <c r="M4482">
        <v>40.767822979031799</v>
      </c>
      <c r="N4482">
        <v>58.754515513505801</v>
      </c>
      <c r="O4482">
        <v>58.150703275910899</v>
      </c>
      <c r="P4482">
        <v>-0.15114144431364401</v>
      </c>
      <c r="Q4482">
        <v>0.137656832287086</v>
      </c>
      <c r="R4482">
        <v>0.99522921437306</v>
      </c>
      <c r="S4482" t="s">
        <v>10343</v>
      </c>
      <c r="T4482" t="s">
        <v>11720</v>
      </c>
      <c r="U4482" t="s">
        <v>11720</v>
      </c>
      <c r="V4482" t="s">
        <v>11720</v>
      </c>
      <c r="W4482" t="s">
        <v>16147</v>
      </c>
      <c r="X4482">
        <v>11</v>
      </c>
      <c r="Y4482" t="s">
        <v>21855</v>
      </c>
      <c r="Z4482" t="s">
        <v>27689</v>
      </c>
      <c r="AA4482">
        <v>0.66668680097201272</v>
      </c>
      <c r="AB4482" t="str">
        <f>HYPERLINK("Melting_Curves/meltCurve_Q96C11_FGGY.pdf", "Melting_Curves/meltCurve_Q96C11_FGGY.pdf")</f>
        <v>Melting_Curves/meltCurve_Q96C11_FGGY.pdf</v>
      </c>
    </row>
    <row r="4483" spans="1:28" x14ac:dyDescent="0.25">
      <c r="A4483" t="s">
        <v>4487</v>
      </c>
      <c r="B4483">
        <v>0.99334974765950101</v>
      </c>
      <c r="C4483">
        <v>0.894762558840693</v>
      </c>
      <c r="D4483">
        <v>0.82903688247030205</v>
      </c>
      <c r="E4483">
        <v>0.61055649024507097</v>
      </c>
      <c r="F4483">
        <v>0.27825997984999101</v>
      </c>
      <c r="G4483">
        <v>0.148189971997851</v>
      </c>
      <c r="H4483">
        <v>0.120057662442141</v>
      </c>
      <c r="I4483">
        <v>0.116764774716935</v>
      </c>
      <c r="J4483">
        <v>0.13930708848705201</v>
      </c>
      <c r="K4483">
        <v>0.127908386949624</v>
      </c>
      <c r="L4483">
        <v>964.41793650572595</v>
      </c>
      <c r="M4483">
        <v>19.329687349582802</v>
      </c>
      <c r="N4483">
        <v>50.510963696152999</v>
      </c>
      <c r="O4483">
        <v>49.368305627823602</v>
      </c>
      <c r="P4483">
        <v>-8.7582455497535294E-2</v>
      </c>
      <c r="Q4483">
        <v>0.10528591985385399</v>
      </c>
      <c r="R4483">
        <v>0.98825946777307305</v>
      </c>
      <c r="S4483" t="s">
        <v>10344</v>
      </c>
      <c r="T4483" t="s">
        <v>11720</v>
      </c>
      <c r="U4483" t="s">
        <v>11720</v>
      </c>
      <c r="V4483" t="s">
        <v>11720</v>
      </c>
      <c r="W4483" t="s">
        <v>16148</v>
      </c>
      <c r="X4483">
        <v>22</v>
      </c>
      <c r="Y4483" t="s">
        <v>21856</v>
      </c>
      <c r="Z4483" t="s">
        <v>27690</v>
      </c>
      <c r="AA4483">
        <v>0.41365409100945788</v>
      </c>
      <c r="AB4483" t="str">
        <f>HYPERLINK("Melting_Curves/meltCurve_Q96C19_EFHD2.pdf", "Melting_Curves/meltCurve_Q96C19_EFHD2.pdf")</f>
        <v>Melting_Curves/meltCurve_Q96C19_EFHD2.pdf</v>
      </c>
    </row>
    <row r="4484" spans="1:28" x14ac:dyDescent="0.25">
      <c r="A4484" t="s">
        <v>4488</v>
      </c>
      <c r="B4484">
        <v>0.99334974765950101</v>
      </c>
      <c r="C4484">
        <v>0.96774779773922504</v>
      </c>
      <c r="D4484">
        <v>0.87383560157965701</v>
      </c>
      <c r="E4484">
        <v>0.63002438606830402</v>
      </c>
      <c r="F4484">
        <v>0.29482395208633899</v>
      </c>
      <c r="G4484">
        <v>0.180274091287593</v>
      </c>
      <c r="H4484">
        <v>8.9083516802760998E-2</v>
      </c>
      <c r="I4484">
        <v>6.4690292566069896E-2</v>
      </c>
      <c r="J4484">
        <v>5.4747639908708103E-2</v>
      </c>
      <c r="K4484">
        <v>4.0309326065276797E-2</v>
      </c>
      <c r="L4484">
        <v>990.14179234345295</v>
      </c>
      <c r="M4484">
        <v>19.498139272159701</v>
      </c>
      <c r="N4484">
        <v>51.046667911746198</v>
      </c>
      <c r="O4484">
        <v>50.256221699891</v>
      </c>
      <c r="P4484">
        <v>-9.2322947764489099E-2</v>
      </c>
      <c r="Q4484">
        <v>4.8188703765091503E-2</v>
      </c>
      <c r="R4484">
        <v>0.99685328922044003</v>
      </c>
      <c r="S4484" t="s">
        <v>10345</v>
      </c>
      <c r="T4484" t="s">
        <v>11720</v>
      </c>
      <c r="U4484" t="s">
        <v>11720</v>
      </c>
      <c r="V4484" t="s">
        <v>11720</v>
      </c>
      <c r="W4484" t="s">
        <v>16149</v>
      </c>
      <c r="X4484">
        <v>10</v>
      </c>
      <c r="Y4484" t="s">
        <v>21857</v>
      </c>
      <c r="Z4484" t="s">
        <v>27691</v>
      </c>
      <c r="AA4484">
        <v>0.40411632582241441</v>
      </c>
      <c r="AB4484" t="str">
        <f>HYPERLINK("Melting_Curves/meltCurve_Q96C23_GALM.pdf", "Melting_Curves/meltCurve_Q96C23_GALM.pdf")</f>
        <v>Melting_Curves/meltCurve_Q96C23_GALM.pdf</v>
      </c>
    </row>
    <row r="4485" spans="1:28" x14ac:dyDescent="0.25">
      <c r="A4485" t="s">
        <v>4489</v>
      </c>
      <c r="B4485">
        <v>0.99334974765950101</v>
      </c>
      <c r="C4485">
        <v>1.0124689476551401</v>
      </c>
      <c r="D4485">
        <v>0.96056307648425898</v>
      </c>
      <c r="E4485">
        <v>0.89991682793250205</v>
      </c>
      <c r="F4485">
        <v>0.68768998586399899</v>
      </c>
      <c r="G4485">
        <v>0.53520048474832604</v>
      </c>
      <c r="H4485">
        <v>0.38181274814558003</v>
      </c>
      <c r="I4485">
        <v>0.27753144004083202</v>
      </c>
      <c r="J4485">
        <v>0.136370983008132</v>
      </c>
      <c r="K4485">
        <v>7.8173427362829007E-2</v>
      </c>
      <c r="L4485">
        <v>683.417204865744</v>
      </c>
      <c r="M4485">
        <v>11.8274317769086</v>
      </c>
      <c r="N4485">
        <v>57.782368272745501</v>
      </c>
      <c r="O4485">
        <v>56.204796106618801</v>
      </c>
      <c r="P4485">
        <v>-5.2622055062456201E-2</v>
      </c>
      <c r="Q4485">
        <v>0</v>
      </c>
      <c r="R4485">
        <v>0.99176769244537599</v>
      </c>
      <c r="S4485" t="s">
        <v>10346</v>
      </c>
      <c r="T4485" t="s">
        <v>11720</v>
      </c>
      <c r="U4485" t="s">
        <v>11720</v>
      </c>
      <c r="V4485" t="s">
        <v>11720</v>
      </c>
      <c r="W4485" t="s">
        <v>16150</v>
      </c>
      <c r="X4485">
        <v>11</v>
      </c>
      <c r="Y4485" t="s">
        <v>21858</v>
      </c>
      <c r="Z4485" t="s">
        <v>27692</v>
      </c>
      <c r="AA4485">
        <v>0.60628505646668818</v>
      </c>
      <c r="AB4485" t="str">
        <f>HYPERLINK("Melting_Curves/meltCurve_Q96C36_PYCR2.pdf", "Melting_Curves/meltCurve_Q96C36_PYCR2.pdf")</f>
        <v>Melting_Curves/meltCurve_Q96C36_PYCR2.pdf</v>
      </c>
    </row>
    <row r="4486" spans="1:28" x14ac:dyDescent="0.25">
      <c r="A4486" t="s">
        <v>4490</v>
      </c>
      <c r="B4486">
        <v>0.99334974765950101</v>
      </c>
      <c r="C4486">
        <v>0.97979272925741701</v>
      </c>
      <c r="D4486">
        <v>0.97053800437441795</v>
      </c>
      <c r="E4486">
        <v>0.83088064216498403</v>
      </c>
      <c r="F4486">
        <v>0.66568964209211001</v>
      </c>
      <c r="G4486">
        <v>0.474444308116659</v>
      </c>
      <c r="H4486">
        <v>0.22471718684063199</v>
      </c>
      <c r="I4486">
        <v>0.15376680520899</v>
      </c>
      <c r="J4486">
        <v>0.134799242736653</v>
      </c>
      <c r="K4486">
        <v>8.8526081767177106E-2</v>
      </c>
      <c r="L4486">
        <v>791.31658419793803</v>
      </c>
      <c r="M4486">
        <v>14.224285766381501</v>
      </c>
      <c r="N4486">
        <v>55.9420464766946</v>
      </c>
      <c r="O4486">
        <v>54.566478829460202</v>
      </c>
      <c r="P4486">
        <v>-6.27023308322954E-2</v>
      </c>
      <c r="Q4486">
        <v>3.79777187703461E-2</v>
      </c>
      <c r="R4486">
        <v>0.99748905484605999</v>
      </c>
      <c r="S4486" t="s">
        <v>10347</v>
      </c>
      <c r="T4486" t="s">
        <v>11720</v>
      </c>
      <c r="U4486" t="s">
        <v>11720</v>
      </c>
      <c r="V4486" t="s">
        <v>11720</v>
      </c>
      <c r="W4486" t="s">
        <v>16151</v>
      </c>
      <c r="X4486">
        <v>17</v>
      </c>
      <c r="Y4486" t="s">
        <v>21859</v>
      </c>
      <c r="Z4486" t="s">
        <v>27693</v>
      </c>
      <c r="AA4486">
        <v>0.55773732049746416</v>
      </c>
      <c r="AB4486" t="str">
        <f>HYPERLINK("Melting_Curves/meltCurve_Q96C86_DCPS.pdf", "Melting_Curves/meltCurve_Q96C86_DCPS.pdf")</f>
        <v>Melting_Curves/meltCurve_Q96C86_DCPS.pdf</v>
      </c>
    </row>
    <row r="4487" spans="1:28" x14ac:dyDescent="0.25">
      <c r="A4487" t="s">
        <v>4491</v>
      </c>
      <c r="B4487">
        <v>0.99334974765950101</v>
      </c>
      <c r="C4487">
        <v>1.0620549585025201</v>
      </c>
      <c r="D4487">
        <v>0.86316238108370102</v>
      </c>
      <c r="E4487">
        <v>0.82860239033440897</v>
      </c>
      <c r="F4487">
        <v>1.11840624287019</v>
      </c>
      <c r="G4487">
        <v>0.88420276100981698</v>
      </c>
      <c r="H4487">
        <v>0.85875512835535295</v>
      </c>
      <c r="I4487">
        <v>0.91286429151587201</v>
      </c>
      <c r="J4487">
        <v>1.1025529835730199</v>
      </c>
      <c r="K4487">
        <v>0.92907461681012204</v>
      </c>
      <c r="L4487">
        <v>11096.092603364599</v>
      </c>
      <c r="M4487">
        <v>250</v>
      </c>
      <c r="O4487">
        <v>44.381530202383601</v>
      </c>
      <c r="P4487">
        <v>-8.8431812498370302E-2</v>
      </c>
      <c r="Q4487">
        <v>0.93720417369097098</v>
      </c>
      <c r="R4487">
        <v>0.112804631405838</v>
      </c>
      <c r="S4487" t="s">
        <v>10348</v>
      </c>
      <c r="T4487" t="s">
        <v>11720</v>
      </c>
      <c r="U4487" t="s">
        <v>11720</v>
      </c>
      <c r="V4487" t="s">
        <v>11720</v>
      </c>
      <c r="W4487" t="s">
        <v>16152</v>
      </c>
      <c r="X4487">
        <v>6</v>
      </c>
      <c r="Y4487" t="s">
        <v>21860</v>
      </c>
      <c r="Z4487" t="s">
        <v>27694</v>
      </c>
      <c r="AA4487">
        <v>0.94638640386675243</v>
      </c>
      <c r="AB4487" t="str">
        <f>HYPERLINK("Melting_Curves/meltCurve_Q96C90_PPP1R14B.pdf", "Melting_Curves/meltCurve_Q96C90_PPP1R14B.pdf")</f>
        <v>Melting_Curves/meltCurve_Q96C90_PPP1R14B.pdf</v>
      </c>
    </row>
    <row r="4488" spans="1:28" x14ac:dyDescent="0.25">
      <c r="A4488" t="s">
        <v>4492</v>
      </c>
      <c r="B4488">
        <v>0.99334974765950101</v>
      </c>
      <c r="C4488">
        <v>0.97530454308413495</v>
      </c>
      <c r="D4488">
        <v>0.862484827506942</v>
      </c>
      <c r="E4488">
        <v>0.74281224310451199</v>
      </c>
      <c r="F4488">
        <v>0.41792673842008399</v>
      </c>
      <c r="G4488">
        <v>0.16920597633731099</v>
      </c>
      <c r="H4488">
        <v>0.14883967164268699</v>
      </c>
      <c r="I4488">
        <v>0.12873267034767599</v>
      </c>
      <c r="J4488">
        <v>0.15452636349850399</v>
      </c>
      <c r="K4488">
        <v>0.129541374167776</v>
      </c>
      <c r="L4488">
        <v>1167.4274663260401</v>
      </c>
      <c r="M4488">
        <v>22.6866992380384</v>
      </c>
      <c r="N4488">
        <v>52.104210515616501</v>
      </c>
      <c r="O4488">
        <v>51.0638663702711</v>
      </c>
      <c r="P4488">
        <v>-9.746457604837E-2</v>
      </c>
      <c r="Q4488">
        <v>0.12251339264309501</v>
      </c>
      <c r="R4488">
        <v>0.99134976324331203</v>
      </c>
      <c r="S4488" t="s">
        <v>10349</v>
      </c>
      <c r="T4488" t="s">
        <v>11720</v>
      </c>
      <c r="U4488" t="s">
        <v>11720</v>
      </c>
      <c r="V4488" t="s">
        <v>11720</v>
      </c>
      <c r="W4488" t="s">
        <v>16153</v>
      </c>
      <c r="X4488">
        <v>5</v>
      </c>
      <c r="Y4488" t="s">
        <v>21861</v>
      </c>
      <c r="Z4488" t="s">
        <v>27695</v>
      </c>
      <c r="AA4488">
        <v>0.46728183218247837</v>
      </c>
      <c r="AB4488" t="str">
        <f>HYPERLINK("Melting_Curves/meltCurve_Q96C92_4_SDCCAG3.pdf", "Melting_Curves/meltCurve_Q96C92_4_SDCCAG3.pdf")</f>
        <v>Melting_Curves/meltCurve_Q96C92_4_SDCCAG3.pdf</v>
      </c>
    </row>
    <row r="4489" spans="1:28" x14ac:dyDescent="0.25">
      <c r="A4489" t="s">
        <v>4493</v>
      </c>
      <c r="B4489">
        <v>0.99334974765950101</v>
      </c>
      <c r="C4489">
        <v>0.98275853347331799</v>
      </c>
      <c r="D4489">
        <v>0.96817922319655003</v>
      </c>
      <c r="E4489">
        <v>0.701905774725332</v>
      </c>
      <c r="F4489">
        <v>0.25676970889015599</v>
      </c>
      <c r="G4489">
        <v>0.203844073715887</v>
      </c>
      <c r="H4489">
        <v>0.20650933418575601</v>
      </c>
      <c r="I4489">
        <v>0.14187809948774599</v>
      </c>
      <c r="J4489">
        <v>0.122312738669846</v>
      </c>
      <c r="K4489">
        <v>8.6090277159020595E-2</v>
      </c>
      <c r="L4489">
        <v>2099.52948749503</v>
      </c>
      <c r="M4489">
        <v>41.402619654975197</v>
      </c>
      <c r="N4489">
        <v>51.144175985520697</v>
      </c>
      <c r="O4489">
        <v>50.5921883799451</v>
      </c>
      <c r="P4489">
        <v>-0.17427865300884801</v>
      </c>
      <c r="Q4489">
        <v>0.148157960391015</v>
      </c>
      <c r="R4489">
        <v>0.99213550822193297</v>
      </c>
      <c r="S4489" t="s">
        <v>10350</v>
      </c>
      <c r="T4489" t="s">
        <v>11720</v>
      </c>
      <c r="U4489" t="s">
        <v>11720</v>
      </c>
      <c r="V4489" t="s">
        <v>11720</v>
      </c>
      <c r="W4489" t="s">
        <v>16154</v>
      </c>
      <c r="X4489">
        <v>1</v>
      </c>
      <c r="Y4489" t="s">
        <v>21862</v>
      </c>
      <c r="Z4489" t="s">
        <v>27696</v>
      </c>
      <c r="AA4489">
        <v>0.45505307820614532</v>
      </c>
      <c r="AB4489" t="str">
        <f>HYPERLINK("Melting_Curves/meltCurve_Q96CB9_4_NSUN4.pdf", "Melting_Curves/meltCurve_Q96CB9_4_NSUN4.pdf")</f>
        <v>Melting_Curves/meltCurve_Q96CB9_4_NSUN4.pdf</v>
      </c>
    </row>
    <row r="4490" spans="1:28" x14ac:dyDescent="0.25">
      <c r="A4490" t="s">
        <v>4494</v>
      </c>
      <c r="B4490">
        <v>0.99334974765950101</v>
      </c>
      <c r="C4490">
        <v>0.99963578994994795</v>
      </c>
      <c r="D4490">
        <v>0.95030606872825996</v>
      </c>
      <c r="E4490">
        <v>0.92314910001234696</v>
      </c>
      <c r="F4490">
        <v>0.74270899060567497</v>
      </c>
      <c r="G4490">
        <v>0.58117904027106604</v>
      </c>
      <c r="H4490">
        <v>0.46668877094410599</v>
      </c>
      <c r="I4490">
        <v>0.36900710120124702</v>
      </c>
      <c r="J4490">
        <v>0.23584099198962999</v>
      </c>
      <c r="K4490">
        <v>0.205597033214033</v>
      </c>
      <c r="L4490">
        <v>626.85020837688899</v>
      </c>
      <c r="M4490">
        <v>10.6619827899861</v>
      </c>
      <c r="N4490">
        <v>59.540694348745497</v>
      </c>
      <c r="O4490">
        <v>56.837942460628497</v>
      </c>
      <c r="P4490">
        <v>-4.3974829315595099E-2</v>
      </c>
      <c r="Q4490">
        <v>6.2655282082565794E-2</v>
      </c>
      <c r="R4490">
        <v>0.99251308729527998</v>
      </c>
      <c r="S4490" t="s">
        <v>10351</v>
      </c>
      <c r="T4490" t="s">
        <v>11720</v>
      </c>
      <c r="U4490" t="s">
        <v>11720</v>
      </c>
      <c r="V4490" t="s">
        <v>11720</v>
      </c>
      <c r="W4490" t="s">
        <v>16155</v>
      </c>
      <c r="X4490">
        <v>6</v>
      </c>
      <c r="Y4490" t="s">
        <v>21863</v>
      </c>
      <c r="Z4490" t="s">
        <v>27697</v>
      </c>
      <c r="AA4490">
        <v>0.65593439697366418</v>
      </c>
      <c r="AB4490" t="str">
        <f>HYPERLINK("Melting_Curves/meltCurve_Q96CC6_RHBDF1.pdf", "Melting_Curves/meltCurve_Q96CC6_RHBDF1.pdf")</f>
        <v>Melting_Curves/meltCurve_Q96CC6_RHBDF1.pdf</v>
      </c>
    </row>
    <row r="4491" spans="1:28" x14ac:dyDescent="0.25">
      <c r="A4491" t="s">
        <v>4495</v>
      </c>
      <c r="B4491">
        <v>0.99334974765950101</v>
      </c>
      <c r="C4491">
        <v>0.96587568450274797</v>
      </c>
      <c r="D4491">
        <v>0.97859809908408102</v>
      </c>
      <c r="E4491">
        <v>0.76320680300362798</v>
      </c>
      <c r="F4491">
        <v>0.50162802233574399</v>
      </c>
      <c r="G4491">
        <v>0.229255748321468</v>
      </c>
      <c r="H4491">
        <v>0.17382896391125699</v>
      </c>
      <c r="I4491">
        <v>0.12298946636439299</v>
      </c>
      <c r="J4491">
        <v>9.2435923943321799E-2</v>
      </c>
      <c r="K4491">
        <v>6.8812542889728906E-2</v>
      </c>
      <c r="L4491">
        <v>1081.5528082022399</v>
      </c>
      <c r="M4491">
        <v>20.579675776765701</v>
      </c>
      <c r="N4491">
        <v>53.060528037105698</v>
      </c>
      <c r="O4491">
        <v>52.065734795389801</v>
      </c>
      <c r="P4491">
        <v>-9.0012379446880994E-2</v>
      </c>
      <c r="Q4491">
        <v>8.9116002483369594E-2</v>
      </c>
      <c r="R4491">
        <v>0.997553841448236</v>
      </c>
      <c r="S4491" t="s">
        <v>10352</v>
      </c>
      <c r="T4491" t="s">
        <v>11720</v>
      </c>
      <c r="U4491" t="s">
        <v>11720</v>
      </c>
      <c r="V4491" t="s">
        <v>11720</v>
      </c>
      <c r="W4491" t="s">
        <v>16156</v>
      </c>
      <c r="X4491">
        <v>8</v>
      </c>
      <c r="Y4491" t="s">
        <v>21864</v>
      </c>
      <c r="Z4491" t="s">
        <v>27698</v>
      </c>
      <c r="AA4491">
        <v>0.48225693575305417</v>
      </c>
      <c r="AB4491" t="str">
        <f>HYPERLINK("Melting_Curves/meltCurve_Q96CD0_FBXL8.pdf", "Melting_Curves/meltCurve_Q96CD0_FBXL8.pdf")</f>
        <v>Melting_Curves/meltCurve_Q96CD0_FBXL8.pdf</v>
      </c>
    </row>
    <row r="4492" spans="1:28" x14ac:dyDescent="0.25">
      <c r="A4492" t="s">
        <v>4496</v>
      </c>
      <c r="B4492">
        <v>0.99334974765950101</v>
      </c>
      <c r="C4492">
        <v>0.96845625051191297</v>
      </c>
      <c r="D4492">
        <v>0.89281592266913701</v>
      </c>
      <c r="E4492">
        <v>0.72606172900927402</v>
      </c>
      <c r="F4492">
        <v>0.54922516833604196</v>
      </c>
      <c r="G4492">
        <v>0.51839715410322496</v>
      </c>
      <c r="H4492">
        <v>0.43332250695083202</v>
      </c>
      <c r="I4492">
        <v>0.59708579282336405</v>
      </c>
      <c r="J4492">
        <v>0.439451188262448</v>
      </c>
      <c r="K4492">
        <v>0.33552054140388698</v>
      </c>
      <c r="L4492">
        <v>849.42680784988795</v>
      </c>
      <c r="M4492">
        <v>17.0502030658443</v>
      </c>
      <c r="N4492">
        <v>56.831580570399097</v>
      </c>
      <c r="O4492">
        <v>49.1489726196886</v>
      </c>
      <c r="P4492">
        <v>-4.8656456487578201E-2</v>
      </c>
      <c r="Q4492">
        <v>0.439004979972269</v>
      </c>
      <c r="R4492">
        <v>0.92904827579912297</v>
      </c>
      <c r="S4492" t="s">
        <v>10353</v>
      </c>
      <c r="T4492" t="s">
        <v>11720</v>
      </c>
      <c r="U4492" t="s">
        <v>11720</v>
      </c>
      <c r="V4492" t="s">
        <v>11720</v>
      </c>
      <c r="W4492" t="s">
        <v>16157</v>
      </c>
      <c r="X4492">
        <v>3</v>
      </c>
      <c r="Y4492" t="s">
        <v>21865</v>
      </c>
      <c r="Z4492" t="s">
        <v>27699</v>
      </c>
      <c r="AA4492">
        <v>0.63325251542001526</v>
      </c>
      <c r="AB4492" t="str">
        <f>HYPERLINK("Melting_Curves/meltCurve_Q96CD2_PPCDC.pdf", "Melting_Curves/meltCurve_Q96CD2_PPCDC.pdf")</f>
        <v>Melting_Curves/meltCurve_Q96CD2_PPCDC.pdf</v>
      </c>
    </row>
    <row r="4493" spans="1:28" x14ac:dyDescent="0.25">
      <c r="A4493" t="s">
        <v>4497</v>
      </c>
      <c r="B4493">
        <v>0.99334974765950101</v>
      </c>
      <c r="C4493">
        <v>0.95450813799851497</v>
      </c>
      <c r="D4493">
        <v>0.96368200255874303</v>
      </c>
      <c r="E4493">
        <v>0.80117102708850696</v>
      </c>
      <c r="F4493">
        <v>0.52696845065012798</v>
      </c>
      <c r="G4493">
        <v>0.30479329128819999</v>
      </c>
      <c r="H4493">
        <v>0.20286039119603999</v>
      </c>
      <c r="I4493">
        <v>0.19166822187185001</v>
      </c>
      <c r="J4493">
        <v>0.140909430885899</v>
      </c>
      <c r="K4493">
        <v>0.114179537658017</v>
      </c>
      <c r="L4493">
        <v>1027.59782506547</v>
      </c>
      <c r="M4493">
        <v>19.4682131144639</v>
      </c>
      <c r="N4493">
        <v>53.647048114856297</v>
      </c>
      <c r="O4493">
        <v>52.2359079706955</v>
      </c>
      <c r="P4493">
        <v>-8.06427475976456E-2</v>
      </c>
      <c r="Q4493">
        <v>0.13452878269676999</v>
      </c>
      <c r="R4493">
        <v>0.99669508814807695</v>
      </c>
      <c r="S4493" t="s">
        <v>10354</v>
      </c>
      <c r="T4493" t="s">
        <v>11720</v>
      </c>
      <c r="U4493" t="s">
        <v>11720</v>
      </c>
      <c r="V4493" t="s">
        <v>11720</v>
      </c>
      <c r="W4493" t="s">
        <v>16158</v>
      </c>
      <c r="X4493">
        <v>11</v>
      </c>
      <c r="Y4493" t="s">
        <v>21866</v>
      </c>
      <c r="Z4493" t="s">
        <v>27700</v>
      </c>
      <c r="AA4493">
        <v>0.51580435584868733</v>
      </c>
      <c r="AB4493" t="str">
        <f>HYPERLINK("Melting_Curves/meltCurve_Q96CG8_CTHRC1.pdf", "Melting_Curves/meltCurve_Q96CG8_CTHRC1.pdf")</f>
        <v>Melting_Curves/meltCurve_Q96CG8_CTHRC1.pdf</v>
      </c>
    </row>
    <row r="4494" spans="1:28" x14ac:dyDescent="0.25">
      <c r="A4494" t="s">
        <v>4498</v>
      </c>
      <c r="B4494">
        <v>0.99334974765950101</v>
      </c>
      <c r="C4494">
        <v>0.98008275926093202</v>
      </c>
      <c r="D4494">
        <v>1.1125963532191101</v>
      </c>
      <c r="E4494">
        <v>1.0374245639463699</v>
      </c>
      <c r="F4494">
        <v>0.917330149996755</v>
      </c>
      <c r="G4494">
        <v>0.60489311578092897</v>
      </c>
      <c r="H4494">
        <v>0.14727825813669501</v>
      </c>
      <c r="I4494">
        <v>7.2353409222057796E-2</v>
      </c>
      <c r="J4494">
        <v>5.7644596832827098E-2</v>
      </c>
      <c r="K4494">
        <v>4.3507608976257502E-2</v>
      </c>
      <c r="L4494">
        <v>1966.7003949406201</v>
      </c>
      <c r="M4494">
        <v>34.197466648937997</v>
      </c>
      <c r="N4494">
        <v>57.658412119525202</v>
      </c>
      <c r="O4494">
        <v>57.314529393275599</v>
      </c>
      <c r="P4494">
        <v>-0.14288675368095399</v>
      </c>
      <c r="Q4494">
        <v>4.2098027921831697E-2</v>
      </c>
      <c r="R4494">
        <v>0.99150780298667496</v>
      </c>
      <c r="S4494" t="s">
        <v>10355</v>
      </c>
      <c r="T4494" t="s">
        <v>11720</v>
      </c>
      <c r="U4494" t="s">
        <v>11720</v>
      </c>
      <c r="V4494" t="s">
        <v>11720</v>
      </c>
      <c r="W4494" t="s">
        <v>16159</v>
      </c>
      <c r="X4494">
        <v>9</v>
      </c>
      <c r="Y4494" t="s">
        <v>21867</v>
      </c>
      <c r="Z4494" t="s">
        <v>27701</v>
      </c>
      <c r="AA4494">
        <v>0.60623363959589727</v>
      </c>
      <c r="AB4494" t="str">
        <f>HYPERLINK("Melting_Curves/meltCurve_Q96CN7_ISOC1.pdf", "Melting_Curves/meltCurve_Q96CN7_ISOC1.pdf")</f>
        <v>Melting_Curves/meltCurve_Q96CN7_ISOC1.pdf</v>
      </c>
    </row>
    <row r="4495" spans="1:28" x14ac:dyDescent="0.25">
      <c r="A4495" t="s">
        <v>4499</v>
      </c>
      <c r="B4495">
        <v>0.99334974765950101</v>
      </c>
      <c r="C4495">
        <v>0.84544684196542996</v>
      </c>
      <c r="D4495">
        <v>0.67680915501804795</v>
      </c>
      <c r="E4495">
        <v>0.29665784425442798</v>
      </c>
      <c r="F4495">
        <v>0.22909920291078001</v>
      </c>
      <c r="G4495">
        <v>0.17362390711940101</v>
      </c>
      <c r="H4495">
        <v>0.149451249227921</v>
      </c>
      <c r="I4495">
        <v>0.124567609205764</v>
      </c>
      <c r="J4495">
        <v>0.104167942539496</v>
      </c>
      <c r="K4495">
        <v>0.104588219903803</v>
      </c>
      <c r="L4495">
        <v>890.69603956325204</v>
      </c>
      <c r="M4495">
        <v>18.957431735949001</v>
      </c>
      <c r="N4495">
        <v>47.674091285332601</v>
      </c>
      <c r="O4495">
        <v>46.470562515334997</v>
      </c>
      <c r="P4495">
        <v>-8.9752504239394806E-2</v>
      </c>
      <c r="Q4495">
        <v>0.119990158140168</v>
      </c>
      <c r="R4495">
        <v>0.99465634406084602</v>
      </c>
      <c r="S4495" t="s">
        <v>10356</v>
      </c>
      <c r="T4495" t="s">
        <v>11720</v>
      </c>
      <c r="U4495" t="s">
        <v>11720</v>
      </c>
      <c r="V4495" t="s">
        <v>11720</v>
      </c>
      <c r="W4495" t="s">
        <v>16160</v>
      </c>
      <c r="X4495">
        <v>18</v>
      </c>
      <c r="Y4495" t="s">
        <v>21868</v>
      </c>
      <c r="Z4495" t="s">
        <v>27702</v>
      </c>
      <c r="AA4495">
        <v>0.33936321132072861</v>
      </c>
      <c r="AB4495" t="str">
        <f>HYPERLINK("Melting_Curves/meltCurve_Q96CN9_GCC1.pdf", "Melting_Curves/meltCurve_Q96CN9_GCC1.pdf")</f>
        <v>Melting_Curves/meltCurve_Q96CN9_GCC1.pdf</v>
      </c>
    </row>
    <row r="4496" spans="1:28" x14ac:dyDescent="0.25">
      <c r="A4496" t="s">
        <v>4500</v>
      </c>
      <c r="B4496">
        <v>0.99334974765950101</v>
      </c>
      <c r="C4496">
        <v>1.0054814683184501</v>
      </c>
      <c r="D4496">
        <v>0.82306881540875998</v>
      </c>
      <c r="E4496">
        <v>0.805143846256411</v>
      </c>
      <c r="F4496">
        <v>0.86665170884172704</v>
      </c>
      <c r="G4496">
        <v>0.62263389679306702</v>
      </c>
      <c r="H4496">
        <v>0.63013442725775204</v>
      </c>
      <c r="I4496">
        <v>0.81182611061390197</v>
      </c>
      <c r="J4496">
        <v>0.90205243916497801</v>
      </c>
      <c r="K4496">
        <v>0.81069180520901596</v>
      </c>
      <c r="L4496">
        <v>11436.632484711099</v>
      </c>
      <c r="M4496">
        <v>250</v>
      </c>
      <c r="O4496">
        <v>45.743602482789001</v>
      </c>
      <c r="P4496">
        <v>-0.30270934194621002</v>
      </c>
      <c r="Q4496">
        <v>0.77844774745593004</v>
      </c>
      <c r="R4496">
        <v>0.51246794812845498</v>
      </c>
      <c r="S4496" t="s">
        <v>10357</v>
      </c>
      <c r="T4496" t="s">
        <v>11720</v>
      </c>
      <c r="U4496" t="s">
        <v>11720</v>
      </c>
      <c r="V4496" t="s">
        <v>11720</v>
      </c>
      <c r="W4496" t="s">
        <v>16161</v>
      </c>
      <c r="X4496">
        <v>8</v>
      </c>
      <c r="Y4496" t="s">
        <v>21869</v>
      </c>
      <c r="Z4496" t="s">
        <v>27703</v>
      </c>
      <c r="AA4496">
        <v>0.82090408973167572</v>
      </c>
      <c r="AB4496" t="str">
        <f>HYPERLINK("Melting_Curves/meltCurve_Q96CP2_FLYWCH2.pdf", "Melting_Curves/meltCurve_Q96CP2_FLYWCH2.pdf")</f>
        <v>Melting_Curves/meltCurve_Q96CP2_FLYWCH2.pdf</v>
      </c>
    </row>
    <row r="4497" spans="1:28" x14ac:dyDescent="0.25">
      <c r="A4497" t="s">
        <v>4501</v>
      </c>
      <c r="B4497">
        <v>0.99334974765950101</v>
      </c>
      <c r="C4497">
        <v>0.99912220174204303</v>
      </c>
      <c r="D4497">
        <v>0.75277525875832096</v>
      </c>
      <c r="E4497">
        <v>0.88434889258048799</v>
      </c>
      <c r="F4497">
        <v>0.67608841517017804</v>
      </c>
      <c r="G4497">
        <v>0.64849092681901699</v>
      </c>
      <c r="H4497">
        <v>0.647540270945278</v>
      </c>
      <c r="I4497">
        <v>0.44567994897240898</v>
      </c>
      <c r="J4497">
        <v>0.40691490774330902</v>
      </c>
      <c r="K4497">
        <v>0.22616974385261701</v>
      </c>
      <c r="L4497">
        <v>392.24916632824301</v>
      </c>
      <c r="M4497">
        <v>6.3206762841415696</v>
      </c>
      <c r="N4497">
        <v>62.058124196291303</v>
      </c>
      <c r="O4497">
        <v>56.715974479092097</v>
      </c>
      <c r="P4497">
        <v>-2.79359531576465E-2</v>
      </c>
      <c r="Q4497">
        <v>0</v>
      </c>
      <c r="R4497">
        <v>0.89726262470608797</v>
      </c>
      <c r="S4497" t="s">
        <v>10358</v>
      </c>
      <c r="T4497" t="s">
        <v>11720</v>
      </c>
      <c r="U4497" t="s">
        <v>11720</v>
      </c>
      <c r="V4497" t="s">
        <v>11720</v>
      </c>
      <c r="W4497" t="s">
        <v>16162</v>
      </c>
      <c r="X4497">
        <v>1</v>
      </c>
      <c r="Y4497" t="s">
        <v>21870</v>
      </c>
      <c r="Z4497" t="s">
        <v>27704</v>
      </c>
      <c r="AA4497">
        <v>0.67776223995306772</v>
      </c>
      <c r="AB4497" t="str">
        <f>HYPERLINK("Melting_Curves/meltCurve_Q96CQ1_SLC25A36.pdf", "Melting_Curves/meltCurve_Q96CQ1_SLC25A36.pdf")</f>
        <v>Melting_Curves/meltCurve_Q96CQ1_SLC25A36.pdf</v>
      </c>
    </row>
    <row r="4498" spans="1:28" x14ac:dyDescent="0.25">
      <c r="A4498" t="s">
        <v>4502</v>
      </c>
      <c r="B4498">
        <v>0.99334974765950101</v>
      </c>
      <c r="C4498">
        <v>0.91328311018325703</v>
      </c>
      <c r="D4498">
        <v>0.80419779474526798</v>
      </c>
      <c r="E4498">
        <v>0.50970725809057604</v>
      </c>
      <c r="F4498">
        <v>0.178999552177219</v>
      </c>
      <c r="G4498">
        <v>0.11293829541478601</v>
      </c>
      <c r="H4498">
        <v>8.1322416177859499E-2</v>
      </c>
      <c r="I4498">
        <v>6.9337835958334898E-2</v>
      </c>
      <c r="J4498">
        <v>6.1720005657344403E-2</v>
      </c>
      <c r="K4498">
        <v>5.13105627007674E-2</v>
      </c>
      <c r="L4498">
        <v>983.90826044126402</v>
      </c>
      <c r="M4498">
        <v>19.966592281397201</v>
      </c>
      <c r="N4498">
        <v>49.547312568689101</v>
      </c>
      <c r="O4498">
        <v>48.791406104229097</v>
      </c>
      <c r="P4498">
        <v>-9.7043121416526004E-2</v>
      </c>
      <c r="Q4498">
        <v>5.1472472761591302E-2</v>
      </c>
      <c r="R4498">
        <v>0.99395846929611398</v>
      </c>
      <c r="S4498" t="s">
        <v>10359</v>
      </c>
      <c r="T4498" t="s">
        <v>11720</v>
      </c>
      <c r="U4498" t="s">
        <v>11720</v>
      </c>
      <c r="V4498" t="s">
        <v>11720</v>
      </c>
      <c r="W4498" t="s">
        <v>16163</v>
      </c>
      <c r="X4498">
        <v>13</v>
      </c>
      <c r="Y4498" t="s">
        <v>21871</v>
      </c>
      <c r="Z4498" t="s">
        <v>27705</v>
      </c>
      <c r="AA4498">
        <v>0.35811249468825879</v>
      </c>
      <c r="AB4498" t="str">
        <f>HYPERLINK("Melting_Curves/meltCurve_Q96CS3_FAF2.pdf", "Melting_Curves/meltCurve_Q96CS3_FAF2.pdf")</f>
        <v>Melting_Curves/meltCurve_Q96CS3_FAF2.pdf</v>
      </c>
    </row>
    <row r="4499" spans="1:28" x14ac:dyDescent="0.25">
      <c r="A4499" t="s">
        <v>4503</v>
      </c>
      <c r="B4499">
        <v>0.99334974765950101</v>
      </c>
      <c r="C4499">
        <v>1.07544246656936</v>
      </c>
      <c r="D4499">
        <v>0.90830006663048302</v>
      </c>
      <c r="E4499">
        <v>0.84787833868846696</v>
      </c>
      <c r="F4499">
        <v>0.83942816970939804</v>
      </c>
      <c r="G4499">
        <v>0.67093875269341396</v>
      </c>
      <c r="H4499">
        <v>0.67024321924443198</v>
      </c>
      <c r="I4499">
        <v>0.72723274129995297</v>
      </c>
      <c r="J4499">
        <v>0.87491553729544103</v>
      </c>
      <c r="K4499">
        <v>0.88772227223447697</v>
      </c>
      <c r="L4499">
        <v>1262.41264226249</v>
      </c>
      <c r="M4499">
        <v>26.249095875839799</v>
      </c>
      <c r="O4499">
        <v>47.817039430261602</v>
      </c>
      <c r="P4499">
        <v>-3.0902741713214301E-2</v>
      </c>
      <c r="Q4499">
        <v>0.77482482992500101</v>
      </c>
      <c r="R4499">
        <v>0.62445160350861395</v>
      </c>
      <c r="S4499" t="s">
        <v>10360</v>
      </c>
      <c r="T4499" t="s">
        <v>11720</v>
      </c>
      <c r="U4499" t="s">
        <v>11720</v>
      </c>
      <c r="V4499" t="s">
        <v>11720</v>
      </c>
      <c r="W4499" t="s">
        <v>16164</v>
      </c>
      <c r="X4499">
        <v>20</v>
      </c>
      <c r="Y4499" t="s">
        <v>21872</v>
      </c>
      <c r="Z4499" t="s">
        <v>27706</v>
      </c>
      <c r="AA4499">
        <v>0.83736888633534834</v>
      </c>
      <c r="AB4499" t="str">
        <f>HYPERLINK("Melting_Curves/meltCurve_Q96CT7_CCDC124.pdf", "Melting_Curves/meltCurve_Q96CT7_CCDC124.pdf")</f>
        <v>Melting_Curves/meltCurve_Q96CT7_CCDC124.pdf</v>
      </c>
    </row>
    <row r="4500" spans="1:28" x14ac:dyDescent="0.25">
      <c r="A4500" t="s">
        <v>4504</v>
      </c>
      <c r="B4500">
        <v>0.99334974765950101</v>
      </c>
      <c r="C4500">
        <v>1.0430362563983999</v>
      </c>
      <c r="D4500">
        <v>0.77673492355606699</v>
      </c>
      <c r="E4500">
        <v>0.84567321907664295</v>
      </c>
      <c r="F4500">
        <v>0.80645445740485999</v>
      </c>
      <c r="G4500">
        <v>0.55861593083189198</v>
      </c>
      <c r="H4500">
        <v>0.362791393727948</v>
      </c>
      <c r="I4500">
        <v>0.246256912880541</v>
      </c>
      <c r="J4500">
        <v>0.157261754635032</v>
      </c>
      <c r="K4500">
        <v>0</v>
      </c>
      <c r="L4500">
        <v>719.19043707154594</v>
      </c>
      <c r="M4500">
        <v>12.432513356690899</v>
      </c>
      <c r="N4500">
        <v>57.847560170518001</v>
      </c>
      <c r="O4500">
        <v>56.412053216656503</v>
      </c>
      <c r="P4500">
        <v>-5.5108461803791697E-2</v>
      </c>
      <c r="Q4500">
        <v>0</v>
      </c>
      <c r="R4500">
        <v>0.95753907800843996</v>
      </c>
      <c r="S4500" t="s">
        <v>10361</v>
      </c>
      <c r="T4500" t="s">
        <v>11720</v>
      </c>
      <c r="U4500" t="s">
        <v>11720</v>
      </c>
      <c r="V4500" t="s">
        <v>11720</v>
      </c>
      <c r="W4500" t="s">
        <v>16165</v>
      </c>
      <c r="X4500">
        <v>3</v>
      </c>
      <c r="Y4500" t="s">
        <v>21873</v>
      </c>
      <c r="Z4500" t="s">
        <v>27707</v>
      </c>
      <c r="AA4500">
        <v>0.60854328115510758</v>
      </c>
      <c r="AB4500" t="str">
        <f>HYPERLINK("Melting_Curves/meltCurve_Q96CU9_3_FOXRED1.pdf", "Melting_Curves/meltCurve_Q96CU9_3_FOXRED1.pdf")</f>
        <v>Melting_Curves/meltCurve_Q96CU9_3_FOXRED1.pdf</v>
      </c>
    </row>
    <row r="4501" spans="1:28" x14ac:dyDescent="0.25">
      <c r="A4501" t="s">
        <v>4505</v>
      </c>
      <c r="B4501">
        <v>0.99334974765950101</v>
      </c>
      <c r="C4501">
        <v>0.96605084746960801</v>
      </c>
      <c r="D4501">
        <v>0.80814931930286305</v>
      </c>
      <c r="E4501">
        <v>0.605894693100544</v>
      </c>
      <c r="F4501">
        <v>0.342257709434933</v>
      </c>
      <c r="G4501">
        <v>0.230754299843967</v>
      </c>
      <c r="H4501">
        <v>0.20622333552239999</v>
      </c>
      <c r="I4501">
        <v>0.24838681900376</v>
      </c>
      <c r="J4501">
        <v>0.28596338649127301</v>
      </c>
      <c r="K4501">
        <v>0.29441067809219901</v>
      </c>
      <c r="L4501">
        <v>1040.7446558020499</v>
      </c>
      <c r="M4501">
        <v>21.208136413639</v>
      </c>
      <c r="N4501">
        <v>50.6552271675382</v>
      </c>
      <c r="O4501">
        <v>48.642843729054</v>
      </c>
      <c r="P4501">
        <v>-8.2600010059983506E-2</v>
      </c>
      <c r="Q4501">
        <v>0.242216183938293</v>
      </c>
      <c r="R4501">
        <v>0.98310373567365605</v>
      </c>
      <c r="S4501" t="s">
        <v>10362</v>
      </c>
      <c r="T4501" t="s">
        <v>11720</v>
      </c>
      <c r="U4501" t="s">
        <v>11720</v>
      </c>
      <c r="V4501" t="s">
        <v>11720</v>
      </c>
      <c r="W4501" t="s">
        <v>16166</v>
      </c>
      <c r="X4501">
        <v>44</v>
      </c>
      <c r="Y4501" t="s">
        <v>21874</v>
      </c>
      <c r="Z4501" t="s">
        <v>27708</v>
      </c>
      <c r="AA4501">
        <v>0.4808073457827069</v>
      </c>
      <c r="AB4501" t="str">
        <f>HYPERLINK("Melting_Curves/meltCurve_Q96CV9_OPTN.pdf", "Melting_Curves/meltCurve_Q96CV9_OPTN.pdf")</f>
        <v>Melting_Curves/meltCurve_Q96CV9_OPTN.pdf</v>
      </c>
    </row>
    <row r="4502" spans="1:28" x14ac:dyDescent="0.25">
      <c r="A4502" t="s">
        <v>4506</v>
      </c>
      <c r="B4502">
        <v>0.99334974765950101</v>
      </c>
      <c r="C4502">
        <v>1.0559474031984399</v>
      </c>
      <c r="D4502">
        <v>1.13904950895039</v>
      </c>
      <c r="E4502">
        <v>1.1059387808688801</v>
      </c>
      <c r="F4502">
        <v>0.73704352886856095</v>
      </c>
      <c r="G4502">
        <v>0.36932174228308101</v>
      </c>
      <c r="H4502">
        <v>0.25220732564513798</v>
      </c>
      <c r="I4502">
        <v>0.173337152254672</v>
      </c>
      <c r="J4502">
        <v>0.14320151558298699</v>
      </c>
      <c r="K4502">
        <v>0.11469793771186799</v>
      </c>
      <c r="L4502">
        <v>1720.3852596811701</v>
      </c>
      <c r="M4502">
        <v>31.336767709928498</v>
      </c>
      <c r="N4502">
        <v>55.5739332572618</v>
      </c>
      <c r="O4502">
        <v>54.6777748991666</v>
      </c>
      <c r="P4502">
        <v>-0.120628231267774</v>
      </c>
      <c r="Q4502">
        <v>0.158094768079552</v>
      </c>
      <c r="R4502">
        <v>0.96952244276188404</v>
      </c>
      <c r="S4502" t="s">
        <v>10363</v>
      </c>
      <c r="T4502" t="s">
        <v>11720</v>
      </c>
      <c r="U4502" t="s">
        <v>11720</v>
      </c>
      <c r="V4502" t="s">
        <v>11720</v>
      </c>
      <c r="W4502" t="s">
        <v>16167</v>
      </c>
      <c r="X4502">
        <v>10</v>
      </c>
      <c r="Y4502" t="s">
        <v>21875</v>
      </c>
      <c r="Z4502" t="s">
        <v>27709</v>
      </c>
      <c r="AA4502">
        <v>0.58137370676385514</v>
      </c>
      <c r="AB4502" t="str">
        <f>HYPERLINK("Melting_Curves/meltCurve_Q96CW1_2_AP2M1.pdf", "Melting_Curves/meltCurve_Q96CW1_2_AP2M1.pdf")</f>
        <v>Melting_Curves/meltCurve_Q96CW1_2_AP2M1.pdf</v>
      </c>
    </row>
    <row r="4503" spans="1:28" x14ac:dyDescent="0.25">
      <c r="A4503" t="s">
        <v>4507</v>
      </c>
      <c r="B4503">
        <v>0.99334974765950101</v>
      </c>
      <c r="C4503">
        <v>0.93968472384369195</v>
      </c>
      <c r="D4503">
        <v>0.79594549449797003</v>
      </c>
      <c r="E4503">
        <v>0.58050101965075895</v>
      </c>
      <c r="F4503">
        <v>0.46467697095286098</v>
      </c>
      <c r="G4503">
        <v>0.23007479596826</v>
      </c>
      <c r="H4503">
        <v>0.15337629889968299</v>
      </c>
      <c r="I4503">
        <v>0.100824829853914</v>
      </c>
      <c r="J4503">
        <v>6.9653626885545397E-2</v>
      </c>
      <c r="K4503">
        <v>6.4055086351559501E-2</v>
      </c>
      <c r="L4503">
        <v>627.81236049969698</v>
      </c>
      <c r="M4503">
        <v>12.186686310916601</v>
      </c>
      <c r="N4503">
        <v>51.687642117662399</v>
      </c>
      <c r="O4503">
        <v>50.187982929923798</v>
      </c>
      <c r="P4503">
        <v>-5.9516607226368999E-2</v>
      </c>
      <c r="Q4503">
        <v>1.9802404632062901E-2</v>
      </c>
      <c r="R4503">
        <v>0.99712823468891199</v>
      </c>
      <c r="S4503" t="s">
        <v>10364</v>
      </c>
      <c r="T4503" t="s">
        <v>11720</v>
      </c>
      <c r="U4503" t="s">
        <v>11720</v>
      </c>
      <c r="V4503" t="s">
        <v>11720</v>
      </c>
      <c r="W4503" t="s">
        <v>16168</v>
      </c>
      <c r="X4503">
        <v>3</v>
      </c>
      <c r="Y4503" t="s">
        <v>21876</v>
      </c>
      <c r="Z4503" t="s">
        <v>27710</v>
      </c>
      <c r="AA4503">
        <v>0.42638941249446111</v>
      </c>
      <c r="AB4503" t="str">
        <f>HYPERLINK("Melting_Curves/meltCurve_Q96CW5_3_TUBGCP3.pdf", "Melting_Curves/meltCurve_Q96CW5_3_TUBGCP3.pdf")</f>
        <v>Melting_Curves/meltCurve_Q96CW5_3_TUBGCP3.pdf</v>
      </c>
    </row>
    <row r="4504" spans="1:28" x14ac:dyDescent="0.25">
      <c r="A4504" t="s">
        <v>4508</v>
      </c>
      <c r="B4504">
        <v>0.99334974765950101</v>
      </c>
      <c r="C4504">
        <v>0.95877541434691704</v>
      </c>
      <c r="D4504">
        <v>0.85064558247822697</v>
      </c>
      <c r="E4504">
        <v>0.77670911663786601</v>
      </c>
      <c r="F4504">
        <v>0.78379812583016994</v>
      </c>
      <c r="G4504">
        <v>0.62503096278243098</v>
      </c>
      <c r="H4504">
        <v>0.54174803137887995</v>
      </c>
      <c r="I4504">
        <v>0.55123437264484598</v>
      </c>
      <c r="J4504">
        <v>0.50264601333349701</v>
      </c>
      <c r="K4504">
        <v>0.47779952053909802</v>
      </c>
      <c r="L4504">
        <v>450.02403863528701</v>
      </c>
      <c r="M4504">
        <v>8.3037931404164596</v>
      </c>
      <c r="N4504">
        <v>67.188158570160198</v>
      </c>
      <c r="O4504">
        <v>51.324811556679599</v>
      </c>
      <c r="P4504">
        <v>-2.4306887796451199E-2</v>
      </c>
      <c r="Q4504">
        <v>0.39963800755483703</v>
      </c>
      <c r="R4504">
        <v>0.97734273991327303</v>
      </c>
      <c r="S4504" t="s">
        <v>10365</v>
      </c>
      <c r="T4504" t="s">
        <v>11720</v>
      </c>
      <c r="U4504" t="s">
        <v>11720</v>
      </c>
      <c r="V4504" t="s">
        <v>11720</v>
      </c>
      <c r="W4504" t="s">
        <v>16169</v>
      </c>
      <c r="X4504">
        <v>7</v>
      </c>
      <c r="Y4504" t="s">
        <v>21877</v>
      </c>
      <c r="Z4504" t="s">
        <v>27711</v>
      </c>
      <c r="AA4504">
        <v>0.70311174947855726</v>
      </c>
      <c r="AB4504" t="str">
        <f>HYPERLINK("Melting_Curves/meltCurve_Q96CW6_SLC7A6OS.pdf", "Melting_Curves/meltCurve_Q96CW6_SLC7A6OS.pdf")</f>
        <v>Melting_Curves/meltCurve_Q96CW6_SLC7A6OS.pdf</v>
      </c>
    </row>
    <row r="4505" spans="1:28" x14ac:dyDescent="0.25">
      <c r="A4505" t="s">
        <v>4509</v>
      </c>
      <c r="B4505">
        <v>0.99334974765950101</v>
      </c>
      <c r="C4505">
        <v>1.0500940652298401</v>
      </c>
      <c r="D4505">
        <v>1.11585552039997</v>
      </c>
      <c r="E4505">
        <v>1.1310337510580899</v>
      </c>
      <c r="F4505">
        <v>1.10477700870494</v>
      </c>
      <c r="G4505">
        <v>1.10032979942316</v>
      </c>
      <c r="H4505">
        <v>0.97127196415817596</v>
      </c>
      <c r="I4505">
        <v>0.88968601808552406</v>
      </c>
      <c r="J4505">
        <v>0.39138368393772399</v>
      </c>
      <c r="K4505">
        <v>0.196417510462748</v>
      </c>
      <c r="L4505">
        <v>4102.0712690435503</v>
      </c>
      <c r="M4505">
        <v>62.253947727691802</v>
      </c>
      <c r="N4505">
        <v>66.352072572637994</v>
      </c>
      <c r="O4505">
        <v>65.824658096346994</v>
      </c>
      <c r="P4505">
        <v>-0.195034722073893</v>
      </c>
      <c r="Q4505">
        <v>0.17511485934600199</v>
      </c>
      <c r="R4505">
        <v>0.94367033588325699</v>
      </c>
      <c r="S4505" t="s">
        <v>10366</v>
      </c>
      <c r="T4505" t="s">
        <v>11720</v>
      </c>
      <c r="U4505" t="s">
        <v>11720</v>
      </c>
      <c r="V4505" t="s">
        <v>11720</v>
      </c>
      <c r="W4505" t="s">
        <v>16170</v>
      </c>
      <c r="X4505">
        <v>18</v>
      </c>
      <c r="Y4505" t="s">
        <v>21878</v>
      </c>
      <c r="Z4505" t="s">
        <v>27712</v>
      </c>
      <c r="AA4505">
        <v>0.8877335384183358</v>
      </c>
      <c r="AB4505" t="str">
        <f>HYPERLINK("Melting_Curves/meltCurve_Q96CX2_KCTD12.pdf", "Melting_Curves/meltCurve_Q96CX2_KCTD12.pdf")</f>
        <v>Melting_Curves/meltCurve_Q96CX2_KCTD12.pdf</v>
      </c>
    </row>
    <row r="4506" spans="1:28" x14ac:dyDescent="0.25">
      <c r="A4506" t="s">
        <v>4510</v>
      </c>
      <c r="B4506">
        <v>0.99334974765950101</v>
      </c>
      <c r="C4506">
        <v>1.0356087698647201</v>
      </c>
      <c r="D4506">
        <v>0.96541957380291299</v>
      </c>
      <c r="E4506">
        <v>0.84506105331109105</v>
      </c>
      <c r="F4506">
        <v>0.96614637790574698</v>
      </c>
      <c r="G4506">
        <v>0.71164256009722404</v>
      </c>
      <c r="H4506">
        <v>0.68747759232125705</v>
      </c>
      <c r="I4506">
        <v>1.0070492251356</v>
      </c>
      <c r="J4506">
        <v>0.87758594120461697</v>
      </c>
      <c r="K4506">
        <v>0.85266003285405101</v>
      </c>
      <c r="L4506">
        <v>11555.578312649901</v>
      </c>
      <c r="M4506">
        <v>250</v>
      </c>
      <c r="O4506">
        <v>46.219351334000898</v>
      </c>
      <c r="P4506">
        <v>-0.20329632695567301</v>
      </c>
      <c r="Q4506">
        <v>0.849660397395822</v>
      </c>
      <c r="R4506">
        <v>0.35617235860337298</v>
      </c>
      <c r="S4506" t="s">
        <v>10367</v>
      </c>
      <c r="T4506" t="s">
        <v>11720</v>
      </c>
      <c r="U4506" t="s">
        <v>11720</v>
      </c>
      <c r="V4506" t="s">
        <v>11720</v>
      </c>
      <c r="W4506" t="s">
        <v>16171</v>
      </c>
      <c r="X4506">
        <v>26</v>
      </c>
      <c r="Y4506" t="s">
        <v>21879</v>
      </c>
      <c r="Z4506" t="s">
        <v>27713</v>
      </c>
      <c r="AA4506">
        <v>0.88085459623938001</v>
      </c>
      <c r="AB4506" t="str">
        <f>HYPERLINK("Melting_Curves/meltCurve_Q96D15_RCN3.pdf", "Melting_Curves/meltCurve_Q96D15_RCN3.pdf")</f>
        <v>Melting_Curves/meltCurve_Q96D15_RCN3.pdf</v>
      </c>
    </row>
    <row r="4507" spans="1:28" x14ac:dyDescent="0.25">
      <c r="A4507" t="s">
        <v>4511</v>
      </c>
      <c r="B4507">
        <v>0.99334974765950101</v>
      </c>
      <c r="C4507">
        <v>0.94364274364384004</v>
      </c>
      <c r="D4507">
        <v>0.80716285349522199</v>
      </c>
      <c r="E4507">
        <v>0.74189846465666998</v>
      </c>
      <c r="F4507">
        <v>0.384201344902519</v>
      </c>
      <c r="G4507">
        <v>0.219800441978828</v>
      </c>
      <c r="H4507">
        <v>0.148894697932373</v>
      </c>
      <c r="I4507">
        <v>0.12920321314220501</v>
      </c>
      <c r="J4507">
        <v>0.120218367601722</v>
      </c>
      <c r="K4507">
        <v>9.7871417818590198E-2</v>
      </c>
      <c r="L4507">
        <v>839.02216054150597</v>
      </c>
      <c r="M4507">
        <v>16.3237838002647</v>
      </c>
      <c r="N4507">
        <v>52.000735256389603</v>
      </c>
      <c r="O4507">
        <v>50.645975654833599</v>
      </c>
      <c r="P4507">
        <v>-7.3645998583368705E-2</v>
      </c>
      <c r="Q4507">
        <v>8.6093836567725096E-2</v>
      </c>
      <c r="R4507">
        <v>0.98506667510966395</v>
      </c>
      <c r="S4507" t="s">
        <v>10368</v>
      </c>
      <c r="T4507" t="s">
        <v>11720</v>
      </c>
      <c r="U4507" t="s">
        <v>11720</v>
      </c>
      <c r="V4507" t="s">
        <v>11720</v>
      </c>
      <c r="W4507" t="s">
        <v>16172</v>
      </c>
      <c r="X4507">
        <v>5</v>
      </c>
      <c r="Y4507" t="s">
        <v>21880</v>
      </c>
      <c r="Z4507" t="s">
        <v>27714</v>
      </c>
      <c r="AA4507">
        <v>0.45148147877022449</v>
      </c>
      <c r="AB4507" t="str">
        <f>HYPERLINK("Melting_Curves/meltCurve_Q96DA6_2_DNAJC19.pdf", "Melting_Curves/meltCurve_Q96DA6_2_DNAJC19.pdf")</f>
        <v>Melting_Curves/meltCurve_Q96DA6_2_DNAJC19.pdf</v>
      </c>
    </row>
    <row r="4508" spans="1:28" x14ac:dyDescent="0.25">
      <c r="A4508" t="s">
        <v>4512</v>
      </c>
      <c r="B4508">
        <v>0.99334974765950101</v>
      </c>
      <c r="C4508">
        <v>0.98798340941130502</v>
      </c>
      <c r="D4508">
        <v>0.98124232600213301</v>
      </c>
      <c r="E4508">
        <v>0.78520466572895997</v>
      </c>
      <c r="F4508">
        <v>0.40379350777207401</v>
      </c>
      <c r="G4508">
        <v>0.104955439048106</v>
      </c>
      <c r="H4508">
        <v>5.7840753642287399E-2</v>
      </c>
      <c r="I4508">
        <v>4.5310006273480301E-2</v>
      </c>
      <c r="J4508">
        <v>4.8887538211690201E-2</v>
      </c>
      <c r="K4508">
        <v>4.1080433819820197E-2</v>
      </c>
      <c r="L4508">
        <v>1556.86548934337</v>
      </c>
      <c r="M4508">
        <v>29.8886838854704</v>
      </c>
      <c r="N4508">
        <v>52.245748060997599</v>
      </c>
      <c r="O4508">
        <v>51.857274617283302</v>
      </c>
      <c r="P4508">
        <v>-0.137905303692997</v>
      </c>
      <c r="Q4508">
        <v>4.29357778946024E-2</v>
      </c>
      <c r="R4508">
        <v>0.99986754397938105</v>
      </c>
      <c r="S4508" t="s">
        <v>10369</v>
      </c>
      <c r="T4508" t="s">
        <v>11720</v>
      </c>
      <c r="U4508" t="s">
        <v>11720</v>
      </c>
      <c r="V4508" t="s">
        <v>11720</v>
      </c>
      <c r="W4508" t="s">
        <v>16173</v>
      </c>
      <c r="X4508">
        <v>12</v>
      </c>
      <c r="Y4508" t="s">
        <v>21881</v>
      </c>
      <c r="Z4508" t="s">
        <v>27715</v>
      </c>
      <c r="AA4508">
        <v>0.43476286563392091</v>
      </c>
      <c r="AB4508" t="str">
        <f>HYPERLINK("Melting_Curves/meltCurve_Q96DB5_RMDN1.pdf", "Melting_Curves/meltCurve_Q96DB5_RMDN1.pdf")</f>
        <v>Melting_Curves/meltCurve_Q96DB5_RMDN1.pdf</v>
      </c>
    </row>
    <row r="4509" spans="1:28" x14ac:dyDescent="0.25">
      <c r="A4509" t="s">
        <v>4513</v>
      </c>
      <c r="B4509">
        <v>0.99334974765950101</v>
      </c>
      <c r="C4509">
        <v>0.90930497824082601</v>
      </c>
      <c r="D4509">
        <v>0.96937826417510897</v>
      </c>
      <c r="E4509">
        <v>0.81092027515387199</v>
      </c>
      <c r="F4509">
        <v>0.40271017715274399</v>
      </c>
      <c r="G4509">
        <v>0.15810401825652301</v>
      </c>
      <c r="H4509">
        <v>0.116311697074615</v>
      </c>
      <c r="I4509">
        <v>9.1247379935342807E-2</v>
      </c>
      <c r="J4509">
        <v>0.120007889734123</v>
      </c>
      <c r="K4509">
        <v>9.09915166219043E-2</v>
      </c>
      <c r="L4509">
        <v>1693.83067322071</v>
      </c>
      <c r="M4509">
        <v>32.614755931148999</v>
      </c>
      <c r="N4509">
        <v>52.305778898094196</v>
      </c>
      <c r="O4509">
        <v>51.740394520767801</v>
      </c>
      <c r="P4509">
        <v>-0.141304770436607</v>
      </c>
      <c r="Q4509">
        <v>0.103334369477157</v>
      </c>
      <c r="R4509">
        <v>0.99370691650335397</v>
      </c>
      <c r="S4509" t="s">
        <v>10370</v>
      </c>
      <c r="T4509" t="s">
        <v>11720</v>
      </c>
      <c r="U4509" t="s">
        <v>11720</v>
      </c>
      <c r="V4509" t="s">
        <v>11720</v>
      </c>
      <c r="W4509" t="s">
        <v>16174</v>
      </c>
      <c r="X4509">
        <v>6</v>
      </c>
      <c r="Y4509" t="s">
        <v>21882</v>
      </c>
      <c r="Z4509" t="s">
        <v>27716</v>
      </c>
      <c r="AA4509">
        <v>0.46488835822434138</v>
      </c>
      <c r="AB4509" t="str">
        <f>HYPERLINK("Melting_Curves/meltCurve_Q96DC8_ECHDC3.pdf", "Melting_Curves/meltCurve_Q96DC8_ECHDC3.pdf")</f>
        <v>Melting_Curves/meltCurve_Q96DC8_ECHDC3.pdf</v>
      </c>
    </row>
    <row r="4510" spans="1:28" x14ac:dyDescent="0.25">
      <c r="A4510" t="s">
        <v>4514</v>
      </c>
      <c r="B4510">
        <v>0.99334974765950101</v>
      </c>
      <c r="C4510">
        <v>1.0084290302782399</v>
      </c>
      <c r="D4510">
        <v>0.98937134462863796</v>
      </c>
      <c r="E4510">
        <v>0.76383797888673199</v>
      </c>
      <c r="F4510">
        <v>0.81677251698356201</v>
      </c>
      <c r="G4510">
        <v>0.81794431383825605</v>
      </c>
      <c r="H4510">
        <v>0.81703988522933602</v>
      </c>
      <c r="I4510">
        <v>1.05735097851461</v>
      </c>
      <c r="J4510">
        <v>0.93286302277164301</v>
      </c>
      <c r="K4510">
        <v>0.88672012260683097</v>
      </c>
      <c r="L4510">
        <v>11611.119992493101</v>
      </c>
      <c r="M4510">
        <v>250</v>
      </c>
      <c r="O4510">
        <v>46.441510200301401</v>
      </c>
      <c r="P4510">
        <v>-0.17446507737613601</v>
      </c>
      <c r="Q4510">
        <v>0.87036126003064895</v>
      </c>
      <c r="R4510">
        <v>0.36391734495943501</v>
      </c>
      <c r="S4510" t="s">
        <v>10371</v>
      </c>
      <c r="T4510" t="s">
        <v>11720</v>
      </c>
      <c r="U4510" t="s">
        <v>11720</v>
      </c>
      <c r="V4510" t="s">
        <v>11720</v>
      </c>
      <c r="W4510" t="s">
        <v>16175</v>
      </c>
      <c r="X4510">
        <v>1</v>
      </c>
      <c r="Y4510" t="s">
        <v>21883</v>
      </c>
      <c r="Z4510" t="s">
        <v>27717</v>
      </c>
      <c r="AA4510">
        <v>0.89822030223421701</v>
      </c>
      <c r="AB4510" t="str">
        <f>HYPERLINK("Melting_Curves/meltCurve_Q96DD7_SHISA4.pdf", "Melting_Curves/meltCurve_Q96DD7_SHISA4.pdf")</f>
        <v>Melting_Curves/meltCurve_Q96DD7_SHISA4.pdf</v>
      </c>
    </row>
    <row r="4511" spans="1:28" x14ac:dyDescent="0.25">
      <c r="A4511" t="s">
        <v>4515</v>
      </c>
      <c r="B4511">
        <v>0.99334974765950101</v>
      </c>
      <c r="C4511">
        <v>0.97265482731513797</v>
      </c>
      <c r="D4511">
        <v>0.92096023590495901</v>
      </c>
      <c r="E4511">
        <v>0.76061546745281305</v>
      </c>
      <c r="F4511">
        <v>0.66929448528528701</v>
      </c>
      <c r="G4511">
        <v>0.51018953839256198</v>
      </c>
      <c r="H4511">
        <v>0.40429383690867399</v>
      </c>
      <c r="I4511">
        <v>0.55919443742110697</v>
      </c>
      <c r="J4511">
        <v>0.53256033345016995</v>
      </c>
      <c r="K4511">
        <v>0.36574258729025799</v>
      </c>
      <c r="L4511">
        <v>843.21155035920901</v>
      </c>
      <c r="M4511">
        <v>16.523807449250501</v>
      </c>
      <c r="N4511">
        <v>59.075850123489097</v>
      </c>
      <c r="O4511">
        <v>50.300265817301998</v>
      </c>
      <c r="P4511">
        <v>-4.53921632378715E-2</v>
      </c>
      <c r="Q4511">
        <v>0.447323532642875</v>
      </c>
      <c r="R4511">
        <v>0.93983526613603396</v>
      </c>
      <c r="S4511" t="s">
        <v>10372</v>
      </c>
      <c r="T4511" t="s">
        <v>11720</v>
      </c>
      <c r="U4511" t="s">
        <v>11720</v>
      </c>
      <c r="V4511" t="s">
        <v>11720</v>
      </c>
      <c r="W4511" t="s">
        <v>16176</v>
      </c>
      <c r="X4511">
        <v>15</v>
      </c>
      <c r="Y4511" t="s">
        <v>21884</v>
      </c>
      <c r="Z4511" t="s">
        <v>27718</v>
      </c>
      <c r="AA4511">
        <v>0.66135586644585442</v>
      </c>
      <c r="AB4511" t="str">
        <f>HYPERLINK("Melting_Curves/meltCurve_Q96DE0_NUDT16.pdf", "Melting_Curves/meltCurve_Q96DE0_NUDT16.pdf")</f>
        <v>Melting_Curves/meltCurve_Q96DE0_NUDT16.pdf</v>
      </c>
    </row>
    <row r="4512" spans="1:28" x14ac:dyDescent="0.25">
      <c r="A4512" t="s">
        <v>4516</v>
      </c>
      <c r="B4512">
        <v>0.99334974765950101</v>
      </c>
      <c r="C4512">
        <v>1.03561372606361</v>
      </c>
      <c r="D4512">
        <v>0.69781851656406502</v>
      </c>
      <c r="E4512">
        <v>0.72847243341119206</v>
      </c>
      <c r="F4512">
        <v>0.88089340906278701</v>
      </c>
      <c r="G4512">
        <v>0.73048103916566798</v>
      </c>
      <c r="H4512">
        <v>0.67886817217168705</v>
      </c>
      <c r="I4512">
        <v>0.88477175666988395</v>
      </c>
      <c r="J4512">
        <v>1.1710454113964599</v>
      </c>
      <c r="K4512">
        <v>1.0375094187770999</v>
      </c>
      <c r="L4512">
        <v>11068.0920401774</v>
      </c>
      <c r="M4512">
        <v>250</v>
      </c>
      <c r="O4512">
        <v>44.269535068970598</v>
      </c>
      <c r="P4512">
        <v>-0.21002865297232001</v>
      </c>
      <c r="Q4512">
        <v>0.85123406723757999</v>
      </c>
      <c r="R4512">
        <v>0.159048437336407</v>
      </c>
      <c r="S4512" t="s">
        <v>10373</v>
      </c>
      <c r="T4512" t="s">
        <v>11720</v>
      </c>
      <c r="U4512" t="s">
        <v>11720</v>
      </c>
      <c r="V4512" t="s">
        <v>11720</v>
      </c>
      <c r="W4512" t="s">
        <v>16177</v>
      </c>
      <c r="X4512">
        <v>3</v>
      </c>
      <c r="Y4512" t="s">
        <v>21885</v>
      </c>
      <c r="Z4512" t="s">
        <v>27719</v>
      </c>
      <c r="AA4512">
        <v>0.87243172043584638</v>
      </c>
      <c r="AB4512" t="str">
        <f>HYPERLINK("Melting_Curves/meltCurve_Q96DE5_ANAPC16.pdf", "Melting_Curves/meltCurve_Q96DE5_ANAPC16.pdf")</f>
        <v>Melting_Curves/meltCurve_Q96DE5_ANAPC16.pdf</v>
      </c>
    </row>
    <row r="4513" spans="1:28" x14ac:dyDescent="0.25">
      <c r="A4513" t="s">
        <v>4517</v>
      </c>
      <c r="B4513">
        <v>0.99334974765950101</v>
      </c>
      <c r="C4513">
        <v>1.0895031251751599</v>
      </c>
      <c r="D4513">
        <v>0.85970960237366201</v>
      </c>
      <c r="E4513">
        <v>0.68893350321410496</v>
      </c>
      <c r="F4513">
        <v>0.82027608857091105</v>
      </c>
      <c r="G4513">
        <v>0.59320456646243203</v>
      </c>
      <c r="H4513">
        <v>0.62101319905709396</v>
      </c>
      <c r="I4513">
        <v>0.56131119352840197</v>
      </c>
      <c r="J4513">
        <v>0.66291677786157499</v>
      </c>
      <c r="K4513">
        <v>0.75386458243132304</v>
      </c>
      <c r="L4513">
        <v>11513.481096450199</v>
      </c>
      <c r="M4513">
        <v>250</v>
      </c>
      <c r="O4513">
        <v>46.050977120587</v>
      </c>
      <c r="P4513">
        <v>-0.44563970021070898</v>
      </c>
      <c r="Q4513">
        <v>0.67164570131775703</v>
      </c>
      <c r="R4513">
        <v>0.79039888714246598</v>
      </c>
      <c r="S4513" t="s">
        <v>10374</v>
      </c>
      <c r="T4513" t="s">
        <v>11720</v>
      </c>
      <c r="U4513" t="s">
        <v>11720</v>
      </c>
      <c r="V4513" t="s">
        <v>11720</v>
      </c>
      <c r="W4513" t="s">
        <v>16178</v>
      </c>
      <c r="X4513">
        <v>4</v>
      </c>
      <c r="Y4513" t="s">
        <v>21886</v>
      </c>
      <c r="Z4513" t="s">
        <v>27720</v>
      </c>
      <c r="AA4513">
        <v>0.73793331006533414</v>
      </c>
      <c r="AB4513" t="str">
        <f>HYPERLINK("Melting_Curves/meltCurve_Q96DF8_DGCR14.pdf", "Melting_Curves/meltCurve_Q96DF8_DGCR14.pdf")</f>
        <v>Melting_Curves/meltCurve_Q96DF8_DGCR14.pdf</v>
      </c>
    </row>
    <row r="4514" spans="1:28" x14ac:dyDescent="0.25">
      <c r="A4514" t="s">
        <v>4518</v>
      </c>
      <c r="B4514">
        <v>0.99334974765950101</v>
      </c>
      <c r="C4514">
        <v>1.3656507795583701</v>
      </c>
      <c r="D4514">
        <v>1.1482008035331499</v>
      </c>
      <c r="E4514">
        <v>1.1509744708141101</v>
      </c>
      <c r="F4514">
        <v>0.65593976471736803</v>
      </c>
      <c r="G4514">
        <v>0.323476767794104</v>
      </c>
      <c r="H4514">
        <v>0.15995813410174001</v>
      </c>
      <c r="I4514">
        <v>0.12487694023627401</v>
      </c>
      <c r="J4514">
        <v>0.10050997621279199</v>
      </c>
      <c r="K4514">
        <v>7.9955535073257297E-2</v>
      </c>
      <c r="L4514">
        <v>1841.0939537597801</v>
      </c>
      <c r="M4514">
        <v>33.857367119233402</v>
      </c>
      <c r="N4514">
        <v>54.806010571766897</v>
      </c>
      <c r="O4514">
        <v>54.189295027443201</v>
      </c>
      <c r="P4514">
        <v>-0.13805185024359401</v>
      </c>
      <c r="Q4514">
        <v>0.116186238800651</v>
      </c>
      <c r="R4514">
        <v>0.91268394757739202</v>
      </c>
      <c r="S4514" t="s">
        <v>10375</v>
      </c>
      <c r="T4514" t="s">
        <v>11720</v>
      </c>
      <c r="U4514" t="s">
        <v>11720</v>
      </c>
      <c r="V4514" t="s">
        <v>11720</v>
      </c>
      <c r="W4514" t="s">
        <v>16179</v>
      </c>
      <c r="X4514">
        <v>9</v>
      </c>
      <c r="Y4514" t="s">
        <v>21887</v>
      </c>
      <c r="Z4514" t="s">
        <v>27721</v>
      </c>
      <c r="AA4514">
        <v>0.54437724960821043</v>
      </c>
      <c r="AB4514" t="str">
        <f>HYPERLINK("Melting_Curves/meltCurve_Q96DG6_CMBL.pdf", "Melting_Curves/meltCurve_Q96DG6_CMBL.pdf")</f>
        <v>Melting_Curves/meltCurve_Q96DG6_CMBL.pdf</v>
      </c>
    </row>
    <row r="4515" spans="1:28" x14ac:dyDescent="0.25">
      <c r="A4515" t="s">
        <v>4519</v>
      </c>
      <c r="B4515">
        <v>0.99334974765950101</v>
      </c>
      <c r="C4515">
        <v>0.94837090038038496</v>
      </c>
      <c r="D4515">
        <v>1.3990110337614201</v>
      </c>
      <c r="E4515">
        <v>2.3421818113273201</v>
      </c>
      <c r="F4515">
        <v>1.2698521919779</v>
      </c>
      <c r="G4515">
        <v>0.33793472119664397</v>
      </c>
      <c r="H4515">
        <v>0.16676546709779699</v>
      </c>
      <c r="I4515">
        <v>0.124741424302981</v>
      </c>
      <c r="J4515">
        <v>9.0734509861572304E-2</v>
      </c>
      <c r="K4515">
        <v>4.44125560438519E-2</v>
      </c>
      <c r="L4515">
        <v>14190.0489543765</v>
      </c>
      <c r="M4515">
        <v>250</v>
      </c>
      <c r="N4515">
        <v>56.814724797710603</v>
      </c>
      <c r="O4515">
        <v>56.756563561939302</v>
      </c>
      <c r="P4515">
        <v>-0.98373701266499702</v>
      </c>
      <c r="Q4515">
        <v>0.10666348476866901</v>
      </c>
      <c r="R4515">
        <v>0.60334468435070898</v>
      </c>
      <c r="S4515" t="s">
        <v>10376</v>
      </c>
      <c r="T4515" t="s">
        <v>11720</v>
      </c>
      <c r="U4515" t="s">
        <v>11720</v>
      </c>
      <c r="V4515" t="s">
        <v>11720</v>
      </c>
      <c r="W4515" t="s">
        <v>16180</v>
      </c>
      <c r="X4515">
        <v>1</v>
      </c>
      <c r="Y4515" t="s">
        <v>21888</v>
      </c>
      <c r="Z4515" t="s">
        <v>27722</v>
      </c>
      <c r="AA4515">
        <v>0.60583563713832611</v>
      </c>
      <c r="AB4515" t="str">
        <f>HYPERLINK("Melting_Curves/meltCurve_Q96DI7_SNRNP40.pdf", "Melting_Curves/meltCurve_Q96DI7_SNRNP40.pdf")</f>
        <v>Melting_Curves/meltCurve_Q96DI7_SNRNP40.pdf</v>
      </c>
    </row>
    <row r="4516" spans="1:28" x14ac:dyDescent="0.25">
      <c r="A4516" t="s">
        <v>4520</v>
      </c>
      <c r="B4516">
        <v>0.99334974765950101</v>
      </c>
      <c r="C4516">
        <v>0.92273302481559405</v>
      </c>
      <c r="D4516">
        <v>0.70183933576503099</v>
      </c>
      <c r="E4516">
        <v>0.27189965193641902</v>
      </c>
      <c r="F4516">
        <v>0.18973023474053299</v>
      </c>
      <c r="G4516">
        <v>0.11414752377807499</v>
      </c>
      <c r="H4516">
        <v>9.5600400924469101E-2</v>
      </c>
      <c r="I4516">
        <v>5.7862239942248199E-2</v>
      </c>
      <c r="J4516">
        <v>6.4568606404563106E-2</v>
      </c>
      <c r="K4516">
        <v>5.4406453243128199E-2</v>
      </c>
      <c r="L4516">
        <v>1053.7339585064899</v>
      </c>
      <c r="M4516">
        <v>22.1987803161811</v>
      </c>
      <c r="N4516">
        <v>47.807301549803</v>
      </c>
      <c r="O4516">
        <v>47.087909772128498</v>
      </c>
      <c r="P4516">
        <v>-0.109273139803263</v>
      </c>
      <c r="Q4516">
        <v>7.2861651249049197E-2</v>
      </c>
      <c r="R4516">
        <v>0.99726672104835801</v>
      </c>
      <c r="S4516" t="s">
        <v>10377</v>
      </c>
      <c r="T4516" t="s">
        <v>11720</v>
      </c>
      <c r="U4516" t="s">
        <v>11720</v>
      </c>
      <c r="V4516" t="s">
        <v>11720</v>
      </c>
      <c r="W4516" t="s">
        <v>16181</v>
      </c>
      <c r="X4516">
        <v>3</v>
      </c>
      <c r="Y4516" t="s">
        <v>21889</v>
      </c>
      <c r="Z4516" t="s">
        <v>27723</v>
      </c>
      <c r="AA4516">
        <v>0.31430333847955189</v>
      </c>
      <c r="AB4516" t="str">
        <f>HYPERLINK("Melting_Curves/meltCurve_Q96DR4_STARD4.pdf", "Melting_Curves/meltCurve_Q96DR4_STARD4.pdf")</f>
        <v>Melting_Curves/meltCurve_Q96DR4_STARD4.pdf</v>
      </c>
    </row>
    <row r="4517" spans="1:28" x14ac:dyDescent="0.25">
      <c r="A4517" t="s">
        <v>4521</v>
      </c>
      <c r="B4517">
        <v>0.99334974765950101</v>
      </c>
      <c r="C4517">
        <v>0.91319242302215498</v>
      </c>
      <c r="D4517">
        <v>1.00778744168129</v>
      </c>
      <c r="E4517">
        <v>0.81227684071455197</v>
      </c>
      <c r="F4517">
        <v>0.26490266692852898</v>
      </c>
      <c r="G4517">
        <v>0.18548815986041201</v>
      </c>
      <c r="H4517">
        <v>0.15183753596640701</v>
      </c>
      <c r="I4517">
        <v>0.11752293921349299</v>
      </c>
      <c r="J4517">
        <v>5.8208653868815102E-2</v>
      </c>
      <c r="K4517">
        <v>5.0594690647262602E-2</v>
      </c>
      <c r="L4517">
        <v>2459.59128841349</v>
      </c>
      <c r="M4517">
        <v>47.897687397718201</v>
      </c>
      <c r="N4517">
        <v>51.617982398088401</v>
      </c>
      <c r="O4517">
        <v>51.261667944474702</v>
      </c>
      <c r="P4517">
        <v>-0.20795811842478601</v>
      </c>
      <c r="Q4517">
        <v>0.109746651180824</v>
      </c>
      <c r="R4517">
        <v>0.98701702205817299</v>
      </c>
      <c r="S4517" t="s">
        <v>10378</v>
      </c>
      <c r="T4517" t="s">
        <v>11720</v>
      </c>
      <c r="U4517" t="s">
        <v>11720</v>
      </c>
      <c r="V4517" t="s">
        <v>11720</v>
      </c>
      <c r="W4517" t="s">
        <v>16182</v>
      </c>
      <c r="X4517">
        <v>1</v>
      </c>
      <c r="Y4517" t="s">
        <v>21890</v>
      </c>
      <c r="Z4517" t="s">
        <v>27724</v>
      </c>
      <c r="AA4517">
        <v>0.44878545566282091</v>
      </c>
      <c r="AB4517" t="str">
        <f>HYPERLINK("Melting_Curves/meltCurve_Q96DT0_3_LGALS12.pdf", "Melting_Curves/meltCurve_Q96DT0_3_LGALS12.pdf")</f>
        <v>Melting_Curves/meltCurve_Q96DT0_3_LGALS12.pdf</v>
      </c>
    </row>
    <row r="4518" spans="1:28" x14ac:dyDescent="0.25">
      <c r="A4518" t="s">
        <v>4522</v>
      </c>
      <c r="B4518">
        <v>0.99334974765950101</v>
      </c>
      <c r="C4518">
        <v>0.90498249722167101</v>
      </c>
      <c r="D4518">
        <v>0.93816115480006401</v>
      </c>
      <c r="E4518">
        <v>0.62419437426254398</v>
      </c>
      <c r="F4518">
        <v>0.263834000028491</v>
      </c>
      <c r="G4518">
        <v>0.14532050135965199</v>
      </c>
      <c r="H4518">
        <v>0.129802161343373</v>
      </c>
      <c r="I4518">
        <v>0.138172016591673</v>
      </c>
      <c r="J4518">
        <v>0.14890659282190599</v>
      </c>
      <c r="K4518">
        <v>0.237372248846657</v>
      </c>
      <c r="L4518">
        <v>1736.8854608884201</v>
      </c>
      <c r="M4518">
        <v>34.577435780532198</v>
      </c>
      <c r="N4518">
        <v>50.779849546174802</v>
      </c>
      <c r="O4518">
        <v>50.064636117512599</v>
      </c>
      <c r="P4518">
        <v>-0.14577409787536899</v>
      </c>
      <c r="Q4518">
        <v>0.15573842531741</v>
      </c>
      <c r="R4518">
        <v>0.98533073188366005</v>
      </c>
      <c r="S4518" t="s">
        <v>10379</v>
      </c>
      <c r="T4518" t="s">
        <v>11720</v>
      </c>
      <c r="U4518" t="s">
        <v>11720</v>
      </c>
      <c r="V4518" t="s">
        <v>11720</v>
      </c>
      <c r="W4518" t="s">
        <v>16183</v>
      </c>
      <c r="X4518">
        <v>2</v>
      </c>
      <c r="Y4518" t="s">
        <v>21891</v>
      </c>
      <c r="Z4518" t="s">
        <v>27725</v>
      </c>
      <c r="AA4518">
        <v>0.44761573740257621</v>
      </c>
      <c r="AB4518" t="str">
        <f>HYPERLINK("Melting_Curves/meltCurve_Q96DT6_ATG4C.pdf", "Melting_Curves/meltCurve_Q96DT6_ATG4C.pdf")</f>
        <v>Melting_Curves/meltCurve_Q96DT6_ATG4C.pdf</v>
      </c>
    </row>
    <row r="4519" spans="1:28" x14ac:dyDescent="0.25">
      <c r="A4519" t="s">
        <v>4523</v>
      </c>
      <c r="B4519">
        <v>0.99334974765950101</v>
      </c>
      <c r="C4519">
        <v>0.83006839638900398</v>
      </c>
      <c r="D4519">
        <v>0.46450328153364001</v>
      </c>
      <c r="E4519">
        <v>0.32480593239791999</v>
      </c>
      <c r="F4519">
        <v>0.227507608373094</v>
      </c>
      <c r="G4519">
        <v>0.15626779150589701</v>
      </c>
      <c r="H4519">
        <v>0.14070776800937401</v>
      </c>
      <c r="I4519">
        <v>9.7181626305833602E-2</v>
      </c>
      <c r="J4519">
        <v>0.104891210916895</v>
      </c>
      <c r="K4519">
        <v>8.0647057559777399E-2</v>
      </c>
      <c r="L4519">
        <v>809.68360065053798</v>
      </c>
      <c r="M4519">
        <v>17.664493554596501</v>
      </c>
      <c r="N4519">
        <v>46.522312191975999</v>
      </c>
      <c r="O4519">
        <v>45.261451848602398</v>
      </c>
      <c r="P4519">
        <v>-8.6393499097328796E-2</v>
      </c>
      <c r="Q4519">
        <v>0.114588277095937</v>
      </c>
      <c r="R4519">
        <v>0.98273295656772897</v>
      </c>
      <c r="S4519" t="s">
        <v>10380</v>
      </c>
      <c r="T4519" t="s">
        <v>11720</v>
      </c>
      <c r="U4519" t="s">
        <v>11720</v>
      </c>
      <c r="V4519" t="s">
        <v>11720</v>
      </c>
      <c r="W4519" t="s">
        <v>16184</v>
      </c>
      <c r="X4519">
        <v>1</v>
      </c>
      <c r="Y4519" t="s">
        <v>21892</v>
      </c>
      <c r="Z4519" t="s">
        <v>27726</v>
      </c>
      <c r="AA4519">
        <v>0.30522186645246729</v>
      </c>
      <c r="AB4519" t="str">
        <f>HYPERLINK("Melting_Curves/meltCurve_Q96DU7_ITPKC.pdf", "Melting_Curves/meltCurve_Q96DU7_ITPKC.pdf")</f>
        <v>Melting_Curves/meltCurve_Q96DU7_ITPKC.pdf</v>
      </c>
    </row>
    <row r="4520" spans="1:28" x14ac:dyDescent="0.25">
      <c r="A4520" t="s">
        <v>4524</v>
      </c>
      <c r="B4520">
        <v>0.99334974765950101</v>
      </c>
      <c r="C4520">
        <v>1.01312894752448</v>
      </c>
      <c r="D4520">
        <v>1.0335070469930401</v>
      </c>
      <c r="E4520">
        <v>0.95799796940429505</v>
      </c>
      <c r="F4520">
        <v>1.0193609674281601</v>
      </c>
      <c r="G4520">
        <v>0.49310997374939503</v>
      </c>
      <c r="H4520">
        <v>0.19283474293507899</v>
      </c>
      <c r="I4520">
        <v>0.12998079839371801</v>
      </c>
      <c r="J4520">
        <v>0.133165123254575</v>
      </c>
      <c r="K4520">
        <v>9.5900531874160103E-2</v>
      </c>
      <c r="L4520">
        <v>3156.2375756074198</v>
      </c>
      <c r="M4520">
        <v>55.683374738799102</v>
      </c>
      <c r="N4520">
        <v>56.9969985576707</v>
      </c>
      <c r="O4520">
        <v>56.608900097482</v>
      </c>
      <c r="P4520">
        <v>-0.21333074459384399</v>
      </c>
      <c r="Q4520">
        <v>0.13249424071337401</v>
      </c>
      <c r="R4520">
        <v>0.995403338350482</v>
      </c>
      <c r="S4520" t="s">
        <v>10381</v>
      </c>
      <c r="T4520" t="s">
        <v>11720</v>
      </c>
      <c r="U4520" t="s">
        <v>11720</v>
      </c>
      <c r="V4520" t="s">
        <v>11720</v>
      </c>
      <c r="W4520" t="s">
        <v>16185</v>
      </c>
      <c r="X4520">
        <v>4</v>
      </c>
      <c r="Y4520" t="s">
        <v>21893</v>
      </c>
      <c r="Z4520" t="s">
        <v>27727</v>
      </c>
      <c r="AA4520">
        <v>0.61662713995009422</v>
      </c>
      <c r="AB4520" t="str">
        <f>HYPERLINK("Melting_Curves/meltCurve_Q96DX4_RSPRY1.pdf", "Melting_Curves/meltCurve_Q96DX4_RSPRY1.pdf")</f>
        <v>Melting_Curves/meltCurve_Q96DX4_RSPRY1.pdf</v>
      </c>
    </row>
    <row r="4521" spans="1:28" x14ac:dyDescent="0.25">
      <c r="A4521" t="s">
        <v>4525</v>
      </c>
      <c r="B4521">
        <v>0.99334974765950101</v>
      </c>
      <c r="C4521">
        <v>1.03802759561972</v>
      </c>
      <c r="D4521">
        <v>0.91860296763623295</v>
      </c>
      <c r="E4521">
        <v>0.81054845341985005</v>
      </c>
      <c r="F4521">
        <v>0.71606071793877102</v>
      </c>
      <c r="G4521">
        <v>0.61963983968472003</v>
      </c>
      <c r="H4521">
        <v>0.67250934414157104</v>
      </c>
      <c r="I4521">
        <v>0.68327073869812804</v>
      </c>
      <c r="J4521">
        <v>0.70221050711936395</v>
      </c>
      <c r="K4521">
        <v>0.783935754559272</v>
      </c>
      <c r="L4521">
        <v>1355.2045548644901</v>
      </c>
      <c r="M4521">
        <v>27.889312641250498</v>
      </c>
      <c r="O4521">
        <v>48.344502168307798</v>
      </c>
      <c r="P4521">
        <v>-4.4318838484315601E-2</v>
      </c>
      <c r="Q4521">
        <v>0.69270627648292804</v>
      </c>
      <c r="R4521">
        <v>0.90150074857149298</v>
      </c>
      <c r="S4521" t="s">
        <v>10382</v>
      </c>
      <c r="T4521" t="s">
        <v>11720</v>
      </c>
      <c r="U4521" t="s">
        <v>11720</v>
      </c>
      <c r="V4521" t="s">
        <v>11720</v>
      </c>
      <c r="W4521" t="s">
        <v>16186</v>
      </c>
      <c r="X4521">
        <v>4</v>
      </c>
      <c r="Y4521" t="s">
        <v>21894</v>
      </c>
      <c r="Z4521" t="s">
        <v>27728</v>
      </c>
      <c r="AA4521">
        <v>0.78288241357212207</v>
      </c>
      <c r="AB4521" t="str">
        <f>HYPERLINK("Melting_Curves/meltCurve_Q96DX7_TRIM44.pdf", "Melting_Curves/meltCurve_Q96DX7_TRIM44.pdf")</f>
        <v>Melting_Curves/meltCurve_Q96DX7_TRIM44.pdf</v>
      </c>
    </row>
    <row r="4522" spans="1:28" x14ac:dyDescent="0.25">
      <c r="A4522" t="s">
        <v>4526</v>
      </c>
      <c r="B4522">
        <v>0.99334974765950101</v>
      </c>
      <c r="C4522">
        <v>0.97729645993512804</v>
      </c>
      <c r="D4522">
        <v>1.0641847994996601</v>
      </c>
      <c r="E4522">
        <v>1.1400059465460499</v>
      </c>
      <c r="F4522">
        <v>0.818686408807484</v>
      </c>
      <c r="G4522">
        <v>0.59994958987216396</v>
      </c>
      <c r="H4522">
        <v>0.37744421884628299</v>
      </c>
      <c r="I4522">
        <v>0.37006829285311699</v>
      </c>
      <c r="J4522">
        <v>0.29354942884053498</v>
      </c>
      <c r="K4522">
        <v>0.23371047523886401</v>
      </c>
      <c r="L4522">
        <v>1416.2251211252001</v>
      </c>
      <c r="M4522">
        <v>25.071894399664099</v>
      </c>
      <c r="N4522">
        <v>58.386953202061797</v>
      </c>
      <c r="O4522">
        <v>56.130880981371199</v>
      </c>
      <c r="P4522">
        <v>-8.0522929489120598E-2</v>
      </c>
      <c r="Q4522">
        <v>0.27891158038990999</v>
      </c>
      <c r="R4522">
        <v>0.96145356533247806</v>
      </c>
      <c r="S4522" t="s">
        <v>10383</v>
      </c>
      <c r="T4522" t="s">
        <v>11720</v>
      </c>
      <c r="U4522" t="s">
        <v>11720</v>
      </c>
      <c r="V4522" t="s">
        <v>11720</v>
      </c>
      <c r="W4522" t="s">
        <v>16187</v>
      </c>
      <c r="X4522">
        <v>12</v>
      </c>
      <c r="Y4522" t="s">
        <v>21895</v>
      </c>
      <c r="Z4522" t="s">
        <v>27729</v>
      </c>
      <c r="AA4522">
        <v>0.68172667682110266</v>
      </c>
      <c r="AB4522" t="str">
        <f>HYPERLINK("Melting_Curves/meltCurve_Q96DZ1_ERLEC1.pdf", "Melting_Curves/meltCurve_Q96DZ1_ERLEC1.pdf")</f>
        <v>Melting_Curves/meltCurve_Q96DZ1_ERLEC1.pdf</v>
      </c>
    </row>
    <row r="4523" spans="1:28" x14ac:dyDescent="0.25">
      <c r="A4523" t="s">
        <v>4527</v>
      </c>
      <c r="B4523">
        <v>0.99334974765950101</v>
      </c>
      <c r="C4523">
        <v>1.0409404741755599</v>
      </c>
      <c r="D4523">
        <v>0.98356257680720205</v>
      </c>
      <c r="E4523">
        <v>0.899168699275113</v>
      </c>
      <c r="F4523">
        <v>0.853855581913324</v>
      </c>
      <c r="G4523">
        <v>0.78512622118721398</v>
      </c>
      <c r="H4523">
        <v>0.76081277553037097</v>
      </c>
      <c r="I4523">
        <v>0.68461781210334705</v>
      </c>
      <c r="J4523">
        <v>0.83846854226404</v>
      </c>
      <c r="K4523">
        <v>0.75526031146249994</v>
      </c>
      <c r="L4523">
        <v>1139.94904101476</v>
      </c>
      <c r="M4523">
        <v>22.205779799713198</v>
      </c>
      <c r="O4523">
        <v>50.924811084679</v>
      </c>
      <c r="P4523">
        <v>-2.62922536525967E-2</v>
      </c>
      <c r="Q4523">
        <v>0.75881973998755203</v>
      </c>
      <c r="R4523">
        <v>0.88359710788088597</v>
      </c>
      <c r="S4523" t="s">
        <v>10384</v>
      </c>
      <c r="T4523" t="s">
        <v>11720</v>
      </c>
      <c r="U4523" t="s">
        <v>11720</v>
      </c>
      <c r="V4523" t="s">
        <v>11720</v>
      </c>
      <c r="W4523" t="s">
        <v>16188</v>
      </c>
      <c r="X4523">
        <v>6</v>
      </c>
      <c r="Y4523" t="s">
        <v>21896</v>
      </c>
      <c r="Z4523" t="s">
        <v>27730</v>
      </c>
      <c r="AA4523">
        <v>0.85270015742556271</v>
      </c>
      <c r="AB4523" t="str">
        <f>HYPERLINK("Melting_Curves/meltCurve_Q96E09_FAM122A.pdf", "Melting_Curves/meltCurve_Q96E09_FAM122A.pdf")</f>
        <v>Melting_Curves/meltCurve_Q96E09_FAM122A.pdf</v>
      </c>
    </row>
    <row r="4524" spans="1:28" x14ac:dyDescent="0.25">
      <c r="A4524" t="s">
        <v>4528</v>
      </c>
      <c r="B4524">
        <v>0.99334974765950101</v>
      </c>
      <c r="C4524">
        <v>1.07655881293991</v>
      </c>
      <c r="D4524">
        <v>0.77932794882105705</v>
      </c>
      <c r="E4524">
        <v>0.57590435112143601</v>
      </c>
      <c r="F4524">
        <v>0.26825793075872101</v>
      </c>
      <c r="G4524">
        <v>0.16130265833138099</v>
      </c>
      <c r="H4524">
        <v>0.125882413785838</v>
      </c>
      <c r="I4524">
        <v>0.120470464706343</v>
      </c>
      <c r="J4524">
        <v>0.13480529489936499</v>
      </c>
      <c r="K4524">
        <v>0.13004385764703</v>
      </c>
      <c r="L4524">
        <v>1054.5778721658201</v>
      </c>
      <c r="M4524">
        <v>21.2478612046006</v>
      </c>
      <c r="N4524">
        <v>50.262901466505802</v>
      </c>
      <c r="O4524">
        <v>49.198842586633901</v>
      </c>
      <c r="P4524">
        <v>-9.5337386797551493E-2</v>
      </c>
      <c r="Q4524">
        <v>0.117018250203844</v>
      </c>
      <c r="R4524">
        <v>0.98344881534041795</v>
      </c>
      <c r="S4524" t="s">
        <v>10385</v>
      </c>
      <c r="T4524" t="s">
        <v>11720</v>
      </c>
      <c r="U4524" t="s">
        <v>11720</v>
      </c>
      <c r="V4524" t="s">
        <v>11720</v>
      </c>
      <c r="W4524" t="s">
        <v>16189</v>
      </c>
      <c r="X4524">
        <v>5</v>
      </c>
      <c r="Y4524" t="s">
        <v>21897</v>
      </c>
      <c r="Z4524" t="s">
        <v>27731</v>
      </c>
      <c r="AA4524">
        <v>0.41143515489294841</v>
      </c>
      <c r="AB4524" t="str">
        <f>HYPERLINK("Melting_Curves/meltCurve_Q96E11_3_MRRF.pdf", "Melting_Curves/meltCurve_Q96E11_3_MRRF.pdf")</f>
        <v>Melting_Curves/meltCurve_Q96E11_3_MRRF.pdf</v>
      </c>
    </row>
    <row r="4525" spans="1:28" x14ac:dyDescent="0.25">
      <c r="A4525" t="s">
        <v>4529</v>
      </c>
      <c r="B4525">
        <v>0.99334974765950101</v>
      </c>
      <c r="C4525">
        <v>0.91196441641773796</v>
      </c>
      <c r="D4525">
        <v>0.95844940055813099</v>
      </c>
      <c r="E4525">
        <v>0.63080820434387197</v>
      </c>
      <c r="F4525">
        <v>0.36362737436831699</v>
      </c>
      <c r="G4525">
        <v>0.23764423889114999</v>
      </c>
      <c r="H4525">
        <v>0.21795014788251599</v>
      </c>
      <c r="I4525">
        <v>0.14675404973988501</v>
      </c>
      <c r="J4525">
        <v>0.17336387731654401</v>
      </c>
      <c r="K4525">
        <v>0.17400295435942301</v>
      </c>
      <c r="L4525">
        <v>1215.1303510083201</v>
      </c>
      <c r="M4525">
        <v>24.0756682591526</v>
      </c>
      <c r="N4525">
        <v>51.386179131906999</v>
      </c>
      <c r="O4525">
        <v>50.126962103384102</v>
      </c>
      <c r="P4525">
        <v>-9.9145800643443902E-2</v>
      </c>
      <c r="Q4525">
        <v>0.17430327596296799</v>
      </c>
      <c r="R4525">
        <v>0.99198273749785204</v>
      </c>
      <c r="S4525" t="s">
        <v>10386</v>
      </c>
      <c r="T4525" t="s">
        <v>11720</v>
      </c>
      <c r="U4525" t="s">
        <v>11720</v>
      </c>
      <c r="V4525" t="s">
        <v>11720</v>
      </c>
      <c r="W4525" t="s">
        <v>16190</v>
      </c>
      <c r="X4525">
        <v>2</v>
      </c>
      <c r="Y4525" t="s">
        <v>21898</v>
      </c>
      <c r="Z4525" t="s">
        <v>27732</v>
      </c>
      <c r="AA4525">
        <v>0.47049990947457049</v>
      </c>
      <c r="AB4525" t="str">
        <f>HYPERLINK("Melting_Curves/meltCurve_Q96EB6_2_SIRT1.pdf", "Melting_Curves/meltCurve_Q96EB6_2_SIRT1.pdf")</f>
        <v>Melting_Curves/meltCurve_Q96EB6_2_SIRT1.pdf</v>
      </c>
    </row>
    <row r="4526" spans="1:28" x14ac:dyDescent="0.25">
      <c r="A4526" t="s">
        <v>4530</v>
      </c>
      <c r="B4526">
        <v>0.99334974765950101</v>
      </c>
      <c r="C4526">
        <v>0.73513684454758099</v>
      </c>
      <c r="D4526">
        <v>1.03614842317225</v>
      </c>
      <c r="E4526">
        <v>0.78050445982745897</v>
      </c>
      <c r="F4526">
        <v>0.51623375626373602</v>
      </c>
      <c r="G4526">
        <v>0.231232073591808</v>
      </c>
      <c r="H4526">
        <v>0.20988795023355</v>
      </c>
      <c r="I4526">
        <v>0.21058416790552301</v>
      </c>
      <c r="J4526">
        <v>0</v>
      </c>
      <c r="K4526">
        <v>0</v>
      </c>
      <c r="L4526">
        <v>775.45952439621601</v>
      </c>
      <c r="M4526">
        <v>14.472336809105901</v>
      </c>
      <c r="N4526">
        <v>53.662590494871701</v>
      </c>
      <c r="O4526">
        <v>52.590290848340302</v>
      </c>
      <c r="P4526">
        <v>-6.8067641515963201E-2</v>
      </c>
      <c r="Q4526">
        <v>1.072436339675E-2</v>
      </c>
      <c r="R4526">
        <v>0.92808540434642395</v>
      </c>
      <c r="S4526" t="s">
        <v>10387</v>
      </c>
      <c r="T4526" t="s">
        <v>11720</v>
      </c>
      <c r="U4526" t="s">
        <v>11720</v>
      </c>
      <c r="V4526" t="s">
        <v>11720</v>
      </c>
      <c r="W4526" t="s">
        <v>16191</v>
      </c>
      <c r="X4526">
        <v>2</v>
      </c>
      <c r="Y4526" t="s">
        <v>21899</v>
      </c>
      <c r="Z4526" t="s">
        <v>27733</v>
      </c>
      <c r="AA4526">
        <v>0.48031829881610089</v>
      </c>
      <c r="AB4526" t="str">
        <f>HYPERLINK("Melting_Curves/meltCurve_Q96EC8_YIPF6.pdf", "Melting_Curves/meltCurve_Q96EC8_YIPF6.pdf")</f>
        <v>Melting_Curves/meltCurve_Q96EC8_YIPF6.pdf</v>
      </c>
    </row>
    <row r="4527" spans="1:28" x14ac:dyDescent="0.25">
      <c r="A4527" t="s">
        <v>4531</v>
      </c>
      <c r="B4527">
        <v>0.99334974765950101</v>
      </c>
      <c r="C4527">
        <v>1.00000801890117</v>
      </c>
      <c r="D4527">
        <v>0.999396236260367</v>
      </c>
      <c r="E4527">
        <v>0.997308278596724</v>
      </c>
      <c r="F4527">
        <v>0.91487898344292395</v>
      </c>
      <c r="G4527">
        <v>0.45163435971211502</v>
      </c>
      <c r="H4527">
        <v>0.209777508896414</v>
      </c>
      <c r="I4527">
        <v>0.16891704216987299</v>
      </c>
      <c r="J4527">
        <v>0.14058579151154399</v>
      </c>
      <c r="K4527">
        <v>0.10972828908191801</v>
      </c>
      <c r="L4527">
        <v>1957.1296147922001</v>
      </c>
      <c r="M4527">
        <v>34.844745124107703</v>
      </c>
      <c r="N4527">
        <v>56.6962717661523</v>
      </c>
      <c r="O4527">
        <v>55.983107122131301</v>
      </c>
      <c r="P4527">
        <v>-0.13400528697337299</v>
      </c>
      <c r="Q4527">
        <v>0.13880783379136799</v>
      </c>
      <c r="R4527">
        <v>0.99873088494769902</v>
      </c>
      <c r="S4527" t="s">
        <v>10388</v>
      </c>
      <c r="T4527" t="s">
        <v>11720</v>
      </c>
      <c r="U4527" t="s">
        <v>11720</v>
      </c>
      <c r="V4527" t="s">
        <v>11720</v>
      </c>
      <c r="W4527" t="s">
        <v>16192</v>
      </c>
      <c r="X4527">
        <v>9</v>
      </c>
      <c r="Y4527" t="s">
        <v>21900</v>
      </c>
      <c r="Z4527" t="s">
        <v>27734</v>
      </c>
      <c r="AA4527">
        <v>0.60724881665569241</v>
      </c>
      <c r="AB4527" t="str">
        <f>HYPERLINK("Melting_Curves/meltCurve_Q96EE3_SEH1L.pdf", "Melting_Curves/meltCurve_Q96EE3_SEH1L.pdf")</f>
        <v>Melting_Curves/meltCurve_Q96EE3_SEH1L.pdf</v>
      </c>
    </row>
    <row r="4528" spans="1:28" x14ac:dyDescent="0.25">
      <c r="A4528" t="s">
        <v>4532</v>
      </c>
      <c r="B4528">
        <v>0.99334974765950101</v>
      </c>
      <c r="C4528">
        <v>1.02365407124749</v>
      </c>
      <c r="D4528">
        <v>1.04088735393172</v>
      </c>
      <c r="E4528">
        <v>0.975809410712843</v>
      </c>
      <c r="F4528">
        <v>1.2319992658344201</v>
      </c>
      <c r="G4528">
        <v>0.83007641889046002</v>
      </c>
      <c r="H4528">
        <v>0.38924601811265103</v>
      </c>
      <c r="I4528">
        <v>0.13705704060167601</v>
      </c>
      <c r="J4528">
        <v>0.13009781032707801</v>
      </c>
      <c r="K4528">
        <v>0.109825775217492</v>
      </c>
      <c r="L4528">
        <v>2304.5583865693102</v>
      </c>
      <c r="M4528">
        <v>38.6616032400187</v>
      </c>
      <c r="N4528">
        <v>59.975566774682001</v>
      </c>
      <c r="O4528">
        <v>59.449632618215702</v>
      </c>
      <c r="P4528">
        <v>-0.145450625906097</v>
      </c>
      <c r="Q4528">
        <v>0.10536897479419099</v>
      </c>
      <c r="R4528">
        <v>0.96437302805533798</v>
      </c>
      <c r="S4528" t="s">
        <v>10389</v>
      </c>
      <c r="T4528" t="s">
        <v>11720</v>
      </c>
      <c r="U4528" t="s">
        <v>11720</v>
      </c>
      <c r="V4528" t="s">
        <v>11720</v>
      </c>
      <c r="W4528" t="s">
        <v>16193</v>
      </c>
      <c r="X4528">
        <v>3</v>
      </c>
      <c r="Y4528" t="s">
        <v>21901</v>
      </c>
      <c r="Z4528" t="s">
        <v>27735</v>
      </c>
      <c r="AA4528">
        <v>0.69384543515763852</v>
      </c>
      <c r="AB4528" t="str">
        <f>HYPERLINK("Melting_Curves/meltCurve_Q96EH3_MALSU1.pdf", "Melting_Curves/meltCurve_Q96EH3_MALSU1.pdf")</f>
        <v>Melting_Curves/meltCurve_Q96EH3_MALSU1.pdf</v>
      </c>
    </row>
    <row r="4529" spans="1:28" x14ac:dyDescent="0.25">
      <c r="A4529" t="s">
        <v>4533</v>
      </c>
      <c r="B4529">
        <v>0.99334974765950101</v>
      </c>
      <c r="C4529">
        <v>1.0337429893024199</v>
      </c>
      <c r="D4529">
        <v>0.83610171658802301</v>
      </c>
      <c r="E4529">
        <v>0.80413789485800002</v>
      </c>
      <c r="F4529">
        <v>0.75008237116980103</v>
      </c>
      <c r="G4529">
        <v>0.57284513429488004</v>
      </c>
      <c r="H4529">
        <v>0.59246038293235204</v>
      </c>
      <c r="I4529">
        <v>0.97946608272629498</v>
      </c>
      <c r="J4529">
        <v>0.844557820515353</v>
      </c>
      <c r="K4529">
        <v>0.77034748244695295</v>
      </c>
      <c r="L4529">
        <v>11465.2339337009</v>
      </c>
      <c r="M4529">
        <v>250</v>
      </c>
      <c r="O4529">
        <v>45.858000978661998</v>
      </c>
      <c r="P4529">
        <v>-0.32828490768270002</v>
      </c>
      <c r="Q4529">
        <v>0.75912816660541504</v>
      </c>
      <c r="R4529">
        <v>0.45269504408990302</v>
      </c>
      <c r="S4529" t="s">
        <v>10390</v>
      </c>
      <c r="T4529" t="s">
        <v>11720</v>
      </c>
      <c r="U4529" t="s">
        <v>11720</v>
      </c>
      <c r="V4529" t="s">
        <v>11720</v>
      </c>
      <c r="W4529" t="s">
        <v>16194</v>
      </c>
      <c r="X4529">
        <v>8</v>
      </c>
      <c r="Y4529" t="s">
        <v>21902</v>
      </c>
      <c r="Z4529" t="s">
        <v>27736</v>
      </c>
      <c r="AA4529">
        <v>0.80620536442495494</v>
      </c>
      <c r="AB4529" t="str">
        <f>HYPERLINK("Melting_Curves/meltCurve_Q96EI5_TCEAL4.pdf", "Melting_Curves/meltCurve_Q96EI5_TCEAL4.pdf")</f>
        <v>Melting_Curves/meltCurve_Q96EI5_TCEAL4.pdf</v>
      </c>
    </row>
    <row r="4530" spans="1:28" x14ac:dyDescent="0.25">
      <c r="A4530" t="s">
        <v>4534</v>
      </c>
      <c r="B4530">
        <v>0.99334974765950101</v>
      </c>
      <c r="C4530">
        <v>0.91828119955059195</v>
      </c>
      <c r="D4530">
        <v>0.75657017065621801</v>
      </c>
      <c r="E4530">
        <v>0.19639359164249101</v>
      </c>
      <c r="F4530">
        <v>0.16106490582139801</v>
      </c>
      <c r="G4530">
        <v>0.102296713966347</v>
      </c>
      <c r="H4530">
        <v>9.5903826206864995E-2</v>
      </c>
      <c r="I4530">
        <v>7.8364165766459104E-2</v>
      </c>
      <c r="J4530">
        <v>0.104875993686612</v>
      </c>
      <c r="K4530">
        <v>7.8996831564350195E-2</v>
      </c>
      <c r="L4530">
        <v>1545.2669136452901</v>
      </c>
      <c r="M4530">
        <v>32.699101200743797</v>
      </c>
      <c r="N4530">
        <v>47.564132919690103</v>
      </c>
      <c r="O4530">
        <v>47.081482774530201</v>
      </c>
      <c r="P4530">
        <v>-0.15711456626069101</v>
      </c>
      <c r="Q4530">
        <v>9.5124853370572193E-2</v>
      </c>
      <c r="R4530">
        <v>0.99538323621142399</v>
      </c>
      <c r="S4530" t="s">
        <v>10391</v>
      </c>
      <c r="T4530" t="s">
        <v>11720</v>
      </c>
      <c r="U4530" t="s">
        <v>11720</v>
      </c>
      <c r="V4530" t="s">
        <v>11720</v>
      </c>
      <c r="W4530" t="s">
        <v>16195</v>
      </c>
      <c r="X4530">
        <v>18</v>
      </c>
      <c r="Y4530" t="s">
        <v>21903</v>
      </c>
      <c r="Z4530" t="s">
        <v>27737</v>
      </c>
      <c r="AA4530">
        <v>0.31853951967764671</v>
      </c>
      <c r="AB4530" t="str">
        <f>HYPERLINK("Melting_Curves/meltCurve_Q96EK5_KIAA1279.pdf", "Melting_Curves/meltCurve_Q96EK5_KIAA1279.pdf")</f>
        <v>Melting_Curves/meltCurve_Q96EK5_KIAA1279.pdf</v>
      </c>
    </row>
    <row r="4531" spans="1:28" x14ac:dyDescent="0.25">
      <c r="A4531" t="s">
        <v>4535</v>
      </c>
      <c r="B4531">
        <v>0.99334974765950101</v>
      </c>
      <c r="C4531">
        <v>0.998344509765972</v>
      </c>
      <c r="D4531">
        <v>0.96527109062621697</v>
      </c>
      <c r="E4531">
        <v>0.82823957303932205</v>
      </c>
      <c r="F4531">
        <v>0.76070373487491105</v>
      </c>
      <c r="G4531">
        <v>0.61086194218350798</v>
      </c>
      <c r="H4531">
        <v>0.27531988903383797</v>
      </c>
      <c r="I4531">
        <v>0.15571297208910201</v>
      </c>
      <c r="J4531">
        <v>0.161062918735287</v>
      </c>
      <c r="K4531">
        <v>0.120336825071698</v>
      </c>
      <c r="L4531">
        <v>788.46435396180095</v>
      </c>
      <c r="M4531">
        <v>13.7412404234551</v>
      </c>
      <c r="N4531">
        <v>57.539728263208403</v>
      </c>
      <c r="O4531">
        <v>56.205137028750798</v>
      </c>
      <c r="P4531">
        <v>-5.9981593826743097E-2</v>
      </c>
      <c r="Q4531">
        <v>1.8780365543480702E-2</v>
      </c>
      <c r="R4531">
        <v>0.98743425738719803</v>
      </c>
      <c r="S4531" t="s">
        <v>10392</v>
      </c>
      <c r="T4531" t="s">
        <v>11720</v>
      </c>
      <c r="U4531" t="s">
        <v>11720</v>
      </c>
      <c r="V4531" t="s">
        <v>11720</v>
      </c>
      <c r="W4531" t="s">
        <v>16196</v>
      </c>
      <c r="X4531">
        <v>17</v>
      </c>
      <c r="Y4531" t="s">
        <v>21904</v>
      </c>
      <c r="Z4531" t="s">
        <v>27738</v>
      </c>
      <c r="AA4531">
        <v>0.60231947662853513</v>
      </c>
      <c r="AB4531" t="str">
        <f>HYPERLINK("Melting_Curves/meltCurve_Q96EK6_GNPNAT1.pdf", "Melting_Curves/meltCurve_Q96EK6_GNPNAT1.pdf")</f>
        <v>Melting_Curves/meltCurve_Q96EK6_GNPNAT1.pdf</v>
      </c>
    </row>
    <row r="4532" spans="1:28" x14ac:dyDescent="0.25">
      <c r="A4532" t="s">
        <v>4536</v>
      </c>
      <c r="B4532">
        <v>0.99334974765950101</v>
      </c>
      <c r="C4532">
        <v>0.87140256043370201</v>
      </c>
      <c r="D4532">
        <v>0.78904863141622605</v>
      </c>
      <c r="E4532">
        <v>0.87761618237849404</v>
      </c>
      <c r="F4532">
        <v>0.63111167532769796</v>
      </c>
      <c r="G4532">
        <v>0.29954006298726599</v>
      </c>
      <c r="H4532">
        <v>0.18295081898384799</v>
      </c>
      <c r="I4532">
        <v>0.171924491570601</v>
      </c>
      <c r="J4532">
        <v>0.225636228011384</v>
      </c>
      <c r="K4532">
        <v>0.26717384983909298</v>
      </c>
      <c r="L4532">
        <v>1253.3671469164501</v>
      </c>
      <c r="M4532">
        <v>23.616184907748099</v>
      </c>
      <c r="N4532">
        <v>54.2107180780134</v>
      </c>
      <c r="O4532">
        <v>52.696235201632803</v>
      </c>
      <c r="P4532">
        <v>-9.0138289304861993E-2</v>
      </c>
      <c r="Q4532">
        <v>0.195489320002735</v>
      </c>
      <c r="R4532">
        <v>0.93602637408598299</v>
      </c>
      <c r="S4532" t="s">
        <v>10393</v>
      </c>
      <c r="T4532" t="s">
        <v>11720</v>
      </c>
      <c r="U4532" t="s">
        <v>11720</v>
      </c>
      <c r="V4532" t="s">
        <v>11720</v>
      </c>
      <c r="W4532" t="s">
        <v>16197</v>
      </c>
      <c r="X4532">
        <v>3</v>
      </c>
      <c r="Y4532" t="s">
        <v>21905</v>
      </c>
      <c r="Z4532" t="s">
        <v>27739</v>
      </c>
      <c r="AA4532">
        <v>0.55428867285388128</v>
      </c>
      <c r="AB4532" t="str">
        <f>HYPERLINK("Melting_Curves/meltCurve_Q96EL3_MRPL53.pdf", "Melting_Curves/meltCurve_Q96EL3_MRPL53.pdf")</f>
        <v>Melting_Curves/meltCurve_Q96EL3_MRPL53.pdf</v>
      </c>
    </row>
    <row r="4533" spans="1:28" x14ac:dyDescent="0.25">
      <c r="A4533" t="s">
        <v>4537</v>
      </c>
      <c r="B4533">
        <v>0.99334974765950101</v>
      </c>
      <c r="C4533">
        <v>0.93734476534269096</v>
      </c>
      <c r="D4533">
        <v>1.0002284294116199</v>
      </c>
      <c r="E4533">
        <v>0.87544086000819299</v>
      </c>
      <c r="F4533">
        <v>0.60815787298739399</v>
      </c>
      <c r="G4533">
        <v>0.40725743600901299</v>
      </c>
      <c r="H4533">
        <v>0.16495209045648401</v>
      </c>
      <c r="I4533">
        <v>9.88225011718048E-2</v>
      </c>
      <c r="J4533">
        <v>8.4025645407500599E-2</v>
      </c>
      <c r="K4533">
        <v>7.7485104668540999E-2</v>
      </c>
      <c r="L4533">
        <v>957.69443534380696</v>
      </c>
      <c r="M4533">
        <v>17.491920064430001</v>
      </c>
      <c r="N4533">
        <v>55.047353745465202</v>
      </c>
      <c r="O4533">
        <v>54.050117428215003</v>
      </c>
      <c r="P4533">
        <v>-7.7270910700890705E-2</v>
      </c>
      <c r="Q4533">
        <v>4.4982788154366397E-2</v>
      </c>
      <c r="R4533">
        <v>0.99326051700914897</v>
      </c>
      <c r="S4533" t="s">
        <v>10394</v>
      </c>
      <c r="T4533" t="s">
        <v>11720</v>
      </c>
      <c r="U4533" t="s">
        <v>11720</v>
      </c>
      <c r="V4533" t="s">
        <v>11720</v>
      </c>
      <c r="W4533" t="s">
        <v>16198</v>
      </c>
      <c r="X4533">
        <v>13</v>
      </c>
      <c r="Y4533" t="s">
        <v>21906</v>
      </c>
      <c r="Z4533" t="s">
        <v>27740</v>
      </c>
      <c r="AA4533">
        <v>0.53006555275381417</v>
      </c>
      <c r="AB4533" t="str">
        <f>HYPERLINK("Melting_Curves/meltCurve_Q96EM0_L3HYPDH.pdf", "Melting_Curves/meltCurve_Q96EM0_L3HYPDH.pdf")</f>
        <v>Melting_Curves/meltCurve_Q96EM0_L3HYPDH.pdf</v>
      </c>
    </row>
    <row r="4534" spans="1:28" x14ac:dyDescent="0.25">
      <c r="A4534" t="s">
        <v>4538</v>
      </c>
      <c r="B4534">
        <v>0.99334974765950101</v>
      </c>
      <c r="C4534">
        <v>1.0930943539403799</v>
      </c>
      <c r="D4534">
        <v>0.97052605322910501</v>
      </c>
      <c r="E4534">
        <v>0.93940889593881105</v>
      </c>
      <c r="F4534">
        <v>0.81065643646100705</v>
      </c>
      <c r="G4534">
        <v>0.51216063509704102</v>
      </c>
      <c r="H4534">
        <v>0.43569519424908498</v>
      </c>
      <c r="I4534">
        <v>0.26151872810943899</v>
      </c>
      <c r="J4534">
        <v>0.21136974932632799</v>
      </c>
      <c r="K4534">
        <v>0.15775360365621799</v>
      </c>
      <c r="L4534">
        <v>876.85414981780502</v>
      </c>
      <c r="M4534">
        <v>15.3251264382779</v>
      </c>
      <c r="N4534">
        <v>58.317245984187203</v>
      </c>
      <c r="O4534">
        <v>56.269066608080202</v>
      </c>
      <c r="P4534">
        <v>-5.9544464485126597E-2</v>
      </c>
      <c r="Q4534">
        <v>0.1255666854918</v>
      </c>
      <c r="R4534">
        <v>0.983544408888264</v>
      </c>
      <c r="S4534" t="s">
        <v>10395</v>
      </c>
      <c r="T4534" t="s">
        <v>11720</v>
      </c>
      <c r="U4534" t="s">
        <v>11720</v>
      </c>
      <c r="V4534" t="s">
        <v>11720</v>
      </c>
      <c r="W4534" t="s">
        <v>16199</v>
      </c>
      <c r="X4534">
        <v>5</v>
      </c>
      <c r="Y4534" t="s">
        <v>21907</v>
      </c>
      <c r="Z4534" t="s">
        <v>27741</v>
      </c>
      <c r="AA4534">
        <v>0.64066489303241736</v>
      </c>
      <c r="AB4534" t="str">
        <f>HYPERLINK("Melting_Curves/meltCurve_Q96EP5_2_DAZAP1.pdf", "Melting_Curves/meltCurve_Q96EP5_2_DAZAP1.pdf")</f>
        <v>Melting_Curves/meltCurve_Q96EP5_2_DAZAP1.pdf</v>
      </c>
    </row>
    <row r="4535" spans="1:28" x14ac:dyDescent="0.25">
      <c r="A4535" t="s">
        <v>4539</v>
      </c>
      <c r="B4535">
        <v>0.99334974765950101</v>
      </c>
      <c r="C4535">
        <v>0.73832928828168598</v>
      </c>
      <c r="D4535">
        <v>0.84069092069246298</v>
      </c>
      <c r="E4535">
        <v>0.73818047097887596</v>
      </c>
      <c r="F4535">
        <v>0.51653862500537595</v>
      </c>
      <c r="G4535">
        <v>0.24597436747019699</v>
      </c>
      <c r="H4535">
        <v>0.17731130433015199</v>
      </c>
      <c r="I4535">
        <v>0.195938657853957</v>
      </c>
      <c r="J4535">
        <v>0.16867479161005799</v>
      </c>
      <c r="K4535">
        <v>0.13960835470199001</v>
      </c>
      <c r="L4535">
        <v>549.67875359127697</v>
      </c>
      <c r="M4535">
        <v>10.523651423776</v>
      </c>
      <c r="N4535">
        <v>52.842968157802297</v>
      </c>
      <c r="O4535">
        <v>50.452391731010103</v>
      </c>
      <c r="P4535">
        <v>-4.9182394754803599E-2</v>
      </c>
      <c r="Q4535">
        <v>5.7218231399071597E-2</v>
      </c>
      <c r="R4535">
        <v>0.94367924941241399</v>
      </c>
      <c r="S4535" t="s">
        <v>10396</v>
      </c>
      <c r="T4535" t="s">
        <v>11720</v>
      </c>
      <c r="U4535" t="s">
        <v>11720</v>
      </c>
      <c r="V4535" t="s">
        <v>11720</v>
      </c>
      <c r="W4535" t="s">
        <v>16200</v>
      </c>
      <c r="X4535">
        <v>8</v>
      </c>
      <c r="Y4535" t="s">
        <v>21908</v>
      </c>
      <c r="Z4535" t="s">
        <v>27742</v>
      </c>
      <c r="AA4535">
        <v>0.47476778200293102</v>
      </c>
      <c r="AB4535" t="str">
        <f>HYPERLINK("Melting_Curves/meltCurve_Q96EQ0_SGTB.pdf", "Melting_Curves/meltCurve_Q96EQ0_SGTB.pdf")</f>
        <v>Melting_Curves/meltCurve_Q96EQ0_SGTB.pdf</v>
      </c>
    </row>
    <row r="4536" spans="1:28" x14ac:dyDescent="0.25">
      <c r="A4536" t="s">
        <v>4540</v>
      </c>
      <c r="B4536">
        <v>0.99334974765950101</v>
      </c>
      <c r="C4536">
        <v>0.911871090464765</v>
      </c>
      <c r="D4536">
        <v>0.91539290484965397</v>
      </c>
      <c r="E4536">
        <v>0.592830235826313</v>
      </c>
      <c r="F4536">
        <v>0.148973741059654</v>
      </c>
      <c r="G4536">
        <v>0.13470660888417099</v>
      </c>
      <c r="H4536">
        <v>5.5966336770819303E-2</v>
      </c>
      <c r="I4536">
        <v>3.1863281059867903E-2</v>
      </c>
      <c r="J4536">
        <v>0</v>
      </c>
      <c r="K4536">
        <v>5.1224945102795502E-2</v>
      </c>
      <c r="L4536">
        <v>1571.2422213825</v>
      </c>
      <c r="M4536">
        <v>31.255988148781501</v>
      </c>
      <c r="N4536">
        <v>50.4125219626833</v>
      </c>
      <c r="O4536">
        <v>50.065660458301203</v>
      </c>
      <c r="P4536">
        <v>-0.14948129863462301</v>
      </c>
      <c r="Q4536">
        <v>4.22517346427475E-2</v>
      </c>
      <c r="R4536">
        <v>0.98804190169504102</v>
      </c>
      <c r="S4536" t="s">
        <v>10397</v>
      </c>
      <c r="T4536" t="s">
        <v>11720</v>
      </c>
      <c r="U4536" t="s">
        <v>11720</v>
      </c>
      <c r="V4536" t="s">
        <v>11720</v>
      </c>
      <c r="W4536" t="s">
        <v>16201</v>
      </c>
      <c r="X4536">
        <v>2</v>
      </c>
      <c r="Y4536" t="s">
        <v>21909</v>
      </c>
      <c r="Z4536" t="s">
        <v>27743</v>
      </c>
      <c r="AA4536">
        <v>0.37560188827760221</v>
      </c>
      <c r="AB4536" t="str">
        <f>HYPERLINK("Melting_Curves/meltCurve_Q96ER3_SAAL1.pdf", "Melting_Curves/meltCurve_Q96ER3_SAAL1.pdf")</f>
        <v>Melting_Curves/meltCurve_Q96ER3_SAAL1.pdf</v>
      </c>
    </row>
    <row r="4537" spans="1:28" x14ac:dyDescent="0.25">
      <c r="A4537" t="s">
        <v>4541</v>
      </c>
      <c r="B4537">
        <v>0.99334974765950101</v>
      </c>
      <c r="C4537">
        <v>0.89225671915354399</v>
      </c>
      <c r="D4537">
        <v>0.98435501855178298</v>
      </c>
      <c r="E4537">
        <v>1.1074520575749001</v>
      </c>
      <c r="F4537">
        <v>1.15435905251954</v>
      </c>
      <c r="G4537">
        <v>0.27527636036131597</v>
      </c>
      <c r="H4537">
        <v>0.192028145195976</v>
      </c>
      <c r="I4537">
        <v>0.12698983751010601</v>
      </c>
      <c r="J4537">
        <v>0.11138070232465901</v>
      </c>
      <c r="K4537">
        <v>0.12085813358513001</v>
      </c>
      <c r="L4537">
        <v>14155.240852041001</v>
      </c>
      <c r="M4537">
        <v>250</v>
      </c>
      <c r="N4537">
        <v>56.694087568388703</v>
      </c>
      <c r="O4537">
        <v>56.617315132230097</v>
      </c>
      <c r="P4537">
        <v>-0.95176871375433303</v>
      </c>
      <c r="Q4537">
        <v>0.137814191871801</v>
      </c>
      <c r="R4537">
        <v>0.97322527472125797</v>
      </c>
      <c r="S4537" t="s">
        <v>10398</v>
      </c>
      <c r="T4537" t="s">
        <v>11720</v>
      </c>
      <c r="U4537" t="s">
        <v>11720</v>
      </c>
      <c r="V4537" t="s">
        <v>11720</v>
      </c>
      <c r="W4537" t="s">
        <v>16202</v>
      </c>
      <c r="X4537">
        <v>9</v>
      </c>
      <c r="Y4537" t="s">
        <v>21910</v>
      </c>
      <c r="Z4537" t="s">
        <v>27744</v>
      </c>
      <c r="AA4537">
        <v>0.61557849193329939</v>
      </c>
      <c r="AB4537" t="str">
        <f>HYPERLINK("Melting_Curves/meltCurve_Q96ER9_CCDC51.pdf", "Melting_Curves/meltCurve_Q96ER9_CCDC51.pdf")</f>
        <v>Melting_Curves/meltCurve_Q96ER9_CCDC51.pdf</v>
      </c>
    </row>
    <row r="4538" spans="1:28" x14ac:dyDescent="0.25">
      <c r="A4538" t="s">
        <v>4542</v>
      </c>
      <c r="B4538">
        <v>0.99334974765950101</v>
      </c>
      <c r="C4538">
        <v>0.91661946710328701</v>
      </c>
      <c r="D4538">
        <v>0.76566012942996098</v>
      </c>
      <c r="E4538">
        <v>0.93316209270609496</v>
      </c>
      <c r="F4538">
        <v>0.34505639521376202</v>
      </c>
      <c r="G4538">
        <v>0.123159090151206</v>
      </c>
      <c r="H4538">
        <v>7.73016566062599E-2</v>
      </c>
      <c r="I4538">
        <v>5.12333362424034E-2</v>
      </c>
      <c r="J4538">
        <v>4.4832963020320402E-2</v>
      </c>
      <c r="K4538">
        <v>4.4638725023607301E-2</v>
      </c>
      <c r="L4538">
        <v>2820.0907346751101</v>
      </c>
      <c r="M4538">
        <v>54.0283814636255</v>
      </c>
      <c r="N4538">
        <v>52.332271204388498</v>
      </c>
      <c r="O4538">
        <v>52.125106803472598</v>
      </c>
      <c r="P4538">
        <v>-0.24217910490925201</v>
      </c>
      <c r="Q4538">
        <v>6.5409436201607302E-2</v>
      </c>
      <c r="R4538">
        <v>0.95882521188121805</v>
      </c>
      <c r="S4538" t="s">
        <v>10399</v>
      </c>
      <c r="T4538" t="s">
        <v>11720</v>
      </c>
      <c r="U4538" t="s">
        <v>11720</v>
      </c>
      <c r="V4538" t="s">
        <v>11720</v>
      </c>
      <c r="W4538" t="s">
        <v>16203</v>
      </c>
      <c r="X4538">
        <v>2</v>
      </c>
      <c r="Y4538" t="s">
        <v>21911</v>
      </c>
      <c r="Z4538" t="s">
        <v>27745</v>
      </c>
      <c r="AA4538">
        <v>0.44720760577360202</v>
      </c>
      <c r="AB4538" t="str">
        <f>HYPERLINK("Melting_Curves/meltCurve_Q96EU7_C1GALT1C1.pdf", "Melting_Curves/meltCurve_Q96EU7_C1GALT1C1.pdf")</f>
        <v>Melting_Curves/meltCurve_Q96EU7_C1GALT1C1.pdf</v>
      </c>
    </row>
    <row r="4539" spans="1:28" x14ac:dyDescent="0.25">
      <c r="A4539" t="s">
        <v>4543</v>
      </c>
      <c r="B4539">
        <v>0.99334974765950101</v>
      </c>
      <c r="C4539">
        <v>0.94160882555106795</v>
      </c>
      <c r="D4539">
        <v>0.82500782998394095</v>
      </c>
      <c r="E4539">
        <v>0.62367193610248095</v>
      </c>
      <c r="F4539">
        <v>0.59331944403428305</v>
      </c>
      <c r="G4539">
        <v>0.53504474409880698</v>
      </c>
      <c r="H4539">
        <v>0.38915204409475801</v>
      </c>
      <c r="I4539">
        <v>0.388979825061323</v>
      </c>
      <c r="J4539">
        <v>0.36534264295944702</v>
      </c>
      <c r="K4539">
        <v>0.33941181320927299</v>
      </c>
      <c r="L4539">
        <v>546.86736131077805</v>
      </c>
      <c r="M4539">
        <v>10.8093566884046</v>
      </c>
      <c r="N4539">
        <v>55.9044674077306</v>
      </c>
      <c r="O4539">
        <v>48.952809226999499</v>
      </c>
      <c r="P4539">
        <v>-3.7496740365659802E-2</v>
      </c>
      <c r="Q4539">
        <v>0.320992485535608</v>
      </c>
      <c r="R4539">
        <v>0.98229796311980799</v>
      </c>
      <c r="S4539" t="s">
        <v>10400</v>
      </c>
      <c r="T4539" t="s">
        <v>11720</v>
      </c>
      <c r="U4539" t="s">
        <v>11720</v>
      </c>
      <c r="V4539" t="s">
        <v>11720</v>
      </c>
      <c r="W4539" t="s">
        <v>16204</v>
      </c>
      <c r="X4539">
        <v>5</v>
      </c>
      <c r="Y4539" t="s">
        <v>21912</v>
      </c>
      <c r="Z4539" t="s">
        <v>27746</v>
      </c>
      <c r="AA4539">
        <v>0.58708466322785569</v>
      </c>
      <c r="AB4539" t="str">
        <f>HYPERLINK("Melting_Curves/meltCurve_Q96EV2_RBM33.pdf", "Melting_Curves/meltCurve_Q96EV2_RBM33.pdf")</f>
        <v>Melting_Curves/meltCurve_Q96EV2_RBM33.pdf</v>
      </c>
    </row>
    <row r="4540" spans="1:28" x14ac:dyDescent="0.25">
      <c r="A4540" t="s">
        <v>4544</v>
      </c>
      <c r="B4540">
        <v>0.99334974765950101</v>
      </c>
      <c r="C4540">
        <v>0.97854585995217902</v>
      </c>
      <c r="D4540">
        <v>1.00759906049975</v>
      </c>
      <c r="E4540">
        <v>0.95325584142553899</v>
      </c>
      <c r="F4540">
        <v>0.89962953998699802</v>
      </c>
      <c r="G4540">
        <v>0.61195814759148304</v>
      </c>
      <c r="H4540">
        <v>0.30968099699076002</v>
      </c>
      <c r="I4540">
        <v>0.211829506230582</v>
      </c>
      <c r="J4540">
        <v>0.220143602411843</v>
      </c>
      <c r="K4540">
        <v>0.18241469456891199</v>
      </c>
      <c r="L4540">
        <v>1452.30603657353</v>
      </c>
      <c r="M4540">
        <v>25.411852197974898</v>
      </c>
      <c r="N4540">
        <v>58.161517908662901</v>
      </c>
      <c r="O4540">
        <v>56.800342202930999</v>
      </c>
      <c r="P4540">
        <v>-9.1883352690783293E-2</v>
      </c>
      <c r="Q4540">
        <v>0.17850299778189899</v>
      </c>
      <c r="R4540">
        <v>0.99820488697813303</v>
      </c>
      <c r="S4540" t="s">
        <v>10401</v>
      </c>
      <c r="T4540" t="s">
        <v>11720</v>
      </c>
      <c r="U4540" t="s">
        <v>11720</v>
      </c>
      <c r="V4540" t="s">
        <v>11720</v>
      </c>
      <c r="W4540" t="s">
        <v>16205</v>
      </c>
      <c r="X4540">
        <v>9</v>
      </c>
      <c r="Y4540" t="s">
        <v>21913</v>
      </c>
      <c r="Z4540" t="s">
        <v>27747</v>
      </c>
      <c r="AA4540">
        <v>0.65533314230750406</v>
      </c>
      <c r="AB4540" t="str">
        <f>HYPERLINK("Melting_Curves/meltCurve_Q96EV8_DTNBP1.pdf", "Melting_Curves/meltCurve_Q96EV8_DTNBP1.pdf")</f>
        <v>Melting_Curves/meltCurve_Q96EV8_DTNBP1.pdf</v>
      </c>
    </row>
    <row r="4541" spans="1:28" x14ac:dyDescent="0.25">
      <c r="A4541" t="s">
        <v>4545</v>
      </c>
      <c r="B4541">
        <v>0.99334974765950101</v>
      </c>
      <c r="C4541">
        <v>0.99533005415948606</v>
      </c>
      <c r="D4541">
        <v>0.85460820560457695</v>
      </c>
      <c r="E4541">
        <v>0.77857592186890501</v>
      </c>
      <c r="F4541">
        <v>1.0925130409838399</v>
      </c>
      <c r="G4541">
        <v>0.62813513521953201</v>
      </c>
      <c r="H4541">
        <v>0.65683581402765001</v>
      </c>
      <c r="I4541">
        <v>0.55941964879070405</v>
      </c>
      <c r="J4541">
        <v>0.87262030991237105</v>
      </c>
      <c r="K4541">
        <v>0.64790867024919696</v>
      </c>
      <c r="L4541">
        <v>552.48627664302398</v>
      </c>
      <c r="M4541">
        <v>10.4626619694639</v>
      </c>
      <c r="O4541">
        <v>50.985812896717597</v>
      </c>
      <c r="P4541">
        <v>-1.82809109904239E-2</v>
      </c>
      <c r="Q4541">
        <v>0.64380536049403103</v>
      </c>
      <c r="R4541">
        <v>0.44349053631993601</v>
      </c>
      <c r="S4541" t="s">
        <v>10402</v>
      </c>
      <c r="T4541" t="s">
        <v>11720</v>
      </c>
      <c r="U4541" t="s">
        <v>11720</v>
      </c>
      <c r="V4541" t="s">
        <v>11720</v>
      </c>
      <c r="W4541" t="s">
        <v>16206</v>
      </c>
      <c r="X4541">
        <v>3</v>
      </c>
      <c r="Y4541" t="s">
        <v>21914</v>
      </c>
      <c r="Z4541" t="s">
        <v>27748</v>
      </c>
      <c r="AA4541">
        <v>0.80776712888750524</v>
      </c>
      <c r="AB4541" t="str">
        <f>HYPERLINK("Melting_Curves/meltCurve_Q96EX1_SMIM12.pdf", "Melting_Curves/meltCurve_Q96EX1_SMIM12.pdf")</f>
        <v>Melting_Curves/meltCurve_Q96EX1_SMIM12.pdf</v>
      </c>
    </row>
    <row r="4542" spans="1:28" x14ac:dyDescent="0.25">
      <c r="A4542" t="s">
        <v>4546</v>
      </c>
      <c r="B4542">
        <v>0.99334974765950101</v>
      </c>
      <c r="C4542">
        <v>0.985807327058425</v>
      </c>
      <c r="D4542">
        <v>0.95985534773060099</v>
      </c>
      <c r="E4542">
        <v>0.45795582764195297</v>
      </c>
      <c r="F4542">
        <v>0.23742079629354401</v>
      </c>
      <c r="G4542">
        <v>0.12782887160871401</v>
      </c>
      <c r="H4542">
        <v>9.4384823401318499E-2</v>
      </c>
      <c r="I4542">
        <v>8.2375101223843603E-2</v>
      </c>
      <c r="J4542">
        <v>7.1984829715983106E-2</v>
      </c>
      <c r="K4542">
        <v>6.8048584173906704E-2</v>
      </c>
      <c r="L4542">
        <v>1489.5097271166901</v>
      </c>
      <c r="M4542">
        <v>30.036962456328101</v>
      </c>
      <c r="N4542">
        <v>49.909363229420798</v>
      </c>
      <c r="O4542">
        <v>49.3709828879553</v>
      </c>
      <c r="P4542">
        <v>-0.13877282241262701</v>
      </c>
      <c r="Q4542">
        <v>8.7616639425083603E-2</v>
      </c>
      <c r="R4542">
        <v>0.99677307312200203</v>
      </c>
      <c r="S4542" t="s">
        <v>10403</v>
      </c>
      <c r="T4542" t="s">
        <v>11720</v>
      </c>
      <c r="U4542" t="s">
        <v>11720</v>
      </c>
      <c r="V4542" t="s">
        <v>11720</v>
      </c>
      <c r="W4542" t="s">
        <v>16207</v>
      </c>
      <c r="X4542">
        <v>7</v>
      </c>
      <c r="Y4542" t="s">
        <v>21915</v>
      </c>
      <c r="Z4542" t="s">
        <v>27749</v>
      </c>
      <c r="AA4542">
        <v>0.38484401551473479</v>
      </c>
      <c r="AB4542" t="str">
        <f>HYPERLINK("Melting_Curves/meltCurve_Q96EY5_MVB12A.pdf", "Melting_Curves/meltCurve_Q96EY5_MVB12A.pdf")</f>
        <v>Melting_Curves/meltCurve_Q96EY5_MVB12A.pdf</v>
      </c>
    </row>
    <row r="4543" spans="1:28" x14ac:dyDescent="0.25">
      <c r="A4543" t="s">
        <v>4547</v>
      </c>
      <c r="B4543">
        <v>0.99334974765950101</v>
      </c>
      <c r="C4543">
        <v>0.95229737784018498</v>
      </c>
      <c r="D4543">
        <v>0.88119035268805501</v>
      </c>
      <c r="E4543">
        <v>0.75328898550415102</v>
      </c>
      <c r="F4543">
        <v>0.66328402669383102</v>
      </c>
      <c r="G4543">
        <v>0.49323897206586398</v>
      </c>
      <c r="H4543">
        <v>0.40594066873675899</v>
      </c>
      <c r="I4543">
        <v>0.39962983932866902</v>
      </c>
      <c r="J4543">
        <v>0.36330984239606701</v>
      </c>
      <c r="K4543">
        <v>0.26896116675206</v>
      </c>
      <c r="L4543">
        <v>549.88912281897206</v>
      </c>
      <c r="M4543">
        <v>10.2352602403076</v>
      </c>
      <c r="N4543">
        <v>57.507965041761999</v>
      </c>
      <c r="O4543">
        <v>51.795298766164599</v>
      </c>
      <c r="P4543">
        <v>-3.7316101408628101E-2</v>
      </c>
      <c r="Q4543">
        <v>0.244986871947597</v>
      </c>
      <c r="R4543">
        <v>0.99265495805700699</v>
      </c>
      <c r="S4543" t="s">
        <v>10404</v>
      </c>
      <c r="T4543" t="s">
        <v>11720</v>
      </c>
      <c r="U4543" t="s">
        <v>11720</v>
      </c>
      <c r="V4543" t="s">
        <v>11720</v>
      </c>
      <c r="W4543" t="s">
        <v>16208</v>
      </c>
      <c r="X4543">
        <v>7</v>
      </c>
      <c r="Y4543" t="s">
        <v>21916</v>
      </c>
      <c r="Z4543" t="s">
        <v>27750</v>
      </c>
      <c r="AA4543">
        <v>0.61365380737690189</v>
      </c>
      <c r="AB4543" t="str">
        <f>HYPERLINK("Melting_Curves/meltCurve_Q96EY8_MMAB.pdf", "Melting_Curves/meltCurve_Q96EY8_MMAB.pdf")</f>
        <v>Melting_Curves/meltCurve_Q96EY8_MMAB.pdf</v>
      </c>
    </row>
    <row r="4544" spans="1:28" x14ac:dyDescent="0.25">
      <c r="A4544" t="s">
        <v>4548</v>
      </c>
      <c r="B4544">
        <v>0.99334974765950101</v>
      </c>
      <c r="C4544">
        <v>1.0946695209342301</v>
      </c>
      <c r="D4544">
        <v>1.06869848962165</v>
      </c>
      <c r="E4544">
        <v>0.92668199708116605</v>
      </c>
      <c r="F4544">
        <v>0.63415236038016698</v>
      </c>
      <c r="G4544">
        <v>0.61421455111396095</v>
      </c>
      <c r="H4544">
        <v>0.41742155544404003</v>
      </c>
      <c r="I4544">
        <v>0.36216198490312101</v>
      </c>
      <c r="J4544">
        <v>0.27620193687036199</v>
      </c>
      <c r="K4544">
        <v>0.25027437224325799</v>
      </c>
      <c r="L4544">
        <v>819.82631615316996</v>
      </c>
      <c r="M4544">
        <v>14.6827215089211</v>
      </c>
      <c r="N4544">
        <v>58.336109147551099</v>
      </c>
      <c r="O4544">
        <v>54.831045753167501</v>
      </c>
      <c r="P4544">
        <v>-5.1319351194315098E-2</v>
      </c>
      <c r="Q4544">
        <v>0.23349759025911801</v>
      </c>
      <c r="R4544">
        <v>0.95693571950314205</v>
      </c>
      <c r="S4544" t="s">
        <v>10405</v>
      </c>
      <c r="T4544" t="s">
        <v>11720</v>
      </c>
      <c r="U4544" t="s">
        <v>11720</v>
      </c>
      <c r="V4544" t="s">
        <v>11720</v>
      </c>
      <c r="W4544" t="s">
        <v>16209</v>
      </c>
      <c r="X4544">
        <v>1</v>
      </c>
      <c r="Y4544" t="s">
        <v>21917</v>
      </c>
      <c r="Z4544" t="s">
        <v>27751</v>
      </c>
      <c r="AA4544">
        <v>0.6521814794670554</v>
      </c>
      <c r="AB4544" t="str">
        <f>HYPERLINK("Melting_Curves/meltCurve_Q96EY9_ADAT3.pdf", "Melting_Curves/meltCurve_Q96EY9_ADAT3.pdf")</f>
        <v>Melting_Curves/meltCurve_Q96EY9_ADAT3.pdf</v>
      </c>
    </row>
    <row r="4545" spans="1:28" x14ac:dyDescent="0.25">
      <c r="A4545" t="s">
        <v>4549</v>
      </c>
      <c r="B4545">
        <v>0.99334974765950101</v>
      </c>
      <c r="C4545">
        <v>0.99010435884252601</v>
      </c>
      <c r="D4545">
        <v>0.88549864889517305</v>
      </c>
      <c r="E4545">
        <v>0.70447662531355604</v>
      </c>
      <c r="F4545">
        <v>0.45765986289627802</v>
      </c>
      <c r="G4545">
        <v>0.23555579338466201</v>
      </c>
      <c r="H4545">
        <v>0.158406700265802</v>
      </c>
      <c r="I4545">
        <v>0.11486706550227201</v>
      </c>
      <c r="J4545">
        <v>0.161870265178125</v>
      </c>
      <c r="K4545">
        <v>0.165586706532654</v>
      </c>
      <c r="L4545">
        <v>997.29399586595503</v>
      </c>
      <c r="M4545">
        <v>19.3594004688075</v>
      </c>
      <c r="N4545">
        <v>52.334197692834799</v>
      </c>
      <c r="O4545">
        <v>50.974494292763502</v>
      </c>
      <c r="P4545">
        <v>-8.2535028307200803E-2</v>
      </c>
      <c r="Q4545">
        <v>0.13075290402133899</v>
      </c>
      <c r="R4545">
        <v>0.99627146814034295</v>
      </c>
      <c r="S4545" t="s">
        <v>10406</v>
      </c>
      <c r="T4545" t="s">
        <v>11720</v>
      </c>
      <c r="U4545" t="s">
        <v>11720</v>
      </c>
      <c r="V4545" t="s">
        <v>11720</v>
      </c>
      <c r="W4545" t="s">
        <v>16210</v>
      </c>
      <c r="X4545">
        <v>7</v>
      </c>
      <c r="Y4545" t="s">
        <v>21918</v>
      </c>
      <c r="Z4545" t="s">
        <v>27752</v>
      </c>
      <c r="AA4545">
        <v>0.47717617241804872</v>
      </c>
      <c r="AB4545" t="str">
        <f>HYPERLINK("Melting_Curves/meltCurve_Q96F10_SAT2.pdf", "Melting_Curves/meltCurve_Q96F10_SAT2.pdf")</f>
        <v>Melting_Curves/meltCurve_Q96F10_SAT2.pdf</v>
      </c>
    </row>
    <row r="4546" spans="1:28" x14ac:dyDescent="0.25">
      <c r="A4546" t="s">
        <v>4550</v>
      </c>
      <c r="B4546">
        <v>0.99334974765950101</v>
      </c>
      <c r="C4546">
        <v>1.1405216407181999</v>
      </c>
      <c r="D4546">
        <v>1.01683427168012</v>
      </c>
      <c r="E4546">
        <v>0.97436529073029299</v>
      </c>
      <c r="F4546">
        <v>0.73442371516213401</v>
      </c>
      <c r="G4546">
        <v>0.44597106615409798</v>
      </c>
      <c r="H4546">
        <v>0.26651725477107702</v>
      </c>
      <c r="I4546">
        <v>0.239823417269352</v>
      </c>
      <c r="J4546">
        <v>0.32714636028736999</v>
      </c>
      <c r="K4546">
        <v>0.27702670959258102</v>
      </c>
      <c r="L4546">
        <v>1601.74525383113</v>
      </c>
      <c r="M4546">
        <v>29.517451759308301</v>
      </c>
      <c r="N4546">
        <v>55.756820507780503</v>
      </c>
      <c r="O4546">
        <v>54.017094643212303</v>
      </c>
      <c r="P4546">
        <v>-9.9303394868036104E-2</v>
      </c>
      <c r="Q4546">
        <v>0.27310184038598401</v>
      </c>
      <c r="R4546">
        <v>0.97661592660770502</v>
      </c>
      <c r="S4546" t="s">
        <v>10407</v>
      </c>
      <c r="T4546" t="s">
        <v>11720</v>
      </c>
      <c r="U4546" t="s">
        <v>11720</v>
      </c>
      <c r="V4546" t="s">
        <v>11720</v>
      </c>
      <c r="W4546" t="s">
        <v>16211</v>
      </c>
      <c r="X4546">
        <v>6</v>
      </c>
      <c r="Y4546" t="s">
        <v>21919</v>
      </c>
      <c r="Z4546" t="s">
        <v>27753</v>
      </c>
      <c r="AA4546">
        <v>0.62366597881228325</v>
      </c>
      <c r="AB4546" t="str">
        <f>HYPERLINK("Melting_Curves/meltCurve_Q96F24_2_NRBF2.pdf", "Melting_Curves/meltCurve_Q96F24_2_NRBF2.pdf")</f>
        <v>Melting_Curves/meltCurve_Q96F24_2_NRBF2.pdf</v>
      </c>
    </row>
    <row r="4547" spans="1:28" x14ac:dyDescent="0.25">
      <c r="A4547" t="s">
        <v>4551</v>
      </c>
      <c r="B4547">
        <v>0.99334974765950101</v>
      </c>
      <c r="C4547">
        <v>1.1000722233865301</v>
      </c>
      <c r="D4547">
        <v>0.84649842271190201</v>
      </c>
      <c r="E4547">
        <v>0.89450901096931301</v>
      </c>
      <c r="F4547">
        <v>0.45773524984951403</v>
      </c>
      <c r="G4547">
        <v>0.248784673679977</v>
      </c>
      <c r="H4547">
        <v>0.13865912858597301</v>
      </c>
      <c r="I4547">
        <v>0.11572952980245001</v>
      </c>
      <c r="J4547">
        <v>0.18540848976288199</v>
      </c>
      <c r="K4547">
        <v>0.189745704859171</v>
      </c>
      <c r="L4547">
        <v>1871.07369729638</v>
      </c>
      <c r="M4547">
        <v>35.801196361068698</v>
      </c>
      <c r="N4547">
        <v>52.849457606921099</v>
      </c>
      <c r="O4547">
        <v>52.100630888190103</v>
      </c>
      <c r="P4547">
        <v>-0.14362389821878899</v>
      </c>
      <c r="Q4547">
        <v>0.16395301764355999</v>
      </c>
      <c r="R4547">
        <v>0.97189414625087001</v>
      </c>
      <c r="S4547" t="s">
        <v>10408</v>
      </c>
      <c r="T4547" t="s">
        <v>11720</v>
      </c>
      <c r="U4547" t="s">
        <v>11720</v>
      </c>
      <c r="V4547" t="s">
        <v>11720</v>
      </c>
      <c r="W4547" t="s">
        <v>16212</v>
      </c>
      <c r="X4547">
        <v>1</v>
      </c>
      <c r="Y4547" t="s">
        <v>21920</v>
      </c>
      <c r="Z4547" t="s">
        <v>27754</v>
      </c>
      <c r="AA4547">
        <v>0.50946889440159937</v>
      </c>
      <c r="AB4547" t="str">
        <f>HYPERLINK("Melting_Curves/meltCurve_Q96F25_ALG14.pdf", "Melting_Curves/meltCurve_Q96F25_ALG14.pdf")</f>
        <v>Melting_Curves/meltCurve_Q96F25_ALG14.pdf</v>
      </c>
    </row>
    <row r="4548" spans="1:28" x14ac:dyDescent="0.25">
      <c r="A4548" t="s">
        <v>4552</v>
      </c>
      <c r="B4548">
        <v>0.99334974765950101</v>
      </c>
      <c r="C4548">
        <v>0.92372000136667098</v>
      </c>
      <c r="D4548">
        <v>0.95023743115986103</v>
      </c>
      <c r="E4548">
        <v>0.700068572163424</v>
      </c>
      <c r="F4548">
        <v>0.56643334772104703</v>
      </c>
      <c r="G4548">
        <v>0.37857113172346202</v>
      </c>
      <c r="H4548">
        <v>0.22504749616822001</v>
      </c>
      <c r="I4548">
        <v>0.15738517315065401</v>
      </c>
      <c r="J4548">
        <v>0.12187701264046299</v>
      </c>
      <c r="K4548">
        <v>0.11730282166094801</v>
      </c>
      <c r="L4548">
        <v>680.44184710610705</v>
      </c>
      <c r="M4548">
        <v>12.6914274853485</v>
      </c>
      <c r="N4548">
        <v>54.168483971058897</v>
      </c>
      <c r="O4548">
        <v>52.335461621119101</v>
      </c>
      <c r="P4548">
        <v>-5.6945373417913198E-2</v>
      </c>
      <c r="Q4548">
        <v>6.0882820739205402E-2</v>
      </c>
      <c r="R4548">
        <v>0.99497036322727295</v>
      </c>
      <c r="S4548" t="s">
        <v>10409</v>
      </c>
      <c r="T4548" t="s">
        <v>11720</v>
      </c>
      <c r="U4548" t="s">
        <v>11720</v>
      </c>
      <c r="V4548" t="s">
        <v>11720</v>
      </c>
      <c r="W4548" t="s">
        <v>16213</v>
      </c>
      <c r="X4548">
        <v>4</v>
      </c>
      <c r="Y4548" t="s">
        <v>21921</v>
      </c>
      <c r="Z4548" t="s">
        <v>27755</v>
      </c>
      <c r="AA4548">
        <v>0.51103641037646608</v>
      </c>
      <c r="AB4548" t="str">
        <f>HYPERLINK("Melting_Curves/meltCurve_Q96F46_IL17RA.pdf", "Melting_Curves/meltCurve_Q96F46_IL17RA.pdf")</f>
        <v>Melting_Curves/meltCurve_Q96F46_IL17RA.pdf</v>
      </c>
    </row>
    <row r="4549" spans="1:28" x14ac:dyDescent="0.25">
      <c r="A4549" t="s">
        <v>4553</v>
      </c>
      <c r="B4549">
        <v>0.99334974765950101</v>
      </c>
      <c r="C4549">
        <v>1.0002668659509699</v>
      </c>
      <c r="D4549">
        <v>0.93295945221946697</v>
      </c>
      <c r="E4549">
        <v>0.84441733622887505</v>
      </c>
      <c r="F4549">
        <v>0.61468236955084898</v>
      </c>
      <c r="G4549">
        <v>0.29563021196613198</v>
      </c>
      <c r="H4549">
        <v>0.16007445769418999</v>
      </c>
      <c r="I4549">
        <v>0.106948007349164</v>
      </c>
      <c r="J4549">
        <v>0.10025917874623699</v>
      </c>
      <c r="K4549">
        <v>6.8489579024750002E-2</v>
      </c>
      <c r="L4549">
        <v>1055.2670828089899</v>
      </c>
      <c r="M4549">
        <v>19.580722011367602</v>
      </c>
      <c r="N4549">
        <v>54.299856169599103</v>
      </c>
      <c r="O4549">
        <v>53.340492298673801</v>
      </c>
      <c r="P4549">
        <v>-8.55163363683977E-2</v>
      </c>
      <c r="Q4549">
        <v>6.8201482847958295E-2</v>
      </c>
      <c r="R4549">
        <v>0.99871023029766604</v>
      </c>
      <c r="S4549" t="s">
        <v>10410</v>
      </c>
      <c r="T4549" t="s">
        <v>11720</v>
      </c>
      <c r="U4549" t="s">
        <v>11720</v>
      </c>
      <c r="V4549" t="s">
        <v>11720</v>
      </c>
      <c r="W4549" t="s">
        <v>16214</v>
      </c>
      <c r="X4549">
        <v>8</v>
      </c>
      <c r="Y4549" t="s">
        <v>21922</v>
      </c>
      <c r="Z4549" t="s">
        <v>27756</v>
      </c>
      <c r="AA4549">
        <v>0.51284756245015406</v>
      </c>
      <c r="AB4549" t="str">
        <f>HYPERLINK("Melting_Curves/meltCurve_Q96F85_CNRIP1.pdf", "Melting_Curves/meltCurve_Q96F85_CNRIP1.pdf")</f>
        <v>Melting_Curves/meltCurve_Q96F85_CNRIP1.pdf</v>
      </c>
    </row>
    <row r="4550" spans="1:28" x14ac:dyDescent="0.25">
      <c r="A4550" t="s">
        <v>4554</v>
      </c>
      <c r="B4550">
        <v>0.99334974765950101</v>
      </c>
      <c r="C4550">
        <v>1.0988087797724</v>
      </c>
      <c r="D4550">
        <v>0.85354920132854994</v>
      </c>
      <c r="E4550">
        <v>0.72285863330719102</v>
      </c>
      <c r="F4550">
        <v>0.79472546129706101</v>
      </c>
      <c r="G4550">
        <v>0.84375288233039403</v>
      </c>
      <c r="H4550">
        <v>0.56591299906791503</v>
      </c>
      <c r="I4550">
        <v>0.42713986149160998</v>
      </c>
      <c r="J4550">
        <v>0.62028858128299202</v>
      </c>
      <c r="K4550">
        <v>0.48833632967906998</v>
      </c>
      <c r="L4550">
        <v>449.708100337259</v>
      </c>
      <c r="M4550">
        <v>7.90319297009541</v>
      </c>
      <c r="N4550">
        <v>69.482382737878098</v>
      </c>
      <c r="O4550">
        <v>53.604691830894502</v>
      </c>
      <c r="P4550">
        <v>-2.2862564928205601E-2</v>
      </c>
      <c r="Q4550">
        <v>0.38045699229624802</v>
      </c>
      <c r="R4550">
        <v>0.78094617099472496</v>
      </c>
      <c r="S4550" t="s">
        <v>10411</v>
      </c>
      <c r="T4550" t="s">
        <v>11720</v>
      </c>
      <c r="U4550" t="s">
        <v>11720</v>
      </c>
      <c r="V4550" t="s">
        <v>11720</v>
      </c>
      <c r="W4550" t="s">
        <v>16215</v>
      </c>
      <c r="X4550">
        <v>1</v>
      </c>
      <c r="Y4550" t="s">
        <v>21923</v>
      </c>
      <c r="Z4550" t="s">
        <v>27757</v>
      </c>
      <c r="AA4550">
        <v>0.73725272210405601</v>
      </c>
      <c r="AB4550" t="str">
        <f>HYPERLINK("Melting_Curves/meltCurve_Q96FE7_4_PIK3IP1.pdf", "Melting_Curves/meltCurve_Q96FE7_4_PIK3IP1.pdf")</f>
        <v>Melting_Curves/meltCurve_Q96FE7_4_PIK3IP1.pdf</v>
      </c>
    </row>
    <row r="4551" spans="1:28" x14ac:dyDescent="0.25">
      <c r="A4551" t="s">
        <v>4555</v>
      </c>
      <c r="B4551">
        <v>0.99334974765950101</v>
      </c>
      <c r="C4551">
        <v>0.91766678613157404</v>
      </c>
      <c r="D4551">
        <v>0.99060982278730303</v>
      </c>
      <c r="E4551">
        <v>0.87482731286947701</v>
      </c>
      <c r="F4551">
        <v>0.88239674994339101</v>
      </c>
      <c r="G4551">
        <v>0.58488346423008597</v>
      </c>
      <c r="H4551">
        <v>0.39754615618717898</v>
      </c>
      <c r="I4551">
        <v>0.28344410636825401</v>
      </c>
      <c r="J4551">
        <v>0.32389459523555397</v>
      </c>
      <c r="K4551">
        <v>0.31226163764305798</v>
      </c>
      <c r="L4551">
        <v>1176.3473028037299</v>
      </c>
      <c r="M4551">
        <v>20.940657734299201</v>
      </c>
      <c r="N4551">
        <v>58.4697631524106</v>
      </c>
      <c r="O4551">
        <v>55.670518291207202</v>
      </c>
      <c r="P4551">
        <v>-6.7693381874661507E-2</v>
      </c>
      <c r="Q4551">
        <v>0.28017097045835299</v>
      </c>
      <c r="R4551">
        <v>0.97934909023968797</v>
      </c>
      <c r="S4551" t="s">
        <v>10412</v>
      </c>
      <c r="T4551" t="s">
        <v>11720</v>
      </c>
      <c r="U4551" t="s">
        <v>11720</v>
      </c>
      <c r="V4551" t="s">
        <v>11720</v>
      </c>
      <c r="W4551" t="s">
        <v>16216</v>
      </c>
      <c r="X4551">
        <v>5</v>
      </c>
      <c r="Y4551" t="s">
        <v>21924</v>
      </c>
      <c r="Z4551" t="s">
        <v>27758</v>
      </c>
      <c r="AA4551">
        <v>0.67692831745010373</v>
      </c>
      <c r="AB4551" t="str">
        <f>HYPERLINK("Melting_Curves/meltCurve_Q96FH0_2_MEF2BNB.pdf", "Melting_Curves/meltCurve_Q96FH0_2_MEF2BNB.pdf")</f>
        <v>Melting_Curves/meltCurve_Q96FH0_2_MEF2BNB.pdf</v>
      </c>
    </row>
    <row r="4552" spans="1:28" x14ac:dyDescent="0.25">
      <c r="A4552" t="s">
        <v>4556</v>
      </c>
      <c r="B4552">
        <v>0.99334974765950101</v>
      </c>
      <c r="C4552">
        <v>0.96810215466729299</v>
      </c>
      <c r="D4552">
        <v>0.87602925609660798</v>
      </c>
      <c r="E4552">
        <v>0.57905154188673402</v>
      </c>
      <c r="F4552">
        <v>0.21410288730553001</v>
      </c>
      <c r="G4552">
        <v>0.138184721021194</v>
      </c>
      <c r="H4552">
        <v>9.2357404020841694E-2</v>
      </c>
      <c r="I4552">
        <v>8.6646478982772002E-2</v>
      </c>
      <c r="J4552">
        <v>6.7689001763571593E-2</v>
      </c>
      <c r="K4552">
        <v>6.2520550569863997E-2</v>
      </c>
      <c r="L4552">
        <v>1233.4768604924</v>
      </c>
      <c r="M4552">
        <v>24.645036347047999</v>
      </c>
      <c r="N4552">
        <v>50.370221462623803</v>
      </c>
      <c r="O4552">
        <v>49.723668259203897</v>
      </c>
      <c r="P4552">
        <v>-0.11491935845012401</v>
      </c>
      <c r="Q4552">
        <v>7.2570933247230296E-2</v>
      </c>
      <c r="R4552">
        <v>0.99624441758501903</v>
      </c>
      <c r="S4552" t="s">
        <v>10413</v>
      </c>
      <c r="T4552" t="s">
        <v>11720</v>
      </c>
      <c r="U4552" t="s">
        <v>11720</v>
      </c>
      <c r="V4552" t="s">
        <v>11720</v>
      </c>
      <c r="W4552" t="s">
        <v>16217</v>
      </c>
      <c r="X4552">
        <v>12</v>
      </c>
      <c r="Y4552" t="s">
        <v>21925</v>
      </c>
      <c r="Z4552" t="s">
        <v>27759</v>
      </c>
      <c r="AA4552">
        <v>0.39178547670781683</v>
      </c>
      <c r="AB4552" t="str">
        <f>HYPERLINK("Melting_Curves/meltCurve_Q96FJ0_STAMBPL1.pdf", "Melting_Curves/meltCurve_Q96FJ0_STAMBPL1.pdf")</f>
        <v>Melting_Curves/meltCurve_Q96FJ0_STAMBPL1.pdf</v>
      </c>
    </row>
    <row r="4553" spans="1:28" x14ac:dyDescent="0.25">
      <c r="A4553" t="s">
        <v>4557</v>
      </c>
      <c r="B4553">
        <v>0.99334974765950101</v>
      </c>
      <c r="C4553">
        <v>0.98582125262467302</v>
      </c>
      <c r="D4553">
        <v>0.89278131473924405</v>
      </c>
      <c r="E4553">
        <v>0.844328593713216</v>
      </c>
      <c r="F4553">
        <v>0.57576127941080302</v>
      </c>
      <c r="G4553">
        <v>0.42216156320791598</v>
      </c>
      <c r="H4553">
        <v>0.26568531813956803</v>
      </c>
      <c r="I4553">
        <v>0.26715431904534798</v>
      </c>
      <c r="J4553">
        <v>0.14593240061861101</v>
      </c>
      <c r="K4553">
        <v>0.13737505698656799</v>
      </c>
      <c r="L4553">
        <v>720.55887711387902</v>
      </c>
      <c r="M4553">
        <v>13.269157940440399</v>
      </c>
      <c r="N4553">
        <v>55.295918040538602</v>
      </c>
      <c r="O4553">
        <v>53.114379237667798</v>
      </c>
      <c r="P4553">
        <v>-5.5845970086244097E-2</v>
      </c>
      <c r="Q4553">
        <v>0.105974837650561</v>
      </c>
      <c r="R4553">
        <v>0.98966551396140301</v>
      </c>
      <c r="S4553" t="s">
        <v>10414</v>
      </c>
      <c r="T4553" t="s">
        <v>11720</v>
      </c>
      <c r="U4553" t="s">
        <v>11720</v>
      </c>
      <c r="V4553" t="s">
        <v>11720</v>
      </c>
      <c r="W4553" t="s">
        <v>16218</v>
      </c>
      <c r="X4553">
        <v>4</v>
      </c>
      <c r="Y4553" t="s">
        <v>21926</v>
      </c>
      <c r="Z4553" t="s">
        <v>27760</v>
      </c>
      <c r="AA4553">
        <v>0.55285756531425745</v>
      </c>
      <c r="AB4553" t="str">
        <f>HYPERLINK("Melting_Curves/meltCurve_Q96FJ2_DYNLL2.pdf", "Melting_Curves/meltCurve_Q96FJ2_DYNLL2.pdf")</f>
        <v>Melting_Curves/meltCurve_Q96FJ2_DYNLL2.pdf</v>
      </c>
    </row>
    <row r="4554" spans="1:28" x14ac:dyDescent="0.25">
      <c r="A4554" t="s">
        <v>4558</v>
      </c>
      <c r="B4554">
        <v>0.99334974765950101</v>
      </c>
      <c r="C4554">
        <v>0.95933370186638001</v>
      </c>
      <c r="D4554">
        <v>0.94692366285121898</v>
      </c>
      <c r="E4554">
        <v>0.64188708070437095</v>
      </c>
      <c r="F4554">
        <v>0.42327827335441598</v>
      </c>
      <c r="G4554">
        <v>0.313955516505039</v>
      </c>
      <c r="H4554">
        <v>0.18101542700440501</v>
      </c>
      <c r="I4554">
        <v>0.118530539428865</v>
      </c>
      <c r="J4554">
        <v>0.13298049291556799</v>
      </c>
      <c r="K4554">
        <v>0.109385746142124</v>
      </c>
      <c r="L4554">
        <v>861.41756478229797</v>
      </c>
      <c r="M4554">
        <v>16.724983284882299</v>
      </c>
      <c r="N4554">
        <v>52.290845407034297</v>
      </c>
      <c r="O4554">
        <v>50.785398263947798</v>
      </c>
      <c r="P4554">
        <v>-7.3185885384691104E-2</v>
      </c>
      <c r="Q4554">
        <v>0.111142716816491</v>
      </c>
      <c r="R4554">
        <v>0.99341478950179396</v>
      </c>
      <c r="S4554" t="s">
        <v>10415</v>
      </c>
      <c r="T4554" t="s">
        <v>11720</v>
      </c>
      <c r="U4554" t="s">
        <v>11720</v>
      </c>
      <c r="V4554" t="s">
        <v>11720</v>
      </c>
      <c r="W4554" t="s">
        <v>16219</v>
      </c>
      <c r="X4554">
        <v>7</v>
      </c>
      <c r="Y4554" t="s">
        <v>21927</v>
      </c>
      <c r="Z4554" t="s">
        <v>27761</v>
      </c>
      <c r="AA4554">
        <v>0.46891215252537238</v>
      </c>
      <c r="AB4554" t="str">
        <f>HYPERLINK("Melting_Curves/meltCurve_Q96FN4_CPNE2.pdf", "Melting_Curves/meltCurve_Q96FN4_CPNE2.pdf")</f>
        <v>Melting_Curves/meltCurve_Q96FN4_CPNE2.pdf</v>
      </c>
    </row>
    <row r="4555" spans="1:28" x14ac:dyDescent="0.25">
      <c r="A4555" t="s">
        <v>4559</v>
      </c>
      <c r="B4555">
        <v>0.99334974765950101</v>
      </c>
      <c r="C4555">
        <v>1.18771415279714</v>
      </c>
      <c r="D4555">
        <v>1.0265876328463299</v>
      </c>
      <c r="E4555">
        <v>1.0070156412693101</v>
      </c>
      <c r="F4555">
        <v>0.80767637141836002</v>
      </c>
      <c r="G4555">
        <v>0.76688909908228897</v>
      </c>
      <c r="H4555">
        <v>0.57189945264234299</v>
      </c>
      <c r="I4555">
        <v>0.41612805850392098</v>
      </c>
      <c r="J4555">
        <v>0.35857397764489801</v>
      </c>
      <c r="K4555">
        <v>0.271793388529252</v>
      </c>
      <c r="L4555">
        <v>824.22067441939805</v>
      </c>
      <c r="M4555">
        <v>13.6387093764261</v>
      </c>
      <c r="N4555">
        <v>62.319913147520303</v>
      </c>
      <c r="O4555">
        <v>59.177664661426199</v>
      </c>
      <c r="P4555">
        <v>-4.7876204220477503E-2</v>
      </c>
      <c r="Q4555">
        <v>0.16919212479405699</v>
      </c>
      <c r="R4555">
        <v>0.946541220986027</v>
      </c>
      <c r="S4555" t="s">
        <v>10416</v>
      </c>
      <c r="T4555" t="s">
        <v>11720</v>
      </c>
      <c r="U4555" t="s">
        <v>11720</v>
      </c>
      <c r="V4555" t="s">
        <v>11720</v>
      </c>
      <c r="W4555" t="s">
        <v>16220</v>
      </c>
      <c r="X4555">
        <v>11</v>
      </c>
      <c r="Y4555" t="s">
        <v>21928</v>
      </c>
      <c r="Z4555" t="s">
        <v>27762</v>
      </c>
      <c r="AA4555">
        <v>0.73771678732239565</v>
      </c>
      <c r="AB4555" t="str">
        <f>HYPERLINK("Melting_Curves/meltCurve_Q96FQ6_S100A16.pdf", "Melting_Curves/meltCurve_Q96FQ6_S100A16.pdf")</f>
        <v>Melting_Curves/meltCurve_Q96FQ6_S100A16.pdf</v>
      </c>
    </row>
    <row r="4556" spans="1:28" x14ac:dyDescent="0.25">
      <c r="A4556" t="s">
        <v>4560</v>
      </c>
      <c r="B4556">
        <v>0.99334974765950101</v>
      </c>
      <c r="C4556">
        <v>0.91503418252555402</v>
      </c>
      <c r="D4556">
        <v>0.76746937336253995</v>
      </c>
      <c r="E4556">
        <v>0.50604338456206699</v>
      </c>
      <c r="F4556">
        <v>0.22973200726503801</v>
      </c>
      <c r="G4556">
        <v>0.16473529827157901</v>
      </c>
      <c r="H4556">
        <v>0.13554016650424999</v>
      </c>
      <c r="I4556">
        <v>0.12815429348073401</v>
      </c>
      <c r="J4556">
        <v>0.12882370416702801</v>
      </c>
      <c r="K4556">
        <v>0.106929115432867</v>
      </c>
      <c r="L4556">
        <v>895.44647895391097</v>
      </c>
      <c r="M4556">
        <v>18.344422183065799</v>
      </c>
      <c r="N4556">
        <v>49.477385867533798</v>
      </c>
      <c r="O4556">
        <v>48.244034335669703</v>
      </c>
      <c r="P4556">
        <v>-8.4687033462969102E-2</v>
      </c>
      <c r="Q4556">
        <v>0.10916632890099399</v>
      </c>
      <c r="R4556">
        <v>0.99519919700500603</v>
      </c>
      <c r="S4556" t="s">
        <v>10417</v>
      </c>
      <c r="T4556" t="s">
        <v>11720</v>
      </c>
      <c r="U4556" t="s">
        <v>11720</v>
      </c>
      <c r="V4556" t="s">
        <v>11720</v>
      </c>
      <c r="W4556" t="s">
        <v>16221</v>
      </c>
      <c r="X4556">
        <v>12</v>
      </c>
      <c r="Y4556" t="s">
        <v>21929</v>
      </c>
      <c r="Z4556" t="s">
        <v>27763</v>
      </c>
      <c r="AA4556">
        <v>0.38577014332709592</v>
      </c>
      <c r="AB4556" t="str">
        <f>HYPERLINK("Melting_Curves/meltCurve_Q96FS4_SIPA1.pdf", "Melting_Curves/meltCurve_Q96FS4_SIPA1.pdf")</f>
        <v>Melting_Curves/meltCurve_Q96FS4_SIPA1.pdf</v>
      </c>
    </row>
    <row r="4557" spans="1:28" x14ac:dyDescent="0.25">
      <c r="A4557" t="s">
        <v>4561</v>
      </c>
      <c r="B4557">
        <v>0.99334974765950101</v>
      </c>
      <c r="C4557">
        <v>0.916110540869287</v>
      </c>
      <c r="D4557">
        <v>0.80232404507202904</v>
      </c>
      <c r="E4557">
        <v>0.88906554793261094</v>
      </c>
      <c r="F4557">
        <v>0.73884851750656</v>
      </c>
      <c r="G4557">
        <v>0.66807373572098505</v>
      </c>
      <c r="H4557">
        <v>0.58593009034543198</v>
      </c>
      <c r="I4557">
        <v>0.62168438081676003</v>
      </c>
      <c r="J4557">
        <v>0.855336281196312</v>
      </c>
      <c r="K4557">
        <v>0.74444996067346803</v>
      </c>
      <c r="L4557">
        <v>627.23928774450803</v>
      </c>
      <c r="M4557">
        <v>13.4879377350965</v>
      </c>
      <c r="O4557">
        <v>45.5171921003164</v>
      </c>
      <c r="P4557">
        <v>-2.2539433568862299E-2</v>
      </c>
      <c r="Q4557">
        <v>0.69579493701017103</v>
      </c>
      <c r="R4557">
        <v>0.59034946426981805</v>
      </c>
      <c r="S4557" t="s">
        <v>10418</v>
      </c>
      <c r="T4557" t="s">
        <v>11720</v>
      </c>
      <c r="U4557" t="s">
        <v>11720</v>
      </c>
      <c r="V4557" t="s">
        <v>11720</v>
      </c>
      <c r="W4557" t="s">
        <v>16222</v>
      </c>
      <c r="X4557">
        <v>2</v>
      </c>
      <c r="Y4557" t="s">
        <v>21930</v>
      </c>
      <c r="Z4557" t="s">
        <v>27764</v>
      </c>
      <c r="AA4557">
        <v>0.77235146616001671</v>
      </c>
      <c r="AB4557" t="str">
        <f>HYPERLINK("Melting_Curves/meltCurve_Q96FT9_IFT43.pdf", "Melting_Curves/meltCurve_Q96FT9_IFT43.pdf")</f>
        <v>Melting_Curves/meltCurve_Q96FT9_IFT43.pdf</v>
      </c>
    </row>
    <row r="4558" spans="1:28" x14ac:dyDescent="0.25">
      <c r="A4558" t="s">
        <v>4562</v>
      </c>
      <c r="B4558">
        <v>0.99334974765950101</v>
      </c>
      <c r="C4558">
        <v>1.0672892013147299</v>
      </c>
      <c r="D4558">
        <v>0.71213870422556602</v>
      </c>
      <c r="E4558">
        <v>0.85964119042490394</v>
      </c>
      <c r="F4558">
        <v>0.55189976589189504</v>
      </c>
      <c r="G4558">
        <v>0.38291495110756701</v>
      </c>
      <c r="H4558">
        <v>0.43898978527888699</v>
      </c>
      <c r="I4558">
        <v>0.71931057940041399</v>
      </c>
      <c r="J4558">
        <v>0.513321191860451</v>
      </c>
      <c r="K4558">
        <v>0.34183071789171798</v>
      </c>
      <c r="L4558">
        <v>821.52310957391103</v>
      </c>
      <c r="M4558">
        <v>16.655906254115902</v>
      </c>
      <c r="N4558">
        <v>58.989450145947401</v>
      </c>
      <c r="O4558">
        <v>48.628690175251002</v>
      </c>
      <c r="P4558">
        <v>-4.5611320233853003E-2</v>
      </c>
      <c r="Q4558">
        <v>0.46736728029285102</v>
      </c>
      <c r="R4558">
        <v>0.72225272528433304</v>
      </c>
      <c r="S4558" t="s">
        <v>10419</v>
      </c>
      <c r="T4558" t="s">
        <v>11720</v>
      </c>
      <c r="U4558" t="s">
        <v>11720</v>
      </c>
      <c r="V4558" t="s">
        <v>11720</v>
      </c>
      <c r="W4558" t="s">
        <v>16223</v>
      </c>
      <c r="X4558">
        <v>1</v>
      </c>
      <c r="Y4558" t="s">
        <v>21931</v>
      </c>
      <c r="Z4558" t="s">
        <v>27765</v>
      </c>
      <c r="AA4558">
        <v>0.64356168923446733</v>
      </c>
      <c r="AB4558" t="str">
        <f>HYPERLINK("Melting_Curves/meltCurve_Q96FX2_DPH3.pdf", "Melting_Curves/meltCurve_Q96FX2_DPH3.pdf")</f>
        <v>Melting_Curves/meltCurve_Q96FX2_DPH3.pdf</v>
      </c>
    </row>
    <row r="4559" spans="1:28" x14ac:dyDescent="0.25">
      <c r="A4559" t="s">
        <v>4563</v>
      </c>
      <c r="B4559">
        <v>0.99334974765950101</v>
      </c>
      <c r="C4559">
        <v>1.07409428298609</v>
      </c>
      <c r="D4559">
        <v>1.27784995295755</v>
      </c>
      <c r="E4559">
        <v>1.7337655672794501</v>
      </c>
      <c r="F4559">
        <v>1.6707700280126401</v>
      </c>
      <c r="G4559">
        <v>1.68194724067912</v>
      </c>
      <c r="H4559">
        <v>0.46318311985621002</v>
      </c>
      <c r="I4559">
        <v>0.14504338260666599</v>
      </c>
      <c r="J4559">
        <v>4.1877127900149899E-2</v>
      </c>
      <c r="K4559">
        <v>0</v>
      </c>
      <c r="L4559">
        <v>8117.1385469486304</v>
      </c>
      <c r="M4559">
        <v>133.354729778712</v>
      </c>
      <c r="N4559">
        <v>60.9289236019236</v>
      </c>
      <c r="O4559">
        <v>60.8550854870441</v>
      </c>
      <c r="P4559">
        <v>-0.51404757706103699</v>
      </c>
      <c r="Q4559">
        <v>6.1678316333398799E-2</v>
      </c>
      <c r="R4559">
        <v>0.64747890119365603</v>
      </c>
      <c r="S4559" t="s">
        <v>10420</v>
      </c>
      <c r="T4559" t="s">
        <v>11720</v>
      </c>
      <c r="U4559" t="s">
        <v>11720</v>
      </c>
      <c r="V4559" t="s">
        <v>11720</v>
      </c>
      <c r="W4559" t="s">
        <v>16224</v>
      </c>
      <c r="X4559">
        <v>2</v>
      </c>
      <c r="Y4559" t="s">
        <v>21932</v>
      </c>
      <c r="Z4559" t="s">
        <v>27766</v>
      </c>
      <c r="AA4559">
        <v>0.71475147476575962</v>
      </c>
      <c r="AB4559" t="str">
        <f>HYPERLINK("Melting_Curves/meltCurve_Q96FX7_TRMT61A.pdf", "Melting_Curves/meltCurve_Q96FX7_TRMT61A.pdf")</f>
        <v>Melting_Curves/meltCurve_Q96FX7_TRMT61A.pdf</v>
      </c>
    </row>
    <row r="4560" spans="1:28" x14ac:dyDescent="0.25">
      <c r="A4560" t="s">
        <v>4564</v>
      </c>
      <c r="B4560">
        <v>0.99334974765950101</v>
      </c>
      <c r="C4560">
        <v>0.94627177870217705</v>
      </c>
      <c r="D4560">
        <v>0.93423131542311599</v>
      </c>
      <c r="E4560">
        <v>0.82842351030363903</v>
      </c>
      <c r="F4560">
        <v>0.83905471053106695</v>
      </c>
      <c r="G4560">
        <v>0.63819820268290295</v>
      </c>
      <c r="H4560">
        <v>0.33984967211164802</v>
      </c>
      <c r="I4560">
        <v>0.18467259931841801</v>
      </c>
      <c r="J4560">
        <v>0.16110637620524099</v>
      </c>
      <c r="K4560">
        <v>0.13670095222518899</v>
      </c>
      <c r="L4560">
        <v>785.30302378557701</v>
      </c>
      <c r="M4560">
        <v>13.448938757055201</v>
      </c>
      <c r="N4560">
        <v>58.443774356214803</v>
      </c>
      <c r="O4560">
        <v>57.145793639250599</v>
      </c>
      <c r="P4560">
        <v>-5.8493039707611098E-2</v>
      </c>
      <c r="Q4560">
        <v>5.9843621607324196E-3</v>
      </c>
      <c r="R4560">
        <v>0.98325336015656695</v>
      </c>
      <c r="S4560" t="s">
        <v>10421</v>
      </c>
      <c r="T4560" t="s">
        <v>11720</v>
      </c>
      <c r="U4560" t="s">
        <v>11720</v>
      </c>
      <c r="V4560" t="s">
        <v>11720</v>
      </c>
      <c r="W4560" t="s">
        <v>16225</v>
      </c>
      <c r="X4560">
        <v>6</v>
      </c>
      <c r="Y4560" t="s">
        <v>21933</v>
      </c>
      <c r="Z4560" t="s">
        <v>27767</v>
      </c>
      <c r="AA4560">
        <v>0.62729324013289278</v>
      </c>
      <c r="AB4560" t="str">
        <f>HYPERLINK("Melting_Curves/meltCurve_Q96FZ7_CHMP6.pdf", "Melting_Curves/meltCurve_Q96FZ7_CHMP6.pdf")</f>
        <v>Melting_Curves/meltCurve_Q96FZ7_CHMP6.pdf</v>
      </c>
    </row>
    <row r="4561" spans="1:28" x14ac:dyDescent="0.25">
      <c r="A4561" t="s">
        <v>4565</v>
      </c>
      <c r="B4561">
        <v>0.99334974765950101</v>
      </c>
      <c r="C4561">
        <v>0.99767221518642502</v>
      </c>
      <c r="D4561">
        <v>0.93940449224124301</v>
      </c>
      <c r="E4561">
        <v>0.82679630171204199</v>
      </c>
      <c r="F4561">
        <v>0.81337708196136405</v>
      </c>
      <c r="G4561">
        <v>0.60629084985942205</v>
      </c>
      <c r="H4561">
        <v>0.47835396862951501</v>
      </c>
      <c r="I4561">
        <v>0.47834493697883101</v>
      </c>
      <c r="J4561">
        <v>0.43893877815801902</v>
      </c>
      <c r="K4561">
        <v>0.28783414232820997</v>
      </c>
      <c r="L4561">
        <v>546.24612578983204</v>
      </c>
      <c r="M4561">
        <v>9.4176882811593394</v>
      </c>
      <c r="N4561">
        <v>61.526003085845602</v>
      </c>
      <c r="O4561">
        <v>55.567317136236703</v>
      </c>
      <c r="P4561">
        <v>-3.3559040994649798E-2</v>
      </c>
      <c r="Q4561">
        <v>0.20844846843332199</v>
      </c>
      <c r="R4561">
        <v>0.97840835562748996</v>
      </c>
      <c r="S4561" t="s">
        <v>10422</v>
      </c>
      <c r="T4561" t="s">
        <v>11720</v>
      </c>
      <c r="U4561" t="s">
        <v>11720</v>
      </c>
      <c r="V4561" t="s">
        <v>11720</v>
      </c>
      <c r="W4561" t="s">
        <v>16226</v>
      </c>
      <c r="X4561">
        <v>30</v>
      </c>
      <c r="Y4561" t="s">
        <v>21934</v>
      </c>
      <c r="Z4561" t="s">
        <v>27768</v>
      </c>
      <c r="AA4561">
        <v>0.69017091171358858</v>
      </c>
      <c r="AB4561" t="str">
        <f>HYPERLINK("Melting_Curves/meltCurve_Q96G03_PGM2.pdf", "Melting_Curves/meltCurve_Q96G03_PGM2.pdf")</f>
        <v>Melting_Curves/meltCurve_Q96G03_PGM2.pdf</v>
      </c>
    </row>
    <row r="4562" spans="1:28" x14ac:dyDescent="0.25">
      <c r="A4562" t="s">
        <v>4566</v>
      </c>
      <c r="B4562">
        <v>0.99334974765950101</v>
      </c>
      <c r="C4562">
        <v>0.75112494757622394</v>
      </c>
      <c r="D4562">
        <v>0.75496877565280596</v>
      </c>
      <c r="E4562">
        <v>0.66272444326830005</v>
      </c>
      <c r="F4562">
        <v>1.32972595151933</v>
      </c>
      <c r="G4562">
        <v>0.86553437390112697</v>
      </c>
      <c r="H4562">
        <v>0.892862130853322</v>
      </c>
      <c r="I4562">
        <v>0.898697019835074</v>
      </c>
      <c r="J4562">
        <v>1.3035955992727699</v>
      </c>
      <c r="K4562">
        <v>1.2111175203354101</v>
      </c>
      <c r="L4562">
        <v>9492.6741708912396</v>
      </c>
      <c r="M4562">
        <v>144.63105833890501</v>
      </c>
      <c r="O4562">
        <v>65.6211884760109</v>
      </c>
      <c r="P4562">
        <v>0.1439051003207</v>
      </c>
      <c r="Q4562">
        <v>1.2611671746256199</v>
      </c>
      <c r="R4562">
        <v>0.23252431779805299</v>
      </c>
      <c r="S4562" t="s">
        <v>10423</v>
      </c>
      <c r="T4562" t="s">
        <v>11720</v>
      </c>
      <c r="U4562" t="s">
        <v>11720</v>
      </c>
      <c r="V4562" t="s">
        <v>11720</v>
      </c>
      <c r="W4562" t="s">
        <v>16227</v>
      </c>
      <c r="X4562">
        <v>2</v>
      </c>
      <c r="Y4562" t="s">
        <v>21935</v>
      </c>
      <c r="Z4562" t="s">
        <v>27769</v>
      </c>
      <c r="AA4562">
        <v>1.037921608775596</v>
      </c>
      <c r="AB4562" t="str">
        <f>HYPERLINK("Melting_Curves/meltCurve_Q96G25_MED8.pdf", "Melting_Curves/meltCurve_Q96G25_MED8.pdf")</f>
        <v>Melting_Curves/meltCurve_Q96G25_MED8.pdf</v>
      </c>
    </row>
    <row r="4563" spans="1:28" x14ac:dyDescent="0.25">
      <c r="A4563" t="s">
        <v>4567</v>
      </c>
      <c r="B4563">
        <v>0.99334974765950101</v>
      </c>
      <c r="C4563">
        <v>0.94617640749838605</v>
      </c>
      <c r="D4563">
        <v>0.84188354904241403</v>
      </c>
      <c r="E4563">
        <v>0.56163748485569798</v>
      </c>
      <c r="F4563">
        <v>0.28494691368937503</v>
      </c>
      <c r="G4563">
        <v>0.20288857823928699</v>
      </c>
      <c r="H4563">
        <v>0.146121665994008</v>
      </c>
      <c r="I4563">
        <v>0.13507255991374401</v>
      </c>
      <c r="J4563">
        <v>0.115240122819752</v>
      </c>
      <c r="K4563">
        <v>9.4997936403680899E-2</v>
      </c>
      <c r="L4563">
        <v>950.37782421582801</v>
      </c>
      <c r="M4563">
        <v>19.0935690871185</v>
      </c>
      <c r="N4563">
        <v>50.437068595104201</v>
      </c>
      <c r="O4563">
        <v>49.2384033777046</v>
      </c>
      <c r="P4563">
        <v>-8.6198521859177105E-2</v>
      </c>
      <c r="Q4563">
        <v>0.11088127146868</v>
      </c>
      <c r="R4563">
        <v>0.99731949147598298</v>
      </c>
      <c r="S4563" t="s">
        <v>10424</v>
      </c>
      <c r="T4563" t="s">
        <v>11720</v>
      </c>
      <c r="U4563" t="s">
        <v>11720</v>
      </c>
      <c r="V4563" t="s">
        <v>11720</v>
      </c>
      <c r="W4563" t="s">
        <v>16228</v>
      </c>
      <c r="X4563">
        <v>11</v>
      </c>
      <c r="Y4563" t="s">
        <v>21936</v>
      </c>
      <c r="Z4563" t="s">
        <v>27770</v>
      </c>
      <c r="AA4563">
        <v>0.41414689990411507</v>
      </c>
      <c r="AB4563" t="str">
        <f>HYPERLINK("Melting_Curves/meltCurve_Q96G28_CCDC104.pdf", "Melting_Curves/meltCurve_Q96G28_CCDC104.pdf")</f>
        <v>Melting_Curves/meltCurve_Q96G28_CCDC104.pdf</v>
      </c>
    </row>
    <row r="4564" spans="1:28" x14ac:dyDescent="0.25">
      <c r="A4564" t="s">
        <v>4568</v>
      </c>
      <c r="B4564">
        <v>0.99334974765950101</v>
      </c>
      <c r="C4564">
        <v>0.966118997603854</v>
      </c>
      <c r="D4564">
        <v>0.795317496642579</v>
      </c>
      <c r="E4564">
        <v>0.68082069557516101</v>
      </c>
      <c r="F4564">
        <v>0.56306196124372698</v>
      </c>
      <c r="G4564">
        <v>0.34193361430790198</v>
      </c>
      <c r="H4564">
        <v>0.262295017549944</v>
      </c>
      <c r="I4564">
        <v>0.19754660279310299</v>
      </c>
      <c r="J4564">
        <v>0.134050329692081</v>
      </c>
      <c r="K4564">
        <v>9.6652932278870896E-2</v>
      </c>
      <c r="L4564">
        <v>534.15680598942902</v>
      </c>
      <c r="M4564">
        <v>9.9552796989759393</v>
      </c>
      <c r="N4564">
        <v>53.871068892992298</v>
      </c>
      <c r="O4564">
        <v>51.625321419075902</v>
      </c>
      <c r="P4564">
        <v>-4.7291851506567499E-2</v>
      </c>
      <c r="Q4564">
        <v>1.9515370933259699E-2</v>
      </c>
      <c r="R4564">
        <v>0.99384425052061198</v>
      </c>
      <c r="S4564" t="s">
        <v>10425</v>
      </c>
      <c r="T4564" t="s">
        <v>11720</v>
      </c>
      <c r="U4564" t="s">
        <v>11720</v>
      </c>
      <c r="V4564" t="s">
        <v>11720</v>
      </c>
      <c r="W4564" t="s">
        <v>16229</v>
      </c>
      <c r="X4564">
        <v>3</v>
      </c>
      <c r="Y4564" t="s">
        <v>21937</v>
      </c>
      <c r="Z4564" t="s">
        <v>27771</v>
      </c>
      <c r="AA4564">
        <v>0.49692974917734789</v>
      </c>
      <c r="AB4564" t="str">
        <f>HYPERLINK("Melting_Curves/meltCurve_Q96G46_DUS3L.pdf", "Melting_Curves/meltCurve_Q96G46_DUS3L.pdf")</f>
        <v>Melting_Curves/meltCurve_Q96G46_DUS3L.pdf</v>
      </c>
    </row>
    <row r="4565" spans="1:28" x14ac:dyDescent="0.25">
      <c r="A4565" t="s">
        <v>4569</v>
      </c>
      <c r="B4565">
        <v>0.99334974765950101</v>
      </c>
      <c r="C4565">
        <v>0.94035155920348501</v>
      </c>
      <c r="D4565">
        <v>0.79993891301988396</v>
      </c>
      <c r="E4565">
        <v>0.49331336367739398</v>
      </c>
      <c r="F4565">
        <v>0.33880117832839701</v>
      </c>
      <c r="G4565">
        <v>0.18291079525464901</v>
      </c>
      <c r="H4565">
        <v>0.17508101928620201</v>
      </c>
      <c r="I4565">
        <v>0.10477500376193601</v>
      </c>
      <c r="J4565">
        <v>0.13734317569863899</v>
      </c>
      <c r="K4565">
        <v>8.8535641629076997E-2</v>
      </c>
      <c r="L4565">
        <v>821.52070022421105</v>
      </c>
      <c r="M4565">
        <v>16.6317912263696</v>
      </c>
      <c r="N4565">
        <v>50.114893876995701</v>
      </c>
      <c r="O4565">
        <v>48.697083451542397</v>
      </c>
      <c r="P4565">
        <v>-7.6311856892671698E-2</v>
      </c>
      <c r="Q4565">
        <v>0.10631043758097899</v>
      </c>
      <c r="R4565">
        <v>0.99721617480208202</v>
      </c>
      <c r="S4565" t="s">
        <v>10426</v>
      </c>
      <c r="T4565" t="s">
        <v>11720</v>
      </c>
      <c r="U4565" t="s">
        <v>11720</v>
      </c>
      <c r="V4565" t="s">
        <v>11720</v>
      </c>
      <c r="W4565" t="s">
        <v>16230</v>
      </c>
      <c r="X4565">
        <v>13</v>
      </c>
      <c r="Y4565" t="s">
        <v>21938</v>
      </c>
      <c r="Z4565" t="s">
        <v>27772</v>
      </c>
      <c r="AA4565">
        <v>0.40408732243255191</v>
      </c>
      <c r="AB4565" t="str">
        <f>HYPERLINK("Melting_Curves/meltCurve_Q96G61_NUDT11.pdf", "Melting_Curves/meltCurve_Q96G61_NUDT11.pdf")</f>
        <v>Melting_Curves/meltCurve_Q96G61_NUDT11.pdf</v>
      </c>
    </row>
    <row r="4566" spans="1:28" x14ac:dyDescent="0.25">
      <c r="A4566" t="s">
        <v>4570</v>
      </c>
      <c r="B4566">
        <v>0.99334974765950101</v>
      </c>
      <c r="C4566">
        <v>1.00089483091572</v>
      </c>
      <c r="D4566">
        <v>0.77928909345299402</v>
      </c>
      <c r="E4566">
        <v>0.58430703382386495</v>
      </c>
      <c r="F4566">
        <v>0.37561519384217601</v>
      </c>
      <c r="G4566">
        <v>0.38225622654927799</v>
      </c>
      <c r="H4566">
        <v>0.296863792359918</v>
      </c>
      <c r="I4566">
        <v>0.24658450844156099</v>
      </c>
      <c r="J4566">
        <v>0.28456302089091501</v>
      </c>
      <c r="K4566">
        <v>0.38203885399908999</v>
      </c>
      <c r="L4566">
        <v>965.20048986233303</v>
      </c>
      <c r="M4566">
        <v>19.917289681123599</v>
      </c>
      <c r="N4566">
        <v>50.8562842317004</v>
      </c>
      <c r="O4566">
        <v>47.979850352880497</v>
      </c>
      <c r="P4566">
        <v>-7.21958546657087E-2</v>
      </c>
      <c r="Q4566">
        <v>0.304356796840618</v>
      </c>
      <c r="R4566">
        <v>0.97451147715865905</v>
      </c>
      <c r="S4566" t="s">
        <v>10427</v>
      </c>
      <c r="T4566" t="s">
        <v>11720</v>
      </c>
      <c r="U4566" t="s">
        <v>11720</v>
      </c>
      <c r="V4566" t="s">
        <v>11720</v>
      </c>
      <c r="W4566" t="s">
        <v>16231</v>
      </c>
      <c r="X4566">
        <v>2</v>
      </c>
      <c r="Y4566" t="s">
        <v>21939</v>
      </c>
      <c r="Z4566" t="s">
        <v>27773</v>
      </c>
      <c r="AA4566">
        <v>0.51042976284827968</v>
      </c>
      <c r="AB4566" t="str">
        <f>HYPERLINK("Melting_Curves/meltCurve_Q96GA3_LTV1.pdf", "Melting_Curves/meltCurve_Q96GA3_LTV1.pdf")</f>
        <v>Melting_Curves/meltCurve_Q96GA3_LTV1.pdf</v>
      </c>
    </row>
    <row r="4567" spans="1:28" x14ac:dyDescent="0.25">
      <c r="A4567" t="s">
        <v>4571</v>
      </c>
      <c r="B4567">
        <v>0.99334974765950101</v>
      </c>
      <c r="C4567">
        <v>0.98470990281784299</v>
      </c>
      <c r="D4567">
        <v>0.97373465166126405</v>
      </c>
      <c r="E4567">
        <v>0.864949979496343</v>
      </c>
      <c r="F4567">
        <v>0.81144030578277904</v>
      </c>
      <c r="G4567">
        <v>0.65096554690621899</v>
      </c>
      <c r="H4567">
        <v>0.51531399502920605</v>
      </c>
      <c r="I4567">
        <v>0.38847841221601098</v>
      </c>
      <c r="J4567">
        <v>0.15315215174758201</v>
      </c>
      <c r="K4567">
        <v>8.16279391547685E-2</v>
      </c>
      <c r="L4567">
        <v>729.24352726664699</v>
      </c>
      <c r="M4567">
        <v>12.1398836724007</v>
      </c>
      <c r="N4567">
        <v>60.070058962054802</v>
      </c>
      <c r="O4567">
        <v>58.509788765113399</v>
      </c>
      <c r="P4567">
        <v>-5.1883120663351101E-2</v>
      </c>
      <c r="Q4567">
        <v>0</v>
      </c>
      <c r="R4567">
        <v>0.97972932675012403</v>
      </c>
      <c r="S4567" t="s">
        <v>10428</v>
      </c>
      <c r="T4567" t="s">
        <v>11720</v>
      </c>
      <c r="U4567" t="s">
        <v>11720</v>
      </c>
      <c r="V4567" t="s">
        <v>11720</v>
      </c>
      <c r="W4567" t="s">
        <v>16232</v>
      </c>
      <c r="X4567">
        <v>15</v>
      </c>
      <c r="Y4567" t="s">
        <v>21940</v>
      </c>
      <c r="Z4567" t="s">
        <v>27774</v>
      </c>
      <c r="AA4567">
        <v>0.67128139527044783</v>
      </c>
      <c r="AB4567" t="str">
        <f>HYPERLINK("Melting_Curves/meltCurve_Q96GA7_SDSL.pdf", "Melting_Curves/meltCurve_Q96GA7_SDSL.pdf")</f>
        <v>Melting_Curves/meltCurve_Q96GA7_SDSL.pdf</v>
      </c>
    </row>
    <row r="4568" spans="1:28" x14ac:dyDescent="0.25">
      <c r="A4568" t="s">
        <v>4572</v>
      </c>
      <c r="B4568">
        <v>0.99334974765950101</v>
      </c>
      <c r="C4568">
        <v>0.94635841410450605</v>
      </c>
      <c r="D4568">
        <v>0.93963802928456097</v>
      </c>
      <c r="E4568">
        <v>0.85881225334219602</v>
      </c>
      <c r="F4568">
        <v>0.83398324579374306</v>
      </c>
      <c r="G4568">
        <v>0.72622569364373901</v>
      </c>
      <c r="H4568">
        <v>0.62495103709084998</v>
      </c>
      <c r="I4568">
        <v>0.65754504132584102</v>
      </c>
      <c r="J4568">
        <v>0.47791356825665898</v>
      </c>
      <c r="K4568">
        <v>0.28556188022296802</v>
      </c>
      <c r="L4568">
        <v>456.93626807988801</v>
      </c>
      <c r="M4568">
        <v>6.9744959226267902</v>
      </c>
      <c r="N4568">
        <v>65.515310681899905</v>
      </c>
      <c r="O4568">
        <v>60.766473601986803</v>
      </c>
      <c r="P4568">
        <v>-2.8747768709639202E-2</v>
      </c>
      <c r="Q4568">
        <v>0</v>
      </c>
      <c r="R4568">
        <v>0.94109180022633299</v>
      </c>
      <c r="S4568" t="s">
        <v>10429</v>
      </c>
      <c r="T4568" t="s">
        <v>11720</v>
      </c>
      <c r="U4568" t="s">
        <v>11720</v>
      </c>
      <c r="V4568" t="s">
        <v>11720</v>
      </c>
      <c r="W4568" t="s">
        <v>16233</v>
      </c>
      <c r="X4568">
        <v>13</v>
      </c>
      <c r="Y4568" t="s">
        <v>21941</v>
      </c>
      <c r="Z4568" t="s">
        <v>27775</v>
      </c>
      <c r="AA4568">
        <v>0.75241207031901891</v>
      </c>
      <c r="AB4568" t="str">
        <f>HYPERLINK("Melting_Curves/meltCurve_Q96GD0_PDXP.pdf", "Melting_Curves/meltCurve_Q96GD0_PDXP.pdf")</f>
        <v>Melting_Curves/meltCurve_Q96GD0_PDXP.pdf</v>
      </c>
    </row>
    <row r="4569" spans="1:28" x14ac:dyDescent="0.25">
      <c r="A4569" t="s">
        <v>4573</v>
      </c>
      <c r="B4569">
        <v>0.99334974765950101</v>
      </c>
      <c r="C4569">
        <v>0.99511900387343599</v>
      </c>
      <c r="D4569">
        <v>1.1737877785064501</v>
      </c>
      <c r="E4569">
        <v>1.23633002876899</v>
      </c>
      <c r="F4569">
        <v>0.79619112198451603</v>
      </c>
      <c r="G4569">
        <v>1.02404375117867</v>
      </c>
      <c r="H4569">
        <v>0.80365701659453104</v>
      </c>
      <c r="I4569">
        <v>0.844557326138902</v>
      </c>
      <c r="J4569">
        <v>0.55335993727976596</v>
      </c>
      <c r="K4569">
        <v>0.40733064606948499</v>
      </c>
      <c r="L4569">
        <v>1151.8407524928</v>
      </c>
      <c r="M4569">
        <v>16.838188308353502</v>
      </c>
      <c r="N4569">
        <v>68.406454268274501</v>
      </c>
      <c r="O4569">
        <v>67.463462174385995</v>
      </c>
      <c r="P4569">
        <v>-6.2401440020890701E-2</v>
      </c>
      <c r="Q4569">
        <v>0</v>
      </c>
      <c r="R4569">
        <v>0.76199367180002597</v>
      </c>
      <c r="S4569" t="s">
        <v>10430</v>
      </c>
      <c r="T4569" t="s">
        <v>11720</v>
      </c>
      <c r="U4569" t="s">
        <v>11720</v>
      </c>
      <c r="V4569" t="s">
        <v>11720</v>
      </c>
      <c r="W4569" t="s">
        <v>16234</v>
      </c>
      <c r="X4569">
        <v>1</v>
      </c>
      <c r="Y4569" t="s">
        <v>21942</v>
      </c>
      <c r="Z4569" t="s">
        <v>27776</v>
      </c>
      <c r="AA4569">
        <v>0.88817104949543912</v>
      </c>
      <c r="AB4569" t="str">
        <f>HYPERLINK("Melting_Curves/meltCurve_Q96GF1_RNF185.pdf", "Melting_Curves/meltCurve_Q96GF1_RNF185.pdf")</f>
        <v>Melting_Curves/meltCurve_Q96GF1_RNF185.pdf</v>
      </c>
    </row>
    <row r="4570" spans="1:28" x14ac:dyDescent="0.25">
      <c r="A4570" t="s">
        <v>4574</v>
      </c>
      <c r="B4570">
        <v>0.99334974765950101</v>
      </c>
      <c r="C4570">
        <v>0.90771738101963595</v>
      </c>
      <c r="D4570">
        <v>0.87128410918418497</v>
      </c>
      <c r="E4570">
        <v>0.774540299631444</v>
      </c>
      <c r="F4570">
        <v>0.245734277044934</v>
      </c>
      <c r="G4570">
        <v>0.107024359592434</v>
      </c>
      <c r="H4570">
        <v>6.3909553471522995E-2</v>
      </c>
      <c r="I4570">
        <v>6.2683844749299306E-2</v>
      </c>
      <c r="J4570">
        <v>5.9772642903446901E-2</v>
      </c>
      <c r="K4570">
        <v>4.5769134128471001E-2</v>
      </c>
      <c r="L4570">
        <v>2072.8798122452099</v>
      </c>
      <c r="M4570">
        <v>40.412010540808801</v>
      </c>
      <c r="N4570">
        <v>51.462719310864003</v>
      </c>
      <c r="O4570">
        <v>51.168541899556601</v>
      </c>
      <c r="P4570">
        <v>-0.18517236058085501</v>
      </c>
      <c r="Q4570">
        <v>6.2162023185705399E-2</v>
      </c>
      <c r="R4570">
        <v>0.98411457988138895</v>
      </c>
      <c r="S4570" t="s">
        <v>10431</v>
      </c>
      <c r="T4570" t="s">
        <v>11720</v>
      </c>
      <c r="U4570" t="s">
        <v>11720</v>
      </c>
      <c r="V4570" t="s">
        <v>11720</v>
      </c>
      <c r="W4570" t="s">
        <v>16235</v>
      </c>
      <c r="X4570">
        <v>7</v>
      </c>
      <c r="Y4570" t="s">
        <v>21943</v>
      </c>
      <c r="Z4570" t="s">
        <v>27777</v>
      </c>
      <c r="AA4570">
        <v>0.41847273622034592</v>
      </c>
      <c r="AB4570" t="str">
        <f>HYPERLINK("Melting_Curves/meltCurve_Q96GG9_DCUN1D1.pdf", "Melting_Curves/meltCurve_Q96GG9_DCUN1D1.pdf")</f>
        <v>Melting_Curves/meltCurve_Q96GG9_DCUN1D1.pdf</v>
      </c>
    </row>
    <row r="4571" spans="1:28" x14ac:dyDescent="0.25">
      <c r="A4571" t="s">
        <v>4575</v>
      </c>
      <c r="B4571">
        <v>0.99334974765950101</v>
      </c>
      <c r="C4571">
        <v>1.04634594928924</v>
      </c>
      <c r="D4571">
        <v>0.97401018309856002</v>
      </c>
      <c r="E4571">
        <v>0.83373845388255596</v>
      </c>
      <c r="F4571">
        <v>0.63443421463465199</v>
      </c>
      <c r="G4571">
        <v>0.37591879189717697</v>
      </c>
      <c r="H4571">
        <v>0.19106444342690099</v>
      </c>
      <c r="I4571">
        <v>0.17870067141933699</v>
      </c>
      <c r="J4571">
        <v>0.118815772137276</v>
      </c>
      <c r="K4571">
        <v>7.9333553851644298E-2</v>
      </c>
      <c r="L4571">
        <v>943.14227317220298</v>
      </c>
      <c r="M4571">
        <v>17.339526612513598</v>
      </c>
      <c r="N4571">
        <v>54.968513423966698</v>
      </c>
      <c r="O4571">
        <v>53.6846201859357</v>
      </c>
      <c r="P4571">
        <v>-7.40447999687565E-2</v>
      </c>
      <c r="Q4571">
        <v>8.3056903650531796E-2</v>
      </c>
      <c r="R4571">
        <v>0.99640691680876203</v>
      </c>
      <c r="S4571" t="s">
        <v>10432</v>
      </c>
      <c r="T4571" t="s">
        <v>11720</v>
      </c>
      <c r="U4571" t="s">
        <v>11720</v>
      </c>
      <c r="V4571" t="s">
        <v>11720</v>
      </c>
      <c r="W4571" t="s">
        <v>16236</v>
      </c>
      <c r="X4571">
        <v>14</v>
      </c>
      <c r="Y4571" t="s">
        <v>21944</v>
      </c>
      <c r="Z4571" t="s">
        <v>27778</v>
      </c>
      <c r="AA4571">
        <v>0.53824771856593412</v>
      </c>
      <c r="AB4571" t="str">
        <f>HYPERLINK("Melting_Curves/meltCurve_Q96GK7_FAHD2A.pdf", "Melting_Curves/meltCurve_Q96GK7_FAHD2A.pdf")</f>
        <v>Melting_Curves/meltCurve_Q96GK7_FAHD2A.pdf</v>
      </c>
    </row>
    <row r="4572" spans="1:28" x14ac:dyDescent="0.25">
      <c r="A4572" t="s">
        <v>4576</v>
      </c>
      <c r="B4572">
        <v>0.99334974765950101</v>
      </c>
      <c r="C4572">
        <v>1.0464663564351699</v>
      </c>
      <c r="D4572">
        <v>0.88228243311195298</v>
      </c>
      <c r="E4572">
        <v>0.86768636502604701</v>
      </c>
      <c r="F4572">
        <v>0.964024674404519</v>
      </c>
      <c r="G4572">
        <v>0.90926534159146299</v>
      </c>
      <c r="H4572">
        <v>0.89163716019870898</v>
      </c>
      <c r="I4572">
        <v>0.91532022140434399</v>
      </c>
      <c r="J4572">
        <v>0.94699483860534395</v>
      </c>
      <c r="K4572">
        <v>0.73761478540657499</v>
      </c>
      <c r="L4572">
        <v>208.613591692114</v>
      </c>
      <c r="M4572">
        <v>1.33524849401502</v>
      </c>
      <c r="Q4572">
        <v>0</v>
      </c>
      <c r="R4572">
        <v>0.36785677230962899</v>
      </c>
      <c r="S4572" t="s">
        <v>10433</v>
      </c>
      <c r="T4572" t="s">
        <v>11720</v>
      </c>
      <c r="U4572" t="s">
        <v>11720</v>
      </c>
      <c r="V4572" t="s">
        <v>11720</v>
      </c>
      <c r="W4572" t="s">
        <v>16237</v>
      </c>
      <c r="X4572">
        <v>12</v>
      </c>
      <c r="Y4572" t="s">
        <v>21945</v>
      </c>
      <c r="Z4572" t="s">
        <v>27779</v>
      </c>
      <c r="AA4572">
        <v>0.91706063299007046</v>
      </c>
      <c r="AB4572" t="str">
        <f>HYPERLINK("Melting_Curves/meltCurve_Q96GP6_2_SCARF2.pdf", "Melting_Curves/meltCurve_Q96GP6_2_SCARF2.pdf")</f>
        <v>Melting_Curves/meltCurve_Q96GP6_2_SCARF2.pdf</v>
      </c>
    </row>
    <row r="4573" spans="1:28" x14ac:dyDescent="0.25">
      <c r="A4573" t="s">
        <v>4577</v>
      </c>
      <c r="B4573">
        <v>0.99334974765950101</v>
      </c>
      <c r="C4573">
        <v>0.98335737871561602</v>
      </c>
      <c r="D4573">
        <v>1.0090154884907201</v>
      </c>
      <c r="E4573">
        <v>0.91194007090054896</v>
      </c>
      <c r="F4573">
        <v>0.70043133334589203</v>
      </c>
      <c r="G4573">
        <v>0.64541837475161501</v>
      </c>
      <c r="H4573">
        <v>0.40663786854116002</v>
      </c>
      <c r="I4573">
        <v>0.29826615102941201</v>
      </c>
      <c r="J4573">
        <v>0.24120048596007701</v>
      </c>
      <c r="K4573">
        <v>0.16719748058182099</v>
      </c>
      <c r="L4573">
        <v>674.95959984764499</v>
      </c>
      <c r="M4573">
        <v>11.535234197285</v>
      </c>
      <c r="N4573">
        <v>59.0487398191962</v>
      </c>
      <c r="O4573">
        <v>56.837231060714998</v>
      </c>
      <c r="P4573">
        <v>-4.8230052483145602E-2</v>
      </c>
      <c r="Q4573">
        <v>4.9696661201027101E-2</v>
      </c>
      <c r="R4573">
        <v>0.98789053095189705</v>
      </c>
      <c r="S4573" t="s">
        <v>10434</v>
      </c>
      <c r="T4573" t="s">
        <v>11720</v>
      </c>
      <c r="U4573" t="s">
        <v>11720</v>
      </c>
      <c r="V4573" t="s">
        <v>11720</v>
      </c>
      <c r="W4573" t="s">
        <v>16238</v>
      </c>
      <c r="X4573">
        <v>10</v>
      </c>
      <c r="Y4573" t="s">
        <v>21946</v>
      </c>
      <c r="Z4573" t="s">
        <v>27780</v>
      </c>
      <c r="AA4573">
        <v>0.64536444226037559</v>
      </c>
      <c r="AB4573" t="str">
        <f>HYPERLINK("Melting_Curves/meltCurve_Q96GS4_C17orf59.pdf", "Melting_Curves/meltCurve_Q96GS4_C17orf59.pdf")</f>
        <v>Melting_Curves/meltCurve_Q96GS4_C17orf59.pdf</v>
      </c>
    </row>
    <row r="4574" spans="1:28" x14ac:dyDescent="0.25">
      <c r="A4574" t="s">
        <v>4578</v>
      </c>
      <c r="B4574">
        <v>0.99334974765950101</v>
      </c>
      <c r="C4574">
        <v>0.87913728069166497</v>
      </c>
      <c r="D4574">
        <v>0.92696264783079196</v>
      </c>
      <c r="E4574">
        <v>0.79766422946697502</v>
      </c>
      <c r="F4574">
        <v>0.81972763973537399</v>
      </c>
      <c r="G4574">
        <v>0.50890270467534504</v>
      </c>
      <c r="H4574">
        <v>0.21980563445159501</v>
      </c>
      <c r="I4574">
        <v>0.15757550342972501</v>
      </c>
      <c r="J4574">
        <v>0.160492823413387</v>
      </c>
      <c r="K4574">
        <v>0.13711990773417401</v>
      </c>
      <c r="L4574">
        <v>856.04636075138706</v>
      </c>
      <c r="M4574">
        <v>15.2175895898995</v>
      </c>
      <c r="N4574">
        <v>56.744502096096703</v>
      </c>
      <c r="O4574">
        <v>55.309133955637499</v>
      </c>
      <c r="P4574">
        <v>-6.4549311135593798E-2</v>
      </c>
      <c r="Q4574">
        <v>6.1657838400641297E-2</v>
      </c>
      <c r="R4574">
        <v>0.96991014815458698</v>
      </c>
      <c r="S4574" t="s">
        <v>10435</v>
      </c>
      <c r="T4574" t="s">
        <v>11720</v>
      </c>
      <c r="U4574" t="s">
        <v>11720</v>
      </c>
      <c r="V4574" t="s">
        <v>11720</v>
      </c>
      <c r="W4574" t="s">
        <v>16239</v>
      </c>
      <c r="X4574">
        <v>6</v>
      </c>
      <c r="Y4574" t="s">
        <v>21947</v>
      </c>
      <c r="Z4574" t="s">
        <v>27781</v>
      </c>
      <c r="AA4574">
        <v>0.58608516698172786</v>
      </c>
      <c r="AB4574" t="str">
        <f>HYPERLINK("Melting_Curves/meltCurve_Q96GS6_ABHD17A.pdf", "Melting_Curves/meltCurve_Q96GS6_ABHD17A.pdf")</f>
        <v>Melting_Curves/meltCurve_Q96GS6_ABHD17A.pdf</v>
      </c>
    </row>
    <row r="4575" spans="1:28" x14ac:dyDescent="0.25">
      <c r="A4575" t="s">
        <v>4579</v>
      </c>
      <c r="B4575">
        <v>0.99334974765950101</v>
      </c>
      <c r="C4575">
        <v>0.98330492021568905</v>
      </c>
      <c r="D4575">
        <v>1.07182463154306</v>
      </c>
      <c r="E4575">
        <v>0.83649305813831398</v>
      </c>
      <c r="F4575">
        <v>0.82993265163762397</v>
      </c>
      <c r="G4575">
        <v>0.57467545719911195</v>
      </c>
      <c r="H4575">
        <v>0.25767826388868698</v>
      </c>
      <c r="I4575">
        <v>0.12025972765675901</v>
      </c>
      <c r="J4575">
        <v>0.121161877549798</v>
      </c>
      <c r="K4575">
        <v>9.6992203620921799E-2</v>
      </c>
      <c r="L4575">
        <v>1031.10079546982</v>
      </c>
      <c r="M4575">
        <v>18.0226172161682</v>
      </c>
      <c r="N4575">
        <v>57.480412625370903</v>
      </c>
      <c r="O4575">
        <v>56.521086318530102</v>
      </c>
      <c r="P4575">
        <v>-7.6497116970021206E-2</v>
      </c>
      <c r="Q4575">
        <v>4.0430827019582602E-2</v>
      </c>
      <c r="R4575">
        <v>0.98536842468373598</v>
      </c>
      <c r="S4575" t="s">
        <v>10436</v>
      </c>
      <c r="T4575" t="s">
        <v>11720</v>
      </c>
      <c r="U4575" t="s">
        <v>11720</v>
      </c>
      <c r="V4575" t="s">
        <v>11720</v>
      </c>
      <c r="W4575" t="s">
        <v>16240</v>
      </c>
      <c r="X4575">
        <v>4</v>
      </c>
      <c r="Y4575" t="s">
        <v>21948</v>
      </c>
      <c r="Z4575" t="s">
        <v>27782</v>
      </c>
      <c r="AA4575">
        <v>0.60385918636480895</v>
      </c>
      <c r="AB4575" t="str">
        <f>HYPERLINK("Melting_Curves/meltCurve_Q96GW9_MARS2.pdf", "Melting_Curves/meltCurve_Q96GW9_MARS2.pdf")</f>
        <v>Melting_Curves/meltCurve_Q96GW9_MARS2.pdf</v>
      </c>
    </row>
    <row r="4576" spans="1:28" x14ac:dyDescent="0.25">
      <c r="A4576" t="s">
        <v>4580</v>
      </c>
      <c r="B4576">
        <v>0.99334974765950101</v>
      </c>
      <c r="C4576">
        <v>1.0382280520245</v>
      </c>
      <c r="D4576">
        <v>0.86326479033803705</v>
      </c>
      <c r="E4576">
        <v>0.67433270843847204</v>
      </c>
      <c r="F4576">
        <v>0.36280503943105102</v>
      </c>
      <c r="G4576">
        <v>0.13739012995857999</v>
      </c>
      <c r="H4576">
        <v>6.8193070414725498E-2</v>
      </c>
      <c r="I4576">
        <v>5.9905244425092999E-2</v>
      </c>
      <c r="J4576">
        <v>5.5141629614766499E-2</v>
      </c>
      <c r="K4576">
        <v>0</v>
      </c>
      <c r="L4576">
        <v>1019.36783040536</v>
      </c>
      <c r="M4576">
        <v>19.817452656244601</v>
      </c>
      <c r="N4576">
        <v>51.567445694474102</v>
      </c>
      <c r="O4576">
        <v>50.922706408541899</v>
      </c>
      <c r="P4576">
        <v>-9.4932228243999897E-2</v>
      </c>
      <c r="Q4576">
        <v>2.4285700847246499E-2</v>
      </c>
      <c r="R4576">
        <v>0.994828064735367</v>
      </c>
      <c r="S4576" t="s">
        <v>10437</v>
      </c>
      <c r="T4576" t="s">
        <v>11720</v>
      </c>
      <c r="U4576" t="s">
        <v>11720</v>
      </c>
      <c r="V4576" t="s">
        <v>11720</v>
      </c>
      <c r="W4576" t="s">
        <v>16241</v>
      </c>
      <c r="X4576">
        <v>2</v>
      </c>
      <c r="Y4576" t="s">
        <v>21949</v>
      </c>
      <c r="Z4576" t="s">
        <v>27783</v>
      </c>
      <c r="AA4576">
        <v>0.4100476391723103</v>
      </c>
      <c r="AB4576" t="str">
        <f>HYPERLINK("Melting_Curves/meltCurve_Q96GX2_ATXN7L3B.pdf", "Melting_Curves/meltCurve_Q96GX2_ATXN7L3B.pdf")</f>
        <v>Melting_Curves/meltCurve_Q96GX2_ATXN7L3B.pdf</v>
      </c>
    </row>
    <row r="4577" spans="1:28" x14ac:dyDescent="0.25">
      <c r="A4577" t="s">
        <v>4581</v>
      </c>
      <c r="B4577">
        <v>0.99334974765950101</v>
      </c>
      <c r="C4577">
        <v>0.99552528210909097</v>
      </c>
      <c r="D4577">
        <v>1.10386718504602</v>
      </c>
      <c r="E4577">
        <v>1.08234350068684</v>
      </c>
      <c r="F4577">
        <v>1.0564907123689999</v>
      </c>
      <c r="G4577">
        <v>1.0189414562252701</v>
      </c>
      <c r="H4577">
        <v>0.88077857102802104</v>
      </c>
      <c r="I4577">
        <v>0.94522319373800301</v>
      </c>
      <c r="J4577">
        <v>0.71303213942895005</v>
      </c>
      <c r="K4577">
        <v>0.57304281762410703</v>
      </c>
      <c r="L4577">
        <v>1555.60055842051</v>
      </c>
      <c r="M4577">
        <v>22.693979959767901</v>
      </c>
      <c r="O4577">
        <v>68.021251873002996</v>
      </c>
      <c r="P4577">
        <v>-5.85934122103254E-2</v>
      </c>
      <c r="Q4577">
        <v>0.29751977521100098</v>
      </c>
      <c r="R4577">
        <v>0.87635679352183204</v>
      </c>
      <c r="S4577" t="s">
        <v>10438</v>
      </c>
      <c r="T4577" t="s">
        <v>11720</v>
      </c>
      <c r="U4577" t="s">
        <v>11720</v>
      </c>
      <c r="V4577" t="s">
        <v>11720</v>
      </c>
      <c r="W4577" t="s">
        <v>16242</v>
      </c>
      <c r="X4577">
        <v>10</v>
      </c>
      <c r="Y4577" t="s">
        <v>21950</v>
      </c>
      <c r="Z4577" t="s">
        <v>27784</v>
      </c>
      <c r="AA4577">
        <v>0.93645885627732828</v>
      </c>
      <c r="AB4577" t="str">
        <f>HYPERLINK("Melting_Curves/meltCurve_Q96GX9_APIP.pdf", "Melting_Curves/meltCurve_Q96GX9_APIP.pdf")</f>
        <v>Melting_Curves/meltCurve_Q96GX9_APIP.pdf</v>
      </c>
    </row>
    <row r="4578" spans="1:28" x14ac:dyDescent="0.25">
      <c r="A4578" t="s">
        <v>4582</v>
      </c>
      <c r="B4578">
        <v>0.99334974765950101</v>
      </c>
      <c r="C4578">
        <v>0.999227831547018</v>
      </c>
      <c r="D4578">
        <v>0.92960751704503797</v>
      </c>
      <c r="E4578">
        <v>0.908811605570923</v>
      </c>
      <c r="F4578">
        <v>0.58593028340696596</v>
      </c>
      <c r="G4578">
        <v>0.56954218279902102</v>
      </c>
      <c r="H4578">
        <v>0.38880712970333697</v>
      </c>
      <c r="I4578">
        <v>0.22409784127358401</v>
      </c>
      <c r="J4578">
        <v>0.19509938750189201</v>
      </c>
      <c r="K4578">
        <v>0.17491158479576699</v>
      </c>
      <c r="L4578">
        <v>641.94018876121095</v>
      </c>
      <c r="M4578">
        <v>11.3356779435675</v>
      </c>
      <c r="N4578">
        <v>57.350256731950701</v>
      </c>
      <c r="O4578">
        <v>54.953557501800397</v>
      </c>
      <c r="P4578">
        <v>-4.8162731567091603E-2</v>
      </c>
      <c r="Q4578">
        <v>6.6339722235498902E-2</v>
      </c>
      <c r="R4578">
        <v>0.97405953575093795</v>
      </c>
      <c r="S4578" t="s">
        <v>10439</v>
      </c>
      <c r="T4578" t="s">
        <v>11720</v>
      </c>
      <c r="U4578" t="s">
        <v>11720</v>
      </c>
      <c r="V4578" t="s">
        <v>11720</v>
      </c>
      <c r="W4578" t="s">
        <v>16243</v>
      </c>
      <c r="X4578">
        <v>6</v>
      </c>
      <c r="Y4578" t="s">
        <v>21951</v>
      </c>
      <c r="Z4578" t="s">
        <v>27785</v>
      </c>
      <c r="AA4578">
        <v>0.60096299621508764</v>
      </c>
      <c r="AB4578" t="str">
        <f>HYPERLINK("Melting_Curves/meltCurve_Q96GY0_ZC2HC1A.pdf", "Melting_Curves/meltCurve_Q96GY0_ZC2HC1A.pdf")</f>
        <v>Melting_Curves/meltCurve_Q96GY0_ZC2HC1A.pdf</v>
      </c>
    </row>
    <row r="4579" spans="1:28" x14ac:dyDescent="0.25">
      <c r="A4579" t="s">
        <v>4583</v>
      </c>
      <c r="B4579">
        <v>0.99334974765950101</v>
      </c>
      <c r="C4579">
        <v>0.999936841952904</v>
      </c>
      <c r="D4579">
        <v>1.0001991135895301</v>
      </c>
      <c r="E4579">
        <v>0.81261333025752103</v>
      </c>
      <c r="F4579">
        <v>0.40907422546189698</v>
      </c>
      <c r="G4579">
        <v>0.16387592838697701</v>
      </c>
      <c r="H4579">
        <v>0.118855221135197</v>
      </c>
      <c r="I4579">
        <v>9.9544408386706806E-2</v>
      </c>
      <c r="J4579">
        <v>9.7512427682045405E-2</v>
      </c>
      <c r="K4579">
        <v>8.4670653954557099E-2</v>
      </c>
      <c r="L4579">
        <v>1699.79282923353</v>
      </c>
      <c r="M4579">
        <v>32.685254802356603</v>
      </c>
      <c r="N4579">
        <v>52.363458664329002</v>
      </c>
      <c r="O4579">
        <v>51.811373442034999</v>
      </c>
      <c r="P4579">
        <v>-0.14189925857814301</v>
      </c>
      <c r="Q4579">
        <v>0.100271795118824</v>
      </c>
      <c r="R4579">
        <v>0.99944017147379105</v>
      </c>
      <c r="S4579" t="s">
        <v>10440</v>
      </c>
      <c r="T4579" t="s">
        <v>11720</v>
      </c>
      <c r="U4579" t="s">
        <v>11720</v>
      </c>
      <c r="V4579" t="s">
        <v>11720</v>
      </c>
      <c r="W4579" t="s">
        <v>16244</v>
      </c>
      <c r="X4579">
        <v>11</v>
      </c>
      <c r="Y4579" t="s">
        <v>21952</v>
      </c>
      <c r="Z4579" t="s">
        <v>27786</v>
      </c>
      <c r="AA4579">
        <v>0.46515675888497771</v>
      </c>
      <c r="AB4579" t="str">
        <f>HYPERLINK("Melting_Curves/meltCurve_Q96H20_SNF8.pdf", "Melting_Curves/meltCurve_Q96H20_SNF8.pdf")</f>
        <v>Melting_Curves/meltCurve_Q96H20_SNF8.pdf</v>
      </c>
    </row>
    <row r="4580" spans="1:28" x14ac:dyDescent="0.25">
      <c r="A4580" t="s">
        <v>4584</v>
      </c>
      <c r="B4580">
        <v>0.99334974765950101</v>
      </c>
      <c r="C4580">
        <v>1.0209629542024701</v>
      </c>
      <c r="D4580">
        <v>0.73315508937586005</v>
      </c>
      <c r="E4580">
        <v>0.52089070734782605</v>
      </c>
      <c r="F4580">
        <v>0.27430710191152802</v>
      </c>
      <c r="G4580">
        <v>0.196054558110621</v>
      </c>
      <c r="H4580">
        <v>0.154110199248878</v>
      </c>
      <c r="I4580">
        <v>0.15428166379497399</v>
      </c>
      <c r="J4580">
        <v>0.17876682438613001</v>
      </c>
      <c r="K4580">
        <v>0.162097923489079</v>
      </c>
      <c r="L4580">
        <v>955.76145172822305</v>
      </c>
      <c r="M4580">
        <v>19.611902850360799</v>
      </c>
      <c r="N4580">
        <v>49.6630208137286</v>
      </c>
      <c r="O4580">
        <v>48.235545475485999</v>
      </c>
      <c r="P4580">
        <v>-8.6038178301138496E-2</v>
      </c>
      <c r="Q4580">
        <v>0.153585018977761</v>
      </c>
      <c r="R4580">
        <v>0.98790127376354298</v>
      </c>
      <c r="S4580" t="s">
        <v>10441</v>
      </c>
      <c r="T4580" t="s">
        <v>11720</v>
      </c>
      <c r="U4580" t="s">
        <v>11720</v>
      </c>
      <c r="V4580" t="s">
        <v>11720</v>
      </c>
      <c r="W4580" t="s">
        <v>16245</v>
      </c>
      <c r="X4580">
        <v>9</v>
      </c>
      <c r="Y4580" t="s">
        <v>21953</v>
      </c>
      <c r="Z4580" t="s">
        <v>27787</v>
      </c>
      <c r="AA4580">
        <v>0.41237497698772951</v>
      </c>
      <c r="AB4580" t="str">
        <f>HYPERLINK("Melting_Curves/meltCurve_Q96H79_ZC3HAV1L.pdf", "Melting_Curves/meltCurve_Q96H79_ZC3HAV1L.pdf")</f>
        <v>Melting_Curves/meltCurve_Q96H79_ZC3HAV1L.pdf</v>
      </c>
    </row>
    <row r="4581" spans="1:28" x14ac:dyDescent="0.25">
      <c r="A4581" t="s">
        <v>4585</v>
      </c>
      <c r="B4581">
        <v>0.99334974765950101</v>
      </c>
      <c r="C4581">
        <v>0.92248404252430305</v>
      </c>
      <c r="D4581">
        <v>1.02136552314652</v>
      </c>
      <c r="E4581">
        <v>0.79293806323702198</v>
      </c>
      <c r="F4581">
        <v>0.86037603004927199</v>
      </c>
      <c r="G4581">
        <v>0.68384334760069398</v>
      </c>
      <c r="H4581">
        <v>0.53224299705193401</v>
      </c>
      <c r="I4581">
        <v>0.51636613475245197</v>
      </c>
      <c r="J4581">
        <v>0.45365936043970301</v>
      </c>
      <c r="K4581">
        <v>0.41251839348276798</v>
      </c>
      <c r="L4581">
        <v>564.15464318741397</v>
      </c>
      <c r="M4581">
        <v>9.7379948266649592</v>
      </c>
      <c r="N4581">
        <v>64.058929035829706</v>
      </c>
      <c r="O4581">
        <v>55.648631732710399</v>
      </c>
      <c r="P4581">
        <v>-3.0510419881979001E-2</v>
      </c>
      <c r="Q4581">
        <v>0.302957279774136</v>
      </c>
      <c r="R4581">
        <v>0.95627012606606399</v>
      </c>
      <c r="S4581" t="s">
        <v>10442</v>
      </c>
      <c r="T4581" t="s">
        <v>11720</v>
      </c>
      <c r="U4581" t="s">
        <v>11720</v>
      </c>
      <c r="V4581" t="s">
        <v>11720</v>
      </c>
      <c r="W4581" t="s">
        <v>16246</v>
      </c>
      <c r="X4581">
        <v>1</v>
      </c>
      <c r="Y4581" t="s">
        <v>21954</v>
      </c>
      <c r="Z4581" t="s">
        <v>27788</v>
      </c>
      <c r="AA4581">
        <v>0.72643650795498582</v>
      </c>
      <c r="AB4581" t="str">
        <f>HYPERLINK("Melting_Curves/meltCurve_Q96HA4_4_C1orf159.pdf", "Melting_Curves/meltCurve_Q96HA4_4_C1orf159.pdf")</f>
        <v>Melting_Curves/meltCurve_Q96HA4_4_C1orf159.pdf</v>
      </c>
    </row>
    <row r="4582" spans="1:28" x14ac:dyDescent="0.25">
      <c r="A4582" t="s">
        <v>4586</v>
      </c>
      <c r="B4582">
        <v>0.99334974765950101</v>
      </c>
      <c r="C4582">
        <v>0.88565211699253199</v>
      </c>
      <c r="D4582">
        <v>0.72442448122096903</v>
      </c>
      <c r="E4582">
        <v>0.27422603902282899</v>
      </c>
      <c r="F4582">
        <v>0.20941925882560899</v>
      </c>
      <c r="G4582">
        <v>0.102608770922789</v>
      </c>
      <c r="H4582">
        <v>6.5131791177676507E-2</v>
      </c>
      <c r="I4582">
        <v>6.7683068084950795E-2</v>
      </c>
      <c r="J4582">
        <v>7.2952999822070902E-2</v>
      </c>
      <c r="K4582">
        <v>8.2218983946059795E-2</v>
      </c>
      <c r="L4582">
        <v>1007.19660595983</v>
      </c>
      <c r="M4582">
        <v>21.1809983685467</v>
      </c>
      <c r="N4582">
        <v>47.906715079426903</v>
      </c>
      <c r="O4582">
        <v>47.134138593442202</v>
      </c>
      <c r="P4582">
        <v>-0.104191342132733</v>
      </c>
      <c r="Q4582">
        <v>7.2595228081431096E-2</v>
      </c>
      <c r="R4582">
        <v>0.99536206926895698</v>
      </c>
      <c r="S4582" t="s">
        <v>10443</v>
      </c>
      <c r="T4582" t="s">
        <v>11720</v>
      </c>
      <c r="U4582" t="s">
        <v>11720</v>
      </c>
      <c r="V4582" t="s">
        <v>11720</v>
      </c>
      <c r="W4582" t="s">
        <v>16247</v>
      </c>
      <c r="X4582">
        <v>1</v>
      </c>
      <c r="Y4582" t="s">
        <v>21955</v>
      </c>
      <c r="Z4582" t="s">
        <v>27789</v>
      </c>
      <c r="AA4582">
        <v>0.3178183082841321</v>
      </c>
      <c r="AB4582" t="str">
        <f>HYPERLINK("Melting_Curves/meltCurve_Q96HA8_WDYHV1.pdf", "Melting_Curves/meltCurve_Q96HA8_WDYHV1.pdf")</f>
        <v>Melting_Curves/meltCurve_Q96HA8_WDYHV1.pdf</v>
      </c>
    </row>
    <row r="4583" spans="1:28" x14ac:dyDescent="0.25">
      <c r="A4583" t="s">
        <v>4587</v>
      </c>
      <c r="B4583">
        <v>0.99334974765950101</v>
      </c>
      <c r="C4583">
        <v>0.95393281820065201</v>
      </c>
      <c r="D4583">
        <v>0.80758716160105004</v>
      </c>
      <c r="E4583">
        <v>0.57054590184126996</v>
      </c>
      <c r="F4583">
        <v>0.31391756705711799</v>
      </c>
      <c r="G4583">
        <v>0.18946473884249701</v>
      </c>
      <c r="H4583">
        <v>0.15289571436257199</v>
      </c>
      <c r="I4583">
        <v>0.14567121189885199</v>
      </c>
      <c r="J4583">
        <v>0.16643703883060201</v>
      </c>
      <c r="K4583">
        <v>0.14943297160637201</v>
      </c>
      <c r="L4583">
        <v>926.38507563649</v>
      </c>
      <c r="M4583">
        <v>18.6947958078106</v>
      </c>
      <c r="N4583">
        <v>50.420663643079898</v>
      </c>
      <c r="O4583">
        <v>48.996562260180802</v>
      </c>
      <c r="P4583">
        <v>-8.2272938934000894E-2</v>
      </c>
      <c r="Q4583">
        <v>0.13753139911755999</v>
      </c>
      <c r="R4583">
        <v>0.99680405501554004</v>
      </c>
      <c r="S4583" t="s">
        <v>10444</v>
      </c>
      <c r="T4583" t="s">
        <v>11720</v>
      </c>
      <c r="U4583" t="s">
        <v>11720</v>
      </c>
      <c r="V4583" t="s">
        <v>11720</v>
      </c>
      <c r="W4583" t="s">
        <v>16248</v>
      </c>
      <c r="X4583">
        <v>24</v>
      </c>
      <c r="Y4583" t="s">
        <v>21956</v>
      </c>
      <c r="Z4583" t="s">
        <v>27790</v>
      </c>
      <c r="AA4583">
        <v>0.42591934697510342</v>
      </c>
      <c r="AB4583" t="str">
        <f>HYPERLINK("Melting_Curves/meltCurve_Q96HC4_PDLIM5.pdf", "Melting_Curves/meltCurve_Q96HC4_PDLIM5.pdf")</f>
        <v>Melting_Curves/meltCurve_Q96HC4_PDLIM5.pdf</v>
      </c>
    </row>
    <row r="4584" spans="1:28" x14ac:dyDescent="0.25">
      <c r="A4584" t="s">
        <v>4588</v>
      </c>
      <c r="B4584">
        <v>0.99334974765950101</v>
      </c>
      <c r="C4584">
        <v>0.96167662726701497</v>
      </c>
      <c r="D4584">
        <v>1.0389008789890599</v>
      </c>
      <c r="E4584">
        <v>0.904181546782169</v>
      </c>
      <c r="F4584">
        <v>0.91383974068387597</v>
      </c>
      <c r="G4584">
        <v>0.82965873745160001</v>
      </c>
      <c r="H4584">
        <v>0.72810835866528201</v>
      </c>
      <c r="I4584">
        <v>0.75006563640292401</v>
      </c>
      <c r="J4584">
        <v>0.65045629336278499</v>
      </c>
      <c r="K4584">
        <v>0.47379330746643999</v>
      </c>
      <c r="L4584">
        <v>487.28200468967498</v>
      </c>
      <c r="M4584">
        <v>6.8325364596691998</v>
      </c>
      <c r="O4584">
        <v>65.957570477530794</v>
      </c>
      <c r="P4584">
        <v>-2.5949927005398998E-2</v>
      </c>
      <c r="Q4584">
        <v>0</v>
      </c>
      <c r="R4584">
        <v>0.93765912135717699</v>
      </c>
      <c r="S4584" t="s">
        <v>10445</v>
      </c>
      <c r="T4584" t="s">
        <v>11720</v>
      </c>
      <c r="U4584" t="s">
        <v>11720</v>
      </c>
      <c r="V4584" t="s">
        <v>11720</v>
      </c>
      <c r="W4584" t="s">
        <v>16249</v>
      </c>
      <c r="X4584">
        <v>19</v>
      </c>
      <c r="Y4584" t="s">
        <v>21957</v>
      </c>
      <c r="Z4584" t="s">
        <v>27791</v>
      </c>
      <c r="AA4584">
        <v>0.83860401397080142</v>
      </c>
      <c r="AB4584" t="str">
        <f>HYPERLINK("Melting_Curves/meltCurve_Q96HD1_CRELD1.pdf", "Melting_Curves/meltCurve_Q96HD1_CRELD1.pdf")</f>
        <v>Melting_Curves/meltCurve_Q96HD1_CRELD1.pdf</v>
      </c>
    </row>
    <row r="4585" spans="1:28" x14ac:dyDescent="0.25">
      <c r="A4585" t="s">
        <v>4589</v>
      </c>
      <c r="B4585">
        <v>0.99334974765950101</v>
      </c>
      <c r="C4585">
        <v>1.04094068246565</v>
      </c>
      <c r="D4585">
        <v>0.95701936832929702</v>
      </c>
      <c r="E4585">
        <v>0.84122778925633501</v>
      </c>
      <c r="F4585">
        <v>0.450655192001993</v>
      </c>
      <c r="G4585">
        <v>0.186556637898877</v>
      </c>
      <c r="H4585">
        <v>0.13030488633979401</v>
      </c>
      <c r="I4585">
        <v>0.121180153786822</v>
      </c>
      <c r="J4585">
        <v>0.106083540023308</v>
      </c>
      <c r="K4585">
        <v>9.7330869143194401E-2</v>
      </c>
      <c r="L4585">
        <v>1640.0502432728199</v>
      </c>
      <c r="M4585">
        <v>31.375790112406101</v>
      </c>
      <c r="N4585">
        <v>52.6978525411823</v>
      </c>
      <c r="O4585">
        <v>52.060239599081598</v>
      </c>
      <c r="P4585">
        <v>-0.13377160402529001</v>
      </c>
      <c r="Q4585">
        <v>0.112163397479836</v>
      </c>
      <c r="R4585">
        <v>0.997685710663477</v>
      </c>
      <c r="S4585" t="s">
        <v>10446</v>
      </c>
      <c r="T4585" t="s">
        <v>11720</v>
      </c>
      <c r="U4585" t="s">
        <v>11720</v>
      </c>
      <c r="V4585" t="s">
        <v>11720</v>
      </c>
      <c r="W4585" t="s">
        <v>16250</v>
      </c>
      <c r="X4585">
        <v>26</v>
      </c>
      <c r="Y4585" t="s">
        <v>21958</v>
      </c>
      <c r="Z4585" t="s">
        <v>27792</v>
      </c>
      <c r="AA4585">
        <v>0.48053625242117792</v>
      </c>
      <c r="AB4585" t="str">
        <f>HYPERLINK("Melting_Curves/meltCurve_Q96HE7_ERO1L.pdf", "Melting_Curves/meltCurve_Q96HE7_ERO1L.pdf")</f>
        <v>Melting_Curves/meltCurve_Q96HE7_ERO1L.pdf</v>
      </c>
    </row>
    <row r="4586" spans="1:28" x14ac:dyDescent="0.25">
      <c r="A4586" t="s">
        <v>4590</v>
      </c>
      <c r="B4586">
        <v>0.99334974765950101</v>
      </c>
      <c r="C4586">
        <v>0.85457933862220403</v>
      </c>
      <c r="D4586">
        <v>0.87928881904812295</v>
      </c>
      <c r="E4586">
        <v>0.82277964471757203</v>
      </c>
      <c r="F4586">
        <v>0.80401333446372103</v>
      </c>
      <c r="G4586">
        <v>0.75015157694563195</v>
      </c>
      <c r="H4586">
        <v>0.54164600054569001</v>
      </c>
      <c r="I4586">
        <v>0.33366438910885099</v>
      </c>
      <c r="J4586">
        <v>0.20874758029361901</v>
      </c>
      <c r="K4586">
        <v>0.12752595067024899</v>
      </c>
      <c r="L4586">
        <v>662.13995747387105</v>
      </c>
      <c r="M4586">
        <v>10.949068037750299</v>
      </c>
      <c r="N4586">
        <v>60.474549560202298</v>
      </c>
      <c r="O4586">
        <v>58.5622271140574</v>
      </c>
      <c r="P4586">
        <v>-4.6757221706653099E-2</v>
      </c>
      <c r="Q4586">
        <v>0</v>
      </c>
      <c r="R4586">
        <v>0.93912879129431903</v>
      </c>
      <c r="S4586" t="s">
        <v>10447</v>
      </c>
      <c r="T4586" t="s">
        <v>11720</v>
      </c>
      <c r="U4586" t="s">
        <v>11720</v>
      </c>
      <c r="V4586" t="s">
        <v>11720</v>
      </c>
      <c r="W4586" t="s">
        <v>16251</v>
      </c>
      <c r="X4586">
        <v>3</v>
      </c>
      <c r="Y4586" t="s">
        <v>21959</v>
      </c>
      <c r="Z4586" t="s">
        <v>27793</v>
      </c>
      <c r="AA4586">
        <v>0.67863266817715995</v>
      </c>
      <c r="AB4586" t="str">
        <f>HYPERLINK("Melting_Curves/meltCurve_Q96HJ9_C7orf55.pdf", "Melting_Curves/meltCurve_Q96HJ9_C7orf55.pdf")</f>
        <v>Melting_Curves/meltCurve_Q96HJ9_C7orf55.pdf</v>
      </c>
    </row>
    <row r="4587" spans="1:28" x14ac:dyDescent="0.25">
      <c r="A4587" t="s">
        <v>4591</v>
      </c>
      <c r="B4587">
        <v>0.99334974765950101</v>
      </c>
      <c r="C4587">
        <v>1.03712385252469</v>
      </c>
      <c r="D4587">
        <v>0.89110630520274703</v>
      </c>
      <c r="E4587">
        <v>1.06365516339938</v>
      </c>
      <c r="F4587">
        <v>1.0799795784064099</v>
      </c>
      <c r="G4587">
        <v>1.04417501580501</v>
      </c>
      <c r="H4587">
        <v>1.05920917966646</v>
      </c>
      <c r="I4587">
        <v>1.5353716585683299</v>
      </c>
      <c r="J4587">
        <v>1.3916085907689499</v>
      </c>
      <c r="K4587">
        <v>0.78594953208134599</v>
      </c>
      <c r="L4587">
        <v>15000</v>
      </c>
      <c r="M4587">
        <v>244.799584208418</v>
      </c>
      <c r="O4587">
        <v>61.270524346747898</v>
      </c>
      <c r="P4587">
        <v>0.23736480732806001</v>
      </c>
      <c r="Q4587">
        <v>1.23763874007991</v>
      </c>
      <c r="R4587">
        <v>0.217746973696087</v>
      </c>
      <c r="S4587" t="s">
        <v>10448</v>
      </c>
      <c r="T4587" t="s">
        <v>11720</v>
      </c>
      <c r="U4587" t="s">
        <v>11720</v>
      </c>
      <c r="V4587" t="s">
        <v>11720</v>
      </c>
      <c r="W4587" t="s">
        <v>16252</v>
      </c>
      <c r="X4587">
        <v>3</v>
      </c>
      <c r="Y4587" t="s">
        <v>21960</v>
      </c>
      <c r="Z4587" t="s">
        <v>27794</v>
      </c>
      <c r="AA4587">
        <v>1.0690896732366459</v>
      </c>
      <c r="AB4587" t="str">
        <f>HYPERLINK("Melting_Curves/meltCurve_Q96HQ2_2_CDKN2AIPNL.pdf", "Melting_Curves/meltCurve_Q96HQ2_2_CDKN2AIPNL.pdf")</f>
        <v>Melting_Curves/meltCurve_Q96HQ2_2_CDKN2AIPNL.pdf</v>
      </c>
    </row>
    <row r="4588" spans="1:28" x14ac:dyDescent="0.25">
      <c r="A4588" t="s">
        <v>4592</v>
      </c>
      <c r="B4588">
        <v>0.99334974765950101</v>
      </c>
      <c r="C4588">
        <v>1.1121242171378101</v>
      </c>
      <c r="D4588">
        <v>1.16453349752987</v>
      </c>
      <c r="E4588">
        <v>1.16375361681109</v>
      </c>
      <c r="F4588">
        <v>0.93147174196960003</v>
      </c>
      <c r="G4588">
        <v>0.69251702407472904</v>
      </c>
      <c r="H4588">
        <v>0.73564864583681699</v>
      </c>
      <c r="I4588">
        <v>0.59898438191750603</v>
      </c>
      <c r="J4588">
        <v>0.93536764354215995</v>
      </c>
      <c r="K4588">
        <v>0.67659643410598602</v>
      </c>
      <c r="L4588">
        <v>13307.7251011597</v>
      </c>
      <c r="M4588">
        <v>250</v>
      </c>
      <c r="O4588">
        <v>53.227493992223799</v>
      </c>
      <c r="P4588">
        <v>-0.31959185678968599</v>
      </c>
      <c r="Q4588">
        <v>0.72782282218530903</v>
      </c>
      <c r="R4588">
        <v>0.67959396195382504</v>
      </c>
      <c r="S4588" t="s">
        <v>10449</v>
      </c>
      <c r="T4588" t="s">
        <v>11720</v>
      </c>
      <c r="U4588" t="s">
        <v>11720</v>
      </c>
      <c r="V4588" t="s">
        <v>11720</v>
      </c>
      <c r="W4588" t="s">
        <v>16253</v>
      </c>
      <c r="X4588">
        <v>2</v>
      </c>
      <c r="Y4588" t="s">
        <v>21961</v>
      </c>
      <c r="Z4588" t="s">
        <v>27795</v>
      </c>
      <c r="AA4588">
        <v>0.84788655321715967</v>
      </c>
      <c r="AB4588" t="str">
        <f>HYPERLINK("Melting_Curves/meltCurve_Q96HR9_REEP6.pdf", "Melting_Curves/meltCurve_Q96HR9_REEP6.pdf")</f>
        <v>Melting_Curves/meltCurve_Q96HR9_REEP6.pdf</v>
      </c>
    </row>
    <row r="4589" spans="1:28" x14ac:dyDescent="0.25">
      <c r="A4589" t="s">
        <v>4593</v>
      </c>
      <c r="B4589">
        <v>0.99334974765950101</v>
      </c>
      <c r="C4589">
        <v>1.1038480624621401</v>
      </c>
      <c r="D4589">
        <v>1.2889231052279</v>
      </c>
      <c r="E4589">
        <v>1.4055525238076201</v>
      </c>
      <c r="F4589">
        <v>1.4102112302436001</v>
      </c>
      <c r="G4589">
        <v>2.53049686488903</v>
      </c>
      <c r="H4589">
        <v>2.32725349885613</v>
      </c>
      <c r="I4589">
        <v>1.86037369368692</v>
      </c>
      <c r="J4589">
        <v>0.59844701934806599</v>
      </c>
      <c r="K4589">
        <v>0.30445016223663901</v>
      </c>
      <c r="L4589">
        <v>15000</v>
      </c>
      <c r="M4589">
        <v>224.19131380102601</v>
      </c>
      <c r="N4589">
        <v>67.1883711976173</v>
      </c>
      <c r="O4589">
        <v>66.901833890638997</v>
      </c>
      <c r="P4589">
        <v>-0.58277179704370696</v>
      </c>
      <c r="Q4589">
        <v>0.30437104246112301</v>
      </c>
      <c r="R4589">
        <v>-0.183275413617696</v>
      </c>
      <c r="S4589" t="s">
        <v>10450</v>
      </c>
      <c r="T4589" t="s">
        <v>11720</v>
      </c>
      <c r="U4589" t="s">
        <v>11720</v>
      </c>
      <c r="V4589" t="s">
        <v>11720</v>
      </c>
      <c r="W4589" t="s">
        <v>16254</v>
      </c>
      <c r="X4589">
        <v>4</v>
      </c>
      <c r="Y4589" t="s">
        <v>21962</v>
      </c>
      <c r="Z4589" t="s">
        <v>27796</v>
      </c>
      <c r="AA4589">
        <v>0.92838513418987378</v>
      </c>
      <c r="AB4589" t="str">
        <f>HYPERLINK("Melting_Curves/meltCurve_Q96HS1_PGAM5.pdf", "Melting_Curves/meltCurve_Q96HS1_PGAM5.pdf")</f>
        <v>Melting_Curves/meltCurve_Q96HS1_PGAM5.pdf</v>
      </c>
    </row>
    <row r="4590" spans="1:28" x14ac:dyDescent="0.25">
      <c r="A4590" t="s">
        <v>4594</v>
      </c>
      <c r="B4590">
        <v>0.99334974765950101</v>
      </c>
      <c r="C4590">
        <v>0.94304325578994797</v>
      </c>
      <c r="D4590">
        <v>0.98021711857191196</v>
      </c>
      <c r="E4590">
        <v>0.91026061805243097</v>
      </c>
      <c r="F4590">
        <v>1.4391512354849401</v>
      </c>
      <c r="G4590">
        <v>0.96934632446900504</v>
      </c>
      <c r="H4590">
        <v>0.93794652254058797</v>
      </c>
      <c r="I4590">
        <v>0.99774510491827595</v>
      </c>
      <c r="J4590">
        <v>1.21522362209184</v>
      </c>
      <c r="K4590">
        <v>1.02665539102863</v>
      </c>
      <c r="L4590">
        <v>12830.9681242888</v>
      </c>
      <c r="M4590">
        <v>250</v>
      </c>
      <c r="O4590">
        <v>51.320591319883498</v>
      </c>
      <c r="P4590">
        <v>0.118913219109462</v>
      </c>
      <c r="Q4590">
        <v>1.0976431413109999</v>
      </c>
      <c r="R4590">
        <v>0.16772176820460299</v>
      </c>
      <c r="S4590" t="s">
        <v>10451</v>
      </c>
      <c r="T4590" t="s">
        <v>11720</v>
      </c>
      <c r="U4590" t="s">
        <v>11720</v>
      </c>
      <c r="V4590" t="s">
        <v>11720</v>
      </c>
      <c r="W4590" t="s">
        <v>16255</v>
      </c>
      <c r="X4590">
        <v>15</v>
      </c>
      <c r="Y4590" t="s">
        <v>21963</v>
      </c>
      <c r="Z4590" t="s">
        <v>27797</v>
      </c>
      <c r="AA4590">
        <v>1.060777730258722</v>
      </c>
      <c r="AB4590" t="str">
        <f>HYPERLINK("Melting_Curves/meltCurve_Q96HY6_DDRGK1.pdf", "Melting_Curves/meltCurve_Q96HY6_DDRGK1.pdf")</f>
        <v>Melting_Curves/meltCurve_Q96HY6_DDRGK1.pdf</v>
      </c>
    </row>
    <row r="4591" spans="1:28" x14ac:dyDescent="0.25">
      <c r="A4591" t="s">
        <v>4595</v>
      </c>
      <c r="B4591">
        <v>0.99334974765950101</v>
      </c>
      <c r="C4591">
        <v>0.97355395963883895</v>
      </c>
      <c r="D4591">
        <v>0.99545384319195995</v>
      </c>
      <c r="E4591">
        <v>0.87507207974912804</v>
      </c>
      <c r="F4591">
        <v>0.70277363424950401</v>
      </c>
      <c r="G4591">
        <v>0.47938936019787898</v>
      </c>
      <c r="H4591">
        <v>0.216643715110408</v>
      </c>
      <c r="I4591">
        <v>0.14023995828156999</v>
      </c>
      <c r="J4591">
        <v>6.7876047367216905E-2</v>
      </c>
      <c r="K4591">
        <v>4.4741627933193702E-2</v>
      </c>
      <c r="L4591">
        <v>873.58411813405598</v>
      </c>
      <c r="M4591">
        <v>15.516208111766099</v>
      </c>
      <c r="N4591">
        <v>56.301376039977796</v>
      </c>
      <c r="O4591">
        <v>55.391076714948397</v>
      </c>
      <c r="P4591">
        <v>-7.0036470229275699E-2</v>
      </c>
      <c r="Q4591">
        <v>0</v>
      </c>
      <c r="R4591">
        <v>0.99824602852769395</v>
      </c>
      <c r="S4591" t="s">
        <v>10452</v>
      </c>
      <c r="T4591" t="s">
        <v>11720</v>
      </c>
      <c r="U4591" t="s">
        <v>11720</v>
      </c>
      <c r="V4591" t="s">
        <v>11720</v>
      </c>
      <c r="W4591" t="s">
        <v>16256</v>
      </c>
      <c r="X4591">
        <v>8</v>
      </c>
      <c r="Y4591" t="s">
        <v>21964</v>
      </c>
      <c r="Z4591" t="s">
        <v>27798</v>
      </c>
      <c r="AA4591">
        <v>0.5601226943409674</v>
      </c>
      <c r="AB4591" t="str">
        <f>HYPERLINK("Melting_Curves/meltCurve_Q96I15_SCLY.pdf", "Melting_Curves/meltCurve_Q96I15_SCLY.pdf")</f>
        <v>Melting_Curves/meltCurve_Q96I15_SCLY.pdf</v>
      </c>
    </row>
    <row r="4592" spans="1:28" x14ac:dyDescent="0.25">
      <c r="A4592" t="s">
        <v>4596</v>
      </c>
      <c r="B4592">
        <v>0.99334974765950101</v>
      </c>
      <c r="C4592">
        <v>1.02445531753101</v>
      </c>
      <c r="D4592">
        <v>0.86975304403675402</v>
      </c>
      <c r="E4592">
        <v>0.65906606372727605</v>
      </c>
      <c r="F4592">
        <v>0.94368421336844099</v>
      </c>
      <c r="G4592">
        <v>0.50688038529520696</v>
      </c>
      <c r="H4592">
        <v>0.48543944916689502</v>
      </c>
      <c r="I4592">
        <v>0.42637199957104899</v>
      </c>
      <c r="J4592">
        <v>0.561225509719671</v>
      </c>
      <c r="K4592">
        <v>0.50701273989006002</v>
      </c>
      <c r="L4592">
        <v>636.13305553655596</v>
      </c>
      <c r="M4592">
        <v>12.157257633238601</v>
      </c>
      <c r="N4592">
        <v>64.540385842515605</v>
      </c>
      <c r="O4592">
        <v>50.969982160188003</v>
      </c>
      <c r="P4592">
        <v>-3.2808771617169101E-2</v>
      </c>
      <c r="Q4592">
        <v>0.44991564732629902</v>
      </c>
      <c r="R4592">
        <v>0.78519806900262401</v>
      </c>
      <c r="S4592" t="s">
        <v>10453</v>
      </c>
      <c r="T4592" t="s">
        <v>11720</v>
      </c>
      <c r="U4592" t="s">
        <v>11720</v>
      </c>
      <c r="V4592" t="s">
        <v>11720</v>
      </c>
      <c r="W4592" t="s">
        <v>16257</v>
      </c>
      <c r="X4592">
        <v>1</v>
      </c>
      <c r="Y4592" t="s">
        <v>21965</v>
      </c>
      <c r="Z4592" t="s">
        <v>27799</v>
      </c>
      <c r="AA4592">
        <v>0.69211489567341045</v>
      </c>
      <c r="AB4592" t="str">
        <f>HYPERLINK("Melting_Curves/meltCurve_Q96I23_PYURF.pdf", "Melting_Curves/meltCurve_Q96I23_PYURF.pdf")</f>
        <v>Melting_Curves/meltCurve_Q96I23_PYURF.pdf</v>
      </c>
    </row>
    <row r="4593" spans="1:28" x14ac:dyDescent="0.25">
      <c r="A4593" t="s">
        <v>4597</v>
      </c>
      <c r="B4593">
        <v>0.99334974765950101</v>
      </c>
      <c r="C4593">
        <v>1.0377722442079</v>
      </c>
      <c r="D4593">
        <v>0.77042334706024396</v>
      </c>
      <c r="E4593">
        <v>0.52819320070282505</v>
      </c>
      <c r="F4593">
        <v>0.242191440905725</v>
      </c>
      <c r="G4593">
        <v>0.17933535845096499</v>
      </c>
      <c r="H4593">
        <v>0.14337493784291899</v>
      </c>
      <c r="I4593">
        <v>0.132457212037948</v>
      </c>
      <c r="J4593">
        <v>0.103887524893302</v>
      </c>
      <c r="K4593">
        <v>9.6775161407006802E-2</v>
      </c>
      <c r="L4593">
        <v>1000.01713479004</v>
      </c>
      <c r="M4593">
        <v>20.312791639240899</v>
      </c>
      <c r="N4593">
        <v>49.848066070170098</v>
      </c>
      <c r="O4593">
        <v>48.7612051064025</v>
      </c>
      <c r="P4593">
        <v>-9.2568429945244099E-2</v>
      </c>
      <c r="Q4593">
        <v>0.111178651275171</v>
      </c>
      <c r="R4593">
        <v>0.98924096423797403</v>
      </c>
      <c r="S4593" t="s">
        <v>10454</v>
      </c>
      <c r="T4593" t="s">
        <v>11720</v>
      </c>
      <c r="U4593" t="s">
        <v>11720</v>
      </c>
      <c r="V4593" t="s">
        <v>11720</v>
      </c>
      <c r="W4593" t="s">
        <v>16258</v>
      </c>
      <c r="X4593">
        <v>16</v>
      </c>
      <c r="Y4593" t="s">
        <v>21966</v>
      </c>
      <c r="Z4593" t="s">
        <v>27800</v>
      </c>
      <c r="AA4593">
        <v>0.39670956231413501</v>
      </c>
      <c r="AB4593" t="str">
        <f>HYPERLINK("Melting_Curves/meltCurve_Q96I24_FUBP3.pdf", "Melting_Curves/meltCurve_Q96I24_FUBP3.pdf")</f>
        <v>Melting_Curves/meltCurve_Q96I24_FUBP3.pdf</v>
      </c>
    </row>
    <row r="4594" spans="1:28" x14ac:dyDescent="0.25">
      <c r="A4594" t="s">
        <v>4598</v>
      </c>
      <c r="B4594">
        <v>0.99334974765950101</v>
      </c>
      <c r="C4594">
        <v>0.91460085293654803</v>
      </c>
      <c r="D4594">
        <v>0.816303669102173</v>
      </c>
      <c r="E4594">
        <v>0.61871004511438599</v>
      </c>
      <c r="F4594">
        <v>0.36293527499774603</v>
      </c>
      <c r="G4594">
        <v>0.214797749268789</v>
      </c>
      <c r="H4594">
        <v>0.16812338322078099</v>
      </c>
      <c r="I4594">
        <v>0.19025401148889901</v>
      </c>
      <c r="J4594">
        <v>0.18747217697027599</v>
      </c>
      <c r="K4594">
        <v>0.183290452347316</v>
      </c>
      <c r="L4594">
        <v>855.65732733711604</v>
      </c>
      <c r="M4594">
        <v>17.164465685969699</v>
      </c>
      <c r="N4594">
        <v>50.988815062112003</v>
      </c>
      <c r="O4594">
        <v>49.188620719484398</v>
      </c>
      <c r="P4594">
        <v>-7.3357788780806898E-2</v>
      </c>
      <c r="Q4594">
        <v>0.159157336794848</v>
      </c>
      <c r="R4594">
        <v>0.99294665064585297</v>
      </c>
      <c r="S4594" t="s">
        <v>10455</v>
      </c>
      <c r="T4594" t="s">
        <v>11720</v>
      </c>
      <c r="U4594" t="s">
        <v>11720</v>
      </c>
      <c r="V4594" t="s">
        <v>11720</v>
      </c>
      <c r="W4594" t="s">
        <v>16259</v>
      </c>
      <c r="X4594">
        <v>7</v>
      </c>
      <c r="Y4594" t="s">
        <v>21967</v>
      </c>
      <c r="Z4594" t="s">
        <v>27801</v>
      </c>
      <c r="AA4594">
        <v>0.45097368285945028</v>
      </c>
      <c r="AB4594" t="str">
        <f>HYPERLINK("Melting_Curves/meltCurve_Q96I25_RBM17.pdf", "Melting_Curves/meltCurve_Q96I25_RBM17.pdf")</f>
        <v>Melting_Curves/meltCurve_Q96I25_RBM17.pdf</v>
      </c>
    </row>
    <row r="4595" spans="1:28" x14ac:dyDescent="0.25">
      <c r="A4595" t="s">
        <v>4599</v>
      </c>
      <c r="B4595">
        <v>0.99334974765950101</v>
      </c>
      <c r="C4595">
        <v>0.88937637217615695</v>
      </c>
      <c r="D4595">
        <v>0.762681042105254</v>
      </c>
      <c r="E4595">
        <v>0.90569471374507005</v>
      </c>
      <c r="F4595">
        <v>1.19443023818417</v>
      </c>
      <c r="G4595">
        <v>1.0527172944870899</v>
      </c>
      <c r="H4595">
        <v>1.36913991993097</v>
      </c>
      <c r="I4595">
        <v>1.0801140644884499</v>
      </c>
      <c r="J4595">
        <v>1.47702564955499</v>
      </c>
      <c r="K4595">
        <v>0.84865189578405598</v>
      </c>
      <c r="L4595">
        <v>12900.5272666166</v>
      </c>
      <c r="M4595">
        <v>250</v>
      </c>
      <c r="O4595">
        <v>51.598806870150398</v>
      </c>
      <c r="P4595">
        <v>0.20636932271133299</v>
      </c>
      <c r="Q4595">
        <v>1.17037457303629</v>
      </c>
      <c r="R4595">
        <v>0.29523816956502702</v>
      </c>
      <c r="S4595" t="s">
        <v>10456</v>
      </c>
      <c r="T4595" t="s">
        <v>11720</v>
      </c>
      <c r="U4595" t="s">
        <v>11720</v>
      </c>
      <c r="V4595" t="s">
        <v>11720</v>
      </c>
      <c r="W4595" t="s">
        <v>16260</v>
      </c>
      <c r="X4595">
        <v>1</v>
      </c>
      <c r="Y4595" t="s">
        <v>21968</v>
      </c>
      <c r="Z4595" t="s">
        <v>27802</v>
      </c>
      <c r="AA4595">
        <v>1.104468997811253</v>
      </c>
      <c r="AB4595" t="str">
        <f>HYPERLINK("Melting_Curves/meltCurve_Q96I36_COX14.pdf", "Melting_Curves/meltCurve_Q96I36_COX14.pdf")</f>
        <v>Melting_Curves/meltCurve_Q96I36_COX14.pdf</v>
      </c>
    </row>
    <row r="4596" spans="1:28" x14ac:dyDescent="0.25">
      <c r="A4596" t="s">
        <v>4600</v>
      </c>
      <c r="B4596">
        <v>0.99334974765950101</v>
      </c>
      <c r="C4596">
        <v>0.94952907470914305</v>
      </c>
      <c r="D4596">
        <v>1.0209150343950999</v>
      </c>
      <c r="E4596">
        <v>0.86299610170848895</v>
      </c>
      <c r="F4596">
        <v>0.84903752591339499</v>
      </c>
      <c r="G4596">
        <v>0.74102529334641198</v>
      </c>
      <c r="H4596">
        <v>0.55126571592600604</v>
      </c>
      <c r="I4596">
        <v>0.55856226830184896</v>
      </c>
      <c r="J4596">
        <v>0.30909793368096899</v>
      </c>
      <c r="K4596">
        <v>0.14784837156324801</v>
      </c>
      <c r="L4596">
        <v>668.463417879806</v>
      </c>
      <c r="M4596">
        <v>10.6976427810595</v>
      </c>
      <c r="N4596">
        <v>62.486982571256398</v>
      </c>
      <c r="O4596">
        <v>60.4221445706224</v>
      </c>
      <c r="P4596">
        <v>-4.42787187072737E-2</v>
      </c>
      <c r="Q4596">
        <v>0</v>
      </c>
      <c r="R4596">
        <v>0.95845458271532002</v>
      </c>
      <c r="S4596" t="s">
        <v>10457</v>
      </c>
      <c r="T4596" t="s">
        <v>11720</v>
      </c>
      <c r="U4596" t="s">
        <v>11720</v>
      </c>
      <c r="V4596" t="s">
        <v>11720</v>
      </c>
      <c r="W4596" t="s">
        <v>16261</v>
      </c>
      <c r="X4596">
        <v>6</v>
      </c>
      <c r="Y4596" t="s">
        <v>21969</v>
      </c>
      <c r="Z4596" t="s">
        <v>27803</v>
      </c>
      <c r="AA4596">
        <v>0.72785936574385302</v>
      </c>
      <c r="AB4596" t="str">
        <f>HYPERLINK("Melting_Curves/meltCurve_Q96I51_WBSCR16.pdf", "Melting_Curves/meltCurve_Q96I51_WBSCR16.pdf")</f>
        <v>Melting_Curves/meltCurve_Q96I51_WBSCR16.pdf</v>
      </c>
    </row>
    <row r="4597" spans="1:28" x14ac:dyDescent="0.25">
      <c r="A4597" t="s">
        <v>4601</v>
      </c>
      <c r="B4597">
        <v>0.99334974765950101</v>
      </c>
      <c r="C4597">
        <v>1.0643005954306199</v>
      </c>
      <c r="D4597">
        <v>1.0727679971072199</v>
      </c>
      <c r="E4597">
        <v>0.88151472397919794</v>
      </c>
      <c r="F4597">
        <v>0.28430770612415202</v>
      </c>
      <c r="G4597">
        <v>0.118726045216749</v>
      </c>
      <c r="H4597">
        <v>9.0138221536327195E-2</v>
      </c>
      <c r="I4597">
        <v>7.9321185814791001E-2</v>
      </c>
      <c r="J4597">
        <v>7.0498754749992995E-2</v>
      </c>
      <c r="K4597">
        <v>5.72713510359011E-2</v>
      </c>
      <c r="L4597">
        <v>2787.0932102480101</v>
      </c>
      <c r="M4597">
        <v>53.8351769582438</v>
      </c>
      <c r="N4597">
        <v>51.942530437801402</v>
      </c>
      <c r="O4597">
        <v>51.699568502011999</v>
      </c>
      <c r="P4597">
        <v>-0.23911093661723701</v>
      </c>
      <c r="Q4597">
        <v>8.1498372715363504E-2</v>
      </c>
      <c r="R4597">
        <v>0.99415690352837705</v>
      </c>
      <c r="S4597" t="s">
        <v>10458</v>
      </c>
      <c r="T4597" t="s">
        <v>11720</v>
      </c>
      <c r="U4597" t="s">
        <v>11720</v>
      </c>
      <c r="V4597" t="s">
        <v>11720</v>
      </c>
      <c r="W4597" t="s">
        <v>16262</v>
      </c>
      <c r="X4597">
        <v>24</v>
      </c>
      <c r="Y4597" t="s">
        <v>21970</v>
      </c>
      <c r="Z4597" t="s">
        <v>27804</v>
      </c>
      <c r="AA4597">
        <v>0.44369126785083529</v>
      </c>
      <c r="AB4597" t="str">
        <f>HYPERLINK("Melting_Curves/meltCurve_Q96I99_SUCLG2.pdf", "Melting_Curves/meltCurve_Q96I99_SUCLG2.pdf")</f>
        <v>Melting_Curves/meltCurve_Q96I99_SUCLG2.pdf</v>
      </c>
    </row>
    <row r="4598" spans="1:28" x14ac:dyDescent="0.25">
      <c r="A4598" t="s">
        <v>4602</v>
      </c>
      <c r="B4598">
        <v>0.99334974765950101</v>
      </c>
      <c r="C4598">
        <v>0.89569827747562403</v>
      </c>
      <c r="D4598">
        <v>0.88801382907860105</v>
      </c>
      <c r="E4598">
        <v>0.79664481785107799</v>
      </c>
      <c r="F4598">
        <v>0.36223219661016198</v>
      </c>
      <c r="G4598">
        <v>0.195098611010978</v>
      </c>
      <c r="H4598">
        <v>0.121073240362311</v>
      </c>
      <c r="I4598">
        <v>0.112293562824359</v>
      </c>
      <c r="J4598">
        <v>8.9232285987392204E-2</v>
      </c>
      <c r="K4598">
        <v>7.8000480649986603E-2</v>
      </c>
      <c r="L4598">
        <v>1369.79611387211</v>
      </c>
      <c r="M4598">
        <v>26.484125827220101</v>
      </c>
      <c r="N4598">
        <v>52.140932949916802</v>
      </c>
      <c r="O4598">
        <v>51.429202989548102</v>
      </c>
      <c r="P4598">
        <v>-0.116387967154371</v>
      </c>
      <c r="Q4598">
        <v>9.5959876516756498E-2</v>
      </c>
      <c r="R4598">
        <v>0.98313586140631004</v>
      </c>
      <c r="S4598" t="s">
        <v>10459</v>
      </c>
      <c r="T4598" t="s">
        <v>11720</v>
      </c>
      <c r="U4598" t="s">
        <v>11720</v>
      </c>
      <c r="V4598" t="s">
        <v>11720</v>
      </c>
      <c r="W4598" t="s">
        <v>16263</v>
      </c>
      <c r="X4598">
        <v>6</v>
      </c>
      <c r="Y4598" t="s">
        <v>21971</v>
      </c>
      <c r="Z4598" t="s">
        <v>27805</v>
      </c>
      <c r="AA4598">
        <v>0.45653614293667188</v>
      </c>
      <c r="AB4598" t="str">
        <f>HYPERLINK("Melting_Curves/meltCurve_Q96IG2_FBXL20.pdf", "Melting_Curves/meltCurve_Q96IG2_FBXL20.pdf")</f>
        <v>Melting_Curves/meltCurve_Q96IG2_FBXL20.pdf</v>
      </c>
    </row>
    <row r="4599" spans="1:28" x14ac:dyDescent="0.25">
      <c r="A4599" t="s">
        <v>4603</v>
      </c>
      <c r="B4599">
        <v>0.99334974765950101</v>
      </c>
      <c r="C4599">
        <v>0.94328675309371002</v>
      </c>
      <c r="D4599">
        <v>0.97141828309336298</v>
      </c>
      <c r="E4599">
        <v>0.94398432235293706</v>
      </c>
      <c r="F4599">
        <v>0.67637132132952704</v>
      </c>
      <c r="G4599">
        <v>0.51249175283654602</v>
      </c>
      <c r="H4599">
        <v>0.28209399623943099</v>
      </c>
      <c r="I4599">
        <v>0.15555961715274699</v>
      </c>
      <c r="J4599">
        <v>9.95918867050683E-2</v>
      </c>
      <c r="K4599">
        <v>7.4269148745570293E-2</v>
      </c>
      <c r="L4599">
        <v>827.30057821470996</v>
      </c>
      <c r="M4599">
        <v>14.573533865357801</v>
      </c>
      <c r="N4599">
        <v>56.833004185950401</v>
      </c>
      <c r="O4599">
        <v>55.7305943856787</v>
      </c>
      <c r="P4599">
        <v>-6.4836556842407606E-2</v>
      </c>
      <c r="Q4599">
        <v>8.3472836005405206E-3</v>
      </c>
      <c r="R4599">
        <v>0.99152028160809802</v>
      </c>
      <c r="S4599" t="s">
        <v>10460</v>
      </c>
      <c r="T4599" t="s">
        <v>11720</v>
      </c>
      <c r="U4599" t="s">
        <v>11720</v>
      </c>
      <c r="V4599" t="s">
        <v>11720</v>
      </c>
      <c r="W4599" t="s">
        <v>16264</v>
      </c>
      <c r="X4599">
        <v>10</v>
      </c>
      <c r="Y4599" t="s">
        <v>21972</v>
      </c>
      <c r="Z4599" t="s">
        <v>27806</v>
      </c>
      <c r="AA4599">
        <v>0.57904863165829101</v>
      </c>
      <c r="AB4599" t="str">
        <f>HYPERLINK("Melting_Curves/meltCurve_Q96IJ6_GMPPA.pdf", "Melting_Curves/meltCurve_Q96IJ6_GMPPA.pdf")</f>
        <v>Melting_Curves/meltCurve_Q96IJ6_GMPPA.pdf</v>
      </c>
    </row>
    <row r="4600" spans="1:28" x14ac:dyDescent="0.25">
      <c r="A4600" t="s">
        <v>4604</v>
      </c>
      <c r="B4600">
        <v>0.99334974765950101</v>
      </c>
      <c r="C4600">
        <v>0.91624226617812399</v>
      </c>
      <c r="D4600">
        <v>0.80157922317726205</v>
      </c>
      <c r="E4600">
        <v>0.751342675152331</v>
      </c>
      <c r="F4600">
        <v>0.51807414866205204</v>
      </c>
      <c r="G4600">
        <v>0.45523018948181199</v>
      </c>
      <c r="H4600">
        <v>0.41681170922893601</v>
      </c>
      <c r="I4600">
        <v>0.48162182748916699</v>
      </c>
      <c r="J4600">
        <v>0.55222759018322698</v>
      </c>
      <c r="K4600">
        <v>0.544466211230206</v>
      </c>
      <c r="L4600">
        <v>823.02622101157499</v>
      </c>
      <c r="M4600">
        <v>17.1263516080536</v>
      </c>
      <c r="N4600">
        <v>59.3039268970264</v>
      </c>
      <c r="O4600">
        <v>47.415289862615801</v>
      </c>
      <c r="P4600">
        <v>-4.6906406025277202E-2</v>
      </c>
      <c r="Q4600">
        <v>0.480578841455988</v>
      </c>
      <c r="R4600">
        <v>0.91848639466403303</v>
      </c>
      <c r="S4600" t="s">
        <v>10461</v>
      </c>
      <c r="T4600" t="s">
        <v>11720</v>
      </c>
      <c r="U4600" t="s">
        <v>11720</v>
      </c>
      <c r="V4600" t="s">
        <v>11720</v>
      </c>
      <c r="W4600" t="s">
        <v>16265</v>
      </c>
      <c r="X4600">
        <v>7</v>
      </c>
      <c r="Y4600" t="s">
        <v>21973</v>
      </c>
      <c r="Z4600" t="s">
        <v>27807</v>
      </c>
      <c r="AA4600">
        <v>0.6302625347071017</v>
      </c>
      <c r="AB4600" t="str">
        <f>HYPERLINK("Melting_Curves/meltCurve_Q96IK1_BOD1.pdf", "Melting_Curves/meltCurve_Q96IK1_BOD1.pdf")</f>
        <v>Melting_Curves/meltCurve_Q96IK1_BOD1.pdf</v>
      </c>
    </row>
    <row r="4601" spans="1:28" x14ac:dyDescent="0.25">
      <c r="A4601" t="s">
        <v>4605</v>
      </c>
      <c r="B4601">
        <v>0.99334974765950101</v>
      </c>
      <c r="C4601">
        <v>1.01302512237413</v>
      </c>
      <c r="D4601">
        <v>0.754927488991882</v>
      </c>
      <c r="E4601">
        <v>0.564051628163726</v>
      </c>
      <c r="F4601">
        <v>0.33409697177255498</v>
      </c>
      <c r="G4601">
        <v>0.15935608830714701</v>
      </c>
      <c r="H4601">
        <v>0.10109684370642601</v>
      </c>
      <c r="I4601">
        <v>8.7062037441515402E-2</v>
      </c>
      <c r="J4601">
        <v>8.5396018714946204E-2</v>
      </c>
      <c r="K4601">
        <v>6.2489274168216001E-2</v>
      </c>
      <c r="L4601">
        <v>812.75554451125402</v>
      </c>
      <c r="M4601">
        <v>16.223702927912498</v>
      </c>
      <c r="N4601">
        <v>50.477089785815103</v>
      </c>
      <c r="O4601">
        <v>49.354209305374702</v>
      </c>
      <c r="P4601">
        <v>-7.7458111243459707E-2</v>
      </c>
      <c r="Q4601">
        <v>5.7527138677889299E-2</v>
      </c>
      <c r="R4601">
        <v>0.99210014617181497</v>
      </c>
      <c r="S4601" t="s">
        <v>10462</v>
      </c>
      <c r="T4601" t="s">
        <v>11720</v>
      </c>
      <c r="U4601" t="s">
        <v>11720</v>
      </c>
      <c r="V4601" t="s">
        <v>11720</v>
      </c>
      <c r="W4601" t="s">
        <v>16266</v>
      </c>
      <c r="X4601">
        <v>9</v>
      </c>
      <c r="Y4601" t="s">
        <v>21974</v>
      </c>
      <c r="Z4601" t="s">
        <v>27808</v>
      </c>
      <c r="AA4601">
        <v>0.39419381762476657</v>
      </c>
      <c r="AB4601" t="str">
        <f>HYPERLINK("Melting_Curves/meltCurve_Q96IU4_ABHD14B.pdf", "Melting_Curves/meltCurve_Q96IU4_ABHD14B.pdf")</f>
        <v>Melting_Curves/meltCurve_Q96IU4_ABHD14B.pdf</v>
      </c>
    </row>
    <row r="4602" spans="1:28" x14ac:dyDescent="0.25">
      <c r="A4602" t="s">
        <v>4606</v>
      </c>
      <c r="B4602">
        <v>0.99334974765950101</v>
      </c>
      <c r="C4602">
        <v>0.90247743659329305</v>
      </c>
      <c r="D4602">
        <v>0.70961778323573899</v>
      </c>
      <c r="E4602">
        <v>0.26881234308457802</v>
      </c>
      <c r="F4602">
        <v>0.176048996544313</v>
      </c>
      <c r="G4602">
        <v>0.103520060443589</v>
      </c>
      <c r="H4602">
        <v>8.0100365359370304E-2</v>
      </c>
      <c r="I4602">
        <v>7.2957912190149798E-2</v>
      </c>
      <c r="J4602">
        <v>7.1704241373150401E-2</v>
      </c>
      <c r="K4602">
        <v>6.2132732225886E-2</v>
      </c>
      <c r="L4602">
        <v>1068.3419880537799</v>
      </c>
      <c r="M4602">
        <v>22.527220249833999</v>
      </c>
      <c r="N4602">
        <v>47.759625529326001</v>
      </c>
      <c r="O4602">
        <v>47.055508147086698</v>
      </c>
      <c r="P4602">
        <v>-0.11093666627358301</v>
      </c>
      <c r="Q4602">
        <v>7.3107698263737905E-2</v>
      </c>
      <c r="R4602">
        <v>0.99827039534260298</v>
      </c>
      <c r="S4602" t="s">
        <v>10463</v>
      </c>
      <c r="T4602" t="s">
        <v>11720</v>
      </c>
      <c r="U4602" t="s">
        <v>11720</v>
      </c>
      <c r="V4602" t="s">
        <v>11720</v>
      </c>
      <c r="W4602" t="s">
        <v>16267</v>
      </c>
      <c r="X4602">
        <v>8</v>
      </c>
      <c r="Y4602" t="s">
        <v>21975</v>
      </c>
      <c r="Z4602" t="s">
        <v>27809</v>
      </c>
      <c r="AA4602">
        <v>0.31281190898033912</v>
      </c>
      <c r="AB4602" t="str">
        <f>HYPERLINK("Melting_Curves/meltCurve_Q96IV0_2_NGLY1.pdf", "Melting_Curves/meltCurve_Q96IV0_2_NGLY1.pdf")</f>
        <v>Melting_Curves/meltCurve_Q96IV0_2_NGLY1.pdf</v>
      </c>
    </row>
    <row r="4603" spans="1:28" x14ac:dyDescent="0.25">
      <c r="A4603" t="s">
        <v>4607</v>
      </c>
      <c r="B4603">
        <v>0.99334974765950101</v>
      </c>
      <c r="C4603">
        <v>0.94649149094075902</v>
      </c>
      <c r="D4603">
        <v>0.85885420212822705</v>
      </c>
      <c r="E4603">
        <v>1.1094326906868901</v>
      </c>
      <c r="F4603">
        <v>0.75659628282483105</v>
      </c>
      <c r="G4603">
        <v>0.87581035634686699</v>
      </c>
      <c r="H4603">
        <v>0.77596186346815998</v>
      </c>
      <c r="I4603">
        <v>1.31630460486588</v>
      </c>
      <c r="J4603">
        <v>0.92456157718362597</v>
      </c>
      <c r="K4603">
        <v>0.67901281401521596</v>
      </c>
      <c r="L4603">
        <v>114.945817760472</v>
      </c>
      <c r="M4603">
        <v>1.0000000000000001E-5</v>
      </c>
      <c r="O4603">
        <v>47.906867834484899</v>
      </c>
      <c r="P4603">
        <v>-2.6564338575968001E-3</v>
      </c>
      <c r="Q4603">
        <v>0.304819289769234</v>
      </c>
      <c r="R4603">
        <v>1.8587616258066899E-2</v>
      </c>
      <c r="S4603" t="s">
        <v>10464</v>
      </c>
      <c r="T4603" t="s">
        <v>11720</v>
      </c>
      <c r="U4603" t="s">
        <v>11720</v>
      </c>
      <c r="V4603" t="s">
        <v>11720</v>
      </c>
      <c r="W4603" t="s">
        <v>16268</v>
      </c>
      <c r="X4603">
        <v>1</v>
      </c>
      <c r="Y4603" t="s">
        <v>21976</v>
      </c>
      <c r="Z4603" t="s">
        <v>27810</v>
      </c>
      <c r="AA4603">
        <v>0.92404862374462604</v>
      </c>
      <c r="AB4603" t="str">
        <f>HYPERLINK("Melting_Curves/meltCurve_Q96IX5_USMG5.pdf", "Melting_Curves/meltCurve_Q96IX5_USMG5.pdf")</f>
        <v>Melting_Curves/meltCurve_Q96IX5_USMG5.pdf</v>
      </c>
    </row>
    <row r="4604" spans="1:28" x14ac:dyDescent="0.25">
      <c r="A4604" t="s">
        <v>4608</v>
      </c>
      <c r="B4604">
        <v>0.99334974765950101</v>
      </c>
      <c r="C4604">
        <v>1.00224300643203</v>
      </c>
      <c r="D4604">
        <v>0.98089520527095797</v>
      </c>
      <c r="E4604">
        <v>0.966901924388333</v>
      </c>
      <c r="F4604">
        <v>1.1433084289384601</v>
      </c>
      <c r="G4604">
        <v>0.85030379339386297</v>
      </c>
      <c r="H4604">
        <v>0.83674307622359101</v>
      </c>
      <c r="I4604">
        <v>0.93210476325432701</v>
      </c>
      <c r="J4604">
        <v>1.21595084846398</v>
      </c>
      <c r="K4604">
        <v>1.22275013639412</v>
      </c>
      <c r="L4604">
        <v>15000</v>
      </c>
      <c r="M4604">
        <v>227.05040448701899</v>
      </c>
      <c r="O4604">
        <v>66.059500546541003</v>
      </c>
      <c r="P4604">
        <v>0.19231804236969899</v>
      </c>
      <c r="Q4604">
        <v>1.2238169765050599</v>
      </c>
      <c r="R4604">
        <v>0.55415328334749803</v>
      </c>
      <c r="S4604" t="s">
        <v>10465</v>
      </c>
      <c r="T4604" t="s">
        <v>11720</v>
      </c>
      <c r="U4604" t="s">
        <v>11720</v>
      </c>
      <c r="V4604" t="s">
        <v>11720</v>
      </c>
      <c r="W4604" t="s">
        <v>16269</v>
      </c>
      <c r="X4604">
        <v>12</v>
      </c>
      <c r="Y4604" t="s">
        <v>21977</v>
      </c>
      <c r="Z4604" t="s">
        <v>27811</v>
      </c>
      <c r="AA4604">
        <v>1.0293286635171419</v>
      </c>
      <c r="AB4604" t="str">
        <f>HYPERLINK("Melting_Curves/meltCurve_Q96IZ0_PAWR.pdf", "Melting_Curves/meltCurve_Q96IZ0_PAWR.pdf")</f>
        <v>Melting_Curves/meltCurve_Q96IZ0_PAWR.pdf</v>
      </c>
    </row>
    <row r="4605" spans="1:28" x14ac:dyDescent="0.25">
      <c r="A4605" t="s">
        <v>4609</v>
      </c>
      <c r="B4605">
        <v>0.99334974765950101</v>
      </c>
      <c r="C4605">
        <v>0.93207931937869104</v>
      </c>
      <c r="D4605">
        <v>0.89582735236247601</v>
      </c>
      <c r="E4605">
        <v>0.48035051158942299</v>
      </c>
      <c r="F4605">
        <v>0.247082735715839</v>
      </c>
      <c r="G4605">
        <v>0.201484852065724</v>
      </c>
      <c r="H4605">
        <v>0.13931727121038701</v>
      </c>
      <c r="I4605">
        <v>8.2745034985710994E-2</v>
      </c>
      <c r="J4605">
        <v>6.0961917089897497E-2</v>
      </c>
      <c r="K4605">
        <v>4.66134633487593E-2</v>
      </c>
      <c r="L4605">
        <v>1057.80056595987</v>
      </c>
      <c r="M4605">
        <v>21.338547529567698</v>
      </c>
      <c r="N4605">
        <v>50.005289300036502</v>
      </c>
      <c r="O4605">
        <v>49.143064120474001</v>
      </c>
      <c r="P4605">
        <v>-9.93988324217039E-2</v>
      </c>
      <c r="Q4605">
        <v>8.4353575700508596E-2</v>
      </c>
      <c r="R4605">
        <v>0.991266348547863</v>
      </c>
      <c r="S4605" t="s">
        <v>10466</v>
      </c>
      <c r="T4605" t="s">
        <v>11720</v>
      </c>
      <c r="U4605" t="s">
        <v>11720</v>
      </c>
      <c r="V4605" t="s">
        <v>11720</v>
      </c>
      <c r="W4605" t="s">
        <v>16270</v>
      </c>
      <c r="X4605">
        <v>15</v>
      </c>
      <c r="Y4605" t="s">
        <v>21978</v>
      </c>
      <c r="Z4605" t="s">
        <v>27812</v>
      </c>
      <c r="AA4605">
        <v>0.38773795801606969</v>
      </c>
      <c r="AB4605" t="str">
        <f>HYPERLINK("Melting_Curves/meltCurve_Q96J02_2_ITCH.pdf", "Melting_Curves/meltCurve_Q96J02_2_ITCH.pdf")</f>
        <v>Melting_Curves/meltCurve_Q96J02_2_ITCH.pdf</v>
      </c>
    </row>
    <row r="4606" spans="1:28" x14ac:dyDescent="0.25">
      <c r="A4606" t="s">
        <v>4610</v>
      </c>
      <c r="B4606">
        <v>0.99334974765950101</v>
      </c>
      <c r="C4606">
        <v>0.97227035524173799</v>
      </c>
      <c r="D4606">
        <v>1.1003503943434201</v>
      </c>
      <c r="E4606">
        <v>1.06899445571017</v>
      </c>
      <c r="F4606">
        <v>0.84395983862266299</v>
      </c>
      <c r="G4606">
        <v>0.70253517136125199</v>
      </c>
      <c r="H4606">
        <v>0.62049517883368399</v>
      </c>
      <c r="I4606">
        <v>0.74258828781819297</v>
      </c>
      <c r="J4606">
        <v>0.65299666491976804</v>
      </c>
      <c r="K4606">
        <v>0.63068184969137497</v>
      </c>
      <c r="L4606">
        <v>13255.804550331601</v>
      </c>
      <c r="M4606">
        <v>250</v>
      </c>
      <c r="O4606">
        <v>53.019825038760203</v>
      </c>
      <c r="P4606">
        <v>-0.38917114438453798</v>
      </c>
      <c r="Q4606">
        <v>0.66985942444433599</v>
      </c>
      <c r="R4606">
        <v>0.91693105108780404</v>
      </c>
      <c r="S4606" t="s">
        <v>10467</v>
      </c>
      <c r="T4606" t="s">
        <v>11720</v>
      </c>
      <c r="U4606" t="s">
        <v>11720</v>
      </c>
      <c r="V4606" t="s">
        <v>11720</v>
      </c>
      <c r="W4606" t="s">
        <v>16271</v>
      </c>
      <c r="X4606">
        <v>9</v>
      </c>
      <c r="Y4606" t="s">
        <v>21979</v>
      </c>
      <c r="Z4606" t="s">
        <v>27813</v>
      </c>
      <c r="AA4606">
        <v>0.81320657073584413</v>
      </c>
      <c r="AB4606" t="str">
        <f>HYPERLINK("Melting_Curves/meltCurve_Q96J84_KIRREL.pdf", "Melting_Curves/meltCurve_Q96J84_KIRREL.pdf")</f>
        <v>Melting_Curves/meltCurve_Q96J84_KIRREL.pdf</v>
      </c>
    </row>
    <row r="4607" spans="1:28" x14ac:dyDescent="0.25">
      <c r="A4607" t="s">
        <v>4611</v>
      </c>
      <c r="B4607">
        <v>0.99334974765950101</v>
      </c>
      <c r="C4607">
        <v>0.94385804500900305</v>
      </c>
      <c r="D4607">
        <v>0.93193743214564895</v>
      </c>
      <c r="E4607">
        <v>1.37978543071329</v>
      </c>
      <c r="F4607">
        <v>1.2596746915534101</v>
      </c>
      <c r="G4607">
        <v>1.07776311510915</v>
      </c>
      <c r="H4607">
        <v>0.8657439364906</v>
      </c>
      <c r="I4607">
        <v>0.98736715495163196</v>
      </c>
      <c r="J4607">
        <v>0.46128548042933698</v>
      </c>
      <c r="K4607">
        <v>0.238506592705716</v>
      </c>
      <c r="L4607">
        <v>6922.3930522295695</v>
      </c>
      <c r="M4607">
        <v>104.184715621667</v>
      </c>
      <c r="N4607">
        <v>66.849987470465805</v>
      </c>
      <c r="O4607">
        <v>66.418990567197596</v>
      </c>
      <c r="P4607">
        <v>-0.30013268142657701</v>
      </c>
      <c r="Q4607">
        <v>0.23464747479224701</v>
      </c>
      <c r="R4607">
        <v>0.76575453210520705</v>
      </c>
      <c r="S4607" t="s">
        <v>10468</v>
      </c>
      <c r="T4607" t="s">
        <v>11720</v>
      </c>
      <c r="U4607" t="s">
        <v>11720</v>
      </c>
      <c r="V4607" t="s">
        <v>11720</v>
      </c>
      <c r="W4607" t="s">
        <v>16272</v>
      </c>
      <c r="X4607">
        <v>1</v>
      </c>
      <c r="Y4607" t="s">
        <v>21980</v>
      </c>
      <c r="Z4607" t="s">
        <v>27814</v>
      </c>
      <c r="AA4607">
        <v>0.90968847108180406</v>
      </c>
      <c r="AB4607" t="str">
        <f>HYPERLINK("Melting_Curves/meltCurve_Q96J88_2_EPSTI1.pdf", "Melting_Curves/meltCurve_Q96J88_2_EPSTI1.pdf")</f>
        <v>Melting_Curves/meltCurve_Q96J88_2_EPSTI1.pdf</v>
      </c>
    </row>
    <row r="4608" spans="1:28" x14ac:dyDescent="0.25">
      <c r="A4608" t="s">
        <v>4612</v>
      </c>
      <c r="B4608">
        <v>0.99334974765950101</v>
      </c>
      <c r="C4608">
        <v>0.97243278987216397</v>
      </c>
      <c r="D4608">
        <v>0.89873009153389105</v>
      </c>
      <c r="E4608">
        <v>0.85969153003173704</v>
      </c>
      <c r="F4608">
        <v>0.71187327046645399</v>
      </c>
      <c r="G4608">
        <v>0.48247843680652303</v>
      </c>
      <c r="H4608">
        <v>0.33085711460832601</v>
      </c>
      <c r="I4608">
        <v>0.32748391721065301</v>
      </c>
      <c r="J4608">
        <v>0.30671018533688499</v>
      </c>
      <c r="K4608">
        <v>0.20981961728951901</v>
      </c>
      <c r="L4608">
        <v>758.44208867139298</v>
      </c>
      <c r="M4608">
        <v>13.840066306841299</v>
      </c>
      <c r="N4608">
        <v>56.994501462860001</v>
      </c>
      <c r="O4608">
        <v>53.694388328316201</v>
      </c>
      <c r="P4608">
        <v>-5.1138534965876899E-2</v>
      </c>
      <c r="Q4608">
        <v>0.20651464785577101</v>
      </c>
      <c r="R4608">
        <v>0.990383763669621</v>
      </c>
      <c r="S4608" t="s">
        <v>10469</v>
      </c>
      <c r="T4608" t="s">
        <v>11720</v>
      </c>
      <c r="U4608" t="s">
        <v>11720</v>
      </c>
      <c r="V4608" t="s">
        <v>11720</v>
      </c>
      <c r="W4608" t="s">
        <v>16273</v>
      </c>
      <c r="X4608">
        <v>10</v>
      </c>
      <c r="Y4608" t="s">
        <v>21981</v>
      </c>
      <c r="Z4608" t="s">
        <v>27815</v>
      </c>
      <c r="AA4608">
        <v>0.61484272195264689</v>
      </c>
      <c r="AB4608" t="str">
        <f>HYPERLINK("Melting_Curves/meltCurve_Q96JA1_LRIG1.pdf", "Melting_Curves/meltCurve_Q96JA1_LRIG1.pdf")</f>
        <v>Melting_Curves/meltCurve_Q96JA1_LRIG1.pdf</v>
      </c>
    </row>
    <row r="4609" spans="1:28" x14ac:dyDescent="0.25">
      <c r="A4609" t="s">
        <v>4613</v>
      </c>
      <c r="B4609">
        <v>0.99334974765950101</v>
      </c>
      <c r="C4609">
        <v>0.98578105942132599</v>
      </c>
      <c r="D4609">
        <v>0.95988606790845399</v>
      </c>
      <c r="E4609">
        <v>0.62127331193334401</v>
      </c>
      <c r="F4609">
        <v>0.41521749977281203</v>
      </c>
      <c r="G4609">
        <v>0.34110152469912303</v>
      </c>
      <c r="H4609">
        <v>0.35452749749906898</v>
      </c>
      <c r="I4609">
        <v>0.19682558942848799</v>
      </c>
      <c r="J4609">
        <v>0.15578887245836601</v>
      </c>
      <c r="K4609">
        <v>0.101766930800697</v>
      </c>
      <c r="L4609">
        <v>841.19540343285803</v>
      </c>
      <c r="M4609">
        <v>16.465788028545798</v>
      </c>
      <c r="N4609">
        <v>52.438815171034399</v>
      </c>
      <c r="O4609">
        <v>50.351774764573697</v>
      </c>
      <c r="P4609">
        <v>-6.7623981864606303E-2</v>
      </c>
      <c r="Q4609">
        <v>0.17289139264019801</v>
      </c>
      <c r="R4609">
        <v>0.96801127563161005</v>
      </c>
      <c r="S4609" t="s">
        <v>10470</v>
      </c>
      <c r="T4609" t="s">
        <v>11720</v>
      </c>
      <c r="U4609" t="s">
        <v>11720</v>
      </c>
      <c r="V4609" t="s">
        <v>11720</v>
      </c>
      <c r="W4609" t="s">
        <v>16274</v>
      </c>
      <c r="X4609">
        <v>4</v>
      </c>
      <c r="Y4609" t="s">
        <v>21982</v>
      </c>
      <c r="Z4609" t="s">
        <v>27816</v>
      </c>
      <c r="AA4609">
        <v>0.49486293984274821</v>
      </c>
      <c r="AB4609" t="str">
        <f>HYPERLINK("Melting_Curves/meltCurve_Q96JB2_COG3.pdf", "Melting_Curves/meltCurve_Q96JB2_COG3.pdf")</f>
        <v>Melting_Curves/meltCurve_Q96JB2_COG3.pdf</v>
      </c>
    </row>
    <row r="4610" spans="1:28" x14ac:dyDescent="0.25">
      <c r="A4610" t="s">
        <v>4614</v>
      </c>
      <c r="B4610">
        <v>0.99334974765950101</v>
      </c>
      <c r="C4610">
        <v>0.951215158231692</v>
      </c>
      <c r="D4610">
        <v>0.92069720275891898</v>
      </c>
      <c r="E4610">
        <v>0.60808006849557295</v>
      </c>
      <c r="F4610">
        <v>0.15035234983578299</v>
      </c>
      <c r="G4610">
        <v>0.101817322702282</v>
      </c>
      <c r="H4610">
        <v>8.3432711714739496E-2</v>
      </c>
      <c r="I4610">
        <v>7.3237560472489596E-2</v>
      </c>
      <c r="J4610">
        <v>6.5403827331234496E-2</v>
      </c>
      <c r="K4610">
        <v>4.8520270379595803E-2</v>
      </c>
      <c r="L4610">
        <v>2028.5579790398799</v>
      </c>
      <c r="M4610">
        <v>40.318350725854003</v>
      </c>
      <c r="N4610">
        <v>50.499878518260303</v>
      </c>
      <c r="O4610">
        <v>50.1902162575891</v>
      </c>
      <c r="P4610">
        <v>-0.186946147774666</v>
      </c>
      <c r="Q4610">
        <v>6.9123758021646997E-2</v>
      </c>
      <c r="R4610">
        <v>0.99495947603266399</v>
      </c>
      <c r="S4610" t="s">
        <v>10471</v>
      </c>
      <c r="T4610" t="s">
        <v>11720</v>
      </c>
      <c r="U4610" t="s">
        <v>11720</v>
      </c>
      <c r="V4610" t="s">
        <v>11720</v>
      </c>
      <c r="W4610" t="s">
        <v>16275</v>
      </c>
      <c r="X4610">
        <v>16</v>
      </c>
      <c r="Y4610" t="s">
        <v>21983</v>
      </c>
      <c r="Z4610" t="s">
        <v>27817</v>
      </c>
      <c r="AA4610">
        <v>0.39233071102691308</v>
      </c>
      <c r="AB4610" t="str">
        <f>HYPERLINK("Melting_Curves/meltCurve_Q96JB5_CDK5RAP3.pdf", "Melting_Curves/meltCurve_Q96JB5_CDK5RAP3.pdf")</f>
        <v>Melting_Curves/meltCurve_Q96JB5_CDK5RAP3.pdf</v>
      </c>
    </row>
    <row r="4611" spans="1:28" x14ac:dyDescent="0.25">
      <c r="A4611" t="s">
        <v>4615</v>
      </c>
      <c r="B4611">
        <v>0.99334974765950101</v>
      </c>
      <c r="C4611">
        <v>1.0312573933918301</v>
      </c>
      <c r="D4611">
        <v>1.19201885216013</v>
      </c>
      <c r="E4611">
        <v>0.75132952728201197</v>
      </c>
      <c r="F4611">
        <v>0.28534576453690003</v>
      </c>
      <c r="G4611">
        <v>0.232228818785433</v>
      </c>
      <c r="H4611">
        <v>0.14111131607049501</v>
      </c>
      <c r="I4611">
        <v>9.7510350553568603E-2</v>
      </c>
      <c r="J4611">
        <v>5.7304396373810601E-2</v>
      </c>
      <c r="K4611">
        <v>0</v>
      </c>
      <c r="L4611">
        <v>2053.1009892563402</v>
      </c>
      <c r="M4611">
        <v>40.025220501595101</v>
      </c>
      <c r="N4611">
        <v>51.582302218868698</v>
      </c>
      <c r="O4611">
        <v>51.167640137345501</v>
      </c>
      <c r="P4611">
        <v>-0.17602985115677</v>
      </c>
      <c r="Q4611">
        <v>9.98662622087889E-2</v>
      </c>
      <c r="R4611">
        <v>0.96424425916382595</v>
      </c>
      <c r="S4611" t="s">
        <v>10472</v>
      </c>
      <c r="T4611" t="s">
        <v>11720</v>
      </c>
      <c r="U4611" t="s">
        <v>11720</v>
      </c>
      <c r="V4611" t="s">
        <v>11720</v>
      </c>
      <c r="W4611" t="s">
        <v>16276</v>
      </c>
      <c r="X4611">
        <v>3</v>
      </c>
      <c r="Y4611" t="s">
        <v>21984</v>
      </c>
      <c r="Z4611" t="s">
        <v>27818</v>
      </c>
      <c r="AA4611">
        <v>0.44195906130819562</v>
      </c>
      <c r="AB4611" t="str">
        <f>HYPERLINK("Melting_Curves/meltCurve_Q96JC1_2_VPS39.pdf", "Melting_Curves/meltCurve_Q96JC1_2_VPS39.pdf")</f>
        <v>Melting_Curves/meltCurve_Q96JC1_2_VPS39.pdf</v>
      </c>
    </row>
    <row r="4612" spans="1:28" x14ac:dyDescent="0.25">
      <c r="A4612" t="s">
        <v>4616</v>
      </c>
      <c r="B4612">
        <v>0.99334974765950101</v>
      </c>
      <c r="C4612">
        <v>0.82394631457199996</v>
      </c>
      <c r="D4612">
        <v>0.47819237866679498</v>
      </c>
      <c r="E4612">
        <v>0.32954142040955697</v>
      </c>
      <c r="F4612">
        <v>0.20813083858962</v>
      </c>
      <c r="G4612">
        <v>0.16043442509181999</v>
      </c>
      <c r="H4612">
        <v>0.12440203599204</v>
      </c>
      <c r="I4612">
        <v>0.11028190132338</v>
      </c>
      <c r="J4612">
        <v>0.103044933093436</v>
      </c>
      <c r="K4612">
        <v>5.5981539408426297E-2</v>
      </c>
      <c r="L4612">
        <v>786.32998871898496</v>
      </c>
      <c r="M4612">
        <v>17.100880200713501</v>
      </c>
      <c r="N4612">
        <v>46.619784544049999</v>
      </c>
      <c r="O4612">
        <v>45.3668742270672</v>
      </c>
      <c r="P4612">
        <v>-8.4410741238817297E-2</v>
      </c>
      <c r="Q4612">
        <v>0.10432206151873499</v>
      </c>
      <c r="R4612">
        <v>0.984556945082941</v>
      </c>
      <c r="S4612" t="s">
        <v>10473</v>
      </c>
      <c r="T4612" t="s">
        <v>11720</v>
      </c>
      <c r="U4612" t="s">
        <v>11720</v>
      </c>
      <c r="V4612" t="s">
        <v>11720</v>
      </c>
      <c r="W4612" t="s">
        <v>16277</v>
      </c>
      <c r="X4612">
        <v>8</v>
      </c>
      <c r="Y4612" t="s">
        <v>21985</v>
      </c>
      <c r="Z4612" t="s">
        <v>27819</v>
      </c>
      <c r="AA4612">
        <v>0.30265345423099338</v>
      </c>
      <c r="AB4612" t="str">
        <f>HYPERLINK("Melting_Curves/meltCurve_Q96JH7_VCPIP1.pdf", "Melting_Curves/meltCurve_Q96JH7_VCPIP1.pdf")</f>
        <v>Melting_Curves/meltCurve_Q96JH7_VCPIP1.pdf</v>
      </c>
    </row>
    <row r="4613" spans="1:28" x14ac:dyDescent="0.25">
      <c r="A4613" t="s">
        <v>4617</v>
      </c>
      <c r="B4613">
        <v>0.99334974765950101</v>
      </c>
      <c r="C4613">
        <v>0.96328449587366904</v>
      </c>
      <c r="D4613">
        <v>0.93515059006514101</v>
      </c>
      <c r="E4613">
        <v>0.77888691099602203</v>
      </c>
      <c r="F4613">
        <v>0.46934577008449102</v>
      </c>
      <c r="G4613">
        <v>0.198932142801064</v>
      </c>
      <c r="H4613">
        <v>0.124605188888655</v>
      </c>
      <c r="I4613">
        <v>0.105004824431606</v>
      </c>
      <c r="J4613">
        <v>0.10408733382666099</v>
      </c>
      <c r="K4613">
        <v>8.63629837106107E-2</v>
      </c>
      <c r="L4613">
        <v>1207.739631139</v>
      </c>
      <c r="M4613">
        <v>23.106684907212198</v>
      </c>
      <c r="N4613">
        <v>52.721241918349499</v>
      </c>
      <c r="O4613">
        <v>51.881215298071197</v>
      </c>
      <c r="P4613">
        <v>-0.10131572914666</v>
      </c>
      <c r="Q4613">
        <v>9.0083830038843904E-2</v>
      </c>
      <c r="R4613">
        <v>0.99849517486887396</v>
      </c>
      <c r="S4613" t="s">
        <v>10474</v>
      </c>
      <c r="T4613" t="s">
        <v>11720</v>
      </c>
      <c r="U4613" t="s">
        <v>11720</v>
      </c>
      <c r="V4613" t="s">
        <v>11720</v>
      </c>
      <c r="W4613" t="s">
        <v>16278</v>
      </c>
      <c r="X4613">
        <v>19</v>
      </c>
      <c r="Y4613" t="s">
        <v>21986</v>
      </c>
      <c r="Z4613" t="s">
        <v>27820</v>
      </c>
      <c r="AA4613">
        <v>0.47184429658400329</v>
      </c>
      <c r="AB4613" t="str">
        <f>HYPERLINK("Melting_Curves/meltCurve_Q96JJ7_TMX3.pdf", "Melting_Curves/meltCurve_Q96JJ7_TMX3.pdf")</f>
        <v>Melting_Curves/meltCurve_Q96JJ7_TMX3.pdf</v>
      </c>
    </row>
    <row r="4614" spans="1:28" x14ac:dyDescent="0.25">
      <c r="A4614" t="s">
        <v>4618</v>
      </c>
      <c r="B4614">
        <v>0.99334974765950101</v>
      </c>
      <c r="C4614">
        <v>0.87458575410664996</v>
      </c>
      <c r="D4614">
        <v>0.74379953681302802</v>
      </c>
      <c r="E4614">
        <v>0.71365121941889897</v>
      </c>
      <c r="F4614">
        <v>0.43522212811545202</v>
      </c>
      <c r="G4614">
        <v>0.27111576006935001</v>
      </c>
      <c r="H4614">
        <v>0.32201397243854701</v>
      </c>
      <c r="I4614">
        <v>0.26719402132270498</v>
      </c>
      <c r="J4614">
        <v>0.37914094477839699</v>
      </c>
      <c r="K4614">
        <v>0.35322239921167198</v>
      </c>
      <c r="L4614">
        <v>709.23738756327305</v>
      </c>
      <c r="M4614">
        <v>14.5182581687243</v>
      </c>
      <c r="N4614">
        <v>52.044291699709198</v>
      </c>
      <c r="O4614">
        <v>47.9526193686794</v>
      </c>
      <c r="P4614">
        <v>-5.3382108071795102E-2</v>
      </c>
      <c r="Q4614">
        <v>0.29481365859405301</v>
      </c>
      <c r="R4614">
        <v>0.93597063487062904</v>
      </c>
      <c r="S4614" t="s">
        <v>10475</v>
      </c>
      <c r="T4614" t="s">
        <v>11720</v>
      </c>
      <c r="U4614" t="s">
        <v>11720</v>
      </c>
      <c r="V4614" t="s">
        <v>11720</v>
      </c>
      <c r="W4614" t="s">
        <v>16279</v>
      </c>
      <c r="X4614">
        <v>1</v>
      </c>
      <c r="Y4614" t="s">
        <v>21987</v>
      </c>
      <c r="Z4614" t="s">
        <v>27821</v>
      </c>
      <c r="AA4614">
        <v>0.52148912059766872</v>
      </c>
      <c r="AB4614" t="str">
        <f>HYPERLINK("Melting_Curves/meltCurve_Q96JP5_ZFP91.pdf", "Melting_Curves/meltCurve_Q96JP5_ZFP91.pdf")</f>
        <v>Melting_Curves/meltCurve_Q96JP5_ZFP91.pdf</v>
      </c>
    </row>
    <row r="4615" spans="1:28" x14ac:dyDescent="0.25">
      <c r="A4615" t="s">
        <v>4619</v>
      </c>
      <c r="B4615">
        <v>0.99334974765950101</v>
      </c>
      <c r="C4615">
        <v>0.69062691346356697</v>
      </c>
      <c r="D4615">
        <v>0.67353821416255399</v>
      </c>
      <c r="E4615">
        <v>0.51775886689043604</v>
      </c>
      <c r="F4615">
        <v>0.54093469945698103</v>
      </c>
      <c r="G4615">
        <v>0.43866007225172698</v>
      </c>
      <c r="H4615">
        <v>0.32373342909745501</v>
      </c>
      <c r="I4615">
        <v>0.60436510377097796</v>
      </c>
      <c r="J4615">
        <v>0.71599389247860101</v>
      </c>
      <c r="K4615">
        <v>0.81074160205464496</v>
      </c>
      <c r="L4615">
        <v>2074.4440124746002</v>
      </c>
      <c r="M4615">
        <v>49.2009384347691</v>
      </c>
      <c r="O4615">
        <v>42.093217711817204</v>
      </c>
      <c r="P4615">
        <v>-0.123841430130884</v>
      </c>
      <c r="Q4615">
        <v>0.57619677576884598</v>
      </c>
      <c r="R4615">
        <v>0.47918402587579401</v>
      </c>
      <c r="S4615" t="s">
        <v>10476</v>
      </c>
      <c r="T4615" t="s">
        <v>11720</v>
      </c>
      <c r="U4615" t="s">
        <v>11720</v>
      </c>
      <c r="V4615" t="s">
        <v>11720</v>
      </c>
      <c r="W4615" t="s">
        <v>16280</v>
      </c>
      <c r="X4615">
        <v>1</v>
      </c>
      <c r="Y4615" t="s">
        <v>21988</v>
      </c>
      <c r="Z4615" t="s">
        <v>27822</v>
      </c>
      <c r="AA4615">
        <v>0.60827202631193389</v>
      </c>
      <c r="AB4615" t="str">
        <f>HYPERLINK("Melting_Curves/meltCurve_Q96JQ0_DCHS1.pdf", "Melting_Curves/meltCurve_Q96JQ0_DCHS1.pdf")</f>
        <v>Melting_Curves/meltCurve_Q96JQ0_DCHS1.pdf</v>
      </c>
    </row>
    <row r="4616" spans="1:28" x14ac:dyDescent="0.25">
      <c r="A4616" t="s">
        <v>4620</v>
      </c>
      <c r="B4616">
        <v>0.99334974765950101</v>
      </c>
      <c r="C4616">
        <v>0.96897475943232503</v>
      </c>
      <c r="D4616">
        <v>0.79131197045632995</v>
      </c>
      <c r="E4616">
        <v>0.77332445417522699</v>
      </c>
      <c r="F4616">
        <v>0.70460683097771604</v>
      </c>
      <c r="G4616">
        <v>0.59527689388943295</v>
      </c>
      <c r="H4616">
        <v>0.56666844654611603</v>
      </c>
      <c r="I4616">
        <v>0.57416038134279102</v>
      </c>
      <c r="J4616">
        <v>0.64228194521666704</v>
      </c>
      <c r="K4616">
        <v>0.45015206406371</v>
      </c>
      <c r="L4616">
        <v>526.81958131358704</v>
      </c>
      <c r="M4616">
        <v>10.565111904561499</v>
      </c>
      <c r="O4616">
        <v>48.177065901086301</v>
      </c>
      <c r="P4616">
        <v>-2.6501148445346599E-2</v>
      </c>
      <c r="Q4616">
        <v>0.51680788280435697</v>
      </c>
      <c r="R4616">
        <v>0.90913026954494303</v>
      </c>
      <c r="S4616" t="s">
        <v>10477</v>
      </c>
      <c r="T4616" t="s">
        <v>11720</v>
      </c>
      <c r="U4616" t="s">
        <v>11720</v>
      </c>
      <c r="V4616" t="s">
        <v>11720</v>
      </c>
      <c r="W4616" t="s">
        <v>16281</v>
      </c>
      <c r="X4616">
        <v>27</v>
      </c>
      <c r="Y4616" t="s">
        <v>21989</v>
      </c>
      <c r="Z4616" t="s">
        <v>27823</v>
      </c>
      <c r="AA4616">
        <v>0.69611846165625935</v>
      </c>
      <c r="AB4616" t="str">
        <f>HYPERLINK("Melting_Curves/meltCurve_Q96JY6_PDLIM2.pdf", "Melting_Curves/meltCurve_Q96JY6_PDLIM2.pdf")</f>
        <v>Melting_Curves/meltCurve_Q96JY6_PDLIM2.pdf</v>
      </c>
    </row>
    <row r="4617" spans="1:28" x14ac:dyDescent="0.25">
      <c r="A4617" t="s">
        <v>4621</v>
      </c>
      <c r="B4617">
        <v>0.99334974765950101</v>
      </c>
      <c r="C4617">
        <v>1.00100972875467</v>
      </c>
      <c r="D4617">
        <v>0.98510630963969803</v>
      </c>
      <c r="E4617">
        <v>0.71486626452212798</v>
      </c>
      <c r="F4617">
        <v>0.72902374101511103</v>
      </c>
      <c r="G4617">
        <v>0.56134721623360895</v>
      </c>
      <c r="H4617">
        <v>0.462526392792728</v>
      </c>
      <c r="I4617">
        <v>0.484113219581771</v>
      </c>
      <c r="J4617">
        <v>0.46992694684633302</v>
      </c>
      <c r="K4617">
        <v>0.38887211352626699</v>
      </c>
      <c r="L4617">
        <v>739.84674882131105</v>
      </c>
      <c r="M4617">
        <v>14.132408886805401</v>
      </c>
      <c r="N4617">
        <v>59.884678481116602</v>
      </c>
      <c r="O4617">
        <v>51.336333725036198</v>
      </c>
      <c r="P4617">
        <v>-4.0231829675735402E-2</v>
      </c>
      <c r="Q4617">
        <v>0.41550222802319497</v>
      </c>
      <c r="R4617">
        <v>0.96656131896587305</v>
      </c>
      <c r="S4617" t="s">
        <v>10478</v>
      </c>
      <c r="T4617" t="s">
        <v>11720</v>
      </c>
      <c r="U4617" t="s">
        <v>11720</v>
      </c>
      <c r="V4617" t="s">
        <v>11720</v>
      </c>
      <c r="W4617" t="s">
        <v>16282</v>
      </c>
      <c r="X4617">
        <v>4</v>
      </c>
      <c r="Y4617" t="s">
        <v>21990</v>
      </c>
      <c r="Z4617" t="s">
        <v>27824</v>
      </c>
      <c r="AA4617">
        <v>0.67020816636350034</v>
      </c>
      <c r="AB4617" t="str">
        <f>HYPERLINK("Melting_Curves/meltCurve_Q96K19_2_RNF170.pdf", "Melting_Curves/meltCurve_Q96K19_2_RNF170.pdf")</f>
        <v>Melting_Curves/meltCurve_Q96K19_2_RNF170.pdf</v>
      </c>
    </row>
    <row r="4618" spans="1:28" x14ac:dyDescent="0.25">
      <c r="A4618" t="s">
        <v>4622</v>
      </c>
      <c r="B4618">
        <v>0.99334974765950101</v>
      </c>
      <c r="C4618">
        <v>0.98316857309557704</v>
      </c>
      <c r="D4618">
        <v>0.97023999799404403</v>
      </c>
      <c r="E4618">
        <v>0.83332580599606298</v>
      </c>
      <c r="F4618">
        <v>0.44790767841262602</v>
      </c>
      <c r="G4618">
        <v>0.233171966559368</v>
      </c>
      <c r="H4618">
        <v>0.18766515542554399</v>
      </c>
      <c r="I4618">
        <v>0.19530517204998801</v>
      </c>
      <c r="J4618">
        <v>0.18257485086407901</v>
      </c>
      <c r="K4618">
        <v>0.150732513407348</v>
      </c>
      <c r="L4618">
        <v>1742.68860560188</v>
      </c>
      <c r="M4618">
        <v>33.553996639723898</v>
      </c>
      <c r="N4618">
        <v>52.6343254050079</v>
      </c>
      <c r="O4618">
        <v>51.753405192060796</v>
      </c>
      <c r="P4618">
        <v>-0.13299648060984701</v>
      </c>
      <c r="Q4618">
        <v>0.17947276304491799</v>
      </c>
      <c r="R4618">
        <v>0.99839128915972697</v>
      </c>
      <c r="S4618" t="s">
        <v>10479</v>
      </c>
      <c r="T4618" t="s">
        <v>11720</v>
      </c>
      <c r="U4618" t="s">
        <v>11720</v>
      </c>
      <c r="V4618" t="s">
        <v>11720</v>
      </c>
      <c r="W4618" t="s">
        <v>16283</v>
      </c>
      <c r="X4618">
        <v>12</v>
      </c>
      <c r="Y4618" t="s">
        <v>21991</v>
      </c>
      <c r="Z4618" t="s">
        <v>27825</v>
      </c>
      <c r="AA4618">
        <v>0.51014599486576417</v>
      </c>
      <c r="AB4618" t="str">
        <f>HYPERLINK("Melting_Curves/meltCurve_Q96KA5_2_CLPTM1L.pdf", "Melting_Curves/meltCurve_Q96KA5_2_CLPTM1L.pdf")</f>
        <v>Melting_Curves/meltCurve_Q96KA5_2_CLPTM1L.pdf</v>
      </c>
    </row>
    <row r="4619" spans="1:28" x14ac:dyDescent="0.25">
      <c r="A4619" t="s">
        <v>4623</v>
      </c>
      <c r="B4619">
        <v>0.99334974765950101</v>
      </c>
      <c r="C4619">
        <v>0.98802773248021403</v>
      </c>
      <c r="D4619">
        <v>0.814426132413266</v>
      </c>
      <c r="E4619">
        <v>0.16073725326080099</v>
      </c>
      <c r="F4619">
        <v>0.11881129070115599</v>
      </c>
      <c r="G4619">
        <v>6.6011189385263805E-2</v>
      </c>
      <c r="H4619">
        <v>7.2593965369486799E-2</v>
      </c>
      <c r="I4619">
        <v>3.0396876391787099E-2</v>
      </c>
      <c r="J4619">
        <v>1.8517227782085699E-2</v>
      </c>
      <c r="K4619">
        <v>3.1386618212094201E-2</v>
      </c>
      <c r="L4619">
        <v>1896.38675152057</v>
      </c>
      <c r="M4619">
        <v>39.836935330205897</v>
      </c>
      <c r="N4619">
        <v>47.733735612675801</v>
      </c>
      <c r="O4619">
        <v>47.484243981516101</v>
      </c>
      <c r="P4619">
        <v>-0.19895494992896301</v>
      </c>
      <c r="Q4619">
        <v>5.1412362571580397E-2</v>
      </c>
      <c r="R4619">
        <v>0.99661238119060502</v>
      </c>
      <c r="S4619" t="s">
        <v>10480</v>
      </c>
      <c r="T4619" t="s">
        <v>11720</v>
      </c>
      <c r="U4619" t="s">
        <v>11720</v>
      </c>
      <c r="V4619" t="s">
        <v>11720</v>
      </c>
      <c r="W4619" t="s">
        <v>16284</v>
      </c>
      <c r="X4619">
        <v>4</v>
      </c>
      <c r="Y4619" t="s">
        <v>21992</v>
      </c>
      <c r="Z4619" t="s">
        <v>27826</v>
      </c>
      <c r="AA4619">
        <v>0.29500019220305151</v>
      </c>
      <c r="AB4619" t="str">
        <f>HYPERLINK("Melting_Curves/meltCurve_Q96KB5_PBK.pdf", "Melting_Curves/meltCurve_Q96KB5_PBK.pdf")</f>
        <v>Melting_Curves/meltCurve_Q96KB5_PBK.pdf</v>
      </c>
    </row>
    <row r="4620" spans="1:28" x14ac:dyDescent="0.25">
      <c r="A4620" t="s">
        <v>4624</v>
      </c>
      <c r="B4620">
        <v>0.99334974765950101</v>
      </c>
      <c r="C4620">
        <v>0.77225764930839902</v>
      </c>
      <c r="D4620">
        <v>0.729808937909877</v>
      </c>
      <c r="E4620">
        <v>0.81892214970687605</v>
      </c>
      <c r="F4620">
        <v>1.1620346849266801</v>
      </c>
      <c r="G4620">
        <v>0.70006157221415299</v>
      </c>
      <c r="H4620">
        <v>0.48304247442940801</v>
      </c>
      <c r="I4620">
        <v>0.479751284122584</v>
      </c>
      <c r="J4620">
        <v>0.36283923168885202</v>
      </c>
      <c r="K4620">
        <v>0.313873812512518</v>
      </c>
      <c r="L4620">
        <v>559.23118732698595</v>
      </c>
      <c r="M4620">
        <v>8.8609889890309805</v>
      </c>
      <c r="N4620">
        <v>63.111591509581899</v>
      </c>
      <c r="O4620">
        <v>60.145229924036798</v>
      </c>
      <c r="P4620">
        <v>-3.6860005632671403E-2</v>
      </c>
      <c r="Q4620">
        <v>0</v>
      </c>
      <c r="R4620">
        <v>0.67500720933691305</v>
      </c>
      <c r="S4620" t="s">
        <v>10481</v>
      </c>
      <c r="T4620" t="s">
        <v>11720</v>
      </c>
      <c r="U4620" t="s">
        <v>11720</v>
      </c>
      <c r="V4620" t="s">
        <v>11720</v>
      </c>
      <c r="W4620" t="s">
        <v>12311</v>
      </c>
      <c r="X4620">
        <v>1</v>
      </c>
      <c r="Y4620" t="s">
        <v>21993</v>
      </c>
      <c r="Z4620" t="s">
        <v>27827</v>
      </c>
      <c r="AA4620">
        <v>0.7287852267471473</v>
      </c>
      <c r="AB4620" t="str">
        <f>HYPERLINK("Melting_Curves/meltCurve_Q96KB7_CIZ1.pdf", "Melting_Curves/meltCurve_Q96KB7_CIZ1.pdf")</f>
        <v>Melting_Curves/meltCurve_Q96KB7_CIZ1.pdf</v>
      </c>
    </row>
    <row r="4621" spans="1:28" x14ac:dyDescent="0.25">
      <c r="A4621" t="s">
        <v>4625</v>
      </c>
      <c r="B4621">
        <v>0.99334974765950101</v>
      </c>
      <c r="C4621">
        <v>0.84357213114718699</v>
      </c>
      <c r="D4621">
        <v>0.60396024679148197</v>
      </c>
      <c r="E4621">
        <v>0.31775771019434201</v>
      </c>
      <c r="F4621">
        <v>0.17333437939087701</v>
      </c>
      <c r="G4621">
        <v>0.10701204420002999</v>
      </c>
      <c r="H4621">
        <v>6.86182185813628E-2</v>
      </c>
      <c r="I4621">
        <v>5.92984930980993E-2</v>
      </c>
      <c r="J4621">
        <v>6.6253864358665204E-2</v>
      </c>
      <c r="K4621">
        <v>6.0178830780581997E-2</v>
      </c>
      <c r="L4621">
        <v>811.90784855067704</v>
      </c>
      <c r="M4621">
        <v>17.267604779059099</v>
      </c>
      <c r="N4621">
        <v>47.351073708469599</v>
      </c>
      <c r="O4621">
        <v>46.402105807408098</v>
      </c>
      <c r="P4621">
        <v>-8.7734383989975406E-2</v>
      </c>
      <c r="Q4621">
        <v>5.7003090759872699E-2</v>
      </c>
      <c r="R4621">
        <v>0.99835167270007996</v>
      </c>
      <c r="S4621" t="s">
        <v>10482</v>
      </c>
      <c r="T4621" t="s">
        <v>11720</v>
      </c>
      <c r="U4621" t="s">
        <v>11720</v>
      </c>
      <c r="V4621" t="s">
        <v>11720</v>
      </c>
      <c r="W4621" t="s">
        <v>16285</v>
      </c>
      <c r="X4621">
        <v>3</v>
      </c>
      <c r="Y4621" t="s">
        <v>21994</v>
      </c>
      <c r="Z4621" t="s">
        <v>27828</v>
      </c>
      <c r="AA4621">
        <v>0.29665415640435999</v>
      </c>
      <c r="AB4621" t="str">
        <f>HYPERLINK("Melting_Curves/meltCurve_Q96KC2_ARL5B.pdf", "Melting_Curves/meltCurve_Q96KC2_ARL5B.pdf")</f>
        <v>Melting_Curves/meltCurve_Q96KC2_ARL5B.pdf</v>
      </c>
    </row>
    <row r="4622" spans="1:28" x14ac:dyDescent="0.25">
      <c r="A4622" t="s">
        <v>4626</v>
      </c>
      <c r="B4622">
        <v>0.99334974765950101</v>
      </c>
      <c r="C4622">
        <v>0.99393366495313595</v>
      </c>
      <c r="D4622">
        <v>0.92290103526728895</v>
      </c>
      <c r="E4622">
        <v>0.74814371647315403</v>
      </c>
      <c r="F4622">
        <v>0.35157053350558998</v>
      </c>
      <c r="G4622">
        <v>0.23136734715028501</v>
      </c>
      <c r="H4622">
        <v>0.175491094004319</v>
      </c>
      <c r="I4622">
        <v>0.16842068076588601</v>
      </c>
      <c r="J4622">
        <v>0.17710171267604299</v>
      </c>
      <c r="K4622">
        <v>0.15736885665403499</v>
      </c>
      <c r="L4622">
        <v>1605.4409943119899</v>
      </c>
      <c r="M4622">
        <v>31.407255812483701</v>
      </c>
      <c r="N4622">
        <v>51.810204432453901</v>
      </c>
      <c r="O4622">
        <v>50.910990163791297</v>
      </c>
      <c r="P4622">
        <v>-0.12776593411610401</v>
      </c>
      <c r="Q4622">
        <v>0.17157299097041701</v>
      </c>
      <c r="R4622">
        <v>0.99600973286864503</v>
      </c>
      <c r="S4622" t="s">
        <v>10483</v>
      </c>
      <c r="T4622" t="s">
        <v>11720</v>
      </c>
      <c r="U4622" t="s">
        <v>11720</v>
      </c>
      <c r="V4622" t="s">
        <v>11720</v>
      </c>
      <c r="W4622" t="s">
        <v>16286</v>
      </c>
      <c r="X4622">
        <v>8</v>
      </c>
      <c r="Y4622" t="s">
        <v>21995</v>
      </c>
      <c r="Z4622" t="s">
        <v>27829</v>
      </c>
      <c r="AA4622">
        <v>0.48331795024005869</v>
      </c>
      <c r="AB4622" t="str">
        <f>HYPERLINK("Melting_Curves/meltCurve_Q96KC8_DNAJC1.pdf", "Melting_Curves/meltCurve_Q96KC8_DNAJC1.pdf")</f>
        <v>Melting_Curves/meltCurve_Q96KC8_DNAJC1.pdf</v>
      </c>
    </row>
    <row r="4623" spans="1:28" x14ac:dyDescent="0.25">
      <c r="A4623" t="s">
        <v>4627</v>
      </c>
      <c r="B4623">
        <v>0.99334974765950101</v>
      </c>
      <c r="C4623">
        <v>0.72640113895973901</v>
      </c>
      <c r="D4623">
        <v>0.49001786068714098</v>
      </c>
      <c r="E4623">
        <v>0.14122448824581099</v>
      </c>
      <c r="F4623">
        <v>0.11178732285496799</v>
      </c>
      <c r="G4623">
        <v>0</v>
      </c>
      <c r="H4623">
        <v>7.6219642648314198E-2</v>
      </c>
      <c r="I4623">
        <v>9.13048962353879E-2</v>
      </c>
      <c r="J4623">
        <v>9.9871145668788505E-2</v>
      </c>
      <c r="K4623">
        <v>0</v>
      </c>
      <c r="L4623">
        <v>945.94683803046405</v>
      </c>
      <c r="M4623">
        <v>20.872318399905801</v>
      </c>
      <c r="N4623">
        <v>45.552716250339301</v>
      </c>
      <c r="O4623">
        <v>44.910783161988903</v>
      </c>
      <c r="P4623">
        <v>-0.110330161139937</v>
      </c>
      <c r="Q4623">
        <v>5.0440403529623E-2</v>
      </c>
      <c r="R4623">
        <v>0.98286453417605302</v>
      </c>
      <c r="S4623" t="s">
        <v>10484</v>
      </c>
      <c r="T4623" t="s">
        <v>11720</v>
      </c>
      <c r="U4623" t="s">
        <v>11720</v>
      </c>
      <c r="V4623" t="s">
        <v>11720</v>
      </c>
      <c r="W4623" t="s">
        <v>16287</v>
      </c>
      <c r="X4623">
        <v>1</v>
      </c>
      <c r="Y4623" t="s">
        <v>21996</v>
      </c>
      <c r="Z4623" t="s">
        <v>27830</v>
      </c>
      <c r="AA4623">
        <v>0.23291590273658061</v>
      </c>
      <c r="AB4623" t="str">
        <f>HYPERLINK("Melting_Curves/meltCurve_Q96KN4_FAM84A.pdf", "Melting_Curves/meltCurve_Q96KN4_FAM84A.pdf")</f>
        <v>Melting_Curves/meltCurve_Q96KN4_FAM84A.pdf</v>
      </c>
    </row>
    <row r="4624" spans="1:28" x14ac:dyDescent="0.25">
      <c r="A4624" t="s">
        <v>4628</v>
      </c>
      <c r="B4624">
        <v>0.99334974765950101</v>
      </c>
      <c r="C4624">
        <v>0.89272729087659897</v>
      </c>
      <c r="D4624">
        <v>0.86612003472042798</v>
      </c>
      <c r="E4624">
        <v>0.68813559298569105</v>
      </c>
      <c r="F4624">
        <v>0.34791817846572498</v>
      </c>
      <c r="G4624">
        <v>0.26140091318181102</v>
      </c>
      <c r="H4624">
        <v>0.24167639919574199</v>
      </c>
      <c r="I4624">
        <v>0.232095537213686</v>
      </c>
      <c r="J4624">
        <v>0.23073840569944201</v>
      </c>
      <c r="K4624">
        <v>0.17567428874048799</v>
      </c>
      <c r="L4624">
        <v>983.26575490026903</v>
      </c>
      <c r="M4624">
        <v>19.5801954156899</v>
      </c>
      <c r="N4624">
        <v>51.575273153358999</v>
      </c>
      <c r="O4624">
        <v>49.702359353896398</v>
      </c>
      <c r="P4624">
        <v>-7.8654167440327105E-2</v>
      </c>
      <c r="Q4624">
        <v>0.20140551022420999</v>
      </c>
      <c r="R4624">
        <v>0.98134475809906796</v>
      </c>
      <c r="S4624" t="s">
        <v>10485</v>
      </c>
      <c r="T4624" t="s">
        <v>11720</v>
      </c>
      <c r="U4624" t="s">
        <v>11720</v>
      </c>
      <c r="V4624" t="s">
        <v>11720</v>
      </c>
      <c r="W4624" t="s">
        <v>16288</v>
      </c>
      <c r="X4624">
        <v>2</v>
      </c>
      <c r="Y4624" t="s">
        <v>21997</v>
      </c>
      <c r="Z4624" t="s">
        <v>27831</v>
      </c>
      <c r="AA4624">
        <v>0.48496268316106261</v>
      </c>
      <c r="AB4624" t="str">
        <f>HYPERLINK("Melting_Curves/meltCurve_Q96KP1_EXOC2.pdf", "Melting_Curves/meltCurve_Q96KP1_EXOC2.pdf")</f>
        <v>Melting_Curves/meltCurve_Q96KP1_EXOC2.pdf</v>
      </c>
    </row>
    <row r="4625" spans="1:28" x14ac:dyDescent="0.25">
      <c r="A4625" t="s">
        <v>4629</v>
      </c>
      <c r="B4625">
        <v>0.99334974765950101</v>
      </c>
      <c r="C4625">
        <v>0.96842069844120204</v>
      </c>
      <c r="D4625">
        <v>0.98894226101514604</v>
      </c>
      <c r="E4625">
        <v>0.86141616018147005</v>
      </c>
      <c r="F4625">
        <v>0.60990644403014704</v>
      </c>
      <c r="G4625">
        <v>0.44611569215722702</v>
      </c>
      <c r="H4625">
        <v>0.321064977844365</v>
      </c>
      <c r="I4625">
        <v>0.24527696858553</v>
      </c>
      <c r="J4625">
        <v>0.18024824684889701</v>
      </c>
      <c r="K4625">
        <v>0.13093165671165899</v>
      </c>
      <c r="L4625">
        <v>782.54729122258095</v>
      </c>
      <c r="M4625">
        <v>14.2688184737762</v>
      </c>
      <c r="N4625">
        <v>55.946327055213899</v>
      </c>
      <c r="O4625">
        <v>53.799701985219897</v>
      </c>
      <c r="P4625">
        <v>-5.8182211740460003E-2</v>
      </c>
      <c r="Q4625">
        <v>0.12261799319892699</v>
      </c>
      <c r="R4625">
        <v>0.99193542788417499</v>
      </c>
      <c r="S4625" t="s">
        <v>10486</v>
      </c>
      <c r="T4625" t="s">
        <v>11720</v>
      </c>
      <c r="U4625" t="s">
        <v>11720</v>
      </c>
      <c r="V4625" t="s">
        <v>11720</v>
      </c>
      <c r="W4625" t="s">
        <v>16289</v>
      </c>
      <c r="X4625">
        <v>30</v>
      </c>
      <c r="Y4625" t="s">
        <v>21998</v>
      </c>
      <c r="Z4625" t="s">
        <v>27832</v>
      </c>
      <c r="AA4625">
        <v>0.5747504716252102</v>
      </c>
      <c r="AB4625" t="str">
        <f>HYPERLINK("Melting_Curves/meltCurve_Q96KP4_CNDP2.pdf", "Melting_Curves/meltCurve_Q96KP4_CNDP2.pdf")</f>
        <v>Melting_Curves/meltCurve_Q96KP4_CNDP2.pdf</v>
      </c>
    </row>
    <row r="4626" spans="1:28" x14ac:dyDescent="0.25">
      <c r="A4626" t="s">
        <v>4630</v>
      </c>
      <c r="B4626">
        <v>0.99334974765950101</v>
      </c>
      <c r="C4626">
        <v>0.92207007823363396</v>
      </c>
      <c r="D4626">
        <v>0.69065684466895405</v>
      </c>
      <c r="E4626">
        <v>0.73917090047356604</v>
      </c>
      <c r="F4626">
        <v>0.62379554153914496</v>
      </c>
      <c r="G4626">
        <v>0.54857818513797896</v>
      </c>
      <c r="H4626">
        <v>0.48236000236767002</v>
      </c>
      <c r="I4626">
        <v>0.63262246457358595</v>
      </c>
      <c r="J4626">
        <v>0.71661088709577603</v>
      </c>
      <c r="K4626">
        <v>0.60280684749836799</v>
      </c>
      <c r="L4626">
        <v>1062.5705365143699</v>
      </c>
      <c r="M4626">
        <v>23.737617646714298</v>
      </c>
      <c r="O4626">
        <v>44.449095831768098</v>
      </c>
      <c r="P4626">
        <v>-5.2114060474385E-2</v>
      </c>
      <c r="Q4626">
        <v>0.60966857986574996</v>
      </c>
      <c r="R4626">
        <v>0.79723867332949405</v>
      </c>
      <c r="S4626" t="s">
        <v>10487</v>
      </c>
      <c r="T4626" t="s">
        <v>11720</v>
      </c>
      <c r="U4626" t="s">
        <v>11720</v>
      </c>
      <c r="V4626" t="s">
        <v>11720</v>
      </c>
      <c r="W4626" t="s">
        <v>16290</v>
      </c>
      <c r="X4626">
        <v>2</v>
      </c>
      <c r="Y4626" t="s">
        <v>21999</v>
      </c>
      <c r="Z4626" t="s">
        <v>27833</v>
      </c>
      <c r="AA4626">
        <v>0.67616718164210432</v>
      </c>
      <c r="AB4626" t="str">
        <f>HYPERLINK("Melting_Curves/meltCurve_Q96KR1_ZFR.pdf", "Melting_Curves/meltCurve_Q96KR1_ZFR.pdf")</f>
        <v>Melting_Curves/meltCurve_Q96KR1_ZFR.pdf</v>
      </c>
    </row>
    <row r="4627" spans="1:28" x14ac:dyDescent="0.25">
      <c r="A4627" t="s">
        <v>4631</v>
      </c>
      <c r="B4627">
        <v>0.99334974765950101</v>
      </c>
      <c r="C4627">
        <v>0.98651446357357397</v>
      </c>
      <c r="D4627">
        <v>0.73952858603312199</v>
      </c>
      <c r="E4627">
        <v>0.324633735509608</v>
      </c>
      <c r="F4627">
        <v>0.25178964123919101</v>
      </c>
      <c r="G4627">
        <v>0.25806584618228501</v>
      </c>
      <c r="H4627">
        <v>0.16262732174035999</v>
      </c>
      <c r="I4627">
        <v>0.17139828617445499</v>
      </c>
      <c r="J4627">
        <v>9.7948331159134996E-2</v>
      </c>
      <c r="K4627">
        <v>5.84636089961603E-2</v>
      </c>
      <c r="L4627">
        <v>1124.23982173078</v>
      </c>
      <c r="M4627">
        <v>23.587259316161902</v>
      </c>
      <c r="N4627">
        <v>48.368160746246801</v>
      </c>
      <c r="O4627">
        <v>47.324377366534698</v>
      </c>
      <c r="P4627">
        <v>-0.106477577341688</v>
      </c>
      <c r="Q4627">
        <v>0.14548776589951201</v>
      </c>
      <c r="R4627">
        <v>0.97954432875110897</v>
      </c>
      <c r="S4627" t="s">
        <v>10488</v>
      </c>
      <c r="T4627" t="s">
        <v>11720</v>
      </c>
      <c r="U4627" t="s">
        <v>11720</v>
      </c>
      <c r="V4627" t="s">
        <v>11720</v>
      </c>
      <c r="W4627" t="s">
        <v>16291</v>
      </c>
      <c r="X4627">
        <v>3</v>
      </c>
      <c r="Y4627" t="s">
        <v>22000</v>
      </c>
      <c r="Z4627" t="s">
        <v>27834</v>
      </c>
      <c r="AA4627">
        <v>0.37233272110750548</v>
      </c>
      <c r="AB4627" t="str">
        <f>HYPERLINK("Melting_Curves/meltCurve_Q96L35_EPHB4.pdf", "Melting_Curves/meltCurve_Q96L35_EPHB4.pdf")</f>
        <v>Melting_Curves/meltCurve_Q96L35_EPHB4.pdf</v>
      </c>
    </row>
    <row r="4628" spans="1:28" x14ac:dyDescent="0.25">
      <c r="A4628" t="s">
        <v>4632</v>
      </c>
      <c r="B4628">
        <v>0.99334974765950101</v>
      </c>
      <c r="C4628">
        <v>0.953864353610824</v>
      </c>
      <c r="D4628">
        <v>0.76250057120793302</v>
      </c>
      <c r="E4628">
        <v>0.24966966583808101</v>
      </c>
      <c r="F4628">
        <v>0.18836231325083</v>
      </c>
      <c r="G4628">
        <v>0.12529722852325501</v>
      </c>
      <c r="H4628">
        <v>0.109600359539422</v>
      </c>
      <c r="I4628">
        <v>9.4864848568928795E-2</v>
      </c>
      <c r="J4628">
        <v>9.19284356873456E-2</v>
      </c>
      <c r="K4628">
        <v>7.1544927149122001E-2</v>
      </c>
      <c r="L4628">
        <v>1375.80516269283</v>
      </c>
      <c r="M4628">
        <v>28.946043523787601</v>
      </c>
      <c r="N4628">
        <v>47.905405230293702</v>
      </c>
      <c r="O4628">
        <v>47.304871626683799</v>
      </c>
      <c r="P4628">
        <v>-0.13745378418499499</v>
      </c>
      <c r="Q4628">
        <v>0.101475164245629</v>
      </c>
      <c r="R4628">
        <v>0.99683688234025702</v>
      </c>
      <c r="S4628" t="s">
        <v>10489</v>
      </c>
      <c r="T4628" t="s">
        <v>11720</v>
      </c>
      <c r="U4628" t="s">
        <v>11720</v>
      </c>
      <c r="V4628" t="s">
        <v>11720</v>
      </c>
      <c r="W4628" t="s">
        <v>16292</v>
      </c>
      <c r="X4628">
        <v>11</v>
      </c>
      <c r="Y4628" t="s">
        <v>22001</v>
      </c>
      <c r="Z4628" t="s">
        <v>27835</v>
      </c>
      <c r="AA4628">
        <v>0.33282043826091928</v>
      </c>
      <c r="AB4628" t="str">
        <f>HYPERLINK("Melting_Curves/meltCurve_Q96L92_SNX27.pdf", "Melting_Curves/meltCurve_Q96L92_SNX27.pdf")</f>
        <v>Melting_Curves/meltCurve_Q96L92_SNX27.pdf</v>
      </c>
    </row>
    <row r="4629" spans="1:28" x14ac:dyDescent="0.25">
      <c r="A4629" t="s">
        <v>4633</v>
      </c>
      <c r="B4629">
        <v>0.99334974765950101</v>
      </c>
      <c r="C4629">
        <v>1.1094528236649599</v>
      </c>
      <c r="D4629">
        <v>0.83479418245190395</v>
      </c>
      <c r="E4629">
        <v>0.74904475292572503</v>
      </c>
      <c r="F4629">
        <v>0.69716069527408897</v>
      </c>
      <c r="G4629">
        <v>0.52004362335540999</v>
      </c>
      <c r="H4629">
        <v>0.31138098479044302</v>
      </c>
      <c r="I4629">
        <v>0.35374928051464999</v>
      </c>
      <c r="J4629">
        <v>0.36112672357856201</v>
      </c>
      <c r="K4629">
        <v>0.304677519101681</v>
      </c>
      <c r="L4629">
        <v>702.56254484418002</v>
      </c>
      <c r="M4629">
        <v>13.204154388204801</v>
      </c>
      <c r="N4629">
        <v>56.706178979364303</v>
      </c>
      <c r="O4629">
        <v>52.031690446689304</v>
      </c>
      <c r="P4629">
        <v>-4.5775368663877103E-2</v>
      </c>
      <c r="Q4629">
        <v>0.27859860019107002</v>
      </c>
      <c r="R4629">
        <v>0.95119280537565798</v>
      </c>
      <c r="S4629" t="s">
        <v>10490</v>
      </c>
      <c r="T4629" t="s">
        <v>11720</v>
      </c>
      <c r="U4629" t="s">
        <v>11720</v>
      </c>
      <c r="V4629" t="s">
        <v>11720</v>
      </c>
      <c r="W4629" t="s">
        <v>16293</v>
      </c>
      <c r="X4629">
        <v>1</v>
      </c>
      <c r="Y4629" t="s">
        <v>22002</v>
      </c>
      <c r="Z4629" t="s">
        <v>27836</v>
      </c>
      <c r="AA4629">
        <v>0.61431607249885345</v>
      </c>
      <c r="AB4629" t="str">
        <f>HYPERLINK("Melting_Curves/meltCurve_Q96L93_6_KIF16B.pdf", "Melting_Curves/meltCurve_Q96L93_6_KIF16B.pdf")</f>
        <v>Melting_Curves/meltCurve_Q96L93_6_KIF16B.pdf</v>
      </c>
    </row>
    <row r="4630" spans="1:28" x14ac:dyDescent="0.25">
      <c r="A4630" t="s">
        <v>4634</v>
      </c>
      <c r="B4630">
        <v>0.99334974765950101</v>
      </c>
      <c r="C4630">
        <v>0.99955069952292497</v>
      </c>
      <c r="D4630">
        <v>1.0401379978712499</v>
      </c>
      <c r="E4630">
        <v>0.76152891318010096</v>
      </c>
      <c r="F4630">
        <v>0.58002593418412296</v>
      </c>
      <c r="G4630">
        <v>0.31106263314393201</v>
      </c>
      <c r="H4630">
        <v>0.259474494913912</v>
      </c>
      <c r="I4630">
        <v>0.200182583550787</v>
      </c>
      <c r="J4630">
        <v>0.228427718258713</v>
      </c>
      <c r="K4630">
        <v>0.21990486960042099</v>
      </c>
      <c r="L4630">
        <v>1202.06443570587</v>
      </c>
      <c r="M4630">
        <v>22.9432009782028</v>
      </c>
      <c r="N4630">
        <v>53.701090179084801</v>
      </c>
      <c r="O4630">
        <v>51.999896067322602</v>
      </c>
      <c r="P4630">
        <v>-8.6693493401250599E-2</v>
      </c>
      <c r="Q4630">
        <v>0.21406477903607901</v>
      </c>
      <c r="R4630">
        <v>0.99259913748514295</v>
      </c>
      <c r="S4630" t="s">
        <v>10491</v>
      </c>
      <c r="T4630" t="s">
        <v>11720</v>
      </c>
      <c r="U4630" t="s">
        <v>11720</v>
      </c>
      <c r="V4630" t="s">
        <v>11720</v>
      </c>
      <c r="W4630" t="s">
        <v>16294</v>
      </c>
      <c r="X4630">
        <v>5</v>
      </c>
      <c r="Y4630" t="s">
        <v>22003</v>
      </c>
      <c r="Z4630" t="s">
        <v>27837</v>
      </c>
      <c r="AA4630">
        <v>0.54720148216726305</v>
      </c>
      <c r="AB4630" t="str">
        <f>HYPERLINK("Melting_Curves/meltCurve_Q96LD8_SENP8.pdf", "Melting_Curves/meltCurve_Q96LD8_SENP8.pdf")</f>
        <v>Melting_Curves/meltCurve_Q96LD8_SENP8.pdf</v>
      </c>
    </row>
    <row r="4631" spans="1:28" x14ac:dyDescent="0.25">
      <c r="A4631" t="s">
        <v>4635</v>
      </c>
      <c r="B4631">
        <v>0.99334974765950101</v>
      </c>
      <c r="C4631">
        <v>0.919887954730087</v>
      </c>
      <c r="D4631">
        <v>0.70611877779153198</v>
      </c>
      <c r="E4631">
        <v>0.33860898778116</v>
      </c>
      <c r="F4631">
        <v>0.193377148746008</v>
      </c>
      <c r="G4631">
        <v>0.134424869418063</v>
      </c>
      <c r="H4631">
        <v>9.2852265606412202E-2</v>
      </c>
      <c r="I4631">
        <v>8.0033481887292104E-2</v>
      </c>
      <c r="J4631">
        <v>6.4368509705959698E-2</v>
      </c>
      <c r="K4631">
        <v>4.3013299480898499E-2</v>
      </c>
      <c r="L4631">
        <v>934.71452745898603</v>
      </c>
      <c r="M4631">
        <v>19.538077513933199</v>
      </c>
      <c r="N4631">
        <v>48.2076051999843</v>
      </c>
      <c r="O4631">
        <v>47.347946490176902</v>
      </c>
      <c r="P4631">
        <v>-9.6037664941245798E-2</v>
      </c>
      <c r="Q4631">
        <v>6.9094906734495906E-2</v>
      </c>
      <c r="R4631">
        <v>0.998356347459192</v>
      </c>
      <c r="S4631" t="s">
        <v>10492</v>
      </c>
      <c r="T4631" t="s">
        <v>11720</v>
      </c>
      <c r="U4631" t="s">
        <v>11720</v>
      </c>
      <c r="V4631" t="s">
        <v>11720</v>
      </c>
      <c r="W4631" t="s">
        <v>16295</v>
      </c>
      <c r="X4631">
        <v>11</v>
      </c>
      <c r="Y4631" t="s">
        <v>22004</v>
      </c>
      <c r="Z4631" t="s">
        <v>27838</v>
      </c>
      <c r="AA4631">
        <v>0.32634588503059592</v>
      </c>
      <c r="AB4631" t="str">
        <f>HYPERLINK("Melting_Curves/meltCurve_Q96LJ7_DHRS1.pdf", "Melting_Curves/meltCurve_Q96LJ7_DHRS1.pdf")</f>
        <v>Melting_Curves/meltCurve_Q96LJ7_DHRS1.pdf</v>
      </c>
    </row>
    <row r="4632" spans="1:28" x14ac:dyDescent="0.25">
      <c r="A4632" t="s">
        <v>4636</v>
      </c>
      <c r="B4632">
        <v>0.99334974765950101</v>
      </c>
      <c r="C4632">
        <v>0.87438110624989696</v>
      </c>
      <c r="D4632">
        <v>0.961412025293362</v>
      </c>
      <c r="E4632">
        <v>1.09004746550426</v>
      </c>
      <c r="F4632">
        <v>1.3244816541131501</v>
      </c>
      <c r="G4632">
        <v>0.73734392907050705</v>
      </c>
      <c r="H4632">
        <v>0.42225233909885002</v>
      </c>
      <c r="I4632">
        <v>0.21108016935795301</v>
      </c>
      <c r="J4632">
        <v>0.38276580059042598</v>
      </c>
      <c r="K4632">
        <v>0.28256169505841999</v>
      </c>
      <c r="L4632">
        <v>3373.952298483</v>
      </c>
      <c r="M4632">
        <v>58.592776677037598</v>
      </c>
      <c r="N4632">
        <v>58.582623994267003</v>
      </c>
      <c r="O4632">
        <v>57.516114491527198</v>
      </c>
      <c r="P4632">
        <v>-0.17419878722874199</v>
      </c>
      <c r="Q4632">
        <v>0.31600900875093901</v>
      </c>
      <c r="R4632">
        <v>0.87988213930218595</v>
      </c>
      <c r="S4632" t="s">
        <v>10493</v>
      </c>
      <c r="T4632" t="s">
        <v>11720</v>
      </c>
      <c r="U4632" t="s">
        <v>11720</v>
      </c>
      <c r="V4632" t="s">
        <v>11720</v>
      </c>
      <c r="W4632" t="s">
        <v>16296</v>
      </c>
      <c r="X4632">
        <v>1</v>
      </c>
      <c r="Y4632" t="s">
        <v>22005</v>
      </c>
      <c r="Z4632" t="s">
        <v>27839</v>
      </c>
      <c r="AA4632">
        <v>0.71816000475169028</v>
      </c>
      <c r="AB4632" t="str">
        <f>HYPERLINK("Melting_Curves/meltCurve_Q96LW7_2_C9orf89.pdf", "Melting_Curves/meltCurve_Q96LW7_2_C9orf89.pdf")</f>
        <v>Melting_Curves/meltCurve_Q96LW7_2_C9orf89.pdf</v>
      </c>
    </row>
    <row r="4633" spans="1:28" x14ac:dyDescent="0.25">
      <c r="A4633" t="s">
        <v>4637</v>
      </c>
      <c r="B4633">
        <v>0.99334974765950101</v>
      </c>
      <c r="C4633">
        <v>1.07642195963808</v>
      </c>
      <c r="D4633">
        <v>1.2389550815232</v>
      </c>
      <c r="E4633">
        <v>1.30202265389133</v>
      </c>
      <c r="F4633">
        <v>2.34277429458401</v>
      </c>
      <c r="G4633">
        <v>4.9728447465342702</v>
      </c>
      <c r="H4633">
        <v>2.9611943825254898</v>
      </c>
      <c r="I4633">
        <v>2.1539425093985902</v>
      </c>
      <c r="J4633">
        <v>2.7516000986078302</v>
      </c>
      <c r="K4633">
        <v>3.7617371163714499</v>
      </c>
      <c r="L4633">
        <v>1958.2978599596399</v>
      </c>
      <c r="M4633">
        <v>42.499332713315603</v>
      </c>
      <c r="O4633">
        <v>45.976650337867099</v>
      </c>
      <c r="P4633">
        <v>0.115546157016443</v>
      </c>
      <c r="Q4633">
        <v>1.5</v>
      </c>
      <c r="R4633">
        <v>-0.447180094099693</v>
      </c>
      <c r="S4633" t="s">
        <v>10494</v>
      </c>
      <c r="T4633" t="s">
        <v>11720</v>
      </c>
      <c r="U4633" t="s">
        <v>11720</v>
      </c>
      <c r="V4633" t="s">
        <v>11720</v>
      </c>
      <c r="W4633" t="s">
        <v>16297</v>
      </c>
      <c r="X4633">
        <v>1</v>
      </c>
      <c r="Y4633" t="s">
        <v>22006</v>
      </c>
      <c r="Z4633" t="s">
        <v>27840</v>
      </c>
      <c r="AA4633">
        <v>1.397264471482726</v>
      </c>
      <c r="AB4633" t="str">
        <f>HYPERLINK("Melting_Curves/meltCurve_Q96M20_2_CNBD2.pdf", "Melting_Curves/meltCurve_Q96M20_2_CNBD2.pdf")</f>
        <v>Melting_Curves/meltCurve_Q96M20_2_CNBD2.pdf</v>
      </c>
    </row>
    <row r="4634" spans="1:28" x14ac:dyDescent="0.25">
      <c r="A4634" t="s">
        <v>4638</v>
      </c>
      <c r="B4634">
        <v>0.99334974765950101</v>
      </c>
      <c r="C4634">
        <v>1.0010106623469199</v>
      </c>
      <c r="D4634">
        <v>0.98360419183333603</v>
      </c>
      <c r="E4634">
        <v>0.94552728397084296</v>
      </c>
      <c r="F4634">
        <v>0.83508387945710405</v>
      </c>
      <c r="G4634">
        <v>0.81036445888124298</v>
      </c>
      <c r="H4634">
        <v>0.77116055941064698</v>
      </c>
      <c r="I4634">
        <v>0.93858148525188301</v>
      </c>
      <c r="J4634">
        <v>0.64412969586832702</v>
      </c>
      <c r="K4634">
        <v>0.200477511346773</v>
      </c>
      <c r="L4634">
        <v>2731.29494729102</v>
      </c>
      <c r="M4634">
        <v>40.262430502927998</v>
      </c>
      <c r="N4634">
        <v>67.837316340635596</v>
      </c>
      <c r="O4634">
        <v>67.670607276268996</v>
      </c>
      <c r="P4634">
        <v>-0.14874446563323601</v>
      </c>
      <c r="Q4634">
        <v>0</v>
      </c>
      <c r="R4634">
        <v>0.78520545423001897</v>
      </c>
      <c r="S4634" t="s">
        <v>10495</v>
      </c>
      <c r="T4634" t="s">
        <v>11720</v>
      </c>
      <c r="U4634" t="s">
        <v>11720</v>
      </c>
      <c r="V4634" t="s">
        <v>11720</v>
      </c>
      <c r="W4634" t="s">
        <v>16298</v>
      </c>
      <c r="X4634">
        <v>12</v>
      </c>
      <c r="Y4634" t="s">
        <v>22007</v>
      </c>
      <c r="Z4634" t="s">
        <v>27841</v>
      </c>
      <c r="AA4634">
        <v>0.91649224881107816</v>
      </c>
      <c r="AB4634" t="str">
        <f>HYPERLINK("Melting_Curves/meltCurve_Q96M27_PRRC1.pdf", "Melting_Curves/meltCurve_Q96M27_PRRC1.pdf")</f>
        <v>Melting_Curves/meltCurve_Q96M27_PRRC1.pdf</v>
      </c>
    </row>
    <row r="4635" spans="1:28" x14ac:dyDescent="0.25">
      <c r="A4635" t="s">
        <v>4639</v>
      </c>
      <c r="B4635">
        <v>0.99334974765950101</v>
      </c>
      <c r="C4635">
        <v>0.99056496434735497</v>
      </c>
      <c r="D4635">
        <v>1.13967659486613</v>
      </c>
      <c r="E4635">
        <v>0.91923831432200998</v>
      </c>
      <c r="F4635">
        <v>0.63377939828904595</v>
      </c>
      <c r="G4635">
        <v>0.22820101932136799</v>
      </c>
      <c r="H4635">
        <v>0.12669788123069201</v>
      </c>
      <c r="I4635">
        <v>9.4058119913662697E-2</v>
      </c>
      <c r="J4635">
        <v>6.65808357714716E-2</v>
      </c>
      <c r="K4635">
        <v>4.8900719298368298E-2</v>
      </c>
      <c r="L4635">
        <v>1611.7846617212299</v>
      </c>
      <c r="M4635">
        <v>29.936648540994401</v>
      </c>
      <c r="N4635">
        <v>54.132536091820299</v>
      </c>
      <c r="O4635">
        <v>53.601340913399099</v>
      </c>
      <c r="P4635">
        <v>-0.12919422233956199</v>
      </c>
      <c r="Q4635">
        <v>7.4721357859594398E-2</v>
      </c>
      <c r="R4635">
        <v>0.98757193634781704</v>
      </c>
      <c r="S4635" t="s">
        <v>10496</v>
      </c>
      <c r="T4635" t="s">
        <v>11720</v>
      </c>
      <c r="U4635" t="s">
        <v>11720</v>
      </c>
      <c r="V4635" t="s">
        <v>11720</v>
      </c>
      <c r="W4635" t="s">
        <v>16299</v>
      </c>
      <c r="X4635">
        <v>16</v>
      </c>
      <c r="Y4635" t="s">
        <v>22008</v>
      </c>
      <c r="Z4635" t="s">
        <v>27842</v>
      </c>
      <c r="AA4635">
        <v>0.50766996149231403</v>
      </c>
      <c r="AB4635" t="str">
        <f>HYPERLINK("Melting_Curves/meltCurve_Q96ME1_4_FBXL18.pdf", "Melting_Curves/meltCurve_Q96ME1_4_FBXL18.pdf")</f>
        <v>Melting_Curves/meltCurve_Q96ME1_4_FBXL18.pdf</v>
      </c>
    </row>
    <row r="4636" spans="1:28" x14ac:dyDescent="0.25">
      <c r="A4636" t="s">
        <v>4640</v>
      </c>
      <c r="B4636">
        <v>0.99334974765950101</v>
      </c>
      <c r="C4636">
        <v>1.0109267385039</v>
      </c>
      <c r="D4636">
        <v>0.89395541433137005</v>
      </c>
      <c r="E4636">
        <v>0.93559023263901897</v>
      </c>
      <c r="F4636">
        <v>1.1605294855964701</v>
      </c>
      <c r="G4636">
        <v>0.71786583585723696</v>
      </c>
      <c r="H4636">
        <v>0.79225883482404302</v>
      </c>
      <c r="I4636">
        <v>0.80615779029698997</v>
      </c>
      <c r="J4636">
        <v>0.94734598357704602</v>
      </c>
      <c r="K4636">
        <v>1.14635793297331</v>
      </c>
      <c r="L4636">
        <v>654.119294397624</v>
      </c>
      <c r="M4636">
        <v>14.046413230401701</v>
      </c>
      <c r="O4636">
        <v>45.655024366714301</v>
      </c>
      <c r="P4636">
        <v>-6.3903443542181601E-3</v>
      </c>
      <c r="Q4636">
        <v>0.91692876599568696</v>
      </c>
      <c r="R4636">
        <v>3.9008343108284903E-2</v>
      </c>
      <c r="S4636" t="s">
        <v>10497</v>
      </c>
      <c r="T4636" t="s">
        <v>11720</v>
      </c>
      <c r="U4636" t="s">
        <v>11720</v>
      </c>
      <c r="V4636" t="s">
        <v>11720</v>
      </c>
      <c r="W4636" t="s">
        <v>16300</v>
      </c>
      <c r="X4636">
        <v>2</v>
      </c>
      <c r="Y4636" t="s">
        <v>22009</v>
      </c>
      <c r="Z4636" t="s">
        <v>27843</v>
      </c>
      <c r="AA4636">
        <v>0.93777482085616781</v>
      </c>
      <c r="AB4636" t="str">
        <f>HYPERLINK("Melting_Curves/meltCurve_Q96MH2_HEXIM2.pdf", "Melting_Curves/meltCurve_Q96MH2_HEXIM2.pdf")</f>
        <v>Melting_Curves/meltCurve_Q96MH2_HEXIM2.pdf</v>
      </c>
    </row>
    <row r="4637" spans="1:28" x14ac:dyDescent="0.25">
      <c r="A4637" t="s">
        <v>4641</v>
      </c>
      <c r="B4637">
        <v>0.99334974765950101</v>
      </c>
      <c r="C4637">
        <v>0.96804041932998597</v>
      </c>
      <c r="D4637">
        <v>0.86328503158220804</v>
      </c>
      <c r="E4637">
        <v>0.84170187810686103</v>
      </c>
      <c r="F4637">
        <v>0.61368185055439495</v>
      </c>
      <c r="G4637">
        <v>0.47615025237237102</v>
      </c>
      <c r="H4637">
        <v>0.17125105997960399</v>
      </c>
      <c r="I4637">
        <v>5.9969211174522301E-2</v>
      </c>
      <c r="J4637">
        <v>5.6352869507970402E-2</v>
      </c>
      <c r="K4637">
        <v>3.3035044982866198E-2</v>
      </c>
      <c r="L4637">
        <v>804.70272534267303</v>
      </c>
      <c r="M4637">
        <v>14.5768503615267</v>
      </c>
      <c r="N4637">
        <v>55.2041520793126</v>
      </c>
      <c r="O4637">
        <v>54.196416148699598</v>
      </c>
      <c r="P4637">
        <v>-6.7248441936084799E-2</v>
      </c>
      <c r="Q4637">
        <v>0</v>
      </c>
      <c r="R4637">
        <v>0.98491647216280198</v>
      </c>
      <c r="S4637" t="s">
        <v>10498</v>
      </c>
      <c r="T4637" t="s">
        <v>11720</v>
      </c>
      <c r="U4637" t="s">
        <v>11720</v>
      </c>
      <c r="V4637" t="s">
        <v>11720</v>
      </c>
      <c r="W4637" t="s">
        <v>16301</v>
      </c>
      <c r="X4637">
        <v>4</v>
      </c>
      <c r="Y4637" t="s">
        <v>22010</v>
      </c>
      <c r="Z4637" t="s">
        <v>27844</v>
      </c>
      <c r="AA4637">
        <v>0.52635107472467935</v>
      </c>
      <c r="AB4637" t="str">
        <f>HYPERLINK("Melting_Curves/meltCurve_Q96MH6_2_TMEM68.pdf", "Melting_Curves/meltCurve_Q96MH6_2_TMEM68.pdf")</f>
        <v>Melting_Curves/meltCurve_Q96MH6_2_TMEM68.pdf</v>
      </c>
    </row>
    <row r="4638" spans="1:28" x14ac:dyDescent="0.25">
      <c r="A4638" t="s">
        <v>4642</v>
      </c>
      <c r="B4638">
        <v>0.99334974765950101</v>
      </c>
      <c r="C4638">
        <v>1.00335127138383</v>
      </c>
      <c r="D4638">
        <v>0.92343117301007904</v>
      </c>
      <c r="E4638">
        <v>0.82847912422312397</v>
      </c>
      <c r="F4638">
        <v>0.64856642321936397</v>
      </c>
      <c r="G4638">
        <v>0.47146169179186898</v>
      </c>
      <c r="H4638">
        <v>0.378545479621966</v>
      </c>
      <c r="I4638">
        <v>0.53349443599462698</v>
      </c>
      <c r="J4638">
        <v>0.53782627639066305</v>
      </c>
      <c r="K4638">
        <v>0.26108118586171303</v>
      </c>
      <c r="L4638">
        <v>1048.3536437257601</v>
      </c>
      <c r="M4638">
        <v>20.214206415009699</v>
      </c>
      <c r="N4638">
        <v>56.747574896499899</v>
      </c>
      <c r="O4638">
        <v>51.362649019613301</v>
      </c>
      <c r="P4638">
        <v>-5.78293504096958E-2</v>
      </c>
      <c r="Q4638">
        <v>0.412259543956352</v>
      </c>
      <c r="R4638">
        <v>0.91160876477834596</v>
      </c>
      <c r="S4638" t="s">
        <v>10499</v>
      </c>
      <c r="T4638" t="s">
        <v>11720</v>
      </c>
      <c r="U4638" t="s">
        <v>11720</v>
      </c>
      <c r="V4638" t="s">
        <v>11720</v>
      </c>
      <c r="W4638" t="s">
        <v>16302</v>
      </c>
      <c r="X4638">
        <v>1</v>
      </c>
      <c r="Y4638" t="s">
        <v>22011</v>
      </c>
      <c r="Z4638" t="s">
        <v>27845</v>
      </c>
      <c r="AA4638">
        <v>0.65263932499614274</v>
      </c>
      <c r="AB4638" t="str">
        <f>HYPERLINK("Melting_Curves/meltCurve_Q96MP8_2_KCTD7.pdf", "Melting_Curves/meltCurve_Q96MP8_2_KCTD7.pdf")</f>
        <v>Melting_Curves/meltCurve_Q96MP8_2_KCTD7.pdf</v>
      </c>
    </row>
    <row r="4639" spans="1:28" x14ac:dyDescent="0.25">
      <c r="A4639" t="s">
        <v>4643</v>
      </c>
      <c r="B4639">
        <v>0.99334974765950101</v>
      </c>
      <c r="C4639">
        <v>0.92367388276666595</v>
      </c>
      <c r="D4639">
        <v>0.769081290452172</v>
      </c>
      <c r="E4639">
        <v>0.50006525674866897</v>
      </c>
      <c r="F4639">
        <v>0.31897273134304699</v>
      </c>
      <c r="G4639">
        <v>0.224871345474459</v>
      </c>
      <c r="H4639">
        <v>0.171340340134681</v>
      </c>
      <c r="I4639">
        <v>0.16528809125173999</v>
      </c>
      <c r="J4639">
        <v>0.14149244600179101</v>
      </c>
      <c r="K4639">
        <v>0.13094433977047201</v>
      </c>
      <c r="L4639">
        <v>797.73427725479701</v>
      </c>
      <c r="M4639">
        <v>16.2975984885869</v>
      </c>
      <c r="N4639">
        <v>49.920710138135803</v>
      </c>
      <c r="O4639">
        <v>48.2288109913165</v>
      </c>
      <c r="P4639">
        <v>-7.2992966371857093E-2</v>
      </c>
      <c r="Q4639">
        <v>0.136042716028279</v>
      </c>
      <c r="R4639">
        <v>0.99923829241661299</v>
      </c>
      <c r="S4639" t="s">
        <v>10500</v>
      </c>
      <c r="T4639" t="s">
        <v>11720</v>
      </c>
      <c r="U4639" t="s">
        <v>11720</v>
      </c>
      <c r="V4639" t="s">
        <v>11720</v>
      </c>
      <c r="W4639" t="s">
        <v>16303</v>
      </c>
      <c r="X4639">
        <v>4</v>
      </c>
      <c r="Y4639" t="s">
        <v>22012</v>
      </c>
      <c r="Z4639" t="s">
        <v>27846</v>
      </c>
      <c r="AA4639">
        <v>0.41195503707526049</v>
      </c>
      <c r="AB4639" t="str">
        <f>HYPERLINK("Melting_Curves/meltCurve_Q96MW5_COG8.pdf", "Melting_Curves/meltCurve_Q96MW5_COG8.pdf")</f>
        <v>Melting_Curves/meltCurve_Q96MW5_COG8.pdf</v>
      </c>
    </row>
    <row r="4640" spans="1:28" x14ac:dyDescent="0.25">
      <c r="A4640" t="s">
        <v>4644</v>
      </c>
      <c r="B4640">
        <v>0.99334974765950101</v>
      </c>
      <c r="C4640">
        <v>0.96236209913804105</v>
      </c>
      <c r="D4640">
        <v>0.96367617922028803</v>
      </c>
      <c r="E4640">
        <v>0.75355353756968102</v>
      </c>
      <c r="F4640">
        <v>0.53413795549239496</v>
      </c>
      <c r="G4640">
        <v>0.26203235069745401</v>
      </c>
      <c r="H4640">
        <v>0.19489166395216601</v>
      </c>
      <c r="I4640">
        <v>0.18977942572498999</v>
      </c>
      <c r="J4640">
        <v>0.150738749673092</v>
      </c>
      <c r="K4640">
        <v>0.149311601548761</v>
      </c>
      <c r="L4640">
        <v>1078.86911757284</v>
      </c>
      <c r="M4640">
        <v>20.622374080125699</v>
      </c>
      <c r="N4640">
        <v>53.232908511139698</v>
      </c>
      <c r="O4640">
        <v>51.830989031247697</v>
      </c>
      <c r="P4640">
        <v>-8.4595217662396804E-2</v>
      </c>
      <c r="Q4640">
        <v>0.14955914338416301</v>
      </c>
      <c r="R4640">
        <v>0.99818830424650995</v>
      </c>
      <c r="S4640" t="s">
        <v>10501</v>
      </c>
      <c r="T4640" t="s">
        <v>11720</v>
      </c>
      <c r="U4640" t="s">
        <v>11720</v>
      </c>
      <c r="V4640" t="s">
        <v>11720</v>
      </c>
      <c r="W4640" t="s">
        <v>16304</v>
      </c>
      <c r="X4640">
        <v>3</v>
      </c>
      <c r="Y4640" t="s">
        <v>22013</v>
      </c>
      <c r="Z4640" t="s">
        <v>27847</v>
      </c>
      <c r="AA4640">
        <v>0.50980668213591784</v>
      </c>
      <c r="AB4640" t="str">
        <f>HYPERLINK("Melting_Curves/meltCurve_Q96MX6_WDR92.pdf", "Melting_Curves/meltCurve_Q96MX6_WDR92.pdf")</f>
        <v>Melting_Curves/meltCurve_Q96MX6_WDR92.pdf</v>
      </c>
    </row>
    <row r="4641" spans="1:28" x14ac:dyDescent="0.25">
      <c r="A4641" t="s">
        <v>4645</v>
      </c>
      <c r="B4641">
        <v>0.99334974765950101</v>
      </c>
      <c r="C4641">
        <v>0.98158017196256298</v>
      </c>
      <c r="D4641">
        <v>0.74842247071516299</v>
      </c>
      <c r="E4641">
        <v>0.35098787591866099</v>
      </c>
      <c r="F4641">
        <v>0.230307355504311</v>
      </c>
      <c r="G4641">
        <v>0.22010592097460499</v>
      </c>
      <c r="H4641">
        <v>0.143780094863598</v>
      </c>
      <c r="I4641">
        <v>0.123582770731167</v>
      </c>
      <c r="J4641">
        <v>8.7144713857546796E-2</v>
      </c>
      <c r="K4641">
        <v>8.2266432202649398E-2</v>
      </c>
      <c r="L4641">
        <v>1073.60741118899</v>
      </c>
      <c r="M4641">
        <v>22.3911363998041</v>
      </c>
      <c r="N4641">
        <v>48.561083327322201</v>
      </c>
      <c r="O4641">
        <v>47.5703449771162</v>
      </c>
      <c r="P4641">
        <v>-0.10318514677528599</v>
      </c>
      <c r="Q4641">
        <v>0.12314395379863401</v>
      </c>
      <c r="R4641">
        <v>0.99097014566192299</v>
      </c>
      <c r="S4641" t="s">
        <v>10502</v>
      </c>
      <c r="T4641" t="s">
        <v>11720</v>
      </c>
      <c r="U4641" t="s">
        <v>11720</v>
      </c>
      <c r="V4641" t="s">
        <v>11720</v>
      </c>
      <c r="W4641" t="s">
        <v>16305</v>
      </c>
      <c r="X4641">
        <v>3</v>
      </c>
      <c r="Y4641" t="s">
        <v>22014</v>
      </c>
      <c r="Z4641" t="s">
        <v>27848</v>
      </c>
      <c r="AA4641">
        <v>0.36525395320124249</v>
      </c>
      <c r="AB4641" t="str">
        <f>HYPERLINK("Melting_Curves/meltCurve_Q96N21_2_ENTHD2.pdf", "Melting_Curves/meltCurve_Q96N21_2_ENTHD2.pdf")</f>
        <v>Melting_Curves/meltCurve_Q96N21_2_ENTHD2.pdf</v>
      </c>
    </row>
    <row r="4642" spans="1:28" x14ac:dyDescent="0.25">
      <c r="A4642" t="s">
        <v>4646</v>
      </c>
      <c r="B4642">
        <v>0.99334974765950101</v>
      </c>
      <c r="C4642">
        <v>1.00147726657779</v>
      </c>
      <c r="D4642">
        <v>0.811341249079926</v>
      </c>
      <c r="E4642">
        <v>1.1545499641829999</v>
      </c>
      <c r="F4642">
        <v>0.91169987304956002</v>
      </c>
      <c r="G4642">
        <v>0.88710944228435995</v>
      </c>
      <c r="H4642">
        <v>0.68007009017701803</v>
      </c>
      <c r="I4642">
        <v>0.454759714150893</v>
      </c>
      <c r="J4642">
        <v>0.221155990754931</v>
      </c>
      <c r="K4642">
        <v>0.15847142457618499</v>
      </c>
      <c r="L4642">
        <v>1260.0490434819401</v>
      </c>
      <c r="M4642">
        <v>19.9789697553399</v>
      </c>
      <c r="N4642">
        <v>63.213846073469902</v>
      </c>
      <c r="O4642">
        <v>62.447110598350498</v>
      </c>
      <c r="P4642">
        <v>-7.8193988457761807E-2</v>
      </c>
      <c r="Q4642">
        <v>2.2406243017219499E-2</v>
      </c>
      <c r="R4642">
        <v>0.93615145657330701</v>
      </c>
      <c r="S4642" t="s">
        <v>10503</v>
      </c>
      <c r="T4642" t="s">
        <v>11720</v>
      </c>
      <c r="U4642" t="s">
        <v>11720</v>
      </c>
      <c r="V4642" t="s">
        <v>11720</v>
      </c>
      <c r="W4642" t="s">
        <v>16306</v>
      </c>
      <c r="X4642">
        <v>8</v>
      </c>
      <c r="Y4642" t="s">
        <v>22015</v>
      </c>
      <c r="Z4642" t="s">
        <v>27849</v>
      </c>
      <c r="AA4642">
        <v>0.77299400830312281</v>
      </c>
      <c r="AB4642" t="str">
        <f>HYPERLINK("Melting_Curves/meltCurve_Q96N66_2_MBOAT7.pdf", "Melting_Curves/meltCurve_Q96N66_2_MBOAT7.pdf")</f>
        <v>Melting_Curves/meltCurve_Q96N66_2_MBOAT7.pdf</v>
      </c>
    </row>
    <row r="4643" spans="1:28" x14ac:dyDescent="0.25">
      <c r="A4643" t="s">
        <v>4647</v>
      </c>
      <c r="B4643">
        <v>0.99334974765950101</v>
      </c>
      <c r="C4643">
        <v>0.89048012855801295</v>
      </c>
      <c r="D4643">
        <v>0.90710868118825305</v>
      </c>
      <c r="E4643">
        <v>0.70598466712857399</v>
      </c>
      <c r="F4643">
        <v>0.41188211883318099</v>
      </c>
      <c r="G4643">
        <v>0.20722364351330999</v>
      </c>
      <c r="H4643">
        <v>0.144436390637523</v>
      </c>
      <c r="I4643">
        <v>0.105347661959638</v>
      </c>
      <c r="J4643">
        <v>8.4028748674610104E-2</v>
      </c>
      <c r="K4643">
        <v>5.7486326322986801E-2</v>
      </c>
      <c r="L4643">
        <v>891.05471304695095</v>
      </c>
      <c r="M4643">
        <v>17.2165443665662</v>
      </c>
      <c r="N4643">
        <v>52.155670650293601</v>
      </c>
      <c r="O4643">
        <v>51.072600760720697</v>
      </c>
      <c r="P4643">
        <v>-7.90680271014811E-2</v>
      </c>
      <c r="Q4643">
        <v>6.1839058955409303E-2</v>
      </c>
      <c r="R4643">
        <v>0.99251978469805802</v>
      </c>
      <c r="S4643" t="s">
        <v>10504</v>
      </c>
      <c r="T4643" t="s">
        <v>11720</v>
      </c>
      <c r="U4643" t="s">
        <v>11720</v>
      </c>
      <c r="V4643" t="s">
        <v>11720</v>
      </c>
      <c r="W4643" t="s">
        <v>16307</v>
      </c>
      <c r="X4643">
        <v>3</v>
      </c>
      <c r="Y4643" t="s">
        <v>22016</v>
      </c>
      <c r="Z4643" t="s">
        <v>27850</v>
      </c>
      <c r="AA4643">
        <v>0.44636643258458419</v>
      </c>
      <c r="AB4643" t="str">
        <f>HYPERLINK("Melting_Curves/meltCurve_Q96NA2_RILP.pdf", "Melting_Curves/meltCurve_Q96NA2_RILP.pdf")</f>
        <v>Melting_Curves/meltCurve_Q96NA2_RILP.pdf</v>
      </c>
    </row>
    <row r="4644" spans="1:28" x14ac:dyDescent="0.25">
      <c r="A4644" t="s">
        <v>4648</v>
      </c>
      <c r="B4644">
        <v>0.99334974765950101</v>
      </c>
      <c r="C4644">
        <v>1.0639272720776201</v>
      </c>
      <c r="D4644">
        <v>0.90493875489515196</v>
      </c>
      <c r="E4644">
        <v>0.91098598138620801</v>
      </c>
      <c r="F4644">
        <v>0.85559352315640402</v>
      </c>
      <c r="G4644">
        <v>0.66242657815863903</v>
      </c>
      <c r="H4644">
        <v>0.56061760380664205</v>
      </c>
      <c r="I4644">
        <v>0.58443830669766195</v>
      </c>
      <c r="J4644">
        <v>0.63063715988865199</v>
      </c>
      <c r="K4644">
        <v>0.54895046875146702</v>
      </c>
      <c r="L4644">
        <v>1093.74166183027</v>
      </c>
      <c r="M4644">
        <v>20.292438565920801</v>
      </c>
      <c r="O4644">
        <v>53.383715942425702</v>
      </c>
      <c r="P4644">
        <v>-4.1279171051986002E-2</v>
      </c>
      <c r="Q4644">
        <v>0.56563753115457005</v>
      </c>
      <c r="R4644">
        <v>0.94617781771677201</v>
      </c>
      <c r="S4644" t="s">
        <v>10505</v>
      </c>
      <c r="T4644" t="s">
        <v>11720</v>
      </c>
      <c r="U4644" t="s">
        <v>11720</v>
      </c>
      <c r="V4644" t="s">
        <v>11720</v>
      </c>
      <c r="W4644" t="s">
        <v>16308</v>
      </c>
      <c r="X4644">
        <v>5</v>
      </c>
      <c r="Y4644" t="s">
        <v>22017</v>
      </c>
      <c r="Z4644" t="s">
        <v>27851</v>
      </c>
      <c r="AA4644">
        <v>0.77265186029137445</v>
      </c>
      <c r="AB4644" t="str">
        <f>HYPERLINK("Melting_Curves/meltCurve_Q96NC0_ZMAT2.pdf", "Melting_Curves/meltCurve_Q96NC0_ZMAT2.pdf")</f>
        <v>Melting_Curves/meltCurve_Q96NC0_ZMAT2.pdf</v>
      </c>
    </row>
    <row r="4645" spans="1:28" x14ac:dyDescent="0.25">
      <c r="A4645" t="s">
        <v>4649</v>
      </c>
      <c r="B4645">
        <v>0.99334974765950101</v>
      </c>
      <c r="C4645">
        <v>0.84833049436554797</v>
      </c>
      <c r="D4645">
        <v>0.69066706734921401</v>
      </c>
      <c r="E4645">
        <v>0.73465134053178605</v>
      </c>
      <c r="F4645">
        <v>0.71008869321816304</v>
      </c>
      <c r="G4645">
        <v>0.50221933250527395</v>
      </c>
      <c r="H4645">
        <v>0.80084435099944995</v>
      </c>
      <c r="I4645">
        <v>0.39646998096665897</v>
      </c>
      <c r="J4645">
        <v>0.41995561635358603</v>
      </c>
      <c r="K4645">
        <v>0.30724737586762002</v>
      </c>
      <c r="L4645">
        <v>256.63622323623002</v>
      </c>
      <c r="M4645">
        <v>4.1151442552698203</v>
      </c>
      <c r="N4645">
        <v>62.3638504518755</v>
      </c>
      <c r="O4645">
        <v>51.652765858947603</v>
      </c>
      <c r="P4645">
        <v>-2.0150982281542801E-2</v>
      </c>
      <c r="Q4645">
        <v>0</v>
      </c>
      <c r="R4645">
        <v>0.72710942142606905</v>
      </c>
      <c r="S4645" t="s">
        <v>10506</v>
      </c>
      <c r="T4645" t="s">
        <v>11720</v>
      </c>
      <c r="U4645" t="s">
        <v>11720</v>
      </c>
      <c r="V4645" t="s">
        <v>11720</v>
      </c>
      <c r="W4645" t="s">
        <v>16309</v>
      </c>
      <c r="X4645">
        <v>1</v>
      </c>
      <c r="Y4645" t="s">
        <v>22018</v>
      </c>
      <c r="Z4645" t="s">
        <v>27852</v>
      </c>
      <c r="AA4645">
        <v>0.64115399293780762</v>
      </c>
      <c r="AB4645" t="str">
        <f>HYPERLINK("Melting_Curves/meltCurve_Q96NT0_CCDC115.pdf", "Melting_Curves/meltCurve_Q96NT0_CCDC115.pdf")</f>
        <v>Melting_Curves/meltCurve_Q96NT0_CCDC115.pdf</v>
      </c>
    </row>
    <row r="4646" spans="1:28" x14ac:dyDescent="0.25">
      <c r="A4646" t="s">
        <v>4650</v>
      </c>
      <c r="B4646">
        <v>0.99334974765950101</v>
      </c>
      <c r="C4646">
        <v>0.95638810471875102</v>
      </c>
      <c r="D4646">
        <v>0.88153108806400704</v>
      </c>
      <c r="E4646">
        <v>0.80831967341451905</v>
      </c>
      <c r="F4646">
        <v>0.817781463974943</v>
      </c>
      <c r="G4646">
        <v>0.82854064794886295</v>
      </c>
      <c r="H4646">
        <v>0.85964723255183895</v>
      </c>
      <c r="I4646">
        <v>1.11034524446051</v>
      </c>
      <c r="J4646">
        <v>1.23377989911691</v>
      </c>
      <c r="K4646">
        <v>1.0922250043244901</v>
      </c>
      <c r="L4646">
        <v>3182.1058126693902</v>
      </c>
      <c r="M4646">
        <v>77.759955055370796</v>
      </c>
      <c r="O4646">
        <v>40.895124291843899</v>
      </c>
      <c r="P4646">
        <v>-2.17988516864496E-2</v>
      </c>
      <c r="Q4646">
        <v>0.95414263634955399</v>
      </c>
      <c r="R4646">
        <v>7.1344662913417302E-3</v>
      </c>
      <c r="S4646" t="s">
        <v>10507</v>
      </c>
      <c r="T4646" t="s">
        <v>11720</v>
      </c>
      <c r="U4646" t="s">
        <v>11720</v>
      </c>
      <c r="V4646" t="s">
        <v>11720</v>
      </c>
      <c r="W4646" t="s">
        <v>16310</v>
      </c>
      <c r="X4646">
        <v>4</v>
      </c>
      <c r="Y4646" t="s">
        <v>22019</v>
      </c>
      <c r="Z4646" t="s">
        <v>27853</v>
      </c>
      <c r="AA4646">
        <v>0.95570174911480321</v>
      </c>
      <c r="AB4646" t="str">
        <f>HYPERLINK("Melting_Curves/meltCurve_Q96NT1_NAP1L5.pdf", "Melting_Curves/meltCurve_Q96NT1_NAP1L5.pdf")</f>
        <v>Melting_Curves/meltCurve_Q96NT1_NAP1L5.pdf</v>
      </c>
    </row>
    <row r="4647" spans="1:28" x14ac:dyDescent="0.25">
      <c r="A4647" t="s">
        <v>4651</v>
      </c>
      <c r="B4647">
        <v>0.99334974765950101</v>
      </c>
      <c r="C4647">
        <v>0.96322104343959702</v>
      </c>
      <c r="D4647">
        <v>0.81678680857482699</v>
      </c>
      <c r="E4647">
        <v>0.50133347816339302</v>
      </c>
      <c r="F4647">
        <v>0.201899413517105</v>
      </c>
      <c r="G4647">
        <v>9.3428663757473496E-2</v>
      </c>
      <c r="H4647">
        <v>7.0171455112522499E-2</v>
      </c>
      <c r="I4647">
        <v>6.3479419864382006E-2</v>
      </c>
      <c r="J4647">
        <v>6.3108140561810799E-2</v>
      </c>
      <c r="K4647">
        <v>4.7566186892097198E-2</v>
      </c>
      <c r="L4647">
        <v>1055.73851014143</v>
      </c>
      <c r="M4647">
        <v>21.3551842961114</v>
      </c>
      <c r="N4647">
        <v>49.678895348610098</v>
      </c>
      <c r="O4647">
        <v>49.009705369273497</v>
      </c>
      <c r="P4647">
        <v>-0.10355919378216701</v>
      </c>
      <c r="Q4647">
        <v>4.9358721254832198E-2</v>
      </c>
      <c r="R4647">
        <v>0.99804215721221301</v>
      </c>
      <c r="S4647" t="s">
        <v>10508</v>
      </c>
      <c r="T4647" t="s">
        <v>11720</v>
      </c>
      <c r="U4647" t="s">
        <v>11720</v>
      </c>
      <c r="V4647" t="s">
        <v>11720</v>
      </c>
      <c r="W4647" t="s">
        <v>16311</v>
      </c>
      <c r="X4647">
        <v>16</v>
      </c>
      <c r="Y4647" t="s">
        <v>22020</v>
      </c>
      <c r="Z4647" t="s">
        <v>27854</v>
      </c>
      <c r="AA4647">
        <v>0.36003770138408292</v>
      </c>
      <c r="AB4647" t="str">
        <f>HYPERLINK("Melting_Curves/meltCurve_Q96NY7_2_CLIC6.pdf", "Melting_Curves/meltCurve_Q96NY7_2_CLIC6.pdf")</f>
        <v>Melting_Curves/meltCurve_Q96NY7_2_CLIC6.pdf</v>
      </c>
    </row>
    <row r="4648" spans="1:28" x14ac:dyDescent="0.25">
      <c r="A4648" t="s">
        <v>4652</v>
      </c>
      <c r="B4648">
        <v>0.99334974765950101</v>
      </c>
      <c r="C4648">
        <v>0.79504764778140002</v>
      </c>
      <c r="D4648">
        <v>0.40653197855907303</v>
      </c>
      <c r="E4648">
        <v>0.278933474315888</v>
      </c>
      <c r="F4648">
        <v>6.3665027614218106E-2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828.97207888751495</v>
      </c>
      <c r="M4648">
        <v>18.083743988535101</v>
      </c>
      <c r="N4648">
        <v>45.840723767208701</v>
      </c>
      <c r="O4648">
        <v>45.2911961540634</v>
      </c>
      <c r="P4648">
        <v>-9.9824147074983896E-2</v>
      </c>
      <c r="Q4648">
        <v>0</v>
      </c>
      <c r="R4648">
        <v>0.98306274507440705</v>
      </c>
      <c r="S4648" t="s">
        <v>10509</v>
      </c>
      <c r="T4648" t="s">
        <v>11720</v>
      </c>
      <c r="U4648" t="s">
        <v>11720</v>
      </c>
      <c r="V4648" t="s">
        <v>11720</v>
      </c>
      <c r="W4648" t="s">
        <v>16312</v>
      </c>
      <c r="X4648">
        <v>2</v>
      </c>
      <c r="Y4648" t="s">
        <v>22021</v>
      </c>
      <c r="Z4648" t="s">
        <v>27855</v>
      </c>
      <c r="AA4648">
        <v>0.21436595457730639</v>
      </c>
      <c r="AB4648" t="str">
        <f>HYPERLINK("Melting_Curves/meltCurve_Q96P47_AGAP3.pdf", "Melting_Curves/meltCurve_Q96P47_AGAP3.pdf")</f>
        <v>Melting_Curves/meltCurve_Q96P47_AGAP3.pdf</v>
      </c>
    </row>
    <row r="4649" spans="1:28" x14ac:dyDescent="0.25">
      <c r="A4649" t="s">
        <v>4653</v>
      </c>
      <c r="B4649">
        <v>0.99334974765950101</v>
      </c>
      <c r="C4649">
        <v>0.95146352581779903</v>
      </c>
      <c r="D4649">
        <v>0.86093197961311096</v>
      </c>
      <c r="E4649">
        <v>0.46378059185299297</v>
      </c>
      <c r="F4649">
        <v>0.220313133079759</v>
      </c>
      <c r="G4649">
        <v>0.12457523841691701</v>
      </c>
      <c r="H4649">
        <v>0.11779251921950799</v>
      </c>
      <c r="I4649">
        <v>9.8600091208718099E-2</v>
      </c>
      <c r="J4649">
        <v>0.12072962733475</v>
      </c>
      <c r="K4649">
        <v>8.6708567077936796E-2</v>
      </c>
      <c r="L4649">
        <v>1203.22942536866</v>
      </c>
      <c r="M4649">
        <v>24.483188484501198</v>
      </c>
      <c r="N4649">
        <v>49.598637174326001</v>
      </c>
      <c r="O4649">
        <v>48.820796679508</v>
      </c>
      <c r="P4649">
        <v>-0.112801136160483</v>
      </c>
      <c r="Q4649">
        <v>0.100287259360592</v>
      </c>
      <c r="R4649">
        <v>0.99891709968638698</v>
      </c>
      <c r="S4649" t="s">
        <v>10510</v>
      </c>
      <c r="T4649" t="s">
        <v>11720</v>
      </c>
      <c r="U4649" t="s">
        <v>11720</v>
      </c>
      <c r="V4649" t="s">
        <v>11720</v>
      </c>
      <c r="W4649" t="s">
        <v>16313</v>
      </c>
      <c r="X4649">
        <v>22</v>
      </c>
      <c r="Y4649" t="s">
        <v>22022</v>
      </c>
      <c r="Z4649" t="s">
        <v>27856</v>
      </c>
      <c r="AA4649">
        <v>0.38288373439553441</v>
      </c>
      <c r="AB4649" t="str">
        <f>HYPERLINK("Melting_Curves/meltCurve_Q96P48_3_ARAP1.pdf", "Melting_Curves/meltCurve_Q96P48_3_ARAP1.pdf")</f>
        <v>Melting_Curves/meltCurve_Q96P48_3_ARAP1.pdf</v>
      </c>
    </row>
    <row r="4650" spans="1:28" x14ac:dyDescent="0.25">
      <c r="A4650" t="s">
        <v>4654</v>
      </c>
      <c r="B4650">
        <v>0.99334974765950101</v>
      </c>
      <c r="C4650">
        <v>0.98733626667611996</v>
      </c>
      <c r="D4650">
        <v>1.0344178369447301</v>
      </c>
      <c r="E4650">
        <v>0.59565955979037699</v>
      </c>
      <c r="F4650">
        <v>0.207083363109551</v>
      </c>
      <c r="G4650">
        <v>0.11100222249738199</v>
      </c>
      <c r="H4650">
        <v>9.1526228068662799E-2</v>
      </c>
      <c r="I4650">
        <v>5.1410614145619503E-2</v>
      </c>
      <c r="J4650">
        <v>9.4703864368089502E-2</v>
      </c>
      <c r="K4650">
        <v>4.4529457457196803E-2</v>
      </c>
      <c r="L4650">
        <v>1970.99876747961</v>
      </c>
      <c r="M4650">
        <v>39.119940857687297</v>
      </c>
      <c r="N4650">
        <v>50.6022948399646</v>
      </c>
      <c r="O4650">
        <v>50.252361609720701</v>
      </c>
      <c r="P4650">
        <v>-0.17947485154711401</v>
      </c>
      <c r="Q4650">
        <v>7.7808965132597899E-2</v>
      </c>
      <c r="R4650">
        <v>0.99619316585557405</v>
      </c>
      <c r="S4650" t="s">
        <v>10511</v>
      </c>
      <c r="T4650" t="s">
        <v>11720</v>
      </c>
      <c r="U4650" t="s">
        <v>11720</v>
      </c>
      <c r="V4650" t="s">
        <v>11720</v>
      </c>
      <c r="W4650" t="s">
        <v>16314</v>
      </c>
      <c r="X4650">
        <v>2</v>
      </c>
      <c r="Y4650" t="s">
        <v>22023</v>
      </c>
      <c r="Z4650" t="s">
        <v>27857</v>
      </c>
      <c r="AA4650">
        <v>0.40035367589099902</v>
      </c>
      <c r="AB4650" t="str">
        <f>HYPERLINK("Melting_Curves/meltCurve_Q96P50_ACAP3.pdf", "Melting_Curves/meltCurve_Q96P50_ACAP3.pdf")</f>
        <v>Melting_Curves/meltCurve_Q96P50_ACAP3.pdf</v>
      </c>
    </row>
    <row r="4651" spans="1:28" x14ac:dyDescent="0.25">
      <c r="A4651" t="s">
        <v>4655</v>
      </c>
      <c r="B4651">
        <v>0.99334974765950101</v>
      </c>
      <c r="C4651">
        <v>1.1557281987608701</v>
      </c>
      <c r="D4651">
        <v>1.2198477091665101</v>
      </c>
      <c r="E4651">
        <v>1.21520592403489</v>
      </c>
      <c r="F4651">
        <v>0.93415877967003402</v>
      </c>
      <c r="G4651">
        <v>0.410153530990924</v>
      </c>
      <c r="H4651">
        <v>0.22178876792878199</v>
      </c>
      <c r="I4651">
        <v>0.174017874488159</v>
      </c>
      <c r="J4651">
        <v>0.16967469142813901</v>
      </c>
      <c r="K4651">
        <v>0.143436987684812</v>
      </c>
      <c r="L4651">
        <v>2703.7371035449701</v>
      </c>
      <c r="M4651">
        <v>48.327357470526501</v>
      </c>
      <c r="N4651">
        <v>56.439838177826402</v>
      </c>
      <c r="O4651">
        <v>55.850741322553901</v>
      </c>
      <c r="P4651">
        <v>-0.17904527973402401</v>
      </c>
      <c r="Q4651">
        <v>0.172327574318004</v>
      </c>
      <c r="R4651">
        <v>0.94037649688713199</v>
      </c>
      <c r="S4651" t="s">
        <v>10512</v>
      </c>
      <c r="T4651" t="s">
        <v>11720</v>
      </c>
      <c r="U4651" t="s">
        <v>11720</v>
      </c>
      <c r="V4651" t="s">
        <v>11720</v>
      </c>
      <c r="W4651" t="s">
        <v>16315</v>
      </c>
      <c r="X4651">
        <v>19</v>
      </c>
      <c r="Y4651" t="s">
        <v>22024</v>
      </c>
      <c r="Z4651" t="s">
        <v>27858</v>
      </c>
      <c r="AA4651">
        <v>0.61445550404419591</v>
      </c>
      <c r="AB4651" t="str">
        <f>HYPERLINK("Melting_Curves/meltCurve_Q96P70_IPO9.pdf", "Melting_Curves/meltCurve_Q96P70_IPO9.pdf")</f>
        <v>Melting_Curves/meltCurve_Q96P70_IPO9.pdf</v>
      </c>
    </row>
    <row r="4652" spans="1:28" x14ac:dyDescent="0.25">
      <c r="A4652" t="s">
        <v>4656</v>
      </c>
      <c r="B4652">
        <v>0.99334974765950101</v>
      </c>
      <c r="C4652">
        <v>0.98889986387482198</v>
      </c>
      <c r="D4652">
        <v>0.91687790972153604</v>
      </c>
      <c r="E4652">
        <v>0.80414682205632504</v>
      </c>
      <c r="F4652">
        <v>0.98941868266778898</v>
      </c>
      <c r="G4652">
        <v>0.68160311072546598</v>
      </c>
      <c r="H4652">
        <v>0.64222239882920396</v>
      </c>
      <c r="I4652">
        <v>0.83857292556240304</v>
      </c>
      <c r="J4652">
        <v>0.77740997079932905</v>
      </c>
      <c r="K4652">
        <v>0.68157568964508997</v>
      </c>
      <c r="L4652">
        <v>597.37517773468903</v>
      </c>
      <c r="M4652">
        <v>11.6797695584476</v>
      </c>
      <c r="O4652">
        <v>49.7158450731567</v>
      </c>
      <c r="P4652">
        <v>-1.7006492934499701E-2</v>
      </c>
      <c r="Q4652">
        <v>0.71051968010538502</v>
      </c>
      <c r="R4652">
        <v>0.59683718734903002</v>
      </c>
      <c r="S4652" t="s">
        <v>10513</v>
      </c>
      <c r="T4652" t="s">
        <v>11720</v>
      </c>
      <c r="U4652" t="s">
        <v>11720</v>
      </c>
      <c r="V4652" t="s">
        <v>11720</v>
      </c>
      <c r="W4652" t="s">
        <v>16316</v>
      </c>
      <c r="X4652">
        <v>10</v>
      </c>
      <c r="Y4652" t="s">
        <v>22025</v>
      </c>
      <c r="Z4652" t="s">
        <v>27859</v>
      </c>
      <c r="AA4652">
        <v>0.82778993677452628</v>
      </c>
      <c r="AB4652" t="str">
        <f>HYPERLINK("Melting_Curves/meltCurve_Q96PD2_DCBLD2.pdf", "Melting_Curves/meltCurve_Q96PD2_DCBLD2.pdf")</f>
        <v>Melting_Curves/meltCurve_Q96PD2_DCBLD2.pdf</v>
      </c>
    </row>
    <row r="4653" spans="1:28" x14ac:dyDescent="0.25">
      <c r="A4653" t="s">
        <v>4657</v>
      </c>
      <c r="B4653">
        <v>0.99334974765950101</v>
      </c>
      <c r="C4653">
        <v>1.0016522209159699</v>
      </c>
      <c r="D4653">
        <v>1.0285066414413799</v>
      </c>
      <c r="E4653">
        <v>1.0118400096651901</v>
      </c>
      <c r="F4653">
        <v>1.3277415369625301</v>
      </c>
      <c r="G4653">
        <v>0.92516837578254596</v>
      </c>
      <c r="H4653">
        <v>0.83198675448514903</v>
      </c>
      <c r="I4653">
        <v>0.69855692027438498</v>
      </c>
      <c r="J4653">
        <v>0.82671783971161705</v>
      </c>
      <c r="K4653">
        <v>0.659066488569928</v>
      </c>
      <c r="L4653">
        <v>2417.9433358497299</v>
      </c>
      <c r="M4653">
        <v>40.405821143464301</v>
      </c>
      <c r="O4653">
        <v>59.695443542411297</v>
      </c>
      <c r="P4653">
        <v>-4.6605053626580399E-2</v>
      </c>
      <c r="Q4653">
        <v>0.72458386616544901</v>
      </c>
      <c r="R4653">
        <v>0.61425514146711502</v>
      </c>
      <c r="S4653" t="s">
        <v>10514</v>
      </c>
      <c r="T4653" t="s">
        <v>11720</v>
      </c>
      <c r="U4653" t="s">
        <v>11720</v>
      </c>
      <c r="V4653" t="s">
        <v>11720</v>
      </c>
      <c r="W4653" t="s">
        <v>16317</v>
      </c>
      <c r="X4653">
        <v>8</v>
      </c>
      <c r="Y4653" t="s">
        <v>22026</v>
      </c>
      <c r="Z4653" t="s">
        <v>27860</v>
      </c>
      <c r="AA4653">
        <v>0.90779959904091567</v>
      </c>
      <c r="AB4653" t="str">
        <f>HYPERLINK("Melting_Curves/meltCurve_Q96PE1_2_GPR124.pdf", "Melting_Curves/meltCurve_Q96PE1_2_GPR124.pdf")</f>
        <v>Melting_Curves/meltCurve_Q96PE1_2_GPR124.pdf</v>
      </c>
    </row>
    <row r="4654" spans="1:28" x14ac:dyDescent="0.25">
      <c r="A4654" t="s">
        <v>4658</v>
      </c>
      <c r="B4654">
        <v>0.99334974765950101</v>
      </c>
      <c r="C4654">
        <v>0.90759529448265197</v>
      </c>
      <c r="D4654">
        <v>0.79608720036709801</v>
      </c>
      <c r="E4654">
        <v>0.48009612057690598</v>
      </c>
      <c r="F4654">
        <v>0.36003224095881298</v>
      </c>
      <c r="G4654">
        <v>0.26934513534334298</v>
      </c>
      <c r="H4654">
        <v>0.20682454418774601</v>
      </c>
      <c r="I4654">
        <v>0.209129494282038</v>
      </c>
      <c r="J4654">
        <v>0.21324340081454399</v>
      </c>
      <c r="K4654">
        <v>0.201329878423683</v>
      </c>
      <c r="L4654">
        <v>846.13306790357899</v>
      </c>
      <c r="M4654">
        <v>17.437606867461302</v>
      </c>
      <c r="N4654">
        <v>49.988244971089301</v>
      </c>
      <c r="O4654">
        <v>47.898794388054803</v>
      </c>
      <c r="P4654">
        <v>-7.2810452908610795E-2</v>
      </c>
      <c r="Q4654">
        <v>0.200042084941811</v>
      </c>
      <c r="R4654">
        <v>0.99801584946638799</v>
      </c>
      <c r="S4654" t="s">
        <v>10515</v>
      </c>
      <c r="T4654" t="s">
        <v>11720</v>
      </c>
      <c r="U4654" t="s">
        <v>11720</v>
      </c>
      <c r="V4654" t="s">
        <v>11720</v>
      </c>
      <c r="W4654" t="s">
        <v>16318</v>
      </c>
      <c r="X4654">
        <v>16</v>
      </c>
      <c r="Y4654" t="s">
        <v>22027</v>
      </c>
      <c r="Z4654" t="s">
        <v>27861</v>
      </c>
      <c r="AA4654">
        <v>0.44225077407966368</v>
      </c>
      <c r="AB4654" t="str">
        <f>HYPERLINK("Melting_Curves/meltCurve_Q96PE2_ARHGEF17.pdf", "Melting_Curves/meltCurve_Q96PE2_ARHGEF17.pdf")</f>
        <v>Melting_Curves/meltCurve_Q96PE2_ARHGEF17.pdf</v>
      </c>
    </row>
    <row r="4655" spans="1:28" x14ac:dyDescent="0.25">
      <c r="A4655" t="s">
        <v>4659</v>
      </c>
      <c r="B4655">
        <v>0.99334974765950101</v>
      </c>
      <c r="C4655">
        <v>1.1446957748672</v>
      </c>
      <c r="D4655">
        <v>1.00116025054957</v>
      </c>
      <c r="E4655">
        <v>0.84581464188431699</v>
      </c>
      <c r="F4655">
        <v>0.98187038147539296</v>
      </c>
      <c r="G4655">
        <v>0.71746119792087704</v>
      </c>
      <c r="H4655">
        <v>0.72144010599703701</v>
      </c>
      <c r="I4655">
        <v>0.55891240395328101</v>
      </c>
      <c r="J4655">
        <v>0.56448751075330506</v>
      </c>
      <c r="K4655">
        <v>0.282031037283964</v>
      </c>
      <c r="L4655">
        <v>607.17893287535605</v>
      </c>
      <c r="M4655">
        <v>9.2060557543961092</v>
      </c>
      <c r="N4655">
        <v>65.954294314700704</v>
      </c>
      <c r="O4655">
        <v>63.066087529205198</v>
      </c>
      <c r="P4655">
        <v>-3.6518008839868103E-2</v>
      </c>
      <c r="Q4655">
        <v>0</v>
      </c>
      <c r="R4655">
        <v>0.89026691168725802</v>
      </c>
      <c r="S4655" t="s">
        <v>10516</v>
      </c>
      <c r="T4655" t="s">
        <v>11720</v>
      </c>
      <c r="U4655" t="s">
        <v>11720</v>
      </c>
      <c r="V4655" t="s">
        <v>11720</v>
      </c>
      <c r="W4655" t="s">
        <v>16319</v>
      </c>
      <c r="X4655">
        <v>5</v>
      </c>
      <c r="Y4655" t="s">
        <v>22028</v>
      </c>
      <c r="Z4655" t="s">
        <v>27862</v>
      </c>
      <c r="AA4655">
        <v>0.79019565614342535</v>
      </c>
      <c r="AB4655" t="str">
        <f>HYPERLINK("Melting_Curves/meltCurve_Q96PE7_MCEE.pdf", "Melting_Curves/meltCurve_Q96PE7_MCEE.pdf")</f>
        <v>Melting_Curves/meltCurve_Q96PE7_MCEE.pdf</v>
      </c>
    </row>
    <row r="4656" spans="1:28" x14ac:dyDescent="0.25">
      <c r="A4656" t="s">
        <v>4660</v>
      </c>
      <c r="B4656">
        <v>0.99334974765950101</v>
      </c>
      <c r="C4656">
        <v>0.99017618295632104</v>
      </c>
      <c r="D4656">
        <v>0.57241885089664102</v>
      </c>
      <c r="E4656">
        <v>0.40631901401633802</v>
      </c>
      <c r="F4656">
        <v>0.26867206956481898</v>
      </c>
      <c r="G4656">
        <v>0.19803283447880299</v>
      </c>
      <c r="H4656">
        <v>0.194421841475763</v>
      </c>
      <c r="I4656">
        <v>0.20220517927728099</v>
      </c>
      <c r="J4656">
        <v>0.224900657074564</v>
      </c>
      <c r="K4656">
        <v>0.24064417534476201</v>
      </c>
      <c r="L4656">
        <v>1121.2773230938601</v>
      </c>
      <c r="M4656">
        <v>24.178831232792501</v>
      </c>
      <c r="N4656">
        <v>47.510963735306802</v>
      </c>
      <c r="O4656">
        <v>46.060602430753598</v>
      </c>
      <c r="P4656">
        <v>-0.10241474930365101</v>
      </c>
      <c r="Q4656">
        <v>0.21961261831635701</v>
      </c>
      <c r="R4656">
        <v>0.97703205581070596</v>
      </c>
      <c r="S4656" t="s">
        <v>10517</v>
      </c>
      <c r="T4656" t="s">
        <v>11720</v>
      </c>
      <c r="U4656" t="s">
        <v>11720</v>
      </c>
      <c r="V4656" t="s">
        <v>11720</v>
      </c>
      <c r="W4656" t="s">
        <v>16320</v>
      </c>
      <c r="X4656">
        <v>5</v>
      </c>
      <c r="Y4656" t="s">
        <v>22029</v>
      </c>
      <c r="Z4656" t="s">
        <v>27863</v>
      </c>
      <c r="AA4656">
        <v>0.39307728089962851</v>
      </c>
      <c r="AB4656" t="str">
        <f>HYPERLINK("Melting_Curves/meltCurve_Q96PK6_RBM14.pdf", "Melting_Curves/meltCurve_Q96PK6_RBM14.pdf")</f>
        <v>Melting_Curves/meltCurve_Q96PK6_RBM14.pdf</v>
      </c>
    </row>
    <row r="4657" spans="1:28" x14ac:dyDescent="0.25">
      <c r="A4657" t="s">
        <v>4661</v>
      </c>
      <c r="B4657">
        <v>0.99334974765950101</v>
      </c>
      <c r="C4657">
        <v>0.952642976004211</v>
      </c>
      <c r="D4657">
        <v>0.90588732448197995</v>
      </c>
      <c r="E4657">
        <v>0.39111555460887698</v>
      </c>
      <c r="F4657">
        <v>0.25055260540958901</v>
      </c>
      <c r="G4657">
        <v>0.157477632666218</v>
      </c>
      <c r="H4657">
        <v>0.11301662001957199</v>
      </c>
      <c r="I4657">
        <v>8.3611847211600004E-2</v>
      </c>
      <c r="J4657">
        <v>9.1098847278588899E-2</v>
      </c>
      <c r="K4657">
        <v>9.0532458857394998E-2</v>
      </c>
      <c r="L4657">
        <v>1325.05417982528</v>
      </c>
      <c r="M4657">
        <v>27.057790142810699</v>
      </c>
      <c r="N4657">
        <v>49.403754046886199</v>
      </c>
      <c r="O4657">
        <v>48.706117721448798</v>
      </c>
      <c r="P4657">
        <v>-0.124238714626892</v>
      </c>
      <c r="Q4657">
        <v>0.105451554361901</v>
      </c>
      <c r="R4657">
        <v>0.99421233941187603</v>
      </c>
      <c r="S4657" t="s">
        <v>10518</v>
      </c>
      <c r="T4657" t="s">
        <v>11720</v>
      </c>
      <c r="U4657" t="s">
        <v>11720</v>
      </c>
      <c r="V4657" t="s">
        <v>11720</v>
      </c>
      <c r="W4657" t="s">
        <v>16321</v>
      </c>
      <c r="X4657">
        <v>13</v>
      </c>
      <c r="Y4657" t="s">
        <v>22030</v>
      </c>
      <c r="Z4657" t="s">
        <v>27864</v>
      </c>
      <c r="AA4657">
        <v>0.37969248524220223</v>
      </c>
      <c r="AB4657" t="str">
        <f>HYPERLINK("Melting_Curves/meltCurve_Q96PU5_2_NEDD4L.pdf", "Melting_Curves/meltCurve_Q96PU5_2_NEDD4L.pdf")</f>
        <v>Melting_Curves/meltCurve_Q96PU5_2_NEDD4L.pdf</v>
      </c>
    </row>
    <row r="4658" spans="1:28" x14ac:dyDescent="0.25">
      <c r="A4658" t="s">
        <v>4662</v>
      </c>
      <c r="B4658">
        <v>0.99334974765950101</v>
      </c>
      <c r="C4658">
        <v>1.0337789593398301</v>
      </c>
      <c r="D4658">
        <v>0.82812473929858099</v>
      </c>
      <c r="E4658">
        <v>0.53476043017073804</v>
      </c>
      <c r="F4658">
        <v>0.37115694587368497</v>
      </c>
      <c r="G4658">
        <v>0.24726249773952499</v>
      </c>
      <c r="H4658">
        <v>0.240254936008028</v>
      </c>
      <c r="I4658">
        <v>0.26555568479909802</v>
      </c>
      <c r="J4658">
        <v>0.14836035371102399</v>
      </c>
      <c r="K4658">
        <v>0.15227201885841199</v>
      </c>
      <c r="L4658">
        <v>981.86624576818701</v>
      </c>
      <c r="M4658">
        <v>19.8841339767697</v>
      </c>
      <c r="N4658">
        <v>50.628688738863502</v>
      </c>
      <c r="O4658">
        <v>48.888082209679602</v>
      </c>
      <c r="P4658">
        <v>-8.1969944641783504E-2</v>
      </c>
      <c r="Q4658">
        <v>0.19388599515188801</v>
      </c>
      <c r="R4658">
        <v>0.98603251926433999</v>
      </c>
      <c r="S4658" t="s">
        <v>10519</v>
      </c>
      <c r="T4658" t="s">
        <v>11720</v>
      </c>
      <c r="U4658" t="s">
        <v>11720</v>
      </c>
      <c r="V4658" t="s">
        <v>11720</v>
      </c>
      <c r="W4658" t="s">
        <v>16322</v>
      </c>
      <c r="X4658">
        <v>11</v>
      </c>
      <c r="Y4658" t="s">
        <v>22031</v>
      </c>
      <c r="Z4658" t="s">
        <v>27865</v>
      </c>
      <c r="AA4658">
        <v>0.45730379577490049</v>
      </c>
      <c r="AB4658" t="str">
        <f>HYPERLINK("Melting_Curves/meltCurve_Q96PU8_9_QKI.pdf", "Melting_Curves/meltCurve_Q96PU8_9_QKI.pdf")</f>
        <v>Melting_Curves/meltCurve_Q96PU8_9_QKI.pdf</v>
      </c>
    </row>
    <row r="4659" spans="1:28" x14ac:dyDescent="0.25">
      <c r="A4659" t="s">
        <v>4663</v>
      </c>
      <c r="B4659">
        <v>0.99334974765950101</v>
      </c>
      <c r="C4659">
        <v>0.95687192516587005</v>
      </c>
      <c r="D4659">
        <v>0.84773387307068804</v>
      </c>
      <c r="E4659">
        <v>0.71469062131996697</v>
      </c>
      <c r="F4659">
        <v>0.55178176597232198</v>
      </c>
      <c r="G4659">
        <v>0.41188596359819102</v>
      </c>
      <c r="H4659">
        <v>0.43227635164931499</v>
      </c>
      <c r="I4659">
        <v>0.27912534309361398</v>
      </c>
      <c r="J4659">
        <v>0.266025114624034</v>
      </c>
      <c r="K4659">
        <v>0.20839224976290099</v>
      </c>
      <c r="L4659">
        <v>551.08224622328498</v>
      </c>
      <c r="M4659">
        <v>10.443301874003399</v>
      </c>
      <c r="N4659">
        <v>55.170145991091303</v>
      </c>
      <c r="O4659">
        <v>50.944155382655097</v>
      </c>
      <c r="P4659">
        <v>-4.19067113665684E-2</v>
      </c>
      <c r="Q4659">
        <v>0.18262520516238601</v>
      </c>
      <c r="R4659">
        <v>0.98434830023019904</v>
      </c>
      <c r="S4659" t="s">
        <v>10520</v>
      </c>
      <c r="T4659" t="s">
        <v>11720</v>
      </c>
      <c r="U4659" t="s">
        <v>11720</v>
      </c>
      <c r="V4659" t="s">
        <v>11720</v>
      </c>
      <c r="W4659" t="s">
        <v>16323</v>
      </c>
      <c r="X4659">
        <v>2</v>
      </c>
      <c r="Y4659" t="s">
        <v>22032</v>
      </c>
      <c r="Z4659" t="s">
        <v>27866</v>
      </c>
      <c r="AA4659">
        <v>0.55803034984922273</v>
      </c>
      <c r="AB4659" t="str">
        <f>HYPERLINK("Melting_Curves/meltCurve_Q96PY6_4_NEK1.pdf", "Melting_Curves/meltCurve_Q96PY6_4_NEK1.pdf")</f>
        <v>Melting_Curves/meltCurve_Q96PY6_4_NEK1.pdf</v>
      </c>
    </row>
    <row r="4660" spans="1:28" x14ac:dyDescent="0.25">
      <c r="A4660" t="s">
        <v>4664</v>
      </c>
      <c r="B4660">
        <v>0.99334974765950101</v>
      </c>
      <c r="C4660">
        <v>1.0645220423144801</v>
      </c>
      <c r="D4660">
        <v>1.0799811191211599</v>
      </c>
      <c r="E4660">
        <v>0.95835582237541606</v>
      </c>
      <c r="F4660">
        <v>0.95498396173012201</v>
      </c>
      <c r="G4660">
        <v>0.65444281042626795</v>
      </c>
      <c r="H4660">
        <v>0.39016515979460298</v>
      </c>
      <c r="I4660">
        <v>0.35670452343464398</v>
      </c>
      <c r="J4660">
        <v>0.31970731445460698</v>
      </c>
      <c r="K4660">
        <v>0.26456995199974598</v>
      </c>
      <c r="L4660">
        <v>1642.3697518276199</v>
      </c>
      <c r="M4660">
        <v>28.7289425566081</v>
      </c>
      <c r="N4660">
        <v>59.007904397219399</v>
      </c>
      <c r="O4660">
        <v>56.892943605725499</v>
      </c>
      <c r="P4660">
        <v>-8.8889632779102404E-2</v>
      </c>
      <c r="Q4660">
        <v>0.29588039660740501</v>
      </c>
      <c r="R4660">
        <v>0.98614922531844096</v>
      </c>
      <c r="S4660" t="s">
        <v>10521</v>
      </c>
      <c r="T4660" t="s">
        <v>11720</v>
      </c>
      <c r="U4660" t="s">
        <v>11720</v>
      </c>
      <c r="V4660" t="s">
        <v>11720</v>
      </c>
      <c r="W4660" t="s">
        <v>16324</v>
      </c>
      <c r="X4660">
        <v>5</v>
      </c>
      <c r="Y4660" t="s">
        <v>22033</v>
      </c>
      <c r="Z4660" t="s">
        <v>27867</v>
      </c>
      <c r="AA4660">
        <v>0.70386481820920888</v>
      </c>
      <c r="AB4660" t="str">
        <f>HYPERLINK("Melting_Curves/meltCurve_Q96PZ0_PUS7.pdf", "Melting_Curves/meltCurve_Q96PZ0_PUS7.pdf")</f>
        <v>Melting_Curves/meltCurve_Q96PZ0_PUS7.pdf</v>
      </c>
    </row>
    <row r="4661" spans="1:28" x14ac:dyDescent="0.25">
      <c r="A4661" t="s">
        <v>4665</v>
      </c>
      <c r="B4661">
        <v>0.99334974765950101</v>
      </c>
      <c r="C4661">
        <v>1.0401804195683</v>
      </c>
      <c r="D4661">
        <v>0.85016128515022704</v>
      </c>
      <c r="E4661">
        <v>0.85820078831741098</v>
      </c>
      <c r="F4661">
        <v>0.67330951985021203</v>
      </c>
      <c r="G4661">
        <v>0.44409257688048898</v>
      </c>
      <c r="H4661">
        <v>0.39081136295152902</v>
      </c>
      <c r="I4661">
        <v>0.44686978087588097</v>
      </c>
      <c r="J4661">
        <v>0.47426109595955201</v>
      </c>
      <c r="K4661">
        <v>0.38900593347115697</v>
      </c>
      <c r="L4661">
        <v>1102.25822117707</v>
      </c>
      <c r="M4661">
        <v>21.166760580141901</v>
      </c>
      <c r="N4661">
        <v>56.618452815355298</v>
      </c>
      <c r="O4661">
        <v>51.616839244467798</v>
      </c>
      <c r="P4661">
        <v>-6.0638451943701703E-2</v>
      </c>
      <c r="Q4661">
        <v>0.40852850922666101</v>
      </c>
      <c r="R4661">
        <v>0.95685287736017899</v>
      </c>
      <c r="S4661" t="s">
        <v>10522</v>
      </c>
      <c r="T4661" t="s">
        <v>11720</v>
      </c>
      <c r="U4661" t="s">
        <v>11720</v>
      </c>
      <c r="V4661" t="s">
        <v>11720</v>
      </c>
      <c r="W4661" t="s">
        <v>16325</v>
      </c>
      <c r="X4661">
        <v>16</v>
      </c>
      <c r="Y4661" t="s">
        <v>22034</v>
      </c>
      <c r="Z4661" t="s">
        <v>27868</v>
      </c>
      <c r="AA4661">
        <v>0.65398079087919525</v>
      </c>
      <c r="AB4661" t="str">
        <f>HYPERLINK("Melting_Curves/meltCurve_Q96Q06_2_PLIN4.pdf", "Melting_Curves/meltCurve_Q96Q06_2_PLIN4.pdf")</f>
        <v>Melting_Curves/meltCurve_Q96Q06_2_PLIN4.pdf</v>
      </c>
    </row>
    <row r="4662" spans="1:28" x14ac:dyDescent="0.25">
      <c r="A4662" t="s">
        <v>4666</v>
      </c>
      <c r="B4662">
        <v>0.99334974765950101</v>
      </c>
      <c r="C4662">
        <v>0.97921577546982697</v>
      </c>
      <c r="D4662">
        <v>0.99411297987285396</v>
      </c>
      <c r="E4662">
        <v>0.68715408056545901</v>
      </c>
      <c r="F4662">
        <v>0.229023340128647</v>
      </c>
      <c r="G4662">
        <v>0.17066105175046201</v>
      </c>
      <c r="H4662">
        <v>0.128027910722887</v>
      </c>
      <c r="I4662">
        <v>8.65927433025558E-2</v>
      </c>
      <c r="J4662">
        <v>8.76904762237493E-2</v>
      </c>
      <c r="K4662">
        <v>6.5642377687604905E-2</v>
      </c>
      <c r="L4662">
        <v>2063.08286999641</v>
      </c>
      <c r="M4662">
        <v>40.6506096656355</v>
      </c>
      <c r="N4662">
        <v>51.0435416561373</v>
      </c>
      <c r="O4662">
        <v>50.629229415645</v>
      </c>
      <c r="P4662">
        <v>-0.179905580483846</v>
      </c>
      <c r="Q4662">
        <v>0.103731720033232</v>
      </c>
      <c r="R4662">
        <v>0.99592932348738195</v>
      </c>
      <c r="S4662" t="s">
        <v>10523</v>
      </c>
      <c r="T4662" t="s">
        <v>11720</v>
      </c>
      <c r="U4662" t="s">
        <v>11720</v>
      </c>
      <c r="V4662" t="s">
        <v>11720</v>
      </c>
      <c r="W4662" t="s">
        <v>16326</v>
      </c>
      <c r="X4662">
        <v>14</v>
      </c>
      <c r="Y4662" t="s">
        <v>22035</v>
      </c>
      <c r="Z4662" t="s">
        <v>27869</v>
      </c>
      <c r="AA4662">
        <v>0.42798557702736328</v>
      </c>
      <c r="AB4662" t="str">
        <f>HYPERLINK("Melting_Curves/meltCurve_Q96Q11_2_TRNT1.pdf", "Melting_Curves/meltCurve_Q96Q11_2_TRNT1.pdf")</f>
        <v>Melting_Curves/meltCurve_Q96Q11_2_TRNT1.pdf</v>
      </c>
    </row>
    <row r="4663" spans="1:28" x14ac:dyDescent="0.25">
      <c r="A4663" t="s">
        <v>4667</v>
      </c>
      <c r="B4663">
        <v>0.99334974765950101</v>
      </c>
      <c r="C4663">
        <v>1.1448337717491699</v>
      </c>
      <c r="D4663">
        <v>1.3033347282502701</v>
      </c>
      <c r="E4663">
        <v>0.960442286336747</v>
      </c>
      <c r="F4663">
        <v>0.47330090368919198</v>
      </c>
      <c r="G4663">
        <v>0.393126127857444</v>
      </c>
      <c r="H4663">
        <v>0.218072283447899</v>
      </c>
      <c r="I4663">
        <v>0.208935444576477</v>
      </c>
      <c r="J4663">
        <v>0.143632648892356</v>
      </c>
      <c r="K4663">
        <v>7.0236610986878306E-2</v>
      </c>
      <c r="L4663">
        <v>2141.6037572143</v>
      </c>
      <c r="M4663">
        <v>40.768563383288701</v>
      </c>
      <c r="N4663">
        <v>53.169878306568101</v>
      </c>
      <c r="O4663">
        <v>52.404846189340503</v>
      </c>
      <c r="P4663">
        <v>-0.15681611590240799</v>
      </c>
      <c r="Q4663">
        <v>0.193701424718662</v>
      </c>
      <c r="R4663">
        <v>0.91339947684205003</v>
      </c>
      <c r="S4663" t="s">
        <v>10524</v>
      </c>
      <c r="T4663" t="s">
        <v>11720</v>
      </c>
      <c r="U4663" t="s">
        <v>11720</v>
      </c>
      <c r="V4663" t="s">
        <v>11720</v>
      </c>
      <c r="W4663" t="s">
        <v>16327</v>
      </c>
      <c r="X4663">
        <v>1</v>
      </c>
      <c r="Y4663" t="s">
        <v>22036</v>
      </c>
      <c r="Z4663" t="s">
        <v>27870</v>
      </c>
      <c r="AA4663">
        <v>0.53330178060920297</v>
      </c>
      <c r="AB4663" t="str">
        <f>HYPERLINK("Melting_Curves/meltCurve_Q96Q42_ALS2.pdf", "Melting_Curves/meltCurve_Q96Q42_ALS2.pdf")</f>
        <v>Melting_Curves/meltCurve_Q96Q42_ALS2.pdf</v>
      </c>
    </row>
    <row r="4664" spans="1:28" x14ac:dyDescent="0.25">
      <c r="A4664" t="s">
        <v>4668</v>
      </c>
      <c r="B4664">
        <v>0.99334974765950101</v>
      </c>
      <c r="C4664">
        <v>1.01813882999668</v>
      </c>
      <c r="D4664">
        <v>0.94554210551048801</v>
      </c>
      <c r="E4664">
        <v>0.92335950499070896</v>
      </c>
      <c r="F4664">
        <v>0.81585028870482001</v>
      </c>
      <c r="G4664">
        <v>0.68717019992510298</v>
      </c>
      <c r="H4664">
        <v>0.57475579932846299</v>
      </c>
      <c r="I4664">
        <v>0.52754439065788195</v>
      </c>
      <c r="J4664">
        <v>0.445301422316636</v>
      </c>
      <c r="K4664">
        <v>0.327966187144278</v>
      </c>
      <c r="L4664">
        <v>523.95227153866404</v>
      </c>
      <c r="M4664">
        <v>8.4538640925745696</v>
      </c>
      <c r="N4664">
        <v>63.904781007736197</v>
      </c>
      <c r="O4664">
        <v>58.801373926878099</v>
      </c>
      <c r="P4664">
        <v>-3.1928003838333899E-2</v>
      </c>
      <c r="Q4664">
        <v>0.11250746541973899</v>
      </c>
      <c r="R4664">
        <v>0.98982737254166497</v>
      </c>
      <c r="S4664" t="s">
        <v>10525</v>
      </c>
      <c r="T4664" t="s">
        <v>11720</v>
      </c>
      <c r="U4664" t="s">
        <v>11720</v>
      </c>
      <c r="V4664" t="s">
        <v>11720</v>
      </c>
      <c r="W4664" t="s">
        <v>16328</v>
      </c>
      <c r="X4664">
        <v>3</v>
      </c>
      <c r="Y4664" t="s">
        <v>22037</v>
      </c>
      <c r="Z4664" t="s">
        <v>27871</v>
      </c>
      <c r="AA4664">
        <v>0.73398152640867953</v>
      </c>
      <c r="AB4664" t="str">
        <f>HYPERLINK("Melting_Curves/meltCurve_Q96Q45_2_TMEM237.pdf", "Melting_Curves/meltCurve_Q96Q45_2_TMEM237.pdf")</f>
        <v>Melting_Curves/meltCurve_Q96Q45_2_TMEM237.pdf</v>
      </c>
    </row>
    <row r="4665" spans="1:28" x14ac:dyDescent="0.25">
      <c r="A4665" t="s">
        <v>4669</v>
      </c>
      <c r="B4665">
        <v>0.99334974765950101</v>
      </c>
      <c r="C4665">
        <v>0.94069222203953196</v>
      </c>
      <c r="D4665">
        <v>0.85372604159046495</v>
      </c>
      <c r="E4665">
        <v>0.69065966914710597</v>
      </c>
      <c r="F4665">
        <v>0.64360082369900495</v>
      </c>
      <c r="G4665">
        <v>0.50321152635803301</v>
      </c>
      <c r="H4665">
        <v>0.48213841662111101</v>
      </c>
      <c r="I4665">
        <v>0.53266753840042502</v>
      </c>
      <c r="J4665">
        <v>0.60226413666955902</v>
      </c>
      <c r="K4665">
        <v>0.58479768746476701</v>
      </c>
      <c r="L4665">
        <v>891.85420343176997</v>
      </c>
      <c r="M4665">
        <v>18.598172060492399</v>
      </c>
      <c r="O4665">
        <v>47.409746575716902</v>
      </c>
      <c r="P4665">
        <v>-4.5084612307341697E-2</v>
      </c>
      <c r="Q4665">
        <v>0.54030788500673399</v>
      </c>
      <c r="R4665">
        <v>0.95036142723273698</v>
      </c>
      <c r="S4665" t="s">
        <v>10526</v>
      </c>
      <c r="T4665" t="s">
        <v>11720</v>
      </c>
      <c r="U4665" t="s">
        <v>11720</v>
      </c>
      <c r="V4665" t="s">
        <v>11720</v>
      </c>
      <c r="W4665" t="s">
        <v>16329</v>
      </c>
      <c r="X4665">
        <v>5</v>
      </c>
      <c r="Y4665" t="s">
        <v>22038</v>
      </c>
      <c r="Z4665" t="s">
        <v>27872</v>
      </c>
      <c r="AA4665">
        <v>0.66981147926437734</v>
      </c>
      <c r="AB4665" t="str">
        <f>HYPERLINK("Melting_Curves/meltCurve_Q96Q83_ALKBH3.pdf", "Melting_Curves/meltCurve_Q96Q83_ALKBH3.pdf")</f>
        <v>Melting_Curves/meltCurve_Q96Q83_ALKBH3.pdf</v>
      </c>
    </row>
    <row r="4666" spans="1:28" x14ac:dyDescent="0.25">
      <c r="A4666" t="s">
        <v>4670</v>
      </c>
      <c r="B4666">
        <v>0.99334974765950101</v>
      </c>
      <c r="C4666">
        <v>1.1517545798266</v>
      </c>
      <c r="D4666">
        <v>1.7739360126622601</v>
      </c>
      <c r="E4666">
        <v>2.5775506977268798</v>
      </c>
      <c r="F4666">
        <v>2.2726166394923601</v>
      </c>
      <c r="G4666">
        <v>3.0708516268697998</v>
      </c>
      <c r="H4666">
        <v>2.4605582754956901</v>
      </c>
      <c r="I4666">
        <v>2.49272775848622</v>
      </c>
      <c r="J4666">
        <v>0.88712038810591698</v>
      </c>
      <c r="K4666">
        <v>0.43174640435867401</v>
      </c>
      <c r="L4666">
        <v>10760.634527116201</v>
      </c>
      <c r="M4666">
        <v>250</v>
      </c>
      <c r="O4666">
        <v>43.039803683968202</v>
      </c>
      <c r="P4666">
        <v>0.72607242103342495</v>
      </c>
      <c r="Q4666">
        <v>1.5</v>
      </c>
      <c r="R4666">
        <v>-8.2783435509771394E-2</v>
      </c>
      <c r="S4666" t="s">
        <v>10527</v>
      </c>
      <c r="T4666" t="s">
        <v>11720</v>
      </c>
      <c r="U4666" t="s">
        <v>11720</v>
      </c>
      <c r="V4666" t="s">
        <v>11720</v>
      </c>
      <c r="W4666" t="s">
        <v>16330</v>
      </c>
      <c r="X4666">
        <v>6</v>
      </c>
      <c r="Y4666" t="s">
        <v>22039</v>
      </c>
      <c r="Z4666" t="s">
        <v>27873</v>
      </c>
      <c r="AA4666">
        <v>1.449253262019776</v>
      </c>
      <c r="AB4666" t="str">
        <f>HYPERLINK("Melting_Curves/meltCurve_Q96QB1_DLC1.pdf", "Melting_Curves/meltCurve_Q96QB1_DLC1.pdf")</f>
        <v>Melting_Curves/meltCurve_Q96QB1_DLC1.pdf</v>
      </c>
    </row>
    <row r="4667" spans="1:28" x14ac:dyDescent="0.25">
      <c r="A4667" t="s">
        <v>4671</v>
      </c>
      <c r="B4667">
        <v>0.99334974765950101</v>
      </c>
      <c r="C4667">
        <v>1.01755752380982</v>
      </c>
      <c r="D4667">
        <v>0.86021182364759896</v>
      </c>
      <c r="E4667">
        <v>0.74173312811101899</v>
      </c>
      <c r="F4667">
        <v>0.700882227815115</v>
      </c>
      <c r="G4667">
        <v>0.31606576443536699</v>
      </c>
      <c r="H4667">
        <v>0.35064203475507</v>
      </c>
      <c r="I4667">
        <v>0.29239441831344298</v>
      </c>
      <c r="J4667">
        <v>0.37338370620497102</v>
      </c>
      <c r="K4667">
        <v>0.32402794203707103</v>
      </c>
      <c r="L4667">
        <v>894.64603547296701</v>
      </c>
      <c r="M4667">
        <v>17.2155725824786</v>
      </c>
      <c r="N4667">
        <v>54.890699711159797</v>
      </c>
      <c r="O4667">
        <v>51.281263567317403</v>
      </c>
      <c r="P4667">
        <v>-5.8742529106240303E-2</v>
      </c>
      <c r="Q4667">
        <v>0.30011878403525999</v>
      </c>
      <c r="R4667">
        <v>0.95486690315010103</v>
      </c>
      <c r="S4667" t="s">
        <v>10528</v>
      </c>
      <c r="T4667" t="s">
        <v>11720</v>
      </c>
      <c r="U4667" t="s">
        <v>11720</v>
      </c>
      <c r="V4667" t="s">
        <v>11720</v>
      </c>
      <c r="W4667" t="s">
        <v>16331</v>
      </c>
      <c r="X4667">
        <v>1</v>
      </c>
      <c r="Y4667" t="s">
        <v>22040</v>
      </c>
      <c r="Z4667" t="s">
        <v>27874</v>
      </c>
      <c r="AA4667">
        <v>0.59186998141160874</v>
      </c>
      <c r="AB4667" t="str">
        <f>HYPERLINK("Melting_Curves/meltCurve_Q96QC0_PPP1R10.pdf", "Melting_Curves/meltCurve_Q96QC0_PPP1R10.pdf")</f>
        <v>Melting_Curves/meltCurve_Q96QC0_PPP1R10.pdf</v>
      </c>
    </row>
    <row r="4668" spans="1:28" x14ac:dyDescent="0.25">
      <c r="A4668" t="s">
        <v>4672</v>
      </c>
      <c r="B4668">
        <v>0.99334974765950101</v>
      </c>
      <c r="C4668">
        <v>0.94897764289656805</v>
      </c>
      <c r="D4668">
        <v>0.86429914769022498</v>
      </c>
      <c r="E4668">
        <v>0.951695731284388</v>
      </c>
      <c r="F4668">
        <v>0.90278904641152302</v>
      </c>
      <c r="G4668">
        <v>0.81993069873278601</v>
      </c>
      <c r="H4668">
        <v>0.84752902822643805</v>
      </c>
      <c r="I4668">
        <v>0.85211273386428898</v>
      </c>
      <c r="J4668">
        <v>0.92759892795614396</v>
      </c>
      <c r="K4668">
        <v>0.72410085087882503</v>
      </c>
      <c r="L4668">
        <v>158.20697301251801</v>
      </c>
      <c r="M4668">
        <v>0.84025457569800499</v>
      </c>
      <c r="O4668">
        <v>58.158763389838398</v>
      </c>
      <c r="P4668">
        <v>-5.3724214888144798E-3</v>
      </c>
      <c r="Q4668">
        <v>0</v>
      </c>
      <c r="R4668">
        <v>0.48303005600298998</v>
      </c>
      <c r="S4668" t="s">
        <v>10529</v>
      </c>
      <c r="T4668" t="s">
        <v>11720</v>
      </c>
      <c r="U4668" t="s">
        <v>11720</v>
      </c>
      <c r="V4668" t="s">
        <v>11720</v>
      </c>
      <c r="W4668" t="s">
        <v>16332</v>
      </c>
      <c r="X4668">
        <v>4</v>
      </c>
      <c r="Y4668" t="s">
        <v>22041</v>
      </c>
      <c r="Z4668" t="s">
        <v>27875</v>
      </c>
      <c r="AA4668">
        <v>0.8836083749024104</v>
      </c>
      <c r="AB4668" t="str">
        <f>HYPERLINK("Melting_Curves/meltCurve_Q96QD8_SLC38A2.pdf", "Melting_Curves/meltCurve_Q96QD8_SLC38A2.pdf")</f>
        <v>Melting_Curves/meltCurve_Q96QD8_SLC38A2.pdf</v>
      </c>
    </row>
    <row r="4669" spans="1:28" x14ac:dyDescent="0.25">
      <c r="A4669" t="s">
        <v>4673</v>
      </c>
      <c r="B4669">
        <v>0.99334974765950101</v>
      </c>
      <c r="C4669">
        <v>0.90905370067174596</v>
      </c>
      <c r="D4669">
        <v>0.95471074584037396</v>
      </c>
      <c r="E4669">
        <v>0.83899607974695201</v>
      </c>
      <c r="F4669">
        <v>0.88971832490911296</v>
      </c>
      <c r="G4669">
        <v>0.71169162726713797</v>
      </c>
      <c r="H4669">
        <v>0.68382249660251904</v>
      </c>
      <c r="I4669">
        <v>0.85850766803956102</v>
      </c>
      <c r="J4669">
        <v>0.89849834963412101</v>
      </c>
      <c r="K4669">
        <v>0.68393868431109095</v>
      </c>
      <c r="L4669">
        <v>616.969400664109</v>
      </c>
      <c r="M4669">
        <v>12.788305459120799</v>
      </c>
      <c r="O4669">
        <v>47.110756865279903</v>
      </c>
      <c r="P4669">
        <v>-1.5905484717847598E-2</v>
      </c>
      <c r="Q4669">
        <v>0.76566767440420203</v>
      </c>
      <c r="R4669">
        <v>0.50798794724372798</v>
      </c>
      <c r="S4669" t="s">
        <v>10530</v>
      </c>
      <c r="T4669" t="s">
        <v>11720</v>
      </c>
      <c r="U4669" t="s">
        <v>11720</v>
      </c>
      <c r="V4669" t="s">
        <v>11720</v>
      </c>
      <c r="W4669" t="s">
        <v>16333</v>
      </c>
      <c r="X4669">
        <v>8</v>
      </c>
      <c r="Y4669" t="s">
        <v>22042</v>
      </c>
      <c r="Z4669" t="s">
        <v>27876</v>
      </c>
      <c r="AA4669">
        <v>0.83812711031612397</v>
      </c>
      <c r="AB4669" t="str">
        <f>HYPERLINK("Melting_Curves/meltCurve_Q96QE2_SLC2A13.pdf", "Melting_Curves/meltCurve_Q96QE2_SLC2A13.pdf")</f>
        <v>Melting_Curves/meltCurve_Q96QE2_SLC2A13.pdf</v>
      </c>
    </row>
    <row r="4670" spans="1:28" x14ac:dyDescent="0.25">
      <c r="A4670" t="s">
        <v>4674</v>
      </c>
      <c r="B4670">
        <v>0.99334974765950101</v>
      </c>
      <c r="C4670">
        <v>1.02673388612774</v>
      </c>
      <c r="D4670">
        <v>0.98002859457236802</v>
      </c>
      <c r="E4670">
        <v>0.89859308327384602</v>
      </c>
      <c r="F4670">
        <v>0.59584174961654301</v>
      </c>
      <c r="G4670">
        <v>0.37040763219052097</v>
      </c>
      <c r="H4670">
        <v>0.28420519754554102</v>
      </c>
      <c r="I4670">
        <v>0.25260341507820699</v>
      </c>
      <c r="J4670">
        <v>0.22175307128955901</v>
      </c>
      <c r="K4670">
        <v>0.18572295976081399</v>
      </c>
      <c r="L4670">
        <v>1275.4428925530799</v>
      </c>
      <c r="M4670">
        <v>23.964276255920801</v>
      </c>
      <c r="N4670">
        <v>54.562114247245397</v>
      </c>
      <c r="O4670">
        <v>52.856227078708898</v>
      </c>
      <c r="P4670">
        <v>-8.8143778857209101E-2</v>
      </c>
      <c r="Q4670">
        <v>0.22236372664608001</v>
      </c>
      <c r="R4670">
        <v>0.99463503658931895</v>
      </c>
      <c r="S4670" t="s">
        <v>10531</v>
      </c>
      <c r="T4670" t="s">
        <v>11720</v>
      </c>
      <c r="U4670" t="s">
        <v>11720</v>
      </c>
      <c r="V4670" t="s">
        <v>11720</v>
      </c>
      <c r="W4670" t="s">
        <v>16334</v>
      </c>
      <c r="X4670">
        <v>11</v>
      </c>
      <c r="Y4670" t="s">
        <v>22043</v>
      </c>
      <c r="Z4670" t="s">
        <v>27877</v>
      </c>
      <c r="AA4670">
        <v>0.57286645775995382</v>
      </c>
      <c r="AB4670" t="str">
        <f>HYPERLINK("Melting_Curves/meltCurve_Q96QG7_MTMR9.pdf", "Melting_Curves/meltCurve_Q96QG7_MTMR9.pdf")</f>
        <v>Melting_Curves/meltCurve_Q96QG7_MTMR9.pdf</v>
      </c>
    </row>
    <row r="4671" spans="1:28" x14ac:dyDescent="0.25">
      <c r="A4671" t="s">
        <v>4675</v>
      </c>
      <c r="B4671">
        <v>0.99334974765950101</v>
      </c>
      <c r="C4671">
        <v>1.0484622473498399</v>
      </c>
      <c r="D4671">
        <v>1.24687924983596</v>
      </c>
      <c r="E4671">
        <v>1.2273535199174199</v>
      </c>
      <c r="F4671">
        <v>0.61801242844100801</v>
      </c>
      <c r="G4671">
        <v>0.163797894179046</v>
      </c>
      <c r="H4671">
        <v>0.112828768044531</v>
      </c>
      <c r="I4671">
        <v>0.103263646700872</v>
      </c>
      <c r="J4671">
        <v>7.9229280127642396E-2</v>
      </c>
      <c r="K4671">
        <v>6.0168501975933597E-2</v>
      </c>
      <c r="L4671">
        <v>13265.748282251099</v>
      </c>
      <c r="M4671">
        <v>250</v>
      </c>
      <c r="N4671">
        <v>53.112455298961201</v>
      </c>
      <c r="O4671">
        <v>53.059612093267603</v>
      </c>
      <c r="P4671">
        <v>-1.05558471092286</v>
      </c>
      <c r="Q4671">
        <v>0.10385760262022201</v>
      </c>
      <c r="R4671">
        <v>0.94934674595861301</v>
      </c>
      <c r="S4671" t="s">
        <v>10532</v>
      </c>
      <c r="T4671" t="s">
        <v>11720</v>
      </c>
      <c r="U4671" t="s">
        <v>11720</v>
      </c>
      <c r="V4671" t="s">
        <v>11720</v>
      </c>
      <c r="W4671" t="s">
        <v>16335</v>
      </c>
      <c r="X4671">
        <v>25</v>
      </c>
      <c r="Y4671" t="s">
        <v>22044</v>
      </c>
      <c r="Z4671" t="s">
        <v>27878</v>
      </c>
      <c r="AA4671">
        <v>0.49415112162247149</v>
      </c>
      <c r="AB4671" t="str">
        <f>HYPERLINK("Melting_Curves/meltCurve_Q96QK1_VPS35.pdf", "Melting_Curves/meltCurve_Q96QK1_VPS35.pdf")</f>
        <v>Melting_Curves/meltCurve_Q96QK1_VPS35.pdf</v>
      </c>
    </row>
    <row r="4672" spans="1:28" x14ac:dyDescent="0.25">
      <c r="A4672" t="s">
        <v>4676</v>
      </c>
      <c r="B4672">
        <v>0.99334974765950101</v>
      </c>
      <c r="C4672">
        <v>0.96235003440996003</v>
      </c>
      <c r="D4672">
        <v>0.95507225258552497</v>
      </c>
      <c r="E4672">
        <v>1.20815740699865</v>
      </c>
      <c r="F4672">
        <v>1.0269916287146901</v>
      </c>
      <c r="G4672">
        <v>0.78409001180590798</v>
      </c>
      <c r="H4672">
        <v>1.1387857307695399</v>
      </c>
      <c r="I4672">
        <v>0.60343016790150805</v>
      </c>
      <c r="J4672">
        <v>0.48680623621642999</v>
      </c>
      <c r="K4672">
        <v>0.35086996485766903</v>
      </c>
      <c r="L4672">
        <v>15000</v>
      </c>
      <c r="M4672">
        <v>235.139516775608</v>
      </c>
      <c r="N4672">
        <v>64.288984836788501</v>
      </c>
      <c r="O4672">
        <v>63.787294160503301</v>
      </c>
      <c r="P4672">
        <v>-0.53559320675172395</v>
      </c>
      <c r="Q4672">
        <v>0.418829380961946</v>
      </c>
      <c r="R4672">
        <v>0.83274962077869497</v>
      </c>
      <c r="S4672" t="s">
        <v>10533</v>
      </c>
      <c r="T4672" t="s">
        <v>11720</v>
      </c>
      <c r="U4672" t="s">
        <v>11720</v>
      </c>
      <c r="V4672" t="s">
        <v>11720</v>
      </c>
      <c r="W4672" t="s">
        <v>16336</v>
      </c>
      <c r="X4672">
        <v>4</v>
      </c>
      <c r="Y4672" t="s">
        <v>22045</v>
      </c>
      <c r="Z4672" t="s">
        <v>27879</v>
      </c>
      <c r="AA4672">
        <v>0.8798083245681817</v>
      </c>
      <c r="AB4672" t="str">
        <f>HYPERLINK("Melting_Curves/meltCurve_Q96QR8_PURB.pdf", "Melting_Curves/meltCurve_Q96QR8_PURB.pdf")</f>
        <v>Melting_Curves/meltCurve_Q96QR8_PURB.pdf</v>
      </c>
    </row>
    <row r="4673" spans="1:28" x14ac:dyDescent="0.25">
      <c r="A4673" t="s">
        <v>4677</v>
      </c>
      <c r="B4673">
        <v>0.99334974765950101</v>
      </c>
      <c r="C4673">
        <v>1.01541786041765</v>
      </c>
      <c r="D4673">
        <v>0.845952549311205</v>
      </c>
      <c r="E4673">
        <v>0.462960011650007</v>
      </c>
      <c r="F4673">
        <v>0.19708993919227299</v>
      </c>
      <c r="G4673">
        <v>0.15681887599207101</v>
      </c>
      <c r="H4673">
        <v>0.12151012596779499</v>
      </c>
      <c r="I4673">
        <v>0.120089948889749</v>
      </c>
      <c r="J4673">
        <v>0.10128044878817399</v>
      </c>
      <c r="K4673">
        <v>0.102330694889289</v>
      </c>
      <c r="L4673">
        <v>1277.4918416207099</v>
      </c>
      <c r="M4673">
        <v>26.049917320300899</v>
      </c>
      <c r="N4673">
        <v>49.518371942709301</v>
      </c>
      <c r="O4673">
        <v>48.753890295674601</v>
      </c>
      <c r="P4673">
        <v>-0.118724505254</v>
      </c>
      <c r="Q4673">
        <v>0.111211704743544</v>
      </c>
      <c r="R4673">
        <v>0.99751541442764202</v>
      </c>
      <c r="S4673" t="s">
        <v>10534</v>
      </c>
      <c r="T4673" t="s">
        <v>11720</v>
      </c>
      <c r="U4673" t="s">
        <v>11720</v>
      </c>
      <c r="V4673" t="s">
        <v>11720</v>
      </c>
      <c r="W4673" t="s">
        <v>16337</v>
      </c>
      <c r="X4673">
        <v>2</v>
      </c>
      <c r="Y4673" t="s">
        <v>22046</v>
      </c>
      <c r="Z4673" t="s">
        <v>27880</v>
      </c>
      <c r="AA4673">
        <v>0.38627607899420308</v>
      </c>
      <c r="AB4673" t="str">
        <f>HYPERLINK("Melting_Curves/meltCurve_Q96QU8_XPO6.pdf", "Melting_Curves/meltCurve_Q96QU8_XPO6.pdf")</f>
        <v>Melting_Curves/meltCurve_Q96QU8_XPO6.pdf</v>
      </c>
    </row>
    <row r="4674" spans="1:28" x14ac:dyDescent="0.25">
      <c r="A4674" t="s">
        <v>4678</v>
      </c>
      <c r="B4674">
        <v>0.99334974765950101</v>
      </c>
      <c r="C4674">
        <v>0.98168072834555098</v>
      </c>
      <c r="D4674">
        <v>0.93025787885334599</v>
      </c>
      <c r="E4674">
        <v>0.76564222729669695</v>
      </c>
      <c r="F4674">
        <v>0.38510437301274503</v>
      </c>
      <c r="G4674">
        <v>0.208715390362019</v>
      </c>
      <c r="H4674">
        <v>0.154146280971417</v>
      </c>
      <c r="I4674">
        <v>0.13203811330644999</v>
      </c>
      <c r="J4674">
        <v>0.118347149969926</v>
      </c>
      <c r="K4674">
        <v>0.108930899976559</v>
      </c>
      <c r="L4674">
        <v>1388.1103931902001</v>
      </c>
      <c r="M4674">
        <v>26.909389083284601</v>
      </c>
      <c r="N4674">
        <v>52.142509534904001</v>
      </c>
      <c r="O4674">
        <v>51.302276176811297</v>
      </c>
      <c r="P4674">
        <v>-0.114729780671363</v>
      </c>
      <c r="Q4674">
        <v>0.125087915677388</v>
      </c>
      <c r="R4674">
        <v>0.996992560724558</v>
      </c>
      <c r="S4674" t="s">
        <v>10535</v>
      </c>
      <c r="T4674" t="s">
        <v>11720</v>
      </c>
      <c r="U4674" t="s">
        <v>11720</v>
      </c>
      <c r="V4674" t="s">
        <v>11720</v>
      </c>
      <c r="W4674" t="s">
        <v>16338</v>
      </c>
      <c r="X4674">
        <v>5</v>
      </c>
      <c r="Y4674" t="s">
        <v>22047</v>
      </c>
      <c r="Z4674" t="s">
        <v>27881</v>
      </c>
      <c r="AA4674">
        <v>0.46982596915690228</v>
      </c>
      <c r="AB4674" t="str">
        <f>HYPERLINK("Melting_Curves/meltCurve_Q96QZ7_4_MAGI1.pdf", "Melting_Curves/meltCurve_Q96QZ7_4_MAGI1.pdf")</f>
        <v>Melting_Curves/meltCurve_Q96QZ7_4_MAGI1.pdf</v>
      </c>
    </row>
    <row r="4675" spans="1:28" x14ac:dyDescent="0.25">
      <c r="A4675" t="s">
        <v>4679</v>
      </c>
      <c r="B4675">
        <v>0.99334974765950101</v>
      </c>
      <c r="C4675">
        <v>0.98793009160823098</v>
      </c>
      <c r="D4675">
        <v>0.97886399352360498</v>
      </c>
      <c r="E4675">
        <v>1.0867446804204699</v>
      </c>
      <c r="F4675">
        <v>1.06775091200384</v>
      </c>
      <c r="G4675">
        <v>0.92222483025921898</v>
      </c>
      <c r="H4675">
        <v>0.80716106122313602</v>
      </c>
      <c r="I4675">
        <v>1.29479924270687</v>
      </c>
      <c r="J4675">
        <v>1.1395936404366001</v>
      </c>
      <c r="K4675">
        <v>1.02161833114476</v>
      </c>
      <c r="L4675">
        <v>3029.2184534805701</v>
      </c>
      <c r="M4675">
        <v>48.330946662863902</v>
      </c>
      <c r="O4675">
        <v>62.569573489957399</v>
      </c>
      <c r="P4675">
        <v>2.5607329842842599E-2</v>
      </c>
      <c r="Q4675">
        <v>1.13260553226157</v>
      </c>
      <c r="R4675">
        <v>0.22598430316568699</v>
      </c>
      <c r="S4675" t="s">
        <v>10536</v>
      </c>
      <c r="T4675" t="s">
        <v>11720</v>
      </c>
      <c r="U4675" t="s">
        <v>11720</v>
      </c>
      <c r="V4675" t="s">
        <v>11720</v>
      </c>
      <c r="W4675" t="s">
        <v>16339</v>
      </c>
      <c r="X4675">
        <v>6</v>
      </c>
      <c r="Y4675" t="s">
        <v>22048</v>
      </c>
      <c r="Z4675" t="s">
        <v>27882</v>
      </c>
      <c r="AA4675">
        <v>1.0320259910069509</v>
      </c>
      <c r="AB4675" t="str">
        <f>HYPERLINK("Melting_Curves/meltCurve_Q96RD7_PANX1.pdf", "Melting_Curves/meltCurve_Q96RD7_PANX1.pdf")</f>
        <v>Melting_Curves/meltCurve_Q96RD7_PANX1.pdf</v>
      </c>
    </row>
    <row r="4676" spans="1:28" x14ac:dyDescent="0.25">
      <c r="A4676" t="s">
        <v>4680</v>
      </c>
      <c r="B4676">
        <v>0.99334974765950101</v>
      </c>
      <c r="C4676">
        <v>1.08964677120909</v>
      </c>
      <c r="D4676">
        <v>0.97148473161577997</v>
      </c>
      <c r="E4676">
        <v>0.70648267951239496</v>
      </c>
      <c r="F4676">
        <v>0.32005462886188402</v>
      </c>
      <c r="G4676">
        <v>0.17687654782375201</v>
      </c>
      <c r="H4676">
        <v>0.150112574305167</v>
      </c>
      <c r="I4676">
        <v>7.6853960614098896E-2</v>
      </c>
      <c r="J4676">
        <v>8.3263841826458407E-2</v>
      </c>
      <c r="K4676">
        <v>0</v>
      </c>
      <c r="L4676">
        <v>1425.3845329154501</v>
      </c>
      <c r="M4676">
        <v>27.788835395958301</v>
      </c>
      <c r="N4676">
        <v>51.615687045678698</v>
      </c>
      <c r="O4676">
        <v>51.030002358043703</v>
      </c>
      <c r="P4676">
        <v>-0.125298466557272</v>
      </c>
      <c r="Q4676">
        <v>7.9641236321203193E-2</v>
      </c>
      <c r="R4676">
        <v>0.98731258024109403</v>
      </c>
      <c r="S4676" t="s">
        <v>10537</v>
      </c>
      <c r="T4676" t="s">
        <v>11720</v>
      </c>
      <c r="U4676" t="s">
        <v>11720</v>
      </c>
      <c r="V4676" t="s">
        <v>11720</v>
      </c>
      <c r="W4676" t="s">
        <v>16340</v>
      </c>
      <c r="X4676">
        <v>3</v>
      </c>
      <c r="Y4676" t="s">
        <v>22049</v>
      </c>
      <c r="Z4676" t="s">
        <v>27883</v>
      </c>
      <c r="AA4676">
        <v>0.43287989289914292</v>
      </c>
      <c r="AB4676" t="str">
        <f>HYPERLINK("Melting_Curves/meltCurve_Q96RE7_NACC1.pdf", "Melting_Curves/meltCurve_Q96RE7_NACC1.pdf")</f>
        <v>Melting_Curves/meltCurve_Q96RE7_NACC1.pdf</v>
      </c>
    </row>
    <row r="4677" spans="1:28" x14ac:dyDescent="0.25">
      <c r="A4677" t="s">
        <v>4681</v>
      </c>
      <c r="B4677">
        <v>0.99334974765950101</v>
      </c>
      <c r="C4677">
        <v>0.98132324150190098</v>
      </c>
      <c r="D4677">
        <v>0.929582589914973</v>
      </c>
      <c r="E4677">
        <v>0.53259682771671801</v>
      </c>
      <c r="F4677">
        <v>0.204828647303015</v>
      </c>
      <c r="G4677">
        <v>0.137910130691063</v>
      </c>
      <c r="H4677">
        <v>0.123030625036535</v>
      </c>
      <c r="I4677">
        <v>0.10996646942482501</v>
      </c>
      <c r="J4677">
        <v>0.123069513262427</v>
      </c>
      <c r="K4677">
        <v>9.9804890251174297E-2</v>
      </c>
      <c r="L4677">
        <v>1609.6850790979399</v>
      </c>
      <c r="M4677">
        <v>32.345489988123497</v>
      </c>
      <c r="N4677">
        <v>50.163312050783603</v>
      </c>
      <c r="O4677">
        <v>49.5763021284248</v>
      </c>
      <c r="P4677">
        <v>-0.14465275397230901</v>
      </c>
      <c r="Q4677">
        <v>0.11316056648426299</v>
      </c>
      <c r="R4677">
        <v>0.99916421129236399</v>
      </c>
      <c r="S4677" t="s">
        <v>10538</v>
      </c>
      <c r="T4677" t="s">
        <v>11720</v>
      </c>
      <c r="U4677" t="s">
        <v>11720</v>
      </c>
      <c r="V4677" t="s">
        <v>11720</v>
      </c>
      <c r="W4677" t="s">
        <v>16341</v>
      </c>
      <c r="X4677">
        <v>11</v>
      </c>
      <c r="Y4677" t="s">
        <v>22050</v>
      </c>
      <c r="Z4677" t="s">
        <v>27884</v>
      </c>
      <c r="AA4677">
        <v>0.40652835280267219</v>
      </c>
      <c r="AB4677" t="str">
        <f>HYPERLINK("Melting_Curves/meltCurve_Q96RF0_2_SNX18.pdf", "Melting_Curves/meltCurve_Q96RF0_2_SNX18.pdf")</f>
        <v>Melting_Curves/meltCurve_Q96RF0_2_SNX18.pdf</v>
      </c>
    </row>
    <row r="4678" spans="1:28" x14ac:dyDescent="0.25">
      <c r="A4678" t="s">
        <v>4682</v>
      </c>
      <c r="B4678">
        <v>0.99334974765950101</v>
      </c>
      <c r="C4678">
        <v>0.97891255855000803</v>
      </c>
      <c r="D4678">
        <v>0.88235594665446104</v>
      </c>
      <c r="E4678">
        <v>0.73959931599086404</v>
      </c>
      <c r="F4678">
        <v>0.44122148236884201</v>
      </c>
      <c r="G4678">
        <v>0.285555851083162</v>
      </c>
      <c r="H4678">
        <v>0.214296521010228</v>
      </c>
      <c r="I4678">
        <v>0.15210496501718501</v>
      </c>
      <c r="J4678">
        <v>0.158112890779979</v>
      </c>
      <c r="K4678">
        <v>0.13561909876711201</v>
      </c>
      <c r="L4678">
        <v>910.94509016258496</v>
      </c>
      <c r="M4678">
        <v>17.6078816600712</v>
      </c>
      <c r="N4678">
        <v>52.689621218853603</v>
      </c>
      <c r="O4678">
        <v>51.081613081460802</v>
      </c>
      <c r="P4678">
        <v>-7.4411240062890502E-2</v>
      </c>
      <c r="Q4678">
        <v>0.13655902351879801</v>
      </c>
      <c r="R4678">
        <v>0.99566106786821296</v>
      </c>
      <c r="S4678" t="s">
        <v>10539</v>
      </c>
      <c r="T4678" t="s">
        <v>11720</v>
      </c>
      <c r="U4678" t="s">
        <v>11720</v>
      </c>
      <c r="V4678" t="s">
        <v>11720</v>
      </c>
      <c r="W4678" t="s">
        <v>16342</v>
      </c>
      <c r="X4678">
        <v>9</v>
      </c>
      <c r="Y4678" t="s">
        <v>22051</v>
      </c>
      <c r="Z4678" t="s">
        <v>27885</v>
      </c>
      <c r="AA4678">
        <v>0.4892874177723251</v>
      </c>
      <c r="AB4678" t="str">
        <f>HYPERLINK("Melting_Curves/meltCurve_Q96RN5_3_MED15.pdf", "Melting_Curves/meltCurve_Q96RN5_3_MED15.pdf")</f>
        <v>Melting_Curves/meltCurve_Q96RN5_3_MED15.pdf</v>
      </c>
    </row>
    <row r="4679" spans="1:28" x14ac:dyDescent="0.25">
      <c r="A4679" t="s">
        <v>4683</v>
      </c>
      <c r="B4679">
        <v>0.99334974765950101</v>
      </c>
      <c r="C4679">
        <v>0.94231942735827701</v>
      </c>
      <c r="D4679">
        <v>0.85972184667505902</v>
      </c>
      <c r="E4679">
        <v>0.472980359037316</v>
      </c>
      <c r="F4679">
        <v>0.151541880554946</v>
      </c>
      <c r="G4679">
        <v>0.10580527554493201</v>
      </c>
      <c r="H4679">
        <v>8.3576480845456394E-2</v>
      </c>
      <c r="I4679">
        <v>7.1856212996010194E-2</v>
      </c>
      <c r="J4679">
        <v>6.4416850796083794E-2</v>
      </c>
      <c r="K4679">
        <v>5.3399371133469202E-2</v>
      </c>
      <c r="L4679">
        <v>1260.86675615019</v>
      </c>
      <c r="M4679">
        <v>25.592056127366401</v>
      </c>
      <c r="N4679">
        <v>49.529332153596997</v>
      </c>
      <c r="O4679">
        <v>48.970029096720602</v>
      </c>
      <c r="P4679">
        <v>-0.12239869742958701</v>
      </c>
      <c r="Q4679">
        <v>6.3178933856181896E-2</v>
      </c>
      <c r="R4679">
        <v>0.99670123870642102</v>
      </c>
      <c r="S4679" t="s">
        <v>10540</v>
      </c>
      <c r="T4679" t="s">
        <v>11720</v>
      </c>
      <c r="U4679" t="s">
        <v>11720</v>
      </c>
      <c r="V4679" t="s">
        <v>11720</v>
      </c>
      <c r="W4679" t="s">
        <v>16343</v>
      </c>
      <c r="X4679">
        <v>26</v>
      </c>
      <c r="Y4679" t="s">
        <v>22052</v>
      </c>
      <c r="Z4679" t="s">
        <v>27886</v>
      </c>
      <c r="AA4679">
        <v>0.36051931698802248</v>
      </c>
      <c r="AB4679" t="str">
        <f>HYPERLINK("Melting_Curves/meltCurve_Q96RP9_GFM1.pdf", "Melting_Curves/meltCurve_Q96RP9_GFM1.pdf")</f>
        <v>Melting_Curves/meltCurve_Q96RP9_GFM1.pdf</v>
      </c>
    </row>
    <row r="4680" spans="1:28" x14ac:dyDescent="0.25">
      <c r="A4680" t="s">
        <v>4684</v>
      </c>
      <c r="B4680">
        <v>0.99334974765950101</v>
      </c>
      <c r="C4680">
        <v>0.89765557831742204</v>
      </c>
      <c r="D4680">
        <v>1.0139844706492001</v>
      </c>
      <c r="E4680">
        <v>0.91512998052378003</v>
      </c>
      <c r="F4680">
        <v>0.65586233709601505</v>
      </c>
      <c r="G4680">
        <v>0.42649307839685702</v>
      </c>
      <c r="H4680">
        <v>0.26903411825608797</v>
      </c>
      <c r="I4680">
        <v>0.29687035257843197</v>
      </c>
      <c r="J4680">
        <v>0.22437330856781301</v>
      </c>
      <c r="K4680">
        <v>0.177951942369315</v>
      </c>
      <c r="L4680">
        <v>1133.49032674459</v>
      </c>
      <c r="M4680">
        <v>20.957962739083602</v>
      </c>
      <c r="N4680">
        <v>55.557587202831201</v>
      </c>
      <c r="O4680">
        <v>53.598812984644901</v>
      </c>
      <c r="P4680">
        <v>-7.6913133394349506E-2</v>
      </c>
      <c r="Q4680">
        <v>0.213217197836746</v>
      </c>
      <c r="R4680">
        <v>0.98280515214077802</v>
      </c>
      <c r="S4680" t="s">
        <v>10541</v>
      </c>
      <c r="T4680" t="s">
        <v>11720</v>
      </c>
      <c r="U4680" t="s">
        <v>11720</v>
      </c>
      <c r="V4680" t="s">
        <v>11720</v>
      </c>
      <c r="W4680" t="s">
        <v>16344</v>
      </c>
      <c r="X4680">
        <v>1</v>
      </c>
      <c r="Y4680" t="s">
        <v>22053</v>
      </c>
      <c r="Z4680" t="s">
        <v>27887</v>
      </c>
      <c r="AA4680">
        <v>0.59248134326518442</v>
      </c>
      <c r="AB4680" t="str">
        <f>HYPERLINK("Melting_Curves/meltCurve_Q96RQ1_ERGIC2.pdf", "Melting_Curves/meltCurve_Q96RQ1_ERGIC2.pdf")</f>
        <v>Melting_Curves/meltCurve_Q96RQ1_ERGIC2.pdf</v>
      </c>
    </row>
    <row r="4681" spans="1:28" x14ac:dyDescent="0.25">
      <c r="A4681" t="s">
        <v>4685</v>
      </c>
      <c r="B4681">
        <v>0.99334974765950101</v>
      </c>
      <c r="C4681">
        <v>0.96837038638651196</v>
      </c>
      <c r="D4681">
        <v>0.77622490684100898</v>
      </c>
      <c r="E4681">
        <v>0.53089212546513798</v>
      </c>
      <c r="F4681">
        <v>0.200103052883565</v>
      </c>
      <c r="G4681">
        <v>0.11868391945302401</v>
      </c>
      <c r="H4681">
        <v>0.13322625175719399</v>
      </c>
      <c r="I4681">
        <v>8.0323945477571101E-2</v>
      </c>
      <c r="J4681">
        <v>7.9145850892844302E-2</v>
      </c>
      <c r="K4681">
        <v>6.4579018406613606E-2</v>
      </c>
      <c r="L4681">
        <v>977.56477133190799</v>
      </c>
      <c r="M4681">
        <v>19.838075368381102</v>
      </c>
      <c r="N4681">
        <v>49.668298048365003</v>
      </c>
      <c r="O4681">
        <v>48.784663333339701</v>
      </c>
      <c r="P4681">
        <v>-9.4313452653947694E-2</v>
      </c>
      <c r="Q4681">
        <v>7.2309982787043606E-2</v>
      </c>
      <c r="R4681">
        <v>0.99190796628238698</v>
      </c>
      <c r="S4681" t="s">
        <v>10542</v>
      </c>
      <c r="T4681" t="s">
        <v>11720</v>
      </c>
      <c r="U4681" t="s">
        <v>11720</v>
      </c>
      <c r="V4681" t="s">
        <v>11720</v>
      </c>
      <c r="W4681" t="s">
        <v>16345</v>
      </c>
      <c r="X4681">
        <v>12</v>
      </c>
      <c r="Y4681" t="s">
        <v>22054</v>
      </c>
      <c r="Z4681" t="s">
        <v>27888</v>
      </c>
      <c r="AA4681">
        <v>0.37236716327132258</v>
      </c>
      <c r="AB4681" t="str">
        <f>HYPERLINK("Melting_Curves/meltCurve_Q96RR4_CAMKK2.pdf", "Melting_Curves/meltCurve_Q96RR4_CAMKK2.pdf")</f>
        <v>Melting_Curves/meltCurve_Q96RR4_CAMKK2.pdf</v>
      </c>
    </row>
    <row r="4682" spans="1:28" x14ac:dyDescent="0.25">
      <c r="A4682" t="s">
        <v>4686</v>
      </c>
      <c r="B4682">
        <v>0.99334974765950101</v>
      </c>
      <c r="C4682">
        <v>0.84820133698209599</v>
      </c>
      <c r="D4682">
        <v>0.82447094667335297</v>
      </c>
      <c r="E4682">
        <v>0.70703209001206302</v>
      </c>
      <c r="F4682">
        <v>0.47748799960333999</v>
      </c>
      <c r="G4682">
        <v>0.207762451274141</v>
      </c>
      <c r="H4682">
        <v>0.14437006022466001</v>
      </c>
      <c r="I4682">
        <v>0.13711038820677299</v>
      </c>
      <c r="J4682">
        <v>0.119842660364465</v>
      </c>
      <c r="K4682">
        <v>0.10443231333118</v>
      </c>
      <c r="L4682">
        <v>683.96770676502604</v>
      </c>
      <c r="M4682">
        <v>13.20262744747</v>
      </c>
      <c r="N4682">
        <v>52.277017194537798</v>
      </c>
      <c r="O4682">
        <v>50.660162193535598</v>
      </c>
      <c r="P4682">
        <v>-6.1505376853879003E-2</v>
      </c>
      <c r="Q4682">
        <v>5.6141159377742403E-2</v>
      </c>
      <c r="R4682">
        <v>0.98186206085077099</v>
      </c>
      <c r="S4682" t="s">
        <v>10543</v>
      </c>
      <c r="T4682" t="s">
        <v>11720</v>
      </c>
      <c r="U4682" t="s">
        <v>11720</v>
      </c>
      <c r="V4682" t="s">
        <v>11720</v>
      </c>
      <c r="W4682" t="s">
        <v>16346</v>
      </c>
      <c r="X4682">
        <v>13</v>
      </c>
      <c r="Y4682" t="s">
        <v>22055</v>
      </c>
      <c r="Z4682" t="s">
        <v>27889</v>
      </c>
      <c r="AA4682">
        <v>0.4532442024753654</v>
      </c>
      <c r="AB4682" t="str">
        <f>HYPERLINK("Melting_Curves/meltCurve_Q96RS6_NUDCD1.pdf", "Melting_Curves/meltCurve_Q96RS6_NUDCD1.pdf")</f>
        <v>Melting_Curves/meltCurve_Q96RS6_NUDCD1.pdf</v>
      </c>
    </row>
    <row r="4683" spans="1:28" x14ac:dyDescent="0.25">
      <c r="A4683" t="s">
        <v>4687</v>
      </c>
      <c r="B4683">
        <v>0.99334974765950101</v>
      </c>
      <c r="C4683">
        <v>0.88330416544320201</v>
      </c>
      <c r="D4683">
        <v>0.81876922909940697</v>
      </c>
      <c r="E4683">
        <v>0.54194277105382904</v>
      </c>
      <c r="F4683">
        <v>0.28581443046141197</v>
      </c>
      <c r="G4683">
        <v>0.164551928620879</v>
      </c>
      <c r="H4683">
        <v>0.124556783803835</v>
      </c>
      <c r="I4683">
        <v>9.8450827174359296E-2</v>
      </c>
      <c r="J4683">
        <v>0.11354745129832799</v>
      </c>
      <c r="K4683">
        <v>9.4460471012933603E-2</v>
      </c>
      <c r="L4683">
        <v>842.54784353698903</v>
      </c>
      <c r="M4683">
        <v>16.990945130959801</v>
      </c>
      <c r="N4683">
        <v>50.139786395483</v>
      </c>
      <c r="O4683">
        <v>48.916419953026001</v>
      </c>
      <c r="P4683">
        <v>-7.9437419432364098E-2</v>
      </c>
      <c r="Q4683">
        <v>8.5264607646268295E-2</v>
      </c>
      <c r="R4683">
        <v>0.99524859745671701</v>
      </c>
      <c r="S4683" t="s">
        <v>10544</v>
      </c>
      <c r="T4683" t="s">
        <v>11720</v>
      </c>
      <c r="U4683" t="s">
        <v>11720</v>
      </c>
      <c r="V4683" t="s">
        <v>11720</v>
      </c>
      <c r="W4683" t="s">
        <v>16347</v>
      </c>
      <c r="X4683">
        <v>22</v>
      </c>
      <c r="Y4683" t="s">
        <v>22056</v>
      </c>
      <c r="Z4683" t="s">
        <v>27890</v>
      </c>
      <c r="AA4683">
        <v>0.39514450079170638</v>
      </c>
      <c r="AB4683" t="str">
        <f>HYPERLINK("Melting_Curves/meltCurve_Q96RT1_5_ERBB2IP.pdf", "Melting_Curves/meltCurve_Q96RT1_5_ERBB2IP.pdf")</f>
        <v>Melting_Curves/meltCurve_Q96RT1_5_ERBB2IP.pdf</v>
      </c>
    </row>
    <row r="4684" spans="1:28" x14ac:dyDescent="0.25">
      <c r="A4684" t="s">
        <v>4688</v>
      </c>
      <c r="B4684">
        <v>0.99334974765950101</v>
      </c>
      <c r="C4684">
        <v>0.979051541304093</v>
      </c>
      <c r="D4684">
        <v>0.89266267423655699</v>
      </c>
      <c r="E4684">
        <v>0.45143225483931798</v>
      </c>
      <c r="F4684">
        <v>0.26493048704783601</v>
      </c>
      <c r="G4684">
        <v>0.15761948446874499</v>
      </c>
      <c r="H4684">
        <v>0.13024166481131</v>
      </c>
      <c r="I4684">
        <v>0.127644291095899</v>
      </c>
      <c r="J4684">
        <v>0.11956894502738299</v>
      </c>
      <c r="K4684">
        <v>0.100443498095905</v>
      </c>
      <c r="L4684">
        <v>1263.06817983117</v>
      </c>
      <c r="M4684">
        <v>25.667482451799099</v>
      </c>
      <c r="N4684">
        <v>49.749852049364101</v>
      </c>
      <c r="O4684">
        <v>48.913103038857699</v>
      </c>
      <c r="P4684">
        <v>-0.115216170453315</v>
      </c>
      <c r="Q4684">
        <v>0.121766277937103</v>
      </c>
      <c r="R4684">
        <v>0.99854283430208801</v>
      </c>
      <c r="S4684" t="s">
        <v>10545</v>
      </c>
      <c r="T4684" t="s">
        <v>11720</v>
      </c>
      <c r="U4684" t="s">
        <v>11720</v>
      </c>
      <c r="V4684" t="s">
        <v>11720</v>
      </c>
      <c r="W4684" t="s">
        <v>16348</v>
      </c>
      <c r="X4684">
        <v>16</v>
      </c>
      <c r="Y4684" t="s">
        <v>22057</v>
      </c>
      <c r="Z4684" t="s">
        <v>27891</v>
      </c>
      <c r="AA4684">
        <v>0.39873537933642877</v>
      </c>
      <c r="AB4684" t="str">
        <f>HYPERLINK("Melting_Curves/meltCurve_Q96RU3_3_FNBP1.pdf", "Melting_Curves/meltCurve_Q96RU3_3_FNBP1.pdf")</f>
        <v>Melting_Curves/meltCurve_Q96RU3_3_FNBP1.pdf</v>
      </c>
    </row>
    <row r="4685" spans="1:28" x14ac:dyDescent="0.25">
      <c r="A4685" t="s">
        <v>4689</v>
      </c>
      <c r="B4685">
        <v>0.99334974765950101</v>
      </c>
      <c r="C4685">
        <v>1.24318423254001</v>
      </c>
      <c r="D4685">
        <v>1.25195828121254</v>
      </c>
      <c r="E4685">
        <v>1.6876431030319201</v>
      </c>
      <c r="F4685">
        <v>1.8173481257592301</v>
      </c>
      <c r="G4685">
        <v>1.6878179831148901</v>
      </c>
      <c r="H4685">
        <v>1.4849676013950599</v>
      </c>
      <c r="I4685">
        <v>0.80710683189578702</v>
      </c>
      <c r="J4685">
        <v>0.50409690112196104</v>
      </c>
      <c r="K4685">
        <v>0.24582713920471699</v>
      </c>
      <c r="L4685">
        <v>3686.0444657913699</v>
      </c>
      <c r="M4685">
        <v>55.750328497062398</v>
      </c>
      <c r="N4685">
        <v>66.831537967215993</v>
      </c>
      <c r="O4685">
        <v>66.032096027141904</v>
      </c>
      <c r="P4685">
        <v>-0.16368468189100399</v>
      </c>
      <c r="Q4685">
        <v>0.224511401137517</v>
      </c>
      <c r="R4685">
        <v>0.21342438003154099</v>
      </c>
      <c r="S4685" t="s">
        <v>10546</v>
      </c>
      <c r="T4685" t="s">
        <v>11720</v>
      </c>
      <c r="U4685" t="s">
        <v>11720</v>
      </c>
      <c r="V4685" t="s">
        <v>11720</v>
      </c>
      <c r="W4685" t="s">
        <v>16349</v>
      </c>
      <c r="X4685">
        <v>1</v>
      </c>
      <c r="Y4685" t="s">
        <v>22058</v>
      </c>
      <c r="Z4685" t="s">
        <v>27892</v>
      </c>
      <c r="AA4685">
        <v>0.89985564534459528</v>
      </c>
      <c r="AB4685" t="str">
        <f>HYPERLINK("Melting_Curves/meltCurve_Q96RW7_2_HMCN1.pdf", "Melting_Curves/meltCurve_Q96RW7_2_HMCN1.pdf")</f>
        <v>Melting_Curves/meltCurve_Q96RW7_2_HMCN1.pdf</v>
      </c>
    </row>
    <row r="4686" spans="1:28" x14ac:dyDescent="0.25">
      <c r="A4686" t="s">
        <v>4690</v>
      </c>
      <c r="B4686">
        <v>0.99334974765950101</v>
      </c>
      <c r="C4686">
        <v>0.957086791033677</v>
      </c>
      <c r="D4686">
        <v>0.78650078371423005</v>
      </c>
      <c r="E4686">
        <v>0.41081557012466502</v>
      </c>
      <c r="F4686">
        <v>0.16086098485338099</v>
      </c>
      <c r="G4686">
        <v>0.117571858559881</v>
      </c>
      <c r="H4686">
        <v>9.0370582958900797E-2</v>
      </c>
      <c r="I4686">
        <v>7.5002668450172394E-2</v>
      </c>
      <c r="J4686">
        <v>6.7163833410468998E-2</v>
      </c>
      <c r="K4686">
        <v>5.2422703117423197E-2</v>
      </c>
      <c r="L4686">
        <v>1090.30904463875</v>
      </c>
      <c r="M4686">
        <v>22.4339591217758</v>
      </c>
      <c r="N4686">
        <v>48.914758395267199</v>
      </c>
      <c r="O4686">
        <v>48.219606463754602</v>
      </c>
      <c r="P4686">
        <v>-0.108515378717068</v>
      </c>
      <c r="Q4686">
        <v>6.7046530086289094E-2</v>
      </c>
      <c r="R4686">
        <v>0.99839824736048699</v>
      </c>
      <c r="S4686" t="s">
        <v>10547</v>
      </c>
      <c r="T4686" t="s">
        <v>11720</v>
      </c>
      <c r="U4686" t="s">
        <v>11720</v>
      </c>
      <c r="V4686" t="s">
        <v>11720</v>
      </c>
      <c r="W4686" t="s">
        <v>16350</v>
      </c>
      <c r="X4686">
        <v>7</v>
      </c>
      <c r="Y4686" t="s">
        <v>22059</v>
      </c>
      <c r="Z4686" t="s">
        <v>27893</v>
      </c>
      <c r="AA4686">
        <v>0.34485956506088977</v>
      </c>
      <c r="AB4686" t="str">
        <f>HYPERLINK("Melting_Curves/meltCurve_Q96S19_C16orf13.pdf", "Melting_Curves/meltCurve_Q96S19_C16orf13.pdf")</f>
        <v>Melting_Curves/meltCurve_Q96S19_C16orf13.pdf</v>
      </c>
    </row>
    <row r="4687" spans="1:28" x14ac:dyDescent="0.25">
      <c r="A4687" t="s">
        <v>4691</v>
      </c>
      <c r="B4687">
        <v>0.99334974765950101</v>
      </c>
      <c r="C4687">
        <v>0.97549688118908795</v>
      </c>
      <c r="D4687">
        <v>1.0998102321515699</v>
      </c>
      <c r="E4687">
        <v>0.88259875229779405</v>
      </c>
      <c r="F4687">
        <v>0.61971718874300796</v>
      </c>
      <c r="G4687">
        <v>0.33148569478756601</v>
      </c>
      <c r="H4687">
        <v>0.135654597088985</v>
      </c>
      <c r="I4687">
        <v>8.6407294313760999E-2</v>
      </c>
      <c r="J4687">
        <v>8.69215595861106E-2</v>
      </c>
      <c r="K4687">
        <v>6.5596256130425301E-2</v>
      </c>
      <c r="L4687">
        <v>1216.63494688022</v>
      </c>
      <c r="M4687">
        <v>22.435128805006901</v>
      </c>
      <c r="N4687">
        <v>54.579433234808398</v>
      </c>
      <c r="O4687">
        <v>53.803662959253401</v>
      </c>
      <c r="P4687">
        <v>-9.7255221238298495E-2</v>
      </c>
      <c r="Q4687">
        <v>6.7073646337756601E-2</v>
      </c>
      <c r="R4687">
        <v>0.99029683873264895</v>
      </c>
      <c r="S4687" t="s">
        <v>10548</v>
      </c>
      <c r="T4687" t="s">
        <v>11720</v>
      </c>
      <c r="U4687" t="s">
        <v>11720</v>
      </c>
      <c r="V4687" t="s">
        <v>11720</v>
      </c>
      <c r="W4687" t="s">
        <v>16351</v>
      </c>
      <c r="X4687">
        <v>4</v>
      </c>
      <c r="Y4687" t="s">
        <v>22060</v>
      </c>
      <c r="Z4687" t="s">
        <v>27894</v>
      </c>
      <c r="AA4687">
        <v>0.52001120883304874</v>
      </c>
      <c r="AB4687" t="str">
        <f>HYPERLINK("Melting_Curves/meltCurve_Q96S44_TP53RK.pdf", "Melting_Curves/meltCurve_Q96S44_TP53RK.pdf")</f>
        <v>Melting_Curves/meltCurve_Q96S44_TP53RK.pdf</v>
      </c>
    </row>
    <row r="4688" spans="1:28" x14ac:dyDescent="0.25">
      <c r="A4688" t="s">
        <v>4692</v>
      </c>
      <c r="B4688">
        <v>0.99334974765950101</v>
      </c>
      <c r="C4688">
        <v>0.96282420647946798</v>
      </c>
      <c r="D4688">
        <v>1.0044705094198301</v>
      </c>
      <c r="E4688">
        <v>1.0621271307170701</v>
      </c>
      <c r="F4688">
        <v>0.62079779664349699</v>
      </c>
      <c r="G4688">
        <v>0.39144964685593298</v>
      </c>
      <c r="H4688">
        <v>0.26973027729071702</v>
      </c>
      <c r="I4688">
        <v>0.20854257664687301</v>
      </c>
      <c r="J4688">
        <v>0.176575698607283</v>
      </c>
      <c r="K4688">
        <v>0.13028476686968299</v>
      </c>
      <c r="L4688">
        <v>1481.89312306989</v>
      </c>
      <c r="M4688">
        <v>27.369519421367698</v>
      </c>
      <c r="N4688">
        <v>55.0789903396524</v>
      </c>
      <c r="O4688">
        <v>53.857353149274999</v>
      </c>
      <c r="P4688">
        <v>-0.10343910051706399</v>
      </c>
      <c r="Q4688">
        <v>0.18582368158683901</v>
      </c>
      <c r="R4688">
        <v>0.97355739645612205</v>
      </c>
      <c r="S4688" t="s">
        <v>10549</v>
      </c>
      <c r="T4688" t="s">
        <v>11720</v>
      </c>
      <c r="U4688" t="s">
        <v>11720</v>
      </c>
      <c r="V4688" t="s">
        <v>11720</v>
      </c>
      <c r="W4688" t="s">
        <v>16352</v>
      </c>
      <c r="X4688">
        <v>5</v>
      </c>
      <c r="Y4688" t="s">
        <v>22061</v>
      </c>
      <c r="Z4688" t="s">
        <v>27895</v>
      </c>
      <c r="AA4688">
        <v>0.57605590738793788</v>
      </c>
      <c r="AB4688" t="str">
        <f>HYPERLINK("Melting_Curves/meltCurve_Q96S52_2_PIGS.pdf", "Melting_Curves/meltCurve_Q96S52_2_PIGS.pdf")</f>
        <v>Melting_Curves/meltCurve_Q96S52_2_PIGS.pdf</v>
      </c>
    </row>
    <row r="4689" spans="1:28" x14ac:dyDescent="0.25">
      <c r="A4689" t="s">
        <v>4693</v>
      </c>
      <c r="B4689">
        <v>0.99334974765950101</v>
      </c>
      <c r="C4689">
        <v>1.02268688574579</v>
      </c>
      <c r="D4689">
        <v>0.97080688588691399</v>
      </c>
      <c r="E4689">
        <v>0.88082182117226404</v>
      </c>
      <c r="F4689">
        <v>0.890172741304048</v>
      </c>
      <c r="G4689">
        <v>0.86528249084921804</v>
      </c>
      <c r="H4689">
        <v>0.85310229774417201</v>
      </c>
      <c r="I4689">
        <v>1.05054926715821</v>
      </c>
      <c r="J4689">
        <v>0.63527985513656304</v>
      </c>
      <c r="K4689">
        <v>0.33432138219708002</v>
      </c>
      <c r="L4689">
        <v>15000</v>
      </c>
      <c r="M4689">
        <v>224.07258240437699</v>
      </c>
      <c r="N4689">
        <v>67.274151037611603</v>
      </c>
      <c r="O4689">
        <v>66.937262067004895</v>
      </c>
      <c r="P4689">
        <v>-0.55712306363808095</v>
      </c>
      <c r="Q4689">
        <v>0.33428191944645202</v>
      </c>
      <c r="R4689">
        <v>0.83343173402886295</v>
      </c>
      <c r="S4689" t="s">
        <v>10550</v>
      </c>
      <c r="T4689" t="s">
        <v>11720</v>
      </c>
      <c r="U4689" t="s">
        <v>11720</v>
      </c>
      <c r="V4689" t="s">
        <v>11720</v>
      </c>
      <c r="W4689" t="s">
        <v>16353</v>
      </c>
      <c r="X4689">
        <v>28</v>
      </c>
      <c r="Y4689" t="s">
        <v>22062</v>
      </c>
      <c r="Z4689" t="s">
        <v>27896</v>
      </c>
      <c r="AA4689">
        <v>0.93225127857838475</v>
      </c>
      <c r="AB4689" t="str">
        <f>HYPERLINK("Melting_Curves/meltCurve_Q96S66_CLCC1.pdf", "Melting_Curves/meltCurve_Q96S66_CLCC1.pdf")</f>
        <v>Melting_Curves/meltCurve_Q96S66_CLCC1.pdf</v>
      </c>
    </row>
    <row r="4690" spans="1:28" x14ac:dyDescent="0.25">
      <c r="A4690" t="s">
        <v>4694</v>
      </c>
      <c r="B4690">
        <v>0.99334974765950101</v>
      </c>
      <c r="C4690">
        <v>0.94212886401945695</v>
      </c>
      <c r="D4690">
        <v>0.89727359056454503</v>
      </c>
      <c r="E4690">
        <v>0.84679428442486704</v>
      </c>
      <c r="F4690">
        <v>0.49868042478922198</v>
      </c>
      <c r="G4690">
        <v>0.27942835896090501</v>
      </c>
      <c r="H4690">
        <v>0.196529398028259</v>
      </c>
      <c r="I4690">
        <v>0.178620662588272</v>
      </c>
      <c r="J4690">
        <v>0.20193977616661599</v>
      </c>
      <c r="K4690">
        <v>0.20124881910012801</v>
      </c>
      <c r="L4690">
        <v>1384.11312338168</v>
      </c>
      <c r="M4690">
        <v>26.492997064728101</v>
      </c>
      <c r="N4690">
        <v>53.196377924371397</v>
      </c>
      <c r="O4690">
        <v>51.9495481412212</v>
      </c>
      <c r="P4690">
        <v>-0.103428532382696</v>
      </c>
      <c r="Q4690">
        <v>0.188765546329874</v>
      </c>
      <c r="R4690">
        <v>0.98931768840590695</v>
      </c>
      <c r="S4690" t="s">
        <v>10551</v>
      </c>
      <c r="T4690" t="s">
        <v>11720</v>
      </c>
      <c r="U4690" t="s">
        <v>11720</v>
      </c>
      <c r="V4690" t="s">
        <v>11720</v>
      </c>
      <c r="W4690" t="s">
        <v>16354</v>
      </c>
      <c r="X4690">
        <v>5</v>
      </c>
      <c r="Y4690" t="s">
        <v>22063</v>
      </c>
      <c r="Z4690" t="s">
        <v>27897</v>
      </c>
      <c r="AA4690">
        <v>0.52650872289763739</v>
      </c>
      <c r="AB4690" t="str">
        <f>HYPERLINK("Melting_Curves/meltCurve_Q96S82_UBL7.pdf", "Melting_Curves/meltCurve_Q96S82_UBL7.pdf")</f>
        <v>Melting_Curves/meltCurve_Q96S82_UBL7.pdf</v>
      </c>
    </row>
    <row r="4691" spans="1:28" x14ac:dyDescent="0.25">
      <c r="A4691" t="s">
        <v>4695</v>
      </c>
      <c r="B4691">
        <v>0.99334974765950101</v>
      </c>
      <c r="C4691">
        <v>0.921692665096563</v>
      </c>
      <c r="D4691">
        <v>0.69493909271227305</v>
      </c>
      <c r="E4691">
        <v>0.296710940794772</v>
      </c>
      <c r="F4691">
        <v>0.13410244741992999</v>
      </c>
      <c r="G4691">
        <v>8.9786576946829399E-2</v>
      </c>
      <c r="H4691">
        <v>6.8420968566767798E-2</v>
      </c>
      <c r="I4691">
        <v>6.7209012138086999E-2</v>
      </c>
      <c r="J4691">
        <v>6.5119504511338494E-2</v>
      </c>
      <c r="K4691">
        <v>6.5503137230766104E-2</v>
      </c>
      <c r="L4691">
        <v>1077.69348213935</v>
      </c>
      <c r="M4691">
        <v>22.694083561166199</v>
      </c>
      <c r="N4691">
        <v>47.7752458466923</v>
      </c>
      <c r="O4691">
        <v>47.123767204670997</v>
      </c>
      <c r="P4691">
        <v>-0.112716867888749</v>
      </c>
      <c r="Q4691">
        <v>6.3802544358597807E-2</v>
      </c>
      <c r="R4691">
        <v>0.99982427298667198</v>
      </c>
      <c r="S4691" t="s">
        <v>10552</v>
      </c>
      <c r="T4691" t="s">
        <v>11720</v>
      </c>
      <c r="U4691" t="s">
        <v>11720</v>
      </c>
      <c r="V4691" t="s">
        <v>11720</v>
      </c>
      <c r="W4691" t="s">
        <v>16355</v>
      </c>
      <c r="X4691">
        <v>5</v>
      </c>
      <c r="Y4691" t="s">
        <v>22064</v>
      </c>
      <c r="Z4691" t="s">
        <v>27898</v>
      </c>
      <c r="AA4691">
        <v>0.3077121899969481</v>
      </c>
      <c r="AB4691" t="str">
        <f>HYPERLINK("Melting_Curves/meltCurve_Q96S99_PLEKHF1.pdf", "Melting_Curves/meltCurve_Q96S99_PLEKHF1.pdf")</f>
        <v>Melting_Curves/meltCurve_Q96S99_PLEKHF1.pdf</v>
      </c>
    </row>
    <row r="4692" spans="1:28" x14ac:dyDescent="0.25">
      <c r="A4692" t="s">
        <v>4696</v>
      </c>
      <c r="B4692">
        <v>0.99334974765950101</v>
      </c>
      <c r="C4692">
        <v>1.0855818289949</v>
      </c>
      <c r="D4692">
        <v>1.03621163233904</v>
      </c>
      <c r="E4692">
        <v>0.95474027517771498</v>
      </c>
      <c r="F4692">
        <v>0.728658665174999</v>
      </c>
      <c r="G4692">
        <v>0.61192041270780895</v>
      </c>
      <c r="H4692">
        <v>0.57005828142462001</v>
      </c>
      <c r="I4692">
        <v>0.840198644366703</v>
      </c>
      <c r="J4692">
        <v>0.89395202563026999</v>
      </c>
      <c r="K4692">
        <v>0.84829808774359905</v>
      </c>
      <c r="L4692">
        <v>12575.746359409301</v>
      </c>
      <c r="M4692">
        <v>250</v>
      </c>
      <c r="O4692">
        <v>50.299766470339897</v>
      </c>
      <c r="P4692">
        <v>-0.31206956258854102</v>
      </c>
      <c r="Q4692">
        <v>0.74884758281307096</v>
      </c>
      <c r="R4692">
        <v>0.63715634974038504</v>
      </c>
      <c r="S4692" t="s">
        <v>10553</v>
      </c>
      <c r="T4692" t="s">
        <v>11720</v>
      </c>
      <c r="U4692" t="s">
        <v>11720</v>
      </c>
      <c r="V4692" t="s">
        <v>11720</v>
      </c>
      <c r="W4692" t="s">
        <v>16356</v>
      </c>
      <c r="X4692">
        <v>7</v>
      </c>
      <c r="Y4692" t="s">
        <v>22065</v>
      </c>
      <c r="Z4692" t="s">
        <v>27899</v>
      </c>
      <c r="AA4692">
        <v>0.83512374468551209</v>
      </c>
      <c r="AB4692" t="str">
        <f>HYPERLINK("Melting_Curves/meltCurve_Q96SB3_PPP1R9B.pdf", "Melting_Curves/meltCurve_Q96SB3_PPP1R9B.pdf")</f>
        <v>Melting_Curves/meltCurve_Q96SB3_PPP1R9B.pdf</v>
      </c>
    </row>
    <row r="4693" spans="1:28" x14ac:dyDescent="0.25">
      <c r="A4693" t="s">
        <v>4697</v>
      </c>
      <c r="B4693">
        <v>0.99334974765950101</v>
      </c>
      <c r="C4693">
        <v>0.91494640066359001</v>
      </c>
      <c r="D4693">
        <v>0.97137112149223803</v>
      </c>
      <c r="E4693">
        <v>0.85413611085498597</v>
      </c>
      <c r="F4693">
        <v>0.83488068157355899</v>
      </c>
      <c r="G4693">
        <v>0.63436240764197105</v>
      </c>
      <c r="H4693">
        <v>0.52573641692542294</v>
      </c>
      <c r="I4693">
        <v>0.47974396427615101</v>
      </c>
      <c r="J4693">
        <v>0.52544733355997197</v>
      </c>
      <c r="K4693">
        <v>0.308963698731406</v>
      </c>
      <c r="L4693">
        <v>495.746189410228</v>
      </c>
      <c r="M4693">
        <v>8.3085883728251702</v>
      </c>
      <c r="N4693">
        <v>63.286342121679198</v>
      </c>
      <c r="O4693">
        <v>56.5100825994123</v>
      </c>
      <c r="P4693">
        <v>-2.9834824720145901E-2</v>
      </c>
      <c r="Q4693">
        <v>0.189120921042399</v>
      </c>
      <c r="R4693">
        <v>0.95379823344668302</v>
      </c>
      <c r="S4693" t="s">
        <v>10554</v>
      </c>
      <c r="T4693" t="s">
        <v>11720</v>
      </c>
      <c r="U4693" t="s">
        <v>11720</v>
      </c>
      <c r="V4693" t="s">
        <v>11720</v>
      </c>
      <c r="W4693" t="s">
        <v>16357</v>
      </c>
      <c r="X4693">
        <v>2</v>
      </c>
      <c r="Y4693" t="s">
        <v>22066</v>
      </c>
      <c r="Z4693" t="s">
        <v>27900</v>
      </c>
      <c r="AA4693">
        <v>0.71274211326450443</v>
      </c>
      <c r="AB4693" t="str">
        <f>HYPERLINK("Melting_Curves/meltCurve_Q96SL1_2_DIRC2.pdf", "Melting_Curves/meltCurve_Q96SL1_2_DIRC2.pdf")</f>
        <v>Melting_Curves/meltCurve_Q96SL1_2_DIRC2.pdf</v>
      </c>
    </row>
    <row r="4694" spans="1:28" x14ac:dyDescent="0.25">
      <c r="A4694" t="s">
        <v>4698</v>
      </c>
      <c r="B4694">
        <v>0.99334974765950101</v>
      </c>
      <c r="C4694">
        <v>1.01532486866556</v>
      </c>
      <c r="D4694">
        <v>0.706963156455651</v>
      </c>
      <c r="E4694">
        <v>0.37640457729691501</v>
      </c>
      <c r="F4694">
        <v>0.208385173639938</v>
      </c>
      <c r="G4694">
        <v>0.15711822035595899</v>
      </c>
      <c r="H4694">
        <v>0.102125983670616</v>
      </c>
      <c r="I4694">
        <v>0.114598829539203</v>
      </c>
      <c r="J4694">
        <v>9.2639292702928006E-2</v>
      </c>
      <c r="K4694">
        <v>8.30180085600421E-2</v>
      </c>
      <c r="L4694">
        <v>1048.9970914516</v>
      </c>
      <c r="M4694">
        <v>21.857774343009901</v>
      </c>
      <c r="N4694">
        <v>48.500307463109301</v>
      </c>
      <c r="O4694">
        <v>47.595667574986102</v>
      </c>
      <c r="P4694">
        <v>-0.103058606890212</v>
      </c>
      <c r="Q4694">
        <v>0.10237343784655201</v>
      </c>
      <c r="R4694">
        <v>0.99268085871393397</v>
      </c>
      <c r="S4694" t="s">
        <v>10555</v>
      </c>
      <c r="T4694" t="s">
        <v>11720</v>
      </c>
      <c r="U4694" t="s">
        <v>11720</v>
      </c>
      <c r="V4694" t="s">
        <v>11720</v>
      </c>
      <c r="W4694" t="s">
        <v>16358</v>
      </c>
      <c r="X4694">
        <v>7</v>
      </c>
      <c r="Y4694" t="s">
        <v>22067</v>
      </c>
      <c r="Z4694" t="s">
        <v>27901</v>
      </c>
      <c r="AA4694">
        <v>0.35206112597437439</v>
      </c>
      <c r="AB4694" t="str">
        <f>HYPERLINK("Melting_Curves/meltCurve_Q96SL4_GPX7.pdf", "Melting_Curves/meltCurve_Q96SL4_GPX7.pdf")</f>
        <v>Melting_Curves/meltCurve_Q96SL4_GPX7.pdf</v>
      </c>
    </row>
    <row r="4695" spans="1:28" x14ac:dyDescent="0.25">
      <c r="A4695" t="s">
        <v>4699</v>
      </c>
      <c r="B4695">
        <v>0.99334974765950101</v>
      </c>
      <c r="C4695">
        <v>0.98863281429704997</v>
      </c>
      <c r="D4695">
        <v>1.0983166189712801</v>
      </c>
      <c r="E4695">
        <v>0.89968635974617295</v>
      </c>
      <c r="F4695">
        <v>0.957633210257682</v>
      </c>
      <c r="G4695">
        <v>0.89338307140547701</v>
      </c>
      <c r="H4695">
        <v>0.69259542977927502</v>
      </c>
      <c r="I4695">
        <v>0.56906927655421002</v>
      </c>
      <c r="J4695">
        <v>0.36744121436253202</v>
      </c>
      <c r="K4695">
        <v>0.238625935880005</v>
      </c>
      <c r="L4695">
        <v>950.76186500527103</v>
      </c>
      <c r="M4695">
        <v>14.6926511853419</v>
      </c>
      <c r="N4695">
        <v>64.710027846230801</v>
      </c>
      <c r="O4695">
        <v>63.546754188566901</v>
      </c>
      <c r="P4695">
        <v>-5.7808857199441503E-2</v>
      </c>
      <c r="Q4695">
        <v>0</v>
      </c>
      <c r="R4695">
        <v>0.97455303085313505</v>
      </c>
      <c r="S4695" t="s">
        <v>10556</v>
      </c>
      <c r="T4695" t="s">
        <v>11720</v>
      </c>
      <c r="U4695" t="s">
        <v>11720</v>
      </c>
      <c r="V4695" t="s">
        <v>11720</v>
      </c>
      <c r="W4695" t="s">
        <v>16359</v>
      </c>
      <c r="X4695">
        <v>4</v>
      </c>
      <c r="Y4695" t="s">
        <v>22068</v>
      </c>
      <c r="Z4695" t="s">
        <v>27902</v>
      </c>
      <c r="AA4695">
        <v>0.79972911894574261</v>
      </c>
      <c r="AB4695" t="str">
        <f>HYPERLINK("Melting_Curves/meltCurve_Q96SQ9_CYP2S1.pdf", "Melting_Curves/meltCurve_Q96SQ9_CYP2S1.pdf")</f>
        <v>Melting_Curves/meltCurve_Q96SQ9_CYP2S1.pdf</v>
      </c>
    </row>
    <row r="4696" spans="1:28" x14ac:dyDescent="0.25">
      <c r="A4696" t="s">
        <v>4700</v>
      </c>
      <c r="B4696">
        <v>0.99334974765950101</v>
      </c>
      <c r="C4696">
        <v>0.91620211589544898</v>
      </c>
      <c r="D4696">
        <v>0.76027117317399195</v>
      </c>
      <c r="E4696">
        <v>0.60876083169595896</v>
      </c>
      <c r="F4696">
        <v>0.42260673164334001</v>
      </c>
      <c r="G4696">
        <v>0.29933872835615999</v>
      </c>
      <c r="H4696">
        <v>0.24023150964131901</v>
      </c>
      <c r="I4696">
        <v>0.295515952947491</v>
      </c>
      <c r="J4696">
        <v>0.30478528398471499</v>
      </c>
      <c r="K4696">
        <v>0.31239279703893902</v>
      </c>
      <c r="L4696">
        <v>774.82110229626699</v>
      </c>
      <c r="M4696">
        <v>15.9164295700336</v>
      </c>
      <c r="N4696">
        <v>51.176709144252001</v>
      </c>
      <c r="O4696">
        <v>47.931575846304398</v>
      </c>
      <c r="P4696">
        <v>-6.0610893257235302E-2</v>
      </c>
      <c r="Q4696">
        <v>0.26995108107916799</v>
      </c>
      <c r="R4696">
        <v>0.985389914428629</v>
      </c>
      <c r="S4696" t="s">
        <v>10557</v>
      </c>
      <c r="T4696" t="s">
        <v>11720</v>
      </c>
      <c r="U4696" t="s">
        <v>11720</v>
      </c>
      <c r="V4696" t="s">
        <v>11720</v>
      </c>
      <c r="W4696" t="s">
        <v>16360</v>
      </c>
      <c r="X4696">
        <v>6</v>
      </c>
      <c r="Y4696" t="s">
        <v>22069</v>
      </c>
      <c r="Z4696" t="s">
        <v>27903</v>
      </c>
      <c r="AA4696">
        <v>0.49745574165981449</v>
      </c>
      <c r="AB4696" t="str">
        <f>HYPERLINK("Melting_Curves/meltCurve_Q96ST2_IWS1.pdf", "Melting_Curves/meltCurve_Q96ST2_IWS1.pdf")</f>
        <v>Melting_Curves/meltCurve_Q96ST2_IWS1.pdf</v>
      </c>
    </row>
    <row r="4697" spans="1:28" x14ac:dyDescent="0.25">
      <c r="A4697" t="s">
        <v>4701</v>
      </c>
      <c r="B4697">
        <v>0.99334974765950101</v>
      </c>
      <c r="C4697">
        <v>0.98583219087020102</v>
      </c>
      <c r="D4697">
        <v>0.83353412483857303</v>
      </c>
      <c r="E4697">
        <v>0.74624321363244295</v>
      </c>
      <c r="F4697">
        <v>0.53507294552038598</v>
      </c>
      <c r="G4697">
        <v>0.42017457193218299</v>
      </c>
      <c r="H4697">
        <v>0.31936614517184497</v>
      </c>
      <c r="I4697">
        <v>0.21146712448283</v>
      </c>
      <c r="J4697">
        <v>0.13756951957938299</v>
      </c>
      <c r="K4697">
        <v>7.5722883500780894E-2</v>
      </c>
      <c r="L4697">
        <v>532.89725495209598</v>
      </c>
      <c r="M4697">
        <v>9.7063578414971801</v>
      </c>
      <c r="N4697">
        <v>54.901876007687598</v>
      </c>
      <c r="O4697">
        <v>52.723488160719299</v>
      </c>
      <c r="P4697">
        <v>-4.60499112952572E-2</v>
      </c>
      <c r="Q4697">
        <v>0</v>
      </c>
      <c r="R4697">
        <v>0.99029118115814296</v>
      </c>
      <c r="S4697" t="s">
        <v>10558</v>
      </c>
      <c r="T4697" t="s">
        <v>11720</v>
      </c>
      <c r="U4697" t="s">
        <v>11720</v>
      </c>
      <c r="V4697" t="s">
        <v>11720</v>
      </c>
      <c r="W4697" t="s">
        <v>16361</v>
      </c>
      <c r="X4697">
        <v>11</v>
      </c>
      <c r="Y4697" t="s">
        <v>22070</v>
      </c>
      <c r="Z4697" t="s">
        <v>27904</v>
      </c>
      <c r="AA4697">
        <v>0.52335903764950142</v>
      </c>
      <c r="AB4697" t="str">
        <f>HYPERLINK("Melting_Curves/meltCurve_Q96SZ5_ADO.pdf", "Melting_Curves/meltCurve_Q96SZ5_ADO.pdf")</f>
        <v>Melting_Curves/meltCurve_Q96SZ5_ADO.pdf</v>
      </c>
    </row>
    <row r="4698" spans="1:28" x14ac:dyDescent="0.25">
      <c r="A4698" t="s">
        <v>4702</v>
      </c>
      <c r="B4698">
        <v>0.99334974765950101</v>
      </c>
      <c r="C4698">
        <v>1.14880167791563</v>
      </c>
      <c r="D4698">
        <v>1.02987077180829</v>
      </c>
      <c r="E4698">
        <v>0.96683267047426202</v>
      </c>
      <c r="F4698">
        <v>0.74560938692995304</v>
      </c>
      <c r="G4698">
        <v>0.68564345928821602</v>
      </c>
      <c r="H4698">
        <v>0.54428997873697504</v>
      </c>
      <c r="I4698">
        <v>0.477887767034606</v>
      </c>
      <c r="J4698">
        <v>0.51228066869102196</v>
      </c>
      <c r="K4698">
        <v>0.414062619909985</v>
      </c>
      <c r="L4698">
        <v>970.89476780185896</v>
      </c>
      <c r="M4698">
        <v>17.569762814592099</v>
      </c>
      <c r="N4698">
        <v>63.2028128803709</v>
      </c>
      <c r="O4698">
        <v>54.558465933096201</v>
      </c>
      <c r="P4698">
        <v>-4.4680793632954401E-2</v>
      </c>
      <c r="Q4698">
        <v>0.44505039114246397</v>
      </c>
      <c r="R4698">
        <v>0.93957512143536004</v>
      </c>
      <c r="S4698" t="s">
        <v>10559</v>
      </c>
      <c r="T4698" t="s">
        <v>11720</v>
      </c>
      <c r="U4698" t="s">
        <v>11720</v>
      </c>
      <c r="V4698" t="s">
        <v>11720</v>
      </c>
      <c r="W4698" t="s">
        <v>16362</v>
      </c>
      <c r="X4698">
        <v>4</v>
      </c>
      <c r="Y4698" t="s">
        <v>22071</v>
      </c>
      <c r="Z4698" t="s">
        <v>27905</v>
      </c>
      <c r="AA4698">
        <v>0.73608438598998949</v>
      </c>
      <c r="AB4698" t="str">
        <f>HYPERLINK("Melting_Curves/meltCurve_Q96T23_2_RSF1.pdf", "Melting_Curves/meltCurve_Q96T23_2_RSF1.pdf")</f>
        <v>Melting_Curves/meltCurve_Q96T23_2_RSF1.pdf</v>
      </c>
    </row>
    <row r="4699" spans="1:28" x14ac:dyDescent="0.25">
      <c r="A4699" t="s">
        <v>4703</v>
      </c>
      <c r="B4699">
        <v>0.99334974765950101</v>
      </c>
      <c r="C4699">
        <v>0.92489831378732701</v>
      </c>
      <c r="D4699">
        <v>0.75351267260766597</v>
      </c>
      <c r="E4699">
        <v>0.46502515232430103</v>
      </c>
      <c r="F4699">
        <v>0.21862090187560601</v>
      </c>
      <c r="G4699">
        <v>0.13468840746600999</v>
      </c>
      <c r="H4699">
        <v>0.108380496243088</v>
      </c>
      <c r="I4699">
        <v>0.10220865504722999</v>
      </c>
      <c r="J4699">
        <v>7.1264948884579501E-2</v>
      </c>
      <c r="K4699">
        <v>6.7069735397831606E-2</v>
      </c>
      <c r="L4699">
        <v>881.40243982877598</v>
      </c>
      <c r="M4699">
        <v>18.069494102726299</v>
      </c>
      <c r="N4699">
        <v>49.203692311850602</v>
      </c>
      <c r="O4699">
        <v>48.192817358249897</v>
      </c>
      <c r="P4699">
        <v>-8.6963821187378804E-2</v>
      </c>
      <c r="Q4699">
        <v>7.2286557009792904E-2</v>
      </c>
      <c r="R4699">
        <v>0.99779219226344595</v>
      </c>
      <c r="S4699" t="s">
        <v>10560</v>
      </c>
      <c r="T4699" t="s">
        <v>11720</v>
      </c>
      <c r="U4699" t="s">
        <v>11720</v>
      </c>
      <c r="V4699" t="s">
        <v>11720</v>
      </c>
      <c r="W4699" t="s">
        <v>16363</v>
      </c>
      <c r="X4699">
        <v>32</v>
      </c>
      <c r="Y4699" t="s">
        <v>22072</v>
      </c>
      <c r="Z4699" t="s">
        <v>27906</v>
      </c>
      <c r="AA4699">
        <v>0.35976492356332268</v>
      </c>
      <c r="AB4699" t="str">
        <f>HYPERLINK("Melting_Curves/meltCurve_Q96T51_RUFY1.pdf", "Melting_Curves/meltCurve_Q96T51_RUFY1.pdf")</f>
        <v>Melting_Curves/meltCurve_Q96T51_RUFY1.pdf</v>
      </c>
    </row>
    <row r="4700" spans="1:28" x14ac:dyDescent="0.25">
      <c r="A4700" t="s">
        <v>4704</v>
      </c>
      <c r="B4700">
        <v>0.99334974765950101</v>
      </c>
      <c r="C4700">
        <v>1.05973939392383</v>
      </c>
      <c r="D4700">
        <v>0.79344410808697696</v>
      </c>
      <c r="E4700">
        <v>0.79300391500070899</v>
      </c>
      <c r="F4700">
        <v>0.78725249976106304</v>
      </c>
      <c r="G4700">
        <v>0.29287361951315999</v>
      </c>
      <c r="H4700">
        <v>0.30086728260659001</v>
      </c>
      <c r="I4700">
        <v>0.23121878885111199</v>
      </c>
      <c r="J4700">
        <v>0.24178522390683699</v>
      </c>
      <c r="K4700">
        <v>0.10969215332255</v>
      </c>
      <c r="L4700">
        <v>765.91040116149304</v>
      </c>
      <c r="M4700">
        <v>14.058183232615599</v>
      </c>
      <c r="N4700">
        <v>55.568156779982402</v>
      </c>
      <c r="O4700">
        <v>53.414595832988397</v>
      </c>
      <c r="P4700">
        <v>-5.7897069094077602E-2</v>
      </c>
      <c r="Q4700">
        <v>0.120186285057182</v>
      </c>
      <c r="R4700">
        <v>0.93679615988964104</v>
      </c>
      <c r="S4700" t="s">
        <v>10561</v>
      </c>
      <c r="T4700" t="s">
        <v>11720</v>
      </c>
      <c r="U4700" t="s">
        <v>11720</v>
      </c>
      <c r="V4700" t="s">
        <v>11720</v>
      </c>
      <c r="W4700" t="s">
        <v>16364</v>
      </c>
      <c r="X4700">
        <v>2</v>
      </c>
      <c r="Y4700" t="s">
        <v>22073</v>
      </c>
      <c r="Z4700" t="s">
        <v>27907</v>
      </c>
      <c r="AA4700">
        <v>0.56375322248029114</v>
      </c>
      <c r="AB4700" t="str">
        <f>HYPERLINK("Melting_Curves/meltCurve_Q96T58_SPEN.pdf", "Melting_Curves/meltCurve_Q96T58_SPEN.pdf")</f>
        <v>Melting_Curves/meltCurve_Q96T58_SPEN.pdf</v>
      </c>
    </row>
    <row r="4701" spans="1:28" x14ac:dyDescent="0.25">
      <c r="A4701" t="s">
        <v>4705</v>
      </c>
      <c r="B4701">
        <v>0.99334974765950101</v>
      </c>
      <c r="C4701">
        <v>1.10704131127046</v>
      </c>
      <c r="D4701">
        <v>0.95192324180534504</v>
      </c>
      <c r="E4701">
        <v>0.23404039124514101</v>
      </c>
      <c r="F4701">
        <v>0.21898339354625701</v>
      </c>
      <c r="G4701">
        <v>0.12478809986621001</v>
      </c>
      <c r="H4701">
        <v>8.7407019901189098E-2</v>
      </c>
      <c r="I4701">
        <v>6.3761376775968007E-2</v>
      </c>
      <c r="J4701">
        <v>8.0548075942735803E-2</v>
      </c>
      <c r="K4701">
        <v>1.4260061724591501E-2</v>
      </c>
      <c r="L4701">
        <v>2434.4090875427801</v>
      </c>
      <c r="M4701">
        <v>50.2565288091631</v>
      </c>
      <c r="N4701">
        <v>48.640989570686102</v>
      </c>
      <c r="O4701">
        <v>48.363146098931601</v>
      </c>
      <c r="P4701">
        <v>-0.23539234059452899</v>
      </c>
      <c r="Q4701">
        <v>9.3904419910339598E-2</v>
      </c>
      <c r="R4701">
        <v>0.98094626581643196</v>
      </c>
      <c r="S4701" t="s">
        <v>10562</v>
      </c>
      <c r="T4701" t="s">
        <v>11720</v>
      </c>
      <c r="U4701" t="s">
        <v>11720</v>
      </c>
      <c r="V4701" t="s">
        <v>11720</v>
      </c>
      <c r="W4701" t="s">
        <v>16365</v>
      </c>
      <c r="X4701">
        <v>4</v>
      </c>
      <c r="Y4701" t="s">
        <v>22074</v>
      </c>
      <c r="Z4701" t="s">
        <v>27908</v>
      </c>
      <c r="AA4701">
        <v>0.35072568288977729</v>
      </c>
      <c r="AB4701" t="str">
        <f>HYPERLINK("Melting_Curves/meltCurve_Q96T76_MMS19.pdf", "Melting_Curves/meltCurve_Q96T76_MMS19.pdf")</f>
        <v>Melting_Curves/meltCurve_Q96T76_MMS19.pdf</v>
      </c>
    </row>
    <row r="4702" spans="1:28" x14ac:dyDescent="0.25">
      <c r="A4702" t="s">
        <v>4706</v>
      </c>
      <c r="B4702">
        <v>0.99334974765950101</v>
      </c>
      <c r="C4702">
        <v>0.97901177265387096</v>
      </c>
      <c r="D4702">
        <v>0.91114933963993205</v>
      </c>
      <c r="E4702">
        <v>0.99987602557775701</v>
      </c>
      <c r="F4702">
        <v>0.96666810626558997</v>
      </c>
      <c r="G4702">
        <v>0.75609516168569502</v>
      </c>
      <c r="H4702">
        <v>0.70617812444569605</v>
      </c>
      <c r="I4702">
        <v>0.64634356452112696</v>
      </c>
      <c r="J4702">
        <v>0.67672981418551803</v>
      </c>
      <c r="K4702">
        <v>0.478365673452325</v>
      </c>
      <c r="L4702">
        <v>564.68192410426695</v>
      </c>
      <c r="M4702">
        <v>8.8497689576639793</v>
      </c>
      <c r="O4702">
        <v>60.801449202809302</v>
      </c>
      <c r="P4702">
        <v>-2.4903503704553701E-2</v>
      </c>
      <c r="Q4702">
        <v>0.31614142161548597</v>
      </c>
      <c r="R4702">
        <v>0.90876827570307805</v>
      </c>
      <c r="S4702" t="s">
        <v>10563</v>
      </c>
      <c r="T4702" t="s">
        <v>11720</v>
      </c>
      <c r="U4702" t="s">
        <v>11720</v>
      </c>
      <c r="V4702" t="s">
        <v>11720</v>
      </c>
      <c r="W4702" t="s">
        <v>16366</v>
      </c>
      <c r="X4702">
        <v>9</v>
      </c>
      <c r="Y4702" t="s">
        <v>22075</v>
      </c>
      <c r="Z4702" t="s">
        <v>27909</v>
      </c>
      <c r="AA4702">
        <v>0.82459710884453186</v>
      </c>
      <c r="AB4702" t="str">
        <f>HYPERLINK("Melting_Curves/meltCurve_Q96T83_SLC9A7.pdf", "Melting_Curves/meltCurve_Q96T83_SLC9A7.pdf")</f>
        <v>Melting_Curves/meltCurve_Q96T83_SLC9A7.pdf</v>
      </c>
    </row>
    <row r="4703" spans="1:28" x14ac:dyDescent="0.25">
      <c r="A4703" t="s">
        <v>4707</v>
      </c>
      <c r="B4703">
        <v>0.99334974765950101</v>
      </c>
      <c r="C4703">
        <v>1.03900162830903</v>
      </c>
      <c r="D4703">
        <v>0.98196141525834402</v>
      </c>
      <c r="E4703">
        <v>0.85871675168568995</v>
      </c>
      <c r="F4703">
        <v>0.23535227534049699</v>
      </c>
      <c r="G4703">
        <v>0.118449802185841</v>
      </c>
      <c r="H4703">
        <v>8.11834351412275E-2</v>
      </c>
      <c r="I4703">
        <v>6.8773470808387305E-2</v>
      </c>
      <c r="J4703">
        <v>6.6660896434426006E-2</v>
      </c>
      <c r="K4703">
        <v>5.3322883859774899E-2</v>
      </c>
      <c r="L4703">
        <v>2864.83641703271</v>
      </c>
      <c r="M4703">
        <v>55.601738308802503</v>
      </c>
      <c r="N4703">
        <v>51.6781265599069</v>
      </c>
      <c r="O4703">
        <v>51.457686781537397</v>
      </c>
      <c r="P4703">
        <v>-0.24952167372072601</v>
      </c>
      <c r="Q4703">
        <v>7.6301900739939296E-2</v>
      </c>
      <c r="R4703">
        <v>0.99782496940459098</v>
      </c>
      <c r="S4703" t="s">
        <v>10564</v>
      </c>
      <c r="T4703" t="s">
        <v>11720</v>
      </c>
      <c r="U4703" t="s">
        <v>11720</v>
      </c>
      <c r="V4703" t="s">
        <v>11720</v>
      </c>
      <c r="W4703" t="s">
        <v>16367</v>
      </c>
      <c r="X4703">
        <v>34</v>
      </c>
      <c r="Y4703" t="s">
        <v>22076</v>
      </c>
      <c r="Z4703" t="s">
        <v>27910</v>
      </c>
      <c r="AA4703">
        <v>0.43282782014365978</v>
      </c>
      <c r="AB4703" t="str">
        <f>HYPERLINK("Melting_Curves/meltCurve_Q96TA1_FAM129B.pdf", "Melting_Curves/meltCurve_Q96TA1_FAM129B.pdf")</f>
        <v>Melting_Curves/meltCurve_Q96TA1_FAM129B.pdf</v>
      </c>
    </row>
    <row r="4704" spans="1:28" x14ac:dyDescent="0.25">
      <c r="A4704" t="s">
        <v>4708</v>
      </c>
      <c r="B4704">
        <v>0.99334974765950101</v>
      </c>
      <c r="C4704">
        <v>0.74729666918309401</v>
      </c>
      <c r="D4704">
        <v>0.56088825910555395</v>
      </c>
      <c r="E4704">
        <v>0.32334949854800299</v>
      </c>
      <c r="F4704">
        <v>0.167902953139214</v>
      </c>
      <c r="G4704">
        <v>7.5646717767630406E-2</v>
      </c>
      <c r="H4704">
        <v>5.3345046685760601E-2</v>
      </c>
      <c r="I4704">
        <v>2.3036912484354001E-2</v>
      </c>
      <c r="J4704">
        <v>1.9866594722025399E-2</v>
      </c>
      <c r="K4704">
        <v>1.5673009629077601E-2</v>
      </c>
      <c r="L4704">
        <v>663.18789762106303</v>
      </c>
      <c r="M4704">
        <v>14.142461403892501</v>
      </c>
      <c r="N4704">
        <v>46.945361035857097</v>
      </c>
      <c r="O4704">
        <v>45.985672077091898</v>
      </c>
      <c r="P4704">
        <v>-7.6297790937219695E-2</v>
      </c>
      <c r="Q4704">
        <v>7.7657589762397099E-3</v>
      </c>
      <c r="R4704">
        <v>0.99273791911807296</v>
      </c>
      <c r="S4704" t="s">
        <v>10565</v>
      </c>
      <c r="T4704" t="s">
        <v>11720</v>
      </c>
      <c r="U4704" t="s">
        <v>11720</v>
      </c>
      <c r="V4704" t="s">
        <v>11720</v>
      </c>
      <c r="W4704" t="s">
        <v>16368</v>
      </c>
      <c r="X4704">
        <v>4</v>
      </c>
      <c r="Y4704" t="s">
        <v>22077</v>
      </c>
      <c r="Z4704" t="s">
        <v>27911</v>
      </c>
      <c r="AA4704">
        <v>0.2663624247191953</v>
      </c>
      <c r="AB4704" t="str">
        <f>HYPERLINK("Melting_Curves/meltCurve_Q96TA2_3_YME1L1.pdf", "Melting_Curves/meltCurve_Q96TA2_3_YME1L1.pdf")</f>
        <v>Melting_Curves/meltCurve_Q96TA2_3_YME1L1.pdf</v>
      </c>
    </row>
    <row r="4705" spans="1:28" x14ac:dyDescent="0.25">
      <c r="A4705" t="s">
        <v>4709</v>
      </c>
      <c r="B4705">
        <v>0.99334974765950101</v>
      </c>
      <c r="C4705">
        <v>0.94219772910321697</v>
      </c>
      <c r="D4705">
        <v>0.93870929538930004</v>
      </c>
      <c r="E4705">
        <v>1.0260877506228201</v>
      </c>
      <c r="F4705">
        <v>0.45855554446472302</v>
      </c>
      <c r="G4705">
        <v>0.323232056268346</v>
      </c>
      <c r="H4705">
        <v>0.23469751408273301</v>
      </c>
      <c r="I4705">
        <v>0.20139033725443101</v>
      </c>
      <c r="J4705">
        <v>0.19132121571815899</v>
      </c>
      <c r="K4705">
        <v>0.20289056836633701</v>
      </c>
      <c r="L4705">
        <v>13204.125546036599</v>
      </c>
      <c r="M4705">
        <v>250</v>
      </c>
      <c r="N4705">
        <v>52.947559074360697</v>
      </c>
      <c r="O4705">
        <v>52.813110132355</v>
      </c>
      <c r="P4705">
        <v>-0.91039598868798099</v>
      </c>
      <c r="Q4705">
        <v>0.23070632550832401</v>
      </c>
      <c r="R4705">
        <v>0.98443241659861402</v>
      </c>
      <c r="S4705" t="s">
        <v>10566</v>
      </c>
      <c r="T4705" t="s">
        <v>11720</v>
      </c>
      <c r="U4705" t="s">
        <v>11720</v>
      </c>
      <c r="V4705" t="s">
        <v>11720</v>
      </c>
      <c r="W4705" t="s">
        <v>16369</v>
      </c>
      <c r="X4705">
        <v>3</v>
      </c>
      <c r="Y4705" t="s">
        <v>22078</v>
      </c>
      <c r="Z4705" t="s">
        <v>27912</v>
      </c>
      <c r="AA4705">
        <v>0.55943276829720234</v>
      </c>
      <c r="AB4705" t="str">
        <f>HYPERLINK("Melting_Curves/meltCurve_Q96TC7_RMDN3.pdf", "Melting_Curves/meltCurve_Q96TC7_RMDN3.pdf")</f>
        <v>Melting_Curves/meltCurve_Q96TC7_RMDN3.pdf</v>
      </c>
    </row>
    <row r="4706" spans="1:28" x14ac:dyDescent="0.25">
      <c r="A4706" t="s">
        <v>4710</v>
      </c>
      <c r="B4706">
        <v>0.99334974765950101</v>
      </c>
      <c r="C4706">
        <v>1.0714265063823001</v>
      </c>
      <c r="D4706">
        <v>0.76033823906188802</v>
      </c>
      <c r="E4706">
        <v>0.51851212074391595</v>
      </c>
      <c r="F4706">
        <v>0.36407680644864998</v>
      </c>
      <c r="G4706">
        <v>0.36029585143078102</v>
      </c>
      <c r="H4706">
        <v>0.32098861458882</v>
      </c>
      <c r="I4706">
        <v>0.28687945909226897</v>
      </c>
      <c r="J4706">
        <v>0.35900816083512799</v>
      </c>
      <c r="K4706">
        <v>0.40325092813561397</v>
      </c>
      <c r="L4706">
        <v>1290.4101686246199</v>
      </c>
      <c r="M4706">
        <v>27.153494236650801</v>
      </c>
      <c r="N4706">
        <v>49.664253902870598</v>
      </c>
      <c r="O4706">
        <v>47.267294146539797</v>
      </c>
      <c r="P4706">
        <v>-9.4077960521890505E-2</v>
      </c>
      <c r="Q4706">
        <v>0.34494359721064299</v>
      </c>
      <c r="R4706">
        <v>0.96983544203465599</v>
      </c>
      <c r="S4706" t="s">
        <v>10567</v>
      </c>
      <c r="T4706" t="s">
        <v>11720</v>
      </c>
      <c r="U4706" t="s">
        <v>11720</v>
      </c>
      <c r="V4706" t="s">
        <v>11720</v>
      </c>
      <c r="W4706" t="s">
        <v>16370</v>
      </c>
      <c r="X4706">
        <v>4</v>
      </c>
      <c r="Y4706" t="s">
        <v>22079</v>
      </c>
      <c r="Z4706" t="s">
        <v>27913</v>
      </c>
      <c r="AA4706">
        <v>0.51406525828424587</v>
      </c>
      <c r="AB4706" t="str">
        <f>HYPERLINK("Melting_Curves/meltCurve_Q99081_TCF12.pdf", "Melting_Curves/meltCurve_Q99081_TCF12.pdf")</f>
        <v>Melting_Curves/meltCurve_Q99081_TCF12.pdf</v>
      </c>
    </row>
    <row r="4707" spans="1:28" x14ac:dyDescent="0.25">
      <c r="A4707" t="s">
        <v>4711</v>
      </c>
      <c r="B4707">
        <v>0.99334974765950101</v>
      </c>
      <c r="C4707">
        <v>1.0093881227277199</v>
      </c>
      <c r="D4707">
        <v>0.92375210290682697</v>
      </c>
      <c r="E4707">
        <v>0.86732632383558605</v>
      </c>
      <c r="F4707">
        <v>0.89534715635275997</v>
      </c>
      <c r="G4707">
        <v>0.78873464401201099</v>
      </c>
      <c r="H4707">
        <v>0.77099026584363595</v>
      </c>
      <c r="I4707">
        <v>1.04428388965017</v>
      </c>
      <c r="J4707">
        <v>0.86510025844389005</v>
      </c>
      <c r="K4707">
        <v>0.71093559154512997</v>
      </c>
      <c r="L4707">
        <v>1154.04610171903</v>
      </c>
      <c r="M4707">
        <v>24.670510713667099</v>
      </c>
      <c r="O4707">
        <v>46.474261951107401</v>
      </c>
      <c r="P4707">
        <v>-2.0841059102270701E-2</v>
      </c>
      <c r="Q4707">
        <v>0.84296085121152897</v>
      </c>
      <c r="R4707">
        <v>0.35261050014253398</v>
      </c>
      <c r="S4707" t="s">
        <v>10568</v>
      </c>
      <c r="T4707" t="s">
        <v>11720</v>
      </c>
      <c r="U4707" t="s">
        <v>11720</v>
      </c>
      <c r="V4707" t="s">
        <v>11720</v>
      </c>
      <c r="W4707" t="s">
        <v>16371</v>
      </c>
      <c r="X4707">
        <v>14</v>
      </c>
      <c r="Y4707" t="s">
        <v>22080</v>
      </c>
      <c r="Z4707" t="s">
        <v>27914</v>
      </c>
      <c r="AA4707">
        <v>0.87989449929606522</v>
      </c>
      <c r="AB4707" t="str">
        <f>HYPERLINK("Melting_Curves/meltCurve_Q99417_MYCBP.pdf", "Melting_Curves/meltCurve_Q99417_MYCBP.pdf")</f>
        <v>Melting_Curves/meltCurve_Q99417_MYCBP.pdf</v>
      </c>
    </row>
    <row r="4708" spans="1:28" x14ac:dyDescent="0.25">
      <c r="A4708" t="s">
        <v>4712</v>
      </c>
      <c r="B4708">
        <v>0.99334974765950101</v>
      </c>
      <c r="C4708">
        <v>0.97922658925497796</v>
      </c>
      <c r="D4708">
        <v>1.11355382483285</v>
      </c>
      <c r="E4708">
        <v>1.04724342375454</v>
      </c>
      <c r="F4708">
        <v>0.87242939975343303</v>
      </c>
      <c r="G4708">
        <v>0.798233862628277</v>
      </c>
      <c r="H4708">
        <v>0.61068077896277095</v>
      </c>
      <c r="I4708">
        <v>0.529021946417222</v>
      </c>
      <c r="J4708">
        <v>0.36489541667359099</v>
      </c>
      <c r="K4708">
        <v>0.30271824601789299</v>
      </c>
      <c r="L4708">
        <v>863.930752067654</v>
      </c>
      <c r="M4708">
        <v>13.966978170858001</v>
      </c>
      <c r="N4708">
        <v>63.743175719241499</v>
      </c>
      <c r="O4708">
        <v>60.628606953305599</v>
      </c>
      <c r="P4708">
        <v>-4.7843102331257097E-2</v>
      </c>
      <c r="Q4708">
        <v>0.16939119732987701</v>
      </c>
      <c r="R4708">
        <v>0.96631042424937197</v>
      </c>
      <c r="S4708" t="s">
        <v>10569</v>
      </c>
      <c r="T4708" t="s">
        <v>11720</v>
      </c>
      <c r="U4708" t="s">
        <v>11720</v>
      </c>
      <c r="V4708" t="s">
        <v>11720</v>
      </c>
      <c r="W4708" t="s">
        <v>16372</v>
      </c>
      <c r="X4708">
        <v>14</v>
      </c>
      <c r="Y4708" t="s">
        <v>22081</v>
      </c>
      <c r="Z4708" t="s">
        <v>27915</v>
      </c>
      <c r="AA4708">
        <v>0.77099690162126022</v>
      </c>
      <c r="AB4708" t="str">
        <f>HYPERLINK("Melting_Curves/meltCurve_Q99424_ACOX2.pdf", "Melting_Curves/meltCurve_Q99424_ACOX2.pdf")</f>
        <v>Melting_Curves/meltCurve_Q99424_ACOX2.pdf</v>
      </c>
    </row>
    <row r="4709" spans="1:28" x14ac:dyDescent="0.25">
      <c r="A4709" t="s">
        <v>4713</v>
      </c>
      <c r="B4709">
        <v>0.99334974765950101</v>
      </c>
      <c r="C4709">
        <v>0.97247759661776101</v>
      </c>
      <c r="D4709">
        <v>0.876320981673816</v>
      </c>
      <c r="E4709">
        <v>0.74835857220937996</v>
      </c>
      <c r="F4709">
        <v>0.25138494662412297</v>
      </c>
      <c r="G4709">
        <v>0.15499347818501799</v>
      </c>
      <c r="H4709">
        <v>0.119272969947292</v>
      </c>
      <c r="I4709">
        <v>0.111439981074353</v>
      </c>
      <c r="J4709">
        <v>0.117195671415144</v>
      </c>
      <c r="K4709">
        <v>9.2172981009235697E-2</v>
      </c>
      <c r="L4709">
        <v>2086.7484316157102</v>
      </c>
      <c r="M4709">
        <v>40.9070768231323</v>
      </c>
      <c r="N4709">
        <v>51.336235622470298</v>
      </c>
      <c r="O4709">
        <v>50.890475303593298</v>
      </c>
      <c r="P4709">
        <v>-0.178073366591814</v>
      </c>
      <c r="Q4709">
        <v>0.113872722272453</v>
      </c>
      <c r="R4709">
        <v>0.98898175985595904</v>
      </c>
      <c r="S4709" t="s">
        <v>10570</v>
      </c>
      <c r="T4709" t="s">
        <v>11720</v>
      </c>
      <c r="U4709" t="s">
        <v>11720</v>
      </c>
      <c r="V4709" t="s">
        <v>11720</v>
      </c>
      <c r="W4709" t="s">
        <v>16373</v>
      </c>
      <c r="X4709">
        <v>22</v>
      </c>
      <c r="Y4709" t="s">
        <v>22082</v>
      </c>
      <c r="Z4709" t="s">
        <v>27916</v>
      </c>
      <c r="AA4709">
        <v>0.44212445030187908</v>
      </c>
      <c r="AB4709" t="str">
        <f>HYPERLINK("Melting_Curves/meltCurve_Q99426_TBCB.pdf", "Melting_Curves/meltCurve_Q99426_TBCB.pdf")</f>
        <v>Melting_Curves/meltCurve_Q99426_TBCB.pdf</v>
      </c>
    </row>
    <row r="4710" spans="1:28" x14ac:dyDescent="0.25">
      <c r="A4710" t="s">
        <v>4714</v>
      </c>
      <c r="B4710">
        <v>0.99334974765950101</v>
      </c>
      <c r="C4710">
        <v>1.03464874479576</v>
      </c>
      <c r="D4710">
        <v>0.90566998397377896</v>
      </c>
      <c r="E4710">
        <v>1.1911242357287799</v>
      </c>
      <c r="F4710">
        <v>1.63629030985765</v>
      </c>
      <c r="G4710">
        <v>4.4035138648673797</v>
      </c>
      <c r="H4710">
        <v>5.3112329157010398</v>
      </c>
      <c r="I4710">
        <v>6.6767729712360202</v>
      </c>
      <c r="J4710">
        <v>5.1490356848051899</v>
      </c>
      <c r="K4710">
        <v>3.5116776637287801</v>
      </c>
      <c r="L4710">
        <v>12524.0005143776</v>
      </c>
      <c r="M4710">
        <v>250</v>
      </c>
      <c r="O4710">
        <v>50.092795609474102</v>
      </c>
      <c r="P4710">
        <v>0.62384219645667804</v>
      </c>
      <c r="Q4710">
        <v>1.5</v>
      </c>
      <c r="R4710">
        <v>-0.55966325459946098</v>
      </c>
      <c r="S4710" t="s">
        <v>10571</v>
      </c>
      <c r="T4710" t="s">
        <v>11720</v>
      </c>
      <c r="U4710" t="s">
        <v>11720</v>
      </c>
      <c r="V4710" t="s">
        <v>11720</v>
      </c>
      <c r="W4710" t="s">
        <v>16374</v>
      </c>
      <c r="X4710">
        <v>3</v>
      </c>
      <c r="Y4710" t="s">
        <v>22083</v>
      </c>
      <c r="Z4710" t="s">
        <v>27917</v>
      </c>
      <c r="AA4710">
        <v>1.3316893401895209</v>
      </c>
      <c r="AB4710" t="str">
        <f>HYPERLINK("Melting_Curves/meltCurve_Q99436_PSMB7.pdf", "Melting_Curves/meltCurve_Q99436_PSMB7.pdf")</f>
        <v>Melting_Curves/meltCurve_Q99436_PSMB7.pdf</v>
      </c>
    </row>
    <row r="4711" spans="1:28" x14ac:dyDescent="0.25">
      <c r="A4711" t="s">
        <v>4715</v>
      </c>
      <c r="B4711">
        <v>0.99334974765950101</v>
      </c>
      <c r="C4711">
        <v>0.98607472429051901</v>
      </c>
      <c r="D4711">
        <v>0.91703329549314305</v>
      </c>
      <c r="E4711">
        <v>0.825169373904176</v>
      </c>
      <c r="F4711">
        <v>0.52503037104457295</v>
      </c>
      <c r="G4711">
        <v>0.21205924651100999</v>
      </c>
      <c r="H4711">
        <v>0.13621012995984899</v>
      </c>
      <c r="I4711">
        <v>0.110665535019629</v>
      </c>
      <c r="J4711">
        <v>0.116977335269182</v>
      </c>
      <c r="K4711">
        <v>9.2328388512303905E-2</v>
      </c>
      <c r="L4711">
        <v>1265.09811076807</v>
      </c>
      <c r="M4711">
        <v>23.985930549578701</v>
      </c>
      <c r="N4711">
        <v>53.226700522762499</v>
      </c>
      <c r="O4711">
        <v>52.380832093254298</v>
      </c>
      <c r="P4711">
        <v>-0.10327681003842799</v>
      </c>
      <c r="Q4711">
        <v>9.7864574608601998E-2</v>
      </c>
      <c r="R4711">
        <v>0.99712720562989698</v>
      </c>
      <c r="S4711" t="s">
        <v>10572</v>
      </c>
      <c r="T4711" t="s">
        <v>11720</v>
      </c>
      <c r="U4711" t="s">
        <v>11720</v>
      </c>
      <c r="V4711" t="s">
        <v>11720</v>
      </c>
      <c r="W4711" t="s">
        <v>16375</v>
      </c>
      <c r="X4711">
        <v>23</v>
      </c>
      <c r="Y4711" t="s">
        <v>22084</v>
      </c>
      <c r="Z4711" t="s">
        <v>27918</v>
      </c>
      <c r="AA4711">
        <v>0.49003269010706862</v>
      </c>
      <c r="AB4711" t="str">
        <f>HYPERLINK("Melting_Curves/meltCurve_Q99447_PCYT2.pdf", "Melting_Curves/meltCurve_Q99447_PCYT2.pdf")</f>
        <v>Melting_Curves/meltCurve_Q99447_PCYT2.pdf</v>
      </c>
    </row>
    <row r="4712" spans="1:28" x14ac:dyDescent="0.25">
      <c r="A4712" t="s">
        <v>4716</v>
      </c>
      <c r="B4712">
        <v>0.99334974765950101</v>
      </c>
      <c r="C4712">
        <v>1.00651057775893</v>
      </c>
      <c r="D4712">
        <v>1.03191175086797</v>
      </c>
      <c r="E4712">
        <v>1.1221193421979601</v>
      </c>
      <c r="F4712">
        <v>0.86561812386153703</v>
      </c>
      <c r="G4712">
        <v>0.55414360865970902</v>
      </c>
      <c r="H4712">
        <v>0.37606257602594101</v>
      </c>
      <c r="I4712">
        <v>0.33518421370194501</v>
      </c>
      <c r="J4712">
        <v>0.26100360693173602</v>
      </c>
      <c r="K4712">
        <v>0.213137481260842</v>
      </c>
      <c r="L4712">
        <v>1559.8515042387201</v>
      </c>
      <c r="M4712">
        <v>27.669732330330699</v>
      </c>
      <c r="N4712">
        <v>57.930656910196397</v>
      </c>
      <c r="O4712">
        <v>56.081938206554497</v>
      </c>
      <c r="P4712">
        <v>-9.0994092268028098E-2</v>
      </c>
      <c r="Q4712">
        <v>0.26228716024396698</v>
      </c>
      <c r="R4712">
        <v>0.975420731773463</v>
      </c>
      <c r="S4712" t="s">
        <v>10573</v>
      </c>
      <c r="T4712" t="s">
        <v>11720</v>
      </c>
      <c r="U4712" t="s">
        <v>11720</v>
      </c>
      <c r="V4712" t="s">
        <v>11720</v>
      </c>
      <c r="W4712" t="s">
        <v>16376</v>
      </c>
      <c r="X4712">
        <v>24</v>
      </c>
      <c r="Y4712" t="s">
        <v>22085</v>
      </c>
      <c r="Z4712" t="s">
        <v>27919</v>
      </c>
      <c r="AA4712">
        <v>0.67060846430860854</v>
      </c>
      <c r="AB4712" t="str">
        <f>HYPERLINK("Melting_Curves/meltCurve_Q99460_PSMD1.pdf", "Melting_Curves/meltCurve_Q99460_PSMD1.pdf")</f>
        <v>Melting_Curves/meltCurve_Q99460_PSMD1.pdf</v>
      </c>
    </row>
    <row r="4713" spans="1:28" x14ac:dyDescent="0.25">
      <c r="A4713" t="s">
        <v>4717</v>
      </c>
      <c r="B4713">
        <v>0.99334974765950101</v>
      </c>
      <c r="C4713">
        <v>0.97280048995906498</v>
      </c>
      <c r="D4713">
        <v>0.94744601141072404</v>
      </c>
      <c r="E4713">
        <v>1.0802660040169001</v>
      </c>
      <c r="F4713">
        <v>0.84787826498724295</v>
      </c>
      <c r="G4713">
        <v>0.89047729524824604</v>
      </c>
      <c r="H4713">
        <v>0.59899579507238099</v>
      </c>
      <c r="I4713">
        <v>0.53739331728022999</v>
      </c>
      <c r="J4713">
        <v>0.45455551979363101</v>
      </c>
      <c r="K4713">
        <v>0.42857666321408</v>
      </c>
      <c r="L4713">
        <v>1173.9273969225701</v>
      </c>
      <c r="M4713">
        <v>19.651800885238298</v>
      </c>
      <c r="N4713">
        <v>64.839711019811205</v>
      </c>
      <c r="O4713">
        <v>59.128129323281598</v>
      </c>
      <c r="P4713">
        <v>-5.03934019140325E-2</v>
      </c>
      <c r="Q4713">
        <v>0.39352862613787598</v>
      </c>
      <c r="R4713">
        <v>0.94701559341524899</v>
      </c>
      <c r="S4713" t="s">
        <v>10574</v>
      </c>
      <c r="T4713" t="s">
        <v>11720</v>
      </c>
      <c r="U4713" t="s">
        <v>11720</v>
      </c>
      <c r="V4713" t="s">
        <v>11720</v>
      </c>
      <c r="W4713" t="s">
        <v>16377</v>
      </c>
      <c r="X4713">
        <v>3</v>
      </c>
      <c r="Y4713" t="s">
        <v>22086</v>
      </c>
      <c r="Z4713" t="s">
        <v>27920</v>
      </c>
      <c r="AA4713">
        <v>0.7979114546867524</v>
      </c>
      <c r="AB4713" t="str">
        <f>HYPERLINK("Melting_Curves/meltCurve_Q99470_SDF2.pdf", "Melting_Curves/meltCurve_Q99470_SDF2.pdf")</f>
        <v>Melting_Curves/meltCurve_Q99470_SDF2.pdf</v>
      </c>
    </row>
    <row r="4714" spans="1:28" x14ac:dyDescent="0.25">
      <c r="A4714" t="s">
        <v>4718</v>
      </c>
      <c r="B4714">
        <v>0.99334974765950101</v>
      </c>
      <c r="C4714">
        <v>0.99921634592617903</v>
      </c>
      <c r="D4714">
        <v>1.0460880407594999</v>
      </c>
      <c r="E4714">
        <v>1.08051117888046</v>
      </c>
      <c r="F4714">
        <v>1.0955191903568999</v>
      </c>
      <c r="G4714">
        <v>0.91470570377840399</v>
      </c>
      <c r="H4714">
        <v>0.70320163106253997</v>
      </c>
      <c r="I4714">
        <v>0.39063231448888203</v>
      </c>
      <c r="J4714">
        <v>0.20457203900274701</v>
      </c>
      <c r="K4714">
        <v>0.17597014928794599</v>
      </c>
      <c r="L4714">
        <v>1940.20726832795</v>
      </c>
      <c r="M4714">
        <v>31.210725713872499</v>
      </c>
      <c r="N4714">
        <v>62.818996624460198</v>
      </c>
      <c r="O4714">
        <v>61.911225228081904</v>
      </c>
      <c r="P4714">
        <v>-0.108543605106715</v>
      </c>
      <c r="Q4714">
        <v>0.13875374380865199</v>
      </c>
      <c r="R4714">
        <v>0.98324401582357002</v>
      </c>
      <c r="S4714" t="s">
        <v>10575</v>
      </c>
      <c r="T4714" t="s">
        <v>11720</v>
      </c>
      <c r="U4714" t="s">
        <v>11720</v>
      </c>
      <c r="V4714" t="s">
        <v>11720</v>
      </c>
      <c r="W4714" t="s">
        <v>16378</v>
      </c>
      <c r="X4714">
        <v>16</v>
      </c>
      <c r="Y4714" t="s">
        <v>22087</v>
      </c>
      <c r="Z4714" t="s">
        <v>27921</v>
      </c>
      <c r="AA4714">
        <v>0.77883106592615525</v>
      </c>
      <c r="AB4714" t="str">
        <f>HYPERLINK("Melting_Curves/meltCurve_Q99471_PFDN5.pdf", "Melting_Curves/meltCurve_Q99471_PFDN5.pdf")</f>
        <v>Melting_Curves/meltCurve_Q99471_PFDN5.pdf</v>
      </c>
    </row>
    <row r="4715" spans="1:28" x14ac:dyDescent="0.25">
      <c r="A4715" t="s">
        <v>4719</v>
      </c>
      <c r="B4715">
        <v>0.99334974765950101</v>
      </c>
      <c r="C4715">
        <v>0.96425781787949905</v>
      </c>
      <c r="D4715">
        <v>0.90636982875718097</v>
      </c>
      <c r="E4715">
        <v>0.71495972792132001</v>
      </c>
      <c r="F4715">
        <v>0.49053282350365901</v>
      </c>
      <c r="G4715">
        <v>0.32268662205836102</v>
      </c>
      <c r="H4715">
        <v>0.15955793172585001</v>
      </c>
      <c r="I4715">
        <v>0.10288032817582</v>
      </c>
      <c r="J4715">
        <v>8.5181484080133305E-2</v>
      </c>
      <c r="K4715">
        <v>7.4452974948500603E-2</v>
      </c>
      <c r="L4715">
        <v>752.82641065535199</v>
      </c>
      <c r="M4715">
        <v>14.225166982670601</v>
      </c>
      <c r="N4715">
        <v>53.2294797579723</v>
      </c>
      <c r="O4715">
        <v>51.909234282751399</v>
      </c>
      <c r="P4715">
        <v>-6.5816945596273393E-2</v>
      </c>
      <c r="Q4715">
        <v>3.9425685244381399E-2</v>
      </c>
      <c r="R4715">
        <v>0.99870492579279802</v>
      </c>
      <c r="S4715" t="s">
        <v>10576</v>
      </c>
      <c r="T4715" t="s">
        <v>11720</v>
      </c>
      <c r="U4715" t="s">
        <v>11720</v>
      </c>
      <c r="V4715" t="s">
        <v>11720</v>
      </c>
      <c r="W4715" t="s">
        <v>16379</v>
      </c>
      <c r="X4715">
        <v>13</v>
      </c>
      <c r="Y4715" t="s">
        <v>22088</v>
      </c>
      <c r="Z4715" t="s">
        <v>27922</v>
      </c>
      <c r="AA4715">
        <v>0.47548370994140221</v>
      </c>
      <c r="AB4715" t="str">
        <f>HYPERLINK("Melting_Curves/meltCurve_Q99487_PAFAH2.pdf", "Melting_Curves/meltCurve_Q99487_PAFAH2.pdf")</f>
        <v>Melting_Curves/meltCurve_Q99487_PAFAH2.pdf</v>
      </c>
    </row>
    <row r="4716" spans="1:28" x14ac:dyDescent="0.25">
      <c r="A4716" t="s">
        <v>4720</v>
      </c>
      <c r="B4716">
        <v>0.99334974765950101</v>
      </c>
      <c r="C4716">
        <v>1.1014429248881401</v>
      </c>
      <c r="D4716">
        <v>1.0238565457826001</v>
      </c>
      <c r="E4716">
        <v>1.11661027476078</v>
      </c>
      <c r="F4716">
        <v>1.66649248315367</v>
      </c>
      <c r="G4716">
        <v>4.4272080753544802</v>
      </c>
      <c r="H4716">
        <v>4.3374179031687801</v>
      </c>
      <c r="I4716">
        <v>3.4664733622380401</v>
      </c>
      <c r="J4716">
        <v>2.3522291825604098</v>
      </c>
      <c r="K4716">
        <v>1.42430776098933</v>
      </c>
      <c r="S4716" t="s">
        <v>10577</v>
      </c>
      <c r="T4716" t="s">
        <v>11720</v>
      </c>
      <c r="U4716" t="s">
        <v>11721</v>
      </c>
      <c r="V4716" t="s">
        <v>11720</v>
      </c>
      <c r="W4716" t="s">
        <v>16380</v>
      </c>
      <c r="X4716">
        <v>4</v>
      </c>
      <c r="Y4716" t="s">
        <v>22089</v>
      </c>
      <c r="Z4716" t="s">
        <v>27923</v>
      </c>
      <c r="AB4716" t="str">
        <f>HYPERLINK("Melting_Curves/meltCurve_Q99496_RNF2.pdf", "Melting_Curves/meltCurve_Q99496_RNF2.pdf")</f>
        <v>Melting_Curves/meltCurve_Q99496_RNF2.pdf</v>
      </c>
    </row>
    <row r="4717" spans="1:28" x14ac:dyDescent="0.25">
      <c r="A4717" t="s">
        <v>4721</v>
      </c>
      <c r="B4717">
        <v>0.99334974765950101</v>
      </c>
      <c r="C4717">
        <v>1.0084655995557601</v>
      </c>
      <c r="D4717">
        <v>0.92233996315913802</v>
      </c>
      <c r="E4717">
        <v>0.79981840577604302</v>
      </c>
      <c r="F4717">
        <v>0.68119199948460696</v>
      </c>
      <c r="G4717">
        <v>0.55100697820376898</v>
      </c>
      <c r="H4717">
        <v>0.399075975083162</v>
      </c>
      <c r="I4717">
        <v>0.29883261187856303</v>
      </c>
      <c r="J4717">
        <v>0.21440113027386601</v>
      </c>
      <c r="K4717">
        <v>0.16492136169653199</v>
      </c>
      <c r="L4717">
        <v>537.86216271456897</v>
      </c>
      <c r="M4717">
        <v>9.2792010379500596</v>
      </c>
      <c r="N4717">
        <v>57.964275208599403</v>
      </c>
      <c r="O4717">
        <v>55.4630139526978</v>
      </c>
      <c r="P4717">
        <v>-4.1853129816477902E-2</v>
      </c>
      <c r="Q4717">
        <v>0</v>
      </c>
      <c r="R4717">
        <v>0.99648457737477403</v>
      </c>
      <c r="S4717" t="s">
        <v>10578</v>
      </c>
      <c r="T4717" t="s">
        <v>11720</v>
      </c>
      <c r="U4717" t="s">
        <v>11720</v>
      </c>
      <c r="V4717" t="s">
        <v>11720</v>
      </c>
      <c r="W4717" t="s">
        <v>16381</v>
      </c>
      <c r="X4717">
        <v>21</v>
      </c>
      <c r="Y4717" t="s">
        <v>22090</v>
      </c>
      <c r="Z4717" t="s">
        <v>27924</v>
      </c>
      <c r="AA4717">
        <v>0.60720349977074761</v>
      </c>
      <c r="AB4717" t="str">
        <f>HYPERLINK("Melting_Curves/meltCurve_Q99497_PARK7.pdf", "Melting_Curves/meltCurve_Q99497_PARK7.pdf")</f>
        <v>Melting_Curves/meltCurve_Q99497_PARK7.pdf</v>
      </c>
    </row>
    <row r="4718" spans="1:28" x14ac:dyDescent="0.25">
      <c r="A4718" t="s">
        <v>4722</v>
      </c>
      <c r="B4718">
        <v>0.99334974765950101</v>
      </c>
      <c r="C4718">
        <v>0.77730996122510099</v>
      </c>
      <c r="D4718">
        <v>0.14831725216827699</v>
      </c>
      <c r="E4718">
        <v>4.84624630562802E-2</v>
      </c>
      <c r="F4718">
        <v>3.1357584325919403E-2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1925.6576183785201</v>
      </c>
      <c r="M4718">
        <v>43.654518680017297</v>
      </c>
      <c r="N4718">
        <v>44.131926611683198</v>
      </c>
      <c r="O4718">
        <v>44.019036608759798</v>
      </c>
      <c r="P4718">
        <v>-0.245426270801515</v>
      </c>
      <c r="Q4718">
        <v>1.00990698190271E-2</v>
      </c>
      <c r="R4718">
        <v>0.99833309513884905</v>
      </c>
      <c r="S4718" t="s">
        <v>10579</v>
      </c>
      <c r="T4718" t="s">
        <v>11720</v>
      </c>
      <c r="U4718" t="s">
        <v>11720</v>
      </c>
      <c r="V4718" t="s">
        <v>11720</v>
      </c>
      <c r="W4718" t="s">
        <v>16382</v>
      </c>
      <c r="X4718">
        <v>1</v>
      </c>
      <c r="Y4718" t="s">
        <v>22091</v>
      </c>
      <c r="Z4718" t="s">
        <v>27925</v>
      </c>
      <c r="AA4718">
        <v>0.1485844546272517</v>
      </c>
      <c r="AB4718" t="str">
        <f>HYPERLINK("Melting_Curves/meltCurve_Q99504_2_EYA3.pdf", "Melting_Curves/meltCurve_Q99504_2_EYA3.pdf")</f>
        <v>Melting_Curves/meltCurve_Q99504_2_EYA3.pdf</v>
      </c>
    </row>
    <row r="4719" spans="1:28" x14ac:dyDescent="0.25">
      <c r="A4719" t="s">
        <v>4723</v>
      </c>
      <c r="B4719">
        <v>0.99334974765950101</v>
      </c>
      <c r="C4719">
        <v>0.92599517473896198</v>
      </c>
      <c r="D4719">
        <v>0.94846617519408805</v>
      </c>
      <c r="E4719">
        <v>0.80443201242856499</v>
      </c>
      <c r="F4719">
        <v>0.56536289332411305</v>
      </c>
      <c r="G4719">
        <v>0.45864305098186198</v>
      </c>
      <c r="H4719">
        <v>0.29426407992067399</v>
      </c>
      <c r="I4719">
        <v>0.18527543555284301</v>
      </c>
      <c r="J4719">
        <v>0.112016485062214</v>
      </c>
      <c r="K4719">
        <v>9.1330508022366502E-2</v>
      </c>
      <c r="L4719">
        <v>616.87150149871502</v>
      </c>
      <c r="M4719">
        <v>11.098893348906699</v>
      </c>
      <c r="N4719">
        <v>55.579550329731497</v>
      </c>
      <c r="O4719">
        <v>53.866764772873999</v>
      </c>
      <c r="P4719">
        <v>-5.1527646686233997E-2</v>
      </c>
      <c r="Q4719">
        <v>0</v>
      </c>
      <c r="R4719">
        <v>0.99156490860642899</v>
      </c>
      <c r="S4719" t="s">
        <v>10580</v>
      </c>
      <c r="T4719" t="s">
        <v>11720</v>
      </c>
      <c r="U4719" t="s">
        <v>11720</v>
      </c>
      <c r="V4719" t="s">
        <v>11720</v>
      </c>
      <c r="W4719" t="s">
        <v>16383</v>
      </c>
      <c r="X4719">
        <v>6</v>
      </c>
      <c r="Y4719" t="s">
        <v>22092</v>
      </c>
      <c r="Z4719" t="s">
        <v>27926</v>
      </c>
      <c r="AA4719">
        <v>0.54182598661127235</v>
      </c>
      <c r="AB4719" t="str">
        <f>HYPERLINK("Melting_Curves/meltCurve_Q99519_NEU1.pdf", "Melting_Curves/meltCurve_Q99519_NEU1.pdf")</f>
        <v>Melting_Curves/meltCurve_Q99519_NEU1.pdf</v>
      </c>
    </row>
    <row r="4720" spans="1:28" x14ac:dyDescent="0.25">
      <c r="A4720" t="s">
        <v>4724</v>
      </c>
      <c r="B4720">
        <v>0.99334974765950101</v>
      </c>
      <c r="C4720">
        <v>1.0003301159897899</v>
      </c>
      <c r="D4720">
        <v>1.09464986507842</v>
      </c>
      <c r="E4720">
        <v>1.2231921186266199</v>
      </c>
      <c r="F4720">
        <v>1.2061538738642501</v>
      </c>
      <c r="G4720">
        <v>0.92338172925789597</v>
      </c>
      <c r="H4720">
        <v>0.52152489575223704</v>
      </c>
      <c r="I4720">
        <v>0.42646838564310202</v>
      </c>
      <c r="J4720">
        <v>0.36493939759247002</v>
      </c>
      <c r="K4720">
        <v>0.25305589630729602</v>
      </c>
      <c r="L4720">
        <v>2399.81244764033</v>
      </c>
      <c r="M4720">
        <v>40.050242516187602</v>
      </c>
      <c r="N4720">
        <v>61.502269361924398</v>
      </c>
      <c r="O4720">
        <v>59.7712381064201</v>
      </c>
      <c r="P4720">
        <v>-0.113649324256343</v>
      </c>
      <c r="Q4720">
        <v>0.32155744659059399</v>
      </c>
      <c r="R4720">
        <v>0.90827273018995902</v>
      </c>
      <c r="S4720" t="s">
        <v>10581</v>
      </c>
      <c r="T4720" t="s">
        <v>11720</v>
      </c>
      <c r="U4720" t="s">
        <v>11720</v>
      </c>
      <c r="V4720" t="s">
        <v>11720</v>
      </c>
      <c r="W4720" t="s">
        <v>16384</v>
      </c>
      <c r="X4720">
        <v>17</v>
      </c>
      <c r="Y4720" t="s">
        <v>22093</v>
      </c>
      <c r="Z4720" t="s">
        <v>27927</v>
      </c>
      <c r="AA4720">
        <v>0.77469459525951367</v>
      </c>
      <c r="AB4720" t="str">
        <f>HYPERLINK("Melting_Curves/meltCurve_Q99523_SORT1.pdf", "Melting_Curves/meltCurve_Q99523_SORT1.pdf")</f>
        <v>Melting_Curves/meltCurve_Q99523_SORT1.pdf</v>
      </c>
    </row>
    <row r="4721" spans="1:28" x14ac:dyDescent="0.25">
      <c r="A4721" t="s">
        <v>4725</v>
      </c>
      <c r="B4721">
        <v>0.99334974765950101</v>
      </c>
      <c r="C4721">
        <v>0.98014968889448795</v>
      </c>
      <c r="D4721">
        <v>0.99063909725655597</v>
      </c>
      <c r="E4721">
        <v>0.90187248153484201</v>
      </c>
      <c r="F4721">
        <v>0.70995265678750397</v>
      </c>
      <c r="G4721">
        <v>0.61090204214549504</v>
      </c>
      <c r="H4721">
        <v>0.42555293719792098</v>
      </c>
      <c r="I4721">
        <v>0.28360515334006797</v>
      </c>
      <c r="J4721">
        <v>0.21399956978596801</v>
      </c>
      <c r="K4721">
        <v>0.157992665563194</v>
      </c>
      <c r="L4721">
        <v>646.18907238327699</v>
      </c>
      <c r="M4721">
        <v>10.995480144047001</v>
      </c>
      <c r="N4721">
        <v>58.900899248816799</v>
      </c>
      <c r="O4721">
        <v>56.925084351208397</v>
      </c>
      <c r="P4721">
        <v>-4.7716321358017698E-2</v>
      </c>
      <c r="Q4721">
        <v>1.21984607879424E-2</v>
      </c>
      <c r="R4721">
        <v>0.99348322777313403</v>
      </c>
      <c r="S4721" t="s">
        <v>10582</v>
      </c>
      <c r="T4721" t="s">
        <v>11720</v>
      </c>
      <c r="U4721" t="s">
        <v>11720</v>
      </c>
      <c r="V4721" t="s">
        <v>11720</v>
      </c>
      <c r="W4721" t="s">
        <v>16385</v>
      </c>
      <c r="X4721">
        <v>21</v>
      </c>
      <c r="Y4721" t="s">
        <v>22094</v>
      </c>
      <c r="Z4721" t="s">
        <v>27928</v>
      </c>
      <c r="AA4721">
        <v>0.63747568630854823</v>
      </c>
      <c r="AB4721" t="str">
        <f>HYPERLINK("Melting_Curves/meltCurve_Q99536_VAT1.pdf", "Melting_Curves/meltCurve_Q99536_VAT1.pdf")</f>
        <v>Melting_Curves/meltCurve_Q99536_VAT1.pdf</v>
      </c>
    </row>
    <row r="4722" spans="1:28" x14ac:dyDescent="0.25">
      <c r="A4722" t="s">
        <v>4726</v>
      </c>
      <c r="B4722">
        <v>0.99334974765950101</v>
      </c>
      <c r="C4722">
        <v>0.9251720010483</v>
      </c>
      <c r="D4722">
        <v>0.82273274431604804</v>
      </c>
      <c r="E4722">
        <v>0.62256289452951497</v>
      </c>
      <c r="F4722">
        <v>0.35418122636913002</v>
      </c>
      <c r="G4722">
        <v>0.20794623952226399</v>
      </c>
      <c r="H4722">
        <v>0.15538846402307099</v>
      </c>
      <c r="I4722">
        <v>0.153079166041721</v>
      </c>
      <c r="J4722">
        <v>0.12941920357742501</v>
      </c>
      <c r="K4722">
        <v>0.108207162346612</v>
      </c>
      <c r="L4722">
        <v>816.93883317269297</v>
      </c>
      <c r="M4722">
        <v>16.226450464024101</v>
      </c>
      <c r="N4722">
        <v>51.103718696441099</v>
      </c>
      <c r="O4722">
        <v>49.600084459008798</v>
      </c>
      <c r="P4722">
        <v>-7.3048605780979506E-2</v>
      </c>
      <c r="Q4722">
        <v>0.106903112479607</v>
      </c>
      <c r="R4722">
        <v>0.99618546587705703</v>
      </c>
      <c r="S4722" t="s">
        <v>10583</v>
      </c>
      <c r="T4722" t="s">
        <v>11720</v>
      </c>
      <c r="U4722" t="s">
        <v>11720</v>
      </c>
      <c r="V4722" t="s">
        <v>11720</v>
      </c>
      <c r="W4722" t="s">
        <v>16386</v>
      </c>
      <c r="X4722">
        <v>14</v>
      </c>
      <c r="Y4722" t="s">
        <v>22095</v>
      </c>
      <c r="Z4722" t="s">
        <v>27929</v>
      </c>
      <c r="AA4722">
        <v>0.43324320769143371</v>
      </c>
      <c r="AB4722" t="str">
        <f>HYPERLINK("Melting_Curves/meltCurve_Q99541_PLIN2.pdf", "Melting_Curves/meltCurve_Q99541_PLIN2.pdf")</f>
        <v>Melting_Curves/meltCurve_Q99541_PLIN2.pdf</v>
      </c>
    </row>
    <row r="4723" spans="1:28" x14ac:dyDescent="0.25">
      <c r="A4723" t="s">
        <v>4727</v>
      </c>
      <c r="B4723">
        <v>0.99334974765950101</v>
      </c>
      <c r="C4723">
        <v>0.67428821286641505</v>
      </c>
      <c r="D4723">
        <v>0.40591205287378501</v>
      </c>
      <c r="E4723">
        <v>0.30504515449576503</v>
      </c>
      <c r="F4723">
        <v>0.211510482594014</v>
      </c>
      <c r="G4723">
        <v>0.123052283743048</v>
      </c>
      <c r="H4723">
        <v>8.7172009959062699E-2</v>
      </c>
      <c r="I4723">
        <v>9.7461951574109404E-2</v>
      </c>
      <c r="J4723">
        <v>0.11265780714705199</v>
      </c>
      <c r="K4723">
        <v>8.6780295092663606E-2</v>
      </c>
      <c r="L4723">
        <v>753.77350315555395</v>
      </c>
      <c r="M4723">
        <v>16.820133410655401</v>
      </c>
      <c r="N4723">
        <v>45.454533861082197</v>
      </c>
      <c r="O4723">
        <v>44.194716507830101</v>
      </c>
      <c r="P4723">
        <v>-8.5110360939225999E-2</v>
      </c>
      <c r="Q4723">
        <v>0.105551705746837</v>
      </c>
      <c r="R4723">
        <v>0.974262051622652</v>
      </c>
      <c r="S4723" t="s">
        <v>10584</v>
      </c>
      <c r="T4723" t="s">
        <v>11720</v>
      </c>
      <c r="U4723" t="s">
        <v>11720</v>
      </c>
      <c r="V4723" t="s">
        <v>11720</v>
      </c>
      <c r="W4723" t="s">
        <v>16387</v>
      </c>
      <c r="X4723">
        <v>5</v>
      </c>
      <c r="Y4723" t="s">
        <v>22096</v>
      </c>
      <c r="Z4723" t="s">
        <v>27930</v>
      </c>
      <c r="AA4723">
        <v>0.27200534273536331</v>
      </c>
      <c r="AB4723" t="str">
        <f>HYPERLINK("Melting_Curves/meltCurve_Q99543_DNAJC2.pdf", "Melting_Curves/meltCurve_Q99543_DNAJC2.pdf")</f>
        <v>Melting_Curves/meltCurve_Q99543_DNAJC2.pdf</v>
      </c>
    </row>
    <row r="4724" spans="1:28" x14ac:dyDescent="0.25">
      <c r="A4724" t="s">
        <v>4728</v>
      </c>
      <c r="B4724">
        <v>0.99334974765950101</v>
      </c>
      <c r="C4724">
        <v>1.0059368407567399</v>
      </c>
      <c r="D4724">
        <v>1.0879103497237499</v>
      </c>
      <c r="E4724">
        <v>0.72311918091476302</v>
      </c>
      <c r="F4724">
        <v>0.43407273027457399</v>
      </c>
      <c r="G4724">
        <v>0.31041193631547398</v>
      </c>
      <c r="H4724">
        <v>0.216040502146054</v>
      </c>
      <c r="I4724">
        <v>0.19443281317483099</v>
      </c>
      <c r="J4724">
        <v>0.16003138721343799</v>
      </c>
      <c r="K4724">
        <v>0.12667674882826299</v>
      </c>
      <c r="L4724">
        <v>1352.30043325272</v>
      </c>
      <c r="M4724">
        <v>26.2189995420805</v>
      </c>
      <c r="N4724">
        <v>52.473425956324</v>
      </c>
      <c r="O4724">
        <v>51.279899871986302</v>
      </c>
      <c r="P4724">
        <v>-0.104751836433086</v>
      </c>
      <c r="Q4724">
        <v>0.18050234480397701</v>
      </c>
      <c r="R4724">
        <v>0.982068431468757</v>
      </c>
      <c r="S4724" t="s">
        <v>10585</v>
      </c>
      <c r="T4724" t="s">
        <v>11720</v>
      </c>
      <c r="U4724" t="s">
        <v>11720</v>
      </c>
      <c r="V4724" t="s">
        <v>11720</v>
      </c>
      <c r="W4724" t="s">
        <v>16388</v>
      </c>
      <c r="X4724">
        <v>5</v>
      </c>
      <c r="Y4724" t="s">
        <v>22097</v>
      </c>
      <c r="Z4724" t="s">
        <v>27931</v>
      </c>
      <c r="AA4724">
        <v>0.50353804665558755</v>
      </c>
      <c r="AB4724" t="str">
        <f>HYPERLINK("Melting_Curves/meltCurve_Q99567_NUP88.pdf", "Melting_Curves/meltCurve_Q99567_NUP88.pdf")</f>
        <v>Melting_Curves/meltCurve_Q99567_NUP88.pdf</v>
      </c>
    </row>
    <row r="4725" spans="1:28" x14ac:dyDescent="0.25">
      <c r="A4725" t="s">
        <v>4729</v>
      </c>
      <c r="B4725">
        <v>0.99334974765950101</v>
      </c>
      <c r="C4725">
        <v>1.04654718963594</v>
      </c>
      <c r="D4725">
        <v>0.92702274734168</v>
      </c>
      <c r="E4725">
        <v>0.88997493745665701</v>
      </c>
      <c r="F4725">
        <v>0.51324342240113896</v>
      </c>
      <c r="G4725">
        <v>0.47429503849611998</v>
      </c>
      <c r="H4725">
        <v>0.36770878699130399</v>
      </c>
      <c r="I4725">
        <v>0.37448861530052302</v>
      </c>
      <c r="J4725">
        <v>0.37528739447192799</v>
      </c>
      <c r="K4725">
        <v>0.34875042098857001</v>
      </c>
      <c r="L4725">
        <v>2237.7873590000199</v>
      </c>
      <c r="M4725">
        <v>43.3803099600892</v>
      </c>
      <c r="N4725">
        <v>53.377971394033203</v>
      </c>
      <c r="O4725">
        <v>51.476063186083003</v>
      </c>
      <c r="P4725">
        <v>-0.12988148156274701</v>
      </c>
      <c r="Q4725">
        <v>0.38351963490283902</v>
      </c>
      <c r="R4725">
        <v>0.97967679484555703</v>
      </c>
      <c r="S4725" t="s">
        <v>10586</v>
      </c>
      <c r="T4725" t="s">
        <v>11720</v>
      </c>
      <c r="U4725" t="s">
        <v>11720</v>
      </c>
      <c r="V4725" t="s">
        <v>11720</v>
      </c>
      <c r="W4725" t="s">
        <v>16389</v>
      </c>
      <c r="X4725">
        <v>4</v>
      </c>
      <c r="Y4725" t="s">
        <v>22098</v>
      </c>
      <c r="Z4725" t="s">
        <v>27932</v>
      </c>
      <c r="AA4725">
        <v>0.62345700343255095</v>
      </c>
      <c r="AB4725" t="str">
        <f>HYPERLINK("Melting_Curves/meltCurve_Q99569_2_PKP4.pdf", "Melting_Curves/meltCurve_Q99569_2_PKP4.pdf")</f>
        <v>Melting_Curves/meltCurve_Q99569_2_PKP4.pdf</v>
      </c>
    </row>
    <row r="4726" spans="1:28" x14ac:dyDescent="0.25">
      <c r="A4726" t="s">
        <v>4730</v>
      </c>
      <c r="B4726">
        <v>0.99334974765950101</v>
      </c>
      <c r="C4726">
        <v>0.92137141404724099</v>
      </c>
      <c r="D4726">
        <v>0.85815995229100395</v>
      </c>
      <c r="E4726">
        <v>0.72126893249854096</v>
      </c>
      <c r="F4726">
        <v>0.62252029222967997</v>
      </c>
      <c r="G4726">
        <v>0.50817498491817503</v>
      </c>
      <c r="H4726">
        <v>0.30514000390691498</v>
      </c>
      <c r="I4726">
        <v>0.208919272553486</v>
      </c>
      <c r="J4726">
        <v>0.18490528570370199</v>
      </c>
      <c r="K4726">
        <v>0.17117136252382201</v>
      </c>
      <c r="L4726">
        <v>489.804289715148</v>
      </c>
      <c r="M4726">
        <v>8.7621564452539005</v>
      </c>
      <c r="N4726">
        <v>55.899970829908597</v>
      </c>
      <c r="O4726">
        <v>53.2176111608497</v>
      </c>
      <c r="P4726">
        <v>-4.1194998665844001E-2</v>
      </c>
      <c r="Q4726">
        <v>0</v>
      </c>
      <c r="R4726">
        <v>0.99325795811711404</v>
      </c>
      <c r="S4726" t="s">
        <v>10587</v>
      </c>
      <c r="T4726" t="s">
        <v>11720</v>
      </c>
      <c r="U4726" t="s">
        <v>11720</v>
      </c>
      <c r="V4726" t="s">
        <v>11720</v>
      </c>
      <c r="W4726" t="s">
        <v>16390</v>
      </c>
      <c r="X4726">
        <v>5</v>
      </c>
      <c r="Y4726" t="s">
        <v>22099</v>
      </c>
      <c r="Z4726" t="s">
        <v>27933</v>
      </c>
      <c r="AA4726">
        <v>0.55127357127049847</v>
      </c>
      <c r="AB4726" t="str">
        <f>HYPERLINK("Melting_Curves/meltCurve_Q99574_SERPINI1.pdf", "Melting_Curves/meltCurve_Q99574_SERPINI1.pdf")</f>
        <v>Melting_Curves/meltCurve_Q99574_SERPINI1.pdf</v>
      </c>
    </row>
    <row r="4727" spans="1:28" x14ac:dyDescent="0.25">
      <c r="A4727" t="s">
        <v>4731</v>
      </c>
      <c r="B4727">
        <v>0.99334974765950101</v>
      </c>
      <c r="C4727">
        <v>0.92056506297763097</v>
      </c>
      <c r="D4727">
        <v>0.60718068660329305</v>
      </c>
      <c r="E4727">
        <v>0.26021744474729003</v>
      </c>
      <c r="F4727">
        <v>0.18667917928597999</v>
      </c>
      <c r="G4727">
        <v>0.12692183865821</v>
      </c>
      <c r="H4727">
        <v>7.4977743163059093E-2</v>
      </c>
      <c r="I4727">
        <v>0.120281387750032</v>
      </c>
      <c r="J4727">
        <v>8.2772093382100106E-2</v>
      </c>
      <c r="K4727">
        <v>9.4961354678242793E-2</v>
      </c>
      <c r="L4727">
        <v>1071.5093703017901</v>
      </c>
      <c r="M4727">
        <v>22.9535752068075</v>
      </c>
      <c r="N4727">
        <v>47.142606248479801</v>
      </c>
      <c r="O4727">
        <v>46.331611071752597</v>
      </c>
      <c r="P4727">
        <v>-0.111406039895803</v>
      </c>
      <c r="Q4727">
        <v>0.100528320215589</v>
      </c>
      <c r="R4727">
        <v>0.99663038963538397</v>
      </c>
      <c r="S4727" t="s">
        <v>10588</v>
      </c>
      <c r="T4727" t="s">
        <v>11720</v>
      </c>
      <c r="U4727" t="s">
        <v>11720</v>
      </c>
      <c r="V4727" t="s">
        <v>11720</v>
      </c>
      <c r="W4727" t="s">
        <v>16391</v>
      </c>
      <c r="X4727">
        <v>7</v>
      </c>
      <c r="Y4727" t="s">
        <v>22100</v>
      </c>
      <c r="Z4727" t="s">
        <v>27934</v>
      </c>
      <c r="AA4727">
        <v>0.31065882744605838</v>
      </c>
      <c r="AB4727" t="str">
        <f>HYPERLINK("Melting_Curves/meltCurve_Q99576_TSC22D3.pdf", "Melting_Curves/meltCurve_Q99576_TSC22D3.pdf")</f>
        <v>Melting_Curves/meltCurve_Q99576_TSC22D3.pdf</v>
      </c>
    </row>
    <row r="4728" spans="1:28" x14ac:dyDescent="0.25">
      <c r="A4728" t="s">
        <v>4732</v>
      </c>
      <c r="B4728">
        <v>0.99334974765950101</v>
      </c>
      <c r="C4728">
        <v>0.96979982924213703</v>
      </c>
      <c r="D4728">
        <v>0.89384803310751804</v>
      </c>
      <c r="E4728">
        <v>0.81284684996115497</v>
      </c>
      <c r="F4728">
        <v>0.82054283545305595</v>
      </c>
      <c r="G4728">
        <v>0.645663224915764</v>
      </c>
      <c r="H4728">
        <v>0.61130908527310901</v>
      </c>
      <c r="I4728">
        <v>0.60567641094244795</v>
      </c>
      <c r="J4728">
        <v>0.53976397931473696</v>
      </c>
      <c r="K4728">
        <v>0.40008581886822397</v>
      </c>
      <c r="L4728">
        <v>332.02691081853402</v>
      </c>
      <c r="M4728">
        <v>4.9686578650719797</v>
      </c>
      <c r="N4728">
        <v>66.9736698121975</v>
      </c>
      <c r="O4728">
        <v>58.236489647972299</v>
      </c>
      <c r="P4728">
        <v>-2.13449160947125E-2</v>
      </c>
      <c r="Q4728">
        <v>5.5113832023166599E-3</v>
      </c>
      <c r="R4728">
        <v>0.96193115355091896</v>
      </c>
      <c r="S4728" t="s">
        <v>10589</v>
      </c>
      <c r="T4728" t="s">
        <v>11720</v>
      </c>
      <c r="U4728" t="s">
        <v>11720</v>
      </c>
      <c r="V4728" t="s">
        <v>11720</v>
      </c>
      <c r="W4728" t="s">
        <v>16392</v>
      </c>
      <c r="X4728">
        <v>12</v>
      </c>
      <c r="Y4728" t="s">
        <v>22101</v>
      </c>
      <c r="Z4728" t="s">
        <v>27935</v>
      </c>
      <c r="AA4728">
        <v>0.7322982218688131</v>
      </c>
      <c r="AB4728" t="str">
        <f>HYPERLINK("Melting_Curves/meltCurve_Q99584_S100A13.pdf", "Melting_Curves/meltCurve_Q99584_S100A13.pdf")</f>
        <v>Melting_Curves/meltCurve_Q99584_S100A13.pdf</v>
      </c>
    </row>
    <row r="4729" spans="1:28" x14ac:dyDescent="0.25">
      <c r="A4729" t="s">
        <v>4733</v>
      </c>
      <c r="B4729">
        <v>0.99334974765950101</v>
      </c>
      <c r="C4729">
        <v>0.95859158422616897</v>
      </c>
      <c r="D4729">
        <v>0.77170758048458798</v>
      </c>
      <c r="E4729">
        <v>0.73367221810196004</v>
      </c>
      <c r="F4729">
        <v>0.89068500262845296</v>
      </c>
      <c r="G4729">
        <v>0.55891083757035998</v>
      </c>
      <c r="H4729">
        <v>0.45034952403711298</v>
      </c>
      <c r="I4729">
        <v>0.27364385028348098</v>
      </c>
      <c r="J4729">
        <v>0.14826282821244799</v>
      </c>
      <c r="K4729">
        <v>0</v>
      </c>
      <c r="L4729">
        <v>655.760289708036</v>
      </c>
      <c r="M4729">
        <v>11.261610172837299</v>
      </c>
      <c r="N4729">
        <v>58.229693526649498</v>
      </c>
      <c r="O4729">
        <v>56.484205249582502</v>
      </c>
      <c r="P4729">
        <v>-4.9859427449407197E-2</v>
      </c>
      <c r="Q4729">
        <v>0</v>
      </c>
      <c r="R4729">
        <v>0.91513224916199198</v>
      </c>
      <c r="S4729" t="s">
        <v>10590</v>
      </c>
      <c r="T4729" t="s">
        <v>11720</v>
      </c>
      <c r="U4729" t="s">
        <v>11720</v>
      </c>
      <c r="V4729" t="s">
        <v>11720</v>
      </c>
      <c r="W4729" t="s">
        <v>16393</v>
      </c>
      <c r="X4729">
        <v>2</v>
      </c>
      <c r="Y4729" t="s">
        <v>22102</v>
      </c>
      <c r="Z4729" t="s">
        <v>27936</v>
      </c>
      <c r="AA4729">
        <v>0.6184555966687163</v>
      </c>
      <c r="AB4729" t="str">
        <f>HYPERLINK("Melting_Curves/meltCurve_Q99595_TIMM17A.pdf", "Melting_Curves/meltCurve_Q99595_TIMM17A.pdf")</f>
        <v>Melting_Curves/meltCurve_Q99595_TIMM17A.pdf</v>
      </c>
    </row>
    <row r="4730" spans="1:28" x14ac:dyDescent="0.25">
      <c r="A4730" t="s">
        <v>4734</v>
      </c>
      <c r="B4730">
        <v>0.99334974765950101</v>
      </c>
      <c r="C4730">
        <v>1.0282455159059101</v>
      </c>
      <c r="D4730">
        <v>1.0950366132335401</v>
      </c>
      <c r="E4730">
        <v>1.3318431779456601</v>
      </c>
      <c r="F4730">
        <v>1.2085361168287501</v>
      </c>
      <c r="G4730">
        <v>1.42303750985037</v>
      </c>
      <c r="H4730">
        <v>1.2042850435799799</v>
      </c>
      <c r="I4730">
        <v>1.0372481957401101</v>
      </c>
      <c r="J4730">
        <v>0.36066611584212299</v>
      </c>
      <c r="K4730">
        <v>0.18699339715352301</v>
      </c>
      <c r="L4730">
        <v>15000</v>
      </c>
      <c r="M4730">
        <v>225.183518321631</v>
      </c>
      <c r="N4730">
        <v>66.751152632849397</v>
      </c>
      <c r="O4730">
        <v>66.607090289426395</v>
      </c>
      <c r="P4730">
        <v>-0.68717253031466097</v>
      </c>
      <c r="Q4730">
        <v>0.18696436013787601</v>
      </c>
      <c r="R4730">
        <v>0.734745903144854</v>
      </c>
      <c r="S4730" t="s">
        <v>10591</v>
      </c>
      <c r="T4730" t="s">
        <v>11720</v>
      </c>
      <c r="U4730" t="s">
        <v>11720</v>
      </c>
      <c r="V4730" t="s">
        <v>11720</v>
      </c>
      <c r="W4730" t="s">
        <v>16394</v>
      </c>
      <c r="X4730">
        <v>18</v>
      </c>
      <c r="Y4730" t="s">
        <v>22103</v>
      </c>
      <c r="Z4730" t="s">
        <v>27937</v>
      </c>
      <c r="AA4730">
        <v>0.90830725017141323</v>
      </c>
      <c r="AB4730" t="str">
        <f>HYPERLINK("Melting_Curves/meltCurve_Q99598_TSNAX.pdf", "Melting_Curves/meltCurve_Q99598_TSNAX.pdf")</f>
        <v>Melting_Curves/meltCurve_Q99598_TSNAX.pdf</v>
      </c>
    </row>
    <row r="4731" spans="1:28" x14ac:dyDescent="0.25">
      <c r="A4731" t="s">
        <v>4735</v>
      </c>
      <c r="B4731">
        <v>0.99334974765950101</v>
      </c>
      <c r="C4731">
        <v>1.0223409474532901</v>
      </c>
      <c r="D4731">
        <v>0.93146686627021302</v>
      </c>
      <c r="E4731">
        <v>0.90466930894945297</v>
      </c>
      <c r="F4731">
        <v>0.71793713871890996</v>
      </c>
      <c r="G4731">
        <v>0.62557581965379405</v>
      </c>
      <c r="H4731">
        <v>0.528589375423831</v>
      </c>
      <c r="I4731">
        <v>0.74403341568145598</v>
      </c>
      <c r="J4731">
        <v>0.828501814882875</v>
      </c>
      <c r="K4731">
        <v>0.81433963450954905</v>
      </c>
      <c r="L4731">
        <v>3477.1030450466101</v>
      </c>
      <c r="M4731">
        <v>68.828963735056206</v>
      </c>
      <c r="O4731">
        <v>50.475422863005498</v>
      </c>
      <c r="P4731">
        <v>-9.9548753382590199E-2</v>
      </c>
      <c r="Q4731">
        <v>0.70798545631076604</v>
      </c>
      <c r="R4731">
        <v>0.68826860408097701</v>
      </c>
      <c r="S4731" t="s">
        <v>10592</v>
      </c>
      <c r="T4731" t="s">
        <v>11720</v>
      </c>
      <c r="U4731" t="s">
        <v>11720</v>
      </c>
      <c r="V4731" t="s">
        <v>11720</v>
      </c>
      <c r="W4731" t="s">
        <v>16395</v>
      </c>
      <c r="X4731">
        <v>15</v>
      </c>
      <c r="Y4731" t="s">
        <v>22104</v>
      </c>
      <c r="Z4731" t="s">
        <v>27938</v>
      </c>
      <c r="AA4731">
        <v>0.81070844396854702</v>
      </c>
      <c r="AB4731" t="str">
        <f>HYPERLINK("Melting_Curves/meltCurve_Q99614_TTC1.pdf", "Melting_Curves/meltCurve_Q99614_TTC1.pdf")</f>
        <v>Melting_Curves/meltCurve_Q99614_TTC1.pdf</v>
      </c>
    </row>
    <row r="4732" spans="1:28" x14ac:dyDescent="0.25">
      <c r="A4732" t="s">
        <v>4736</v>
      </c>
      <c r="B4732">
        <v>0.99334974765950101</v>
      </c>
      <c r="C4732">
        <v>0.98646536267683305</v>
      </c>
      <c r="D4732">
        <v>0.88097456879324099</v>
      </c>
      <c r="E4732">
        <v>0.33738470696863698</v>
      </c>
      <c r="F4732">
        <v>0.181584974032414</v>
      </c>
      <c r="G4732">
        <v>0.12382044436421</v>
      </c>
      <c r="H4732">
        <v>0.102513596751765</v>
      </c>
      <c r="I4732">
        <v>9.1425251621286494E-2</v>
      </c>
      <c r="J4732">
        <v>9.7535151948633506E-2</v>
      </c>
      <c r="K4732">
        <v>8.0879330235301097E-2</v>
      </c>
      <c r="L4732">
        <v>1576.02348934627</v>
      </c>
      <c r="M4732">
        <v>32.471590331318303</v>
      </c>
      <c r="N4732">
        <v>48.873663662113202</v>
      </c>
      <c r="O4732">
        <v>48.3524885540903</v>
      </c>
      <c r="P4732">
        <v>-0.1509969711678</v>
      </c>
      <c r="Q4732">
        <v>0.100623711323043</v>
      </c>
      <c r="R4732">
        <v>0.998773428100314</v>
      </c>
      <c r="S4732" t="s">
        <v>10593</v>
      </c>
      <c r="T4732" t="s">
        <v>11720</v>
      </c>
      <c r="U4732" t="s">
        <v>11720</v>
      </c>
      <c r="V4732" t="s">
        <v>11720</v>
      </c>
      <c r="W4732" t="s">
        <v>16396</v>
      </c>
      <c r="X4732">
        <v>26</v>
      </c>
      <c r="Y4732" t="s">
        <v>22105</v>
      </c>
      <c r="Z4732" t="s">
        <v>27939</v>
      </c>
      <c r="AA4732">
        <v>0.36113478239227093</v>
      </c>
      <c r="AB4732" t="str">
        <f>HYPERLINK("Melting_Curves/meltCurve_Q99615_DNAJC7.pdf", "Melting_Curves/meltCurve_Q99615_DNAJC7.pdf")</f>
        <v>Melting_Curves/meltCurve_Q99615_DNAJC7.pdf</v>
      </c>
    </row>
    <row r="4733" spans="1:28" x14ac:dyDescent="0.25">
      <c r="A4733" t="s">
        <v>4737</v>
      </c>
      <c r="B4733">
        <v>0.99334974765950101</v>
      </c>
      <c r="C4733">
        <v>1.0015056398223201</v>
      </c>
      <c r="D4733">
        <v>0.89704686603871397</v>
      </c>
      <c r="E4733">
        <v>0.66519327795967897</v>
      </c>
      <c r="F4733">
        <v>0.41257665461534998</v>
      </c>
      <c r="G4733">
        <v>0.30256928845512199</v>
      </c>
      <c r="H4733">
        <v>0.23580212869633199</v>
      </c>
      <c r="I4733">
        <v>0.20083824536254</v>
      </c>
      <c r="J4733">
        <v>0.24887236364887</v>
      </c>
      <c r="K4733">
        <v>0.21625915277919699</v>
      </c>
      <c r="L4733">
        <v>1068.6506433582899</v>
      </c>
      <c r="M4733">
        <v>21.1574785616789</v>
      </c>
      <c r="N4733">
        <v>51.924271468389598</v>
      </c>
      <c r="O4733">
        <v>50.064626560499903</v>
      </c>
      <c r="P4733">
        <v>-8.2507184134266595E-2</v>
      </c>
      <c r="Q4733">
        <v>0.21907827673358701</v>
      </c>
      <c r="R4733">
        <v>0.99715457356130299</v>
      </c>
      <c r="S4733" t="s">
        <v>10594</v>
      </c>
      <c r="T4733" t="s">
        <v>11720</v>
      </c>
      <c r="U4733" t="s">
        <v>11720</v>
      </c>
      <c r="V4733" t="s">
        <v>11720</v>
      </c>
      <c r="W4733" t="s">
        <v>16397</v>
      </c>
      <c r="X4733">
        <v>6</v>
      </c>
      <c r="Y4733" t="s">
        <v>22106</v>
      </c>
      <c r="Z4733" t="s">
        <v>27940</v>
      </c>
      <c r="AA4733">
        <v>0.50238496713488512</v>
      </c>
      <c r="AB4733" t="str">
        <f>HYPERLINK("Melting_Curves/meltCurve_Q99622_C12orf57.pdf", "Melting_Curves/meltCurve_Q99622_C12orf57.pdf")</f>
        <v>Melting_Curves/meltCurve_Q99622_C12orf57.pdf</v>
      </c>
    </row>
    <row r="4734" spans="1:28" x14ac:dyDescent="0.25">
      <c r="A4734" t="s">
        <v>4738</v>
      </c>
      <c r="B4734">
        <v>0.99334974765950101</v>
      </c>
      <c r="C4734">
        <v>0.81585499758313795</v>
      </c>
      <c r="D4734">
        <v>0.65971757966518196</v>
      </c>
      <c r="E4734">
        <v>0.58573098008133895</v>
      </c>
      <c r="F4734">
        <v>0.63599176404644198</v>
      </c>
      <c r="G4734">
        <v>0.50414588099992597</v>
      </c>
      <c r="H4734">
        <v>0.42826889636509402</v>
      </c>
      <c r="I4734">
        <v>0.48600986407228403</v>
      </c>
      <c r="J4734">
        <v>0.390639728684048</v>
      </c>
      <c r="K4734">
        <v>0.275179242024572</v>
      </c>
      <c r="L4734">
        <v>333.34207403965303</v>
      </c>
      <c r="M4734">
        <v>6.5914859639527696</v>
      </c>
      <c r="N4734">
        <v>56.684870078611802</v>
      </c>
      <c r="O4734">
        <v>46.5238236001601</v>
      </c>
      <c r="P4734">
        <v>-2.6470399885734901E-2</v>
      </c>
      <c r="Q4734">
        <v>0.25439100971838602</v>
      </c>
      <c r="R4734">
        <v>0.90208780074670003</v>
      </c>
      <c r="S4734" t="s">
        <v>10595</v>
      </c>
      <c r="T4734" t="s">
        <v>11720</v>
      </c>
      <c r="U4734" t="s">
        <v>11720</v>
      </c>
      <c r="V4734" t="s">
        <v>11720</v>
      </c>
      <c r="W4734" t="s">
        <v>16398</v>
      </c>
      <c r="X4734">
        <v>7</v>
      </c>
      <c r="Y4734" t="s">
        <v>22107</v>
      </c>
      <c r="Z4734" t="s">
        <v>27941</v>
      </c>
      <c r="AA4734">
        <v>0.56748322015384223</v>
      </c>
      <c r="AB4734" t="str">
        <f>HYPERLINK("Melting_Curves/meltCurve_Q99650_OSMR.pdf", "Melting_Curves/meltCurve_Q99650_OSMR.pdf")</f>
        <v>Melting_Curves/meltCurve_Q99650_OSMR.pdf</v>
      </c>
    </row>
    <row r="4735" spans="1:28" x14ac:dyDescent="0.25">
      <c r="A4735" t="s">
        <v>4739</v>
      </c>
      <c r="B4735">
        <v>0.99334974765950101</v>
      </c>
      <c r="C4735">
        <v>1.0308518752479201</v>
      </c>
      <c r="D4735">
        <v>1.0075241520079199</v>
      </c>
      <c r="E4735">
        <v>1.0434901277537101</v>
      </c>
      <c r="F4735">
        <v>0.87252549444461702</v>
      </c>
      <c r="G4735">
        <v>0.57527778823834896</v>
      </c>
      <c r="H4735">
        <v>0.43240648758773098</v>
      </c>
      <c r="I4735">
        <v>0.45686015973966299</v>
      </c>
      <c r="J4735">
        <v>0.32647817966410198</v>
      </c>
      <c r="K4735">
        <v>0.25750070088105897</v>
      </c>
      <c r="L4735">
        <v>1343.6750794494601</v>
      </c>
      <c r="M4735">
        <v>23.8779952019297</v>
      </c>
      <c r="N4735">
        <v>58.8656659301963</v>
      </c>
      <c r="O4735">
        <v>55.882294644690298</v>
      </c>
      <c r="P4735">
        <v>-7.2068280855688005E-2</v>
      </c>
      <c r="Q4735">
        <v>0.32535777898653301</v>
      </c>
      <c r="R4735">
        <v>0.97471495674687503</v>
      </c>
      <c r="S4735" t="s">
        <v>10596</v>
      </c>
      <c r="T4735" t="s">
        <v>11720</v>
      </c>
      <c r="U4735" t="s">
        <v>11720</v>
      </c>
      <c r="V4735" t="s">
        <v>11720</v>
      </c>
      <c r="W4735" t="s">
        <v>16399</v>
      </c>
      <c r="X4735">
        <v>10</v>
      </c>
      <c r="Y4735" t="s">
        <v>22108</v>
      </c>
      <c r="Z4735" t="s">
        <v>27942</v>
      </c>
      <c r="AA4735">
        <v>0.69793640196662043</v>
      </c>
      <c r="AB4735" t="str">
        <f>HYPERLINK("Melting_Curves/meltCurve_Q99653_CHP1.pdf", "Melting_Curves/meltCurve_Q99653_CHP1.pdf")</f>
        <v>Melting_Curves/meltCurve_Q99653_CHP1.pdf</v>
      </c>
    </row>
    <row r="4736" spans="1:28" x14ac:dyDescent="0.25">
      <c r="A4736" t="s">
        <v>4740</v>
      </c>
      <c r="B4736">
        <v>0.99334974765950101</v>
      </c>
      <c r="C4736">
        <v>0.89471784527431197</v>
      </c>
      <c r="D4736">
        <v>0.64305406813938504</v>
      </c>
      <c r="E4736">
        <v>0.69664939543922699</v>
      </c>
      <c r="F4736">
        <v>0.63106549296786296</v>
      </c>
      <c r="G4736">
        <v>0.39848942784455699</v>
      </c>
      <c r="H4736">
        <v>0.45045662278808901</v>
      </c>
      <c r="I4736">
        <v>0.38522183233725699</v>
      </c>
      <c r="J4736">
        <v>0.54589655277809002</v>
      </c>
      <c r="K4736">
        <v>0.43699233493661599</v>
      </c>
      <c r="L4736">
        <v>566.60911755652205</v>
      </c>
      <c r="M4736">
        <v>12.0003835170002</v>
      </c>
      <c r="N4736">
        <v>56.493348166782901</v>
      </c>
      <c r="O4736">
        <v>45.962103196130101</v>
      </c>
      <c r="P4736">
        <v>-3.7193691932534099E-2</v>
      </c>
      <c r="Q4736">
        <v>0.43032216908432502</v>
      </c>
      <c r="R4736">
        <v>0.86500206211034603</v>
      </c>
      <c r="S4736" t="s">
        <v>10597</v>
      </c>
      <c r="T4736" t="s">
        <v>11720</v>
      </c>
      <c r="U4736" t="s">
        <v>11720</v>
      </c>
      <c r="V4736" t="s">
        <v>11720</v>
      </c>
      <c r="W4736" t="s">
        <v>16400</v>
      </c>
      <c r="X4736">
        <v>5</v>
      </c>
      <c r="Y4736" t="s">
        <v>22109</v>
      </c>
      <c r="Z4736" t="s">
        <v>27943</v>
      </c>
      <c r="AA4736">
        <v>0.59088358939400565</v>
      </c>
      <c r="AB4736" t="str">
        <f>HYPERLINK("Melting_Curves/meltCurve_Q99674_CGREF1.pdf", "Melting_Curves/meltCurve_Q99674_CGREF1.pdf")</f>
        <v>Melting_Curves/meltCurve_Q99674_CGREF1.pdf</v>
      </c>
    </row>
    <row r="4737" spans="1:28" x14ac:dyDescent="0.25">
      <c r="A4737" t="s">
        <v>4741</v>
      </c>
      <c r="B4737">
        <v>0.99334974765950101</v>
      </c>
      <c r="C4737">
        <v>1.02268370673515</v>
      </c>
      <c r="D4737">
        <v>0.95240737571586997</v>
      </c>
      <c r="E4737">
        <v>0.84183175847090597</v>
      </c>
      <c r="F4737">
        <v>0.49182918769803402</v>
      </c>
      <c r="G4737">
        <v>0.19096887434478799</v>
      </c>
      <c r="H4737">
        <v>0.101731990000323</v>
      </c>
      <c r="I4737">
        <v>8.1287179262658105E-2</v>
      </c>
      <c r="J4737">
        <v>7.1151928202216705E-2</v>
      </c>
      <c r="K4737">
        <v>6.0332879857705302E-2</v>
      </c>
      <c r="L4737">
        <v>1401.20594983007</v>
      </c>
      <c r="M4737">
        <v>26.566961523729798</v>
      </c>
      <c r="N4737">
        <v>53.043202717710898</v>
      </c>
      <c r="O4737">
        <v>52.446320340695003</v>
      </c>
      <c r="P4737">
        <v>-0.11778519552328399</v>
      </c>
      <c r="Q4737">
        <v>6.9922451423222107E-2</v>
      </c>
      <c r="R4737">
        <v>0.99863945490071404</v>
      </c>
      <c r="S4737" t="s">
        <v>10598</v>
      </c>
      <c r="T4737" t="s">
        <v>11720</v>
      </c>
      <c r="U4737" t="s">
        <v>11720</v>
      </c>
      <c r="V4737" t="s">
        <v>11720</v>
      </c>
      <c r="W4737" t="s">
        <v>16401</v>
      </c>
      <c r="X4737">
        <v>17</v>
      </c>
      <c r="Y4737" t="s">
        <v>22110</v>
      </c>
      <c r="Z4737" t="s">
        <v>27944</v>
      </c>
      <c r="AA4737">
        <v>0.47258232730306932</v>
      </c>
      <c r="AB4737" t="str">
        <f>HYPERLINK("Melting_Curves/meltCurve_Q99685_MGLL.pdf", "Melting_Curves/meltCurve_Q99685_MGLL.pdf")</f>
        <v>Melting_Curves/meltCurve_Q99685_MGLL.pdf</v>
      </c>
    </row>
    <row r="4738" spans="1:28" x14ac:dyDescent="0.25">
      <c r="A4738" t="s">
        <v>4742</v>
      </c>
      <c r="B4738">
        <v>0.99334974765950101</v>
      </c>
      <c r="C4738">
        <v>0.92664029454805397</v>
      </c>
      <c r="D4738">
        <v>0.95721998085881899</v>
      </c>
      <c r="E4738">
        <v>0.65838608031722501</v>
      </c>
      <c r="F4738">
        <v>0.27335338091528599</v>
      </c>
      <c r="G4738">
        <v>0.15843982853668201</v>
      </c>
      <c r="H4738">
        <v>0.106516399760512</v>
      </c>
      <c r="I4738">
        <v>0.131721288958637</v>
      </c>
      <c r="J4738">
        <v>6.5962624052009602E-2</v>
      </c>
      <c r="K4738">
        <v>7.8608284920380203E-2</v>
      </c>
      <c r="L4738">
        <v>1523.57147818573</v>
      </c>
      <c r="M4738">
        <v>30.030650902868999</v>
      </c>
      <c r="N4738">
        <v>51.103640610698797</v>
      </c>
      <c r="O4738">
        <v>50.510494220229901</v>
      </c>
      <c r="P4738">
        <v>-0.13412227883866901</v>
      </c>
      <c r="Q4738">
        <v>9.7649884759788405E-2</v>
      </c>
      <c r="R4738">
        <v>0.99394473741596001</v>
      </c>
      <c r="S4738" t="s">
        <v>10599</v>
      </c>
      <c r="T4738" t="s">
        <v>11720</v>
      </c>
      <c r="U4738" t="s">
        <v>11720</v>
      </c>
      <c r="V4738" t="s">
        <v>11720</v>
      </c>
      <c r="W4738" t="s">
        <v>16402</v>
      </c>
      <c r="X4738">
        <v>13</v>
      </c>
      <c r="Y4738" t="s">
        <v>22111</v>
      </c>
      <c r="Z4738" t="s">
        <v>27945</v>
      </c>
      <c r="AA4738">
        <v>0.42614431564116467</v>
      </c>
      <c r="AB4738" t="str">
        <f>HYPERLINK("Melting_Curves/meltCurve_Q99700_4_ATXN2.pdf", "Melting_Curves/meltCurve_Q99700_4_ATXN2.pdf")</f>
        <v>Melting_Curves/meltCurve_Q99700_4_ATXN2.pdf</v>
      </c>
    </row>
    <row r="4739" spans="1:28" x14ac:dyDescent="0.25">
      <c r="A4739" t="s">
        <v>4743</v>
      </c>
      <c r="B4739">
        <v>0.99334974765950101</v>
      </c>
      <c r="C4739">
        <v>0.99286261756511995</v>
      </c>
      <c r="D4739">
        <v>0.82316844451042104</v>
      </c>
      <c r="E4739">
        <v>0.49635196154691702</v>
      </c>
      <c r="F4739">
        <v>0.29824682484070397</v>
      </c>
      <c r="G4739">
        <v>0.18344284919362799</v>
      </c>
      <c r="H4739">
        <v>0.14876950945468001</v>
      </c>
      <c r="I4739">
        <v>0.13328899757932899</v>
      </c>
      <c r="J4739">
        <v>0.12664332683390001</v>
      </c>
      <c r="K4739">
        <v>9.1440116573171706E-2</v>
      </c>
      <c r="L4739">
        <v>986.41271712469404</v>
      </c>
      <c r="M4739">
        <v>19.9902564197867</v>
      </c>
      <c r="N4739">
        <v>50.018951461764097</v>
      </c>
      <c r="O4739">
        <v>48.858832707582302</v>
      </c>
      <c r="P4739">
        <v>-9.0207753567398893E-2</v>
      </c>
      <c r="Q4739">
        <v>0.118110002869599</v>
      </c>
      <c r="R4739">
        <v>0.99803545729655596</v>
      </c>
      <c r="S4739" t="s">
        <v>10600</v>
      </c>
      <c r="T4739" t="s">
        <v>11720</v>
      </c>
      <c r="U4739" t="s">
        <v>11720</v>
      </c>
      <c r="V4739" t="s">
        <v>11720</v>
      </c>
      <c r="W4739" t="s">
        <v>16403</v>
      </c>
      <c r="X4739">
        <v>9</v>
      </c>
      <c r="Y4739" t="s">
        <v>22112</v>
      </c>
      <c r="Z4739" t="s">
        <v>27946</v>
      </c>
      <c r="AA4739">
        <v>0.40514022604379962</v>
      </c>
      <c r="AB4739" t="str">
        <f>HYPERLINK("Melting_Curves/meltCurve_Q99704_DOK1.pdf", "Melting_Curves/meltCurve_Q99704_DOK1.pdf")</f>
        <v>Melting_Curves/meltCurve_Q99704_DOK1.pdf</v>
      </c>
    </row>
    <row r="4740" spans="1:28" x14ac:dyDescent="0.25">
      <c r="A4740" t="s">
        <v>4744</v>
      </c>
      <c r="B4740">
        <v>0.99334974765950101</v>
      </c>
      <c r="C4740">
        <v>0.88897409607618805</v>
      </c>
      <c r="D4740">
        <v>0.84136066816857902</v>
      </c>
      <c r="E4740">
        <v>0.45786413786051799</v>
      </c>
      <c r="F4740">
        <v>0.154227591875638</v>
      </c>
      <c r="G4740">
        <v>0.12733006533506899</v>
      </c>
      <c r="H4740">
        <v>0.101501750719416</v>
      </c>
      <c r="I4740">
        <v>7.9507721889556904E-2</v>
      </c>
      <c r="J4740">
        <v>7.4229217259614705E-2</v>
      </c>
      <c r="K4740">
        <v>5.8382060140408802E-2</v>
      </c>
      <c r="L4740">
        <v>1118.44206867398</v>
      </c>
      <c r="M4740">
        <v>22.837012280820598</v>
      </c>
      <c r="N4740">
        <v>49.306902326272002</v>
      </c>
      <c r="O4740">
        <v>48.604079848220998</v>
      </c>
      <c r="P4740">
        <v>-0.109097143340413</v>
      </c>
      <c r="Q4740">
        <v>7.1250817051403598E-2</v>
      </c>
      <c r="R4740">
        <v>0.99176446643264604</v>
      </c>
      <c r="S4740" t="s">
        <v>10601</v>
      </c>
      <c r="T4740" t="s">
        <v>11720</v>
      </c>
      <c r="U4740" t="s">
        <v>11720</v>
      </c>
      <c r="V4740" t="s">
        <v>11720</v>
      </c>
      <c r="W4740" t="s">
        <v>16404</v>
      </c>
      <c r="X4740">
        <v>24</v>
      </c>
      <c r="Y4740" t="s">
        <v>22113</v>
      </c>
      <c r="Z4740" t="s">
        <v>27947</v>
      </c>
      <c r="AA4740">
        <v>0.35901667706137969</v>
      </c>
      <c r="AB4740" t="str">
        <f>HYPERLINK("Melting_Curves/meltCurve_Q99707_MTR.pdf", "Melting_Curves/meltCurve_Q99707_MTR.pdf")</f>
        <v>Melting_Curves/meltCurve_Q99707_MTR.pdf</v>
      </c>
    </row>
    <row r="4741" spans="1:28" x14ac:dyDescent="0.25">
      <c r="A4741" t="s">
        <v>4745</v>
      </c>
      <c r="B4741">
        <v>0.99334974765950101</v>
      </c>
      <c r="C4741">
        <v>1.0060121383929901</v>
      </c>
      <c r="D4741">
        <v>1.14533651865693</v>
      </c>
      <c r="E4741">
        <v>1.15694468938387</v>
      </c>
      <c r="F4741">
        <v>1.3657574351500399</v>
      </c>
      <c r="G4741">
        <v>0.23718880216907601</v>
      </c>
      <c r="H4741">
        <v>0.14303855025766299</v>
      </c>
      <c r="I4741">
        <v>9.3759461291084006E-2</v>
      </c>
      <c r="J4741">
        <v>8.7041858560975197E-2</v>
      </c>
      <c r="K4741">
        <v>6.2920997806391196E-2</v>
      </c>
      <c r="L4741">
        <v>14153.566719824001</v>
      </c>
      <c r="M4741">
        <v>250</v>
      </c>
      <c r="N4741">
        <v>56.662956986399998</v>
      </c>
      <c r="O4741">
        <v>56.610638454037598</v>
      </c>
      <c r="P4741">
        <v>-0.99728353163912797</v>
      </c>
      <c r="Q4741">
        <v>9.6690194228447907E-2</v>
      </c>
      <c r="R4741">
        <v>0.93102929243143695</v>
      </c>
      <c r="S4741" t="s">
        <v>10602</v>
      </c>
      <c r="T4741" t="s">
        <v>11720</v>
      </c>
      <c r="U4741" t="s">
        <v>11720</v>
      </c>
      <c r="V4741" t="s">
        <v>11720</v>
      </c>
      <c r="W4741" t="s">
        <v>16405</v>
      </c>
      <c r="X4741">
        <v>14</v>
      </c>
      <c r="Y4741" t="s">
        <v>22114</v>
      </c>
      <c r="Z4741" t="s">
        <v>27948</v>
      </c>
      <c r="AA4741">
        <v>0.59704095078199393</v>
      </c>
      <c r="AB4741" t="str">
        <f>HYPERLINK("Melting_Curves/meltCurve_Q99714_HSD17B10.pdf", "Melting_Curves/meltCurve_Q99714_HSD17B10.pdf")</f>
        <v>Melting_Curves/meltCurve_Q99714_HSD17B10.pdf</v>
      </c>
    </row>
    <row r="4742" spans="1:28" x14ac:dyDescent="0.25">
      <c r="A4742" t="s">
        <v>4746</v>
      </c>
      <c r="B4742">
        <v>0.99334974765950101</v>
      </c>
      <c r="C4742">
        <v>1.0294533326953801</v>
      </c>
      <c r="D4742">
        <v>1.09829443101</v>
      </c>
      <c r="E4742">
        <v>1.0117256442765401</v>
      </c>
      <c r="F4742">
        <v>1.09952618732108</v>
      </c>
      <c r="G4742">
        <v>0.88043218731727102</v>
      </c>
      <c r="H4742">
        <v>0.79029437342604203</v>
      </c>
      <c r="I4742">
        <v>1.09233998813644</v>
      </c>
      <c r="J4742">
        <v>1.08953780486135</v>
      </c>
      <c r="K4742">
        <v>1.1517194801385899</v>
      </c>
      <c r="L4742">
        <v>15000</v>
      </c>
      <c r="M4742">
        <v>235.555789029468</v>
      </c>
      <c r="O4742">
        <v>63.6745934790397</v>
      </c>
      <c r="P4742">
        <v>0.111573714683028</v>
      </c>
      <c r="Q4742">
        <v>1.12064081787193</v>
      </c>
      <c r="R4742">
        <v>0.28379352784447598</v>
      </c>
      <c r="S4742" t="s">
        <v>10603</v>
      </c>
      <c r="T4742" t="s">
        <v>11720</v>
      </c>
      <c r="U4742" t="s">
        <v>11720</v>
      </c>
      <c r="V4742" t="s">
        <v>11720</v>
      </c>
      <c r="W4742" t="s">
        <v>16406</v>
      </c>
      <c r="X4742">
        <v>4</v>
      </c>
      <c r="Y4742" t="s">
        <v>22115</v>
      </c>
      <c r="Z4742" t="s">
        <v>27949</v>
      </c>
      <c r="AA4742">
        <v>1.0254031008518949</v>
      </c>
      <c r="AB4742" t="str">
        <f>HYPERLINK("Melting_Curves/meltCurve_Q99720_SIGMAR1.pdf", "Melting_Curves/meltCurve_Q99720_SIGMAR1.pdf")</f>
        <v>Melting_Curves/meltCurve_Q99720_SIGMAR1.pdf</v>
      </c>
    </row>
    <row r="4743" spans="1:28" x14ac:dyDescent="0.25">
      <c r="A4743" t="s">
        <v>4747</v>
      </c>
      <c r="B4743">
        <v>0.99334974765950101</v>
      </c>
      <c r="C4743">
        <v>1.07689649585442</v>
      </c>
      <c r="D4743">
        <v>1.15157055277995</v>
      </c>
      <c r="E4743">
        <v>1.1790741275372201</v>
      </c>
      <c r="F4743">
        <v>1.0744531177710801</v>
      </c>
      <c r="G4743">
        <v>1.10834110952244</v>
      </c>
      <c r="H4743">
        <v>1.3471064369860299</v>
      </c>
      <c r="I4743">
        <v>1.2673530143681</v>
      </c>
      <c r="J4743">
        <v>1.0181410997172</v>
      </c>
      <c r="K4743">
        <v>1.2643414330312901</v>
      </c>
      <c r="L4743">
        <v>495.01318494333401</v>
      </c>
      <c r="M4743">
        <v>10.8592876624946</v>
      </c>
      <c r="O4743">
        <v>44.120173161367298</v>
      </c>
      <c r="P4743">
        <v>1.2575521418294299E-2</v>
      </c>
      <c r="Q4743">
        <v>1.20429982042662</v>
      </c>
      <c r="R4743">
        <v>0.298744139033428</v>
      </c>
      <c r="S4743" t="s">
        <v>10604</v>
      </c>
      <c r="T4743" t="s">
        <v>11720</v>
      </c>
      <c r="U4743" t="s">
        <v>11720</v>
      </c>
      <c r="V4743" t="s">
        <v>11720</v>
      </c>
      <c r="W4743" t="s">
        <v>16407</v>
      </c>
      <c r="X4743">
        <v>11</v>
      </c>
      <c r="Y4743" t="s">
        <v>22116</v>
      </c>
      <c r="Z4743" t="s">
        <v>27950</v>
      </c>
      <c r="AA4743">
        <v>1.1547230281486729</v>
      </c>
      <c r="AB4743" t="str">
        <f>HYPERLINK("Melting_Curves/meltCurve_Q99729_3_HNRNPAB.pdf", "Melting_Curves/meltCurve_Q99729_3_HNRNPAB.pdf")</f>
        <v>Melting_Curves/meltCurve_Q99729_3_HNRNPAB.pdf</v>
      </c>
    </row>
    <row r="4744" spans="1:28" x14ac:dyDescent="0.25">
      <c r="A4744" t="s">
        <v>4748</v>
      </c>
      <c r="B4744">
        <v>0.99334974765950101</v>
      </c>
      <c r="C4744">
        <v>0.97186971011270495</v>
      </c>
      <c r="D4744">
        <v>1.04778994334777</v>
      </c>
      <c r="E4744">
        <v>0.993860798828476</v>
      </c>
      <c r="F4744">
        <v>0.573562288024279</v>
      </c>
      <c r="G4744">
        <v>0.20616132705847201</v>
      </c>
      <c r="H4744">
        <v>0.15438917407172301</v>
      </c>
      <c r="I4744">
        <v>0.15215654589055899</v>
      </c>
      <c r="J4744">
        <v>0.153543421936883</v>
      </c>
      <c r="K4744">
        <v>0.13260552628115899</v>
      </c>
      <c r="L4744">
        <v>2955.1456967199301</v>
      </c>
      <c r="M4744">
        <v>55.7515596804475</v>
      </c>
      <c r="N4744">
        <v>53.362969196743002</v>
      </c>
      <c r="O4744">
        <v>52.937543130082602</v>
      </c>
      <c r="P4744">
        <v>-0.22227355050977801</v>
      </c>
      <c r="Q4744">
        <v>0.15578252804242501</v>
      </c>
      <c r="R4744">
        <v>0.996608197801087</v>
      </c>
      <c r="S4744" t="s">
        <v>10605</v>
      </c>
      <c r="T4744" t="s">
        <v>11720</v>
      </c>
      <c r="U4744" t="s">
        <v>11720</v>
      </c>
      <c r="V4744" t="s">
        <v>11720</v>
      </c>
      <c r="W4744" t="s">
        <v>16408</v>
      </c>
      <c r="X4744">
        <v>13</v>
      </c>
      <c r="Y4744" t="s">
        <v>22117</v>
      </c>
      <c r="Z4744" t="s">
        <v>27951</v>
      </c>
      <c r="AA4744">
        <v>0.52335390024920714</v>
      </c>
      <c r="AB4744" t="str">
        <f>HYPERLINK("Melting_Curves/meltCurve_Q99733_NAP1L4.pdf", "Melting_Curves/meltCurve_Q99733_NAP1L4.pdf")</f>
        <v>Melting_Curves/meltCurve_Q99733_NAP1L4.pdf</v>
      </c>
    </row>
    <row r="4745" spans="1:28" x14ac:dyDescent="0.25">
      <c r="A4745" t="s">
        <v>4749</v>
      </c>
      <c r="B4745">
        <v>0.99334974765950101</v>
      </c>
      <c r="C4745">
        <v>0.87382835248970503</v>
      </c>
      <c r="D4745">
        <v>0.78639887334385705</v>
      </c>
      <c r="E4745">
        <v>0.47252255205041299</v>
      </c>
      <c r="F4745">
        <v>0.31445310212975403</v>
      </c>
      <c r="G4745">
        <v>0.18601407954465399</v>
      </c>
      <c r="H4745">
        <v>0.144187940895557</v>
      </c>
      <c r="I4745">
        <v>0.14288647603712601</v>
      </c>
      <c r="J4745">
        <v>0.13848735995774999</v>
      </c>
      <c r="K4745">
        <v>0.123813427465208</v>
      </c>
      <c r="L4745">
        <v>790.57355007377498</v>
      </c>
      <c r="M4745">
        <v>16.187110564264</v>
      </c>
      <c r="N4745">
        <v>49.665929793426898</v>
      </c>
      <c r="O4745">
        <v>48.112546128913301</v>
      </c>
      <c r="P4745">
        <v>-7.4187988336376298E-2</v>
      </c>
      <c r="Q4745">
        <v>0.118037636105053</v>
      </c>
      <c r="R4745">
        <v>0.99723806081497501</v>
      </c>
      <c r="S4745" t="s">
        <v>10606</v>
      </c>
      <c r="T4745" t="s">
        <v>11720</v>
      </c>
      <c r="U4745" t="s">
        <v>11720</v>
      </c>
      <c r="V4745" t="s">
        <v>11720</v>
      </c>
      <c r="W4745" t="s">
        <v>16409</v>
      </c>
      <c r="X4745">
        <v>22</v>
      </c>
      <c r="Y4745" t="s">
        <v>22118</v>
      </c>
      <c r="Z4745" t="s">
        <v>27952</v>
      </c>
      <c r="AA4745">
        <v>0.39682636405579019</v>
      </c>
      <c r="AB4745" t="str">
        <f>HYPERLINK("Melting_Curves/meltCurve_Q99747_NAPG.pdf", "Melting_Curves/meltCurve_Q99747_NAPG.pdf")</f>
        <v>Melting_Curves/meltCurve_Q99747_NAPG.pdf</v>
      </c>
    </row>
    <row r="4746" spans="1:28" x14ac:dyDescent="0.25">
      <c r="A4746" t="s">
        <v>4750</v>
      </c>
      <c r="B4746">
        <v>0.99334974765950101</v>
      </c>
      <c r="C4746">
        <v>0.98737698483948599</v>
      </c>
      <c r="D4746">
        <v>0.82374971006515496</v>
      </c>
      <c r="E4746">
        <v>0.73491080771032902</v>
      </c>
      <c r="F4746">
        <v>0.63206241839280897</v>
      </c>
      <c r="G4746">
        <v>0.44549440285012698</v>
      </c>
      <c r="H4746">
        <v>0.485724537109058</v>
      </c>
      <c r="I4746">
        <v>0.42909003427324699</v>
      </c>
      <c r="J4746">
        <v>0.44111083363740899</v>
      </c>
      <c r="K4746">
        <v>0.29729393576066199</v>
      </c>
      <c r="L4746">
        <v>598.45680139463695</v>
      </c>
      <c r="M4746">
        <v>11.648585421911999</v>
      </c>
      <c r="N4746">
        <v>57.218230292470103</v>
      </c>
      <c r="O4746">
        <v>49.931846286003001</v>
      </c>
      <c r="P4746">
        <v>-3.8048397948463701E-2</v>
      </c>
      <c r="Q4746">
        <v>0.34779615340034897</v>
      </c>
      <c r="R4746">
        <v>0.963721735528143</v>
      </c>
      <c r="S4746" t="s">
        <v>10607</v>
      </c>
      <c r="T4746" t="s">
        <v>11720</v>
      </c>
      <c r="U4746" t="s">
        <v>11720</v>
      </c>
      <c r="V4746" t="s">
        <v>11720</v>
      </c>
      <c r="W4746" t="s">
        <v>16410</v>
      </c>
      <c r="X4746">
        <v>4</v>
      </c>
      <c r="Y4746" t="s">
        <v>22119</v>
      </c>
      <c r="Z4746" t="s">
        <v>27953</v>
      </c>
      <c r="AA4746">
        <v>0.61675157764531052</v>
      </c>
      <c r="AB4746" t="str">
        <f>HYPERLINK("Melting_Curves/meltCurve_Q99757_TXN2.pdf", "Melting_Curves/meltCurve_Q99757_TXN2.pdf")</f>
        <v>Melting_Curves/meltCurve_Q99757_TXN2.pdf</v>
      </c>
    </row>
    <row r="4747" spans="1:28" x14ac:dyDescent="0.25">
      <c r="A4747" t="s">
        <v>4751</v>
      </c>
      <c r="B4747">
        <v>0.99334974765950101</v>
      </c>
      <c r="C4747">
        <v>0.95787351959372802</v>
      </c>
      <c r="D4747">
        <v>0.93490949446534899</v>
      </c>
      <c r="E4747">
        <v>0.66794156744774302</v>
      </c>
      <c r="F4747">
        <v>0.20461244148569499</v>
      </c>
      <c r="G4747">
        <v>0.15577925998826</v>
      </c>
      <c r="H4747">
        <v>0.11331610628257401</v>
      </c>
      <c r="I4747">
        <v>0.110608438721728</v>
      </c>
      <c r="J4747">
        <v>2.41673905345757E-2</v>
      </c>
      <c r="K4747">
        <v>0</v>
      </c>
      <c r="L4747">
        <v>1774.9785808644001</v>
      </c>
      <c r="M4747">
        <v>35.007227949950597</v>
      </c>
      <c r="N4747">
        <v>50.928405787401999</v>
      </c>
      <c r="O4747">
        <v>50.538604329716797</v>
      </c>
      <c r="P4747">
        <v>-0.16075454446651</v>
      </c>
      <c r="Q4747">
        <v>7.1702367569665706E-2</v>
      </c>
      <c r="R4747">
        <v>0.98768865405065198</v>
      </c>
      <c r="S4747" t="s">
        <v>10608</v>
      </c>
      <c r="T4747" t="s">
        <v>11720</v>
      </c>
      <c r="U4747" t="s">
        <v>11720</v>
      </c>
      <c r="V4747" t="s">
        <v>11720</v>
      </c>
      <c r="W4747" t="s">
        <v>16411</v>
      </c>
      <c r="X4747">
        <v>4</v>
      </c>
      <c r="Y4747" t="s">
        <v>22120</v>
      </c>
      <c r="Z4747" t="s">
        <v>27954</v>
      </c>
      <c r="AA4747">
        <v>0.40715110946929989</v>
      </c>
      <c r="AB4747" t="str">
        <f>HYPERLINK("Melting_Curves/meltCurve_Q99766_ATP5S.pdf", "Melting_Curves/meltCurve_Q99766_ATP5S.pdf")</f>
        <v>Melting_Curves/meltCurve_Q99766_ATP5S.pdf</v>
      </c>
    </row>
    <row r="4748" spans="1:28" x14ac:dyDescent="0.25">
      <c r="A4748" t="s">
        <v>4752</v>
      </c>
      <c r="B4748">
        <v>0.99334974765950101</v>
      </c>
      <c r="C4748">
        <v>0.95982420500499199</v>
      </c>
      <c r="D4748">
        <v>0.93360364443996302</v>
      </c>
      <c r="E4748">
        <v>0.65145597262691901</v>
      </c>
      <c r="F4748">
        <v>0.28833635410182001</v>
      </c>
      <c r="G4748">
        <v>0.17837118284133099</v>
      </c>
      <c r="H4748">
        <v>0.144126734228405</v>
      </c>
      <c r="I4748">
        <v>0.10921491923054499</v>
      </c>
      <c r="J4748">
        <v>0.12257710958618</v>
      </c>
      <c r="K4748">
        <v>9.0817245247941603E-2</v>
      </c>
      <c r="L4748">
        <v>1398.9195710187701</v>
      </c>
      <c r="M4748">
        <v>27.634588240930398</v>
      </c>
      <c r="N4748">
        <v>51.109956772341803</v>
      </c>
      <c r="O4748">
        <v>50.359174499120698</v>
      </c>
      <c r="P4748">
        <v>-0.121283895633371</v>
      </c>
      <c r="Q4748">
        <v>0.115933430252062</v>
      </c>
      <c r="R4748">
        <v>0.99695789140038604</v>
      </c>
      <c r="S4748" t="s">
        <v>10609</v>
      </c>
      <c r="T4748" t="s">
        <v>11720</v>
      </c>
      <c r="U4748" t="s">
        <v>11720</v>
      </c>
      <c r="V4748" t="s">
        <v>11720</v>
      </c>
      <c r="W4748" t="s">
        <v>16412</v>
      </c>
      <c r="X4748">
        <v>15</v>
      </c>
      <c r="Y4748" t="s">
        <v>22121</v>
      </c>
      <c r="Z4748" t="s">
        <v>27955</v>
      </c>
      <c r="AA4748">
        <v>0.43546719686531388</v>
      </c>
      <c r="AB4748" t="str">
        <f>HYPERLINK("Melting_Curves/meltCurve_Q99797_MIPEP.pdf", "Melting_Curves/meltCurve_Q99797_MIPEP.pdf")</f>
        <v>Melting_Curves/meltCurve_Q99797_MIPEP.pdf</v>
      </c>
    </row>
    <row r="4749" spans="1:28" x14ac:dyDescent="0.25">
      <c r="A4749" t="s">
        <v>4753</v>
      </c>
      <c r="B4749">
        <v>0.99334974765950101</v>
      </c>
      <c r="C4749">
        <v>0.98190569753186496</v>
      </c>
      <c r="D4749">
        <v>0.96376776578592105</v>
      </c>
      <c r="E4749">
        <v>1.0409856570668501</v>
      </c>
      <c r="F4749">
        <v>1.04909046981878</v>
      </c>
      <c r="G4749">
        <v>0.40305049894099998</v>
      </c>
      <c r="H4749">
        <v>0.157901626030753</v>
      </c>
      <c r="I4749">
        <v>0.13485671137373301</v>
      </c>
      <c r="J4749">
        <v>0.117727330573195</v>
      </c>
      <c r="K4749">
        <v>9.8751323110843503E-2</v>
      </c>
      <c r="L4749">
        <v>12402.4536335627</v>
      </c>
      <c r="M4749">
        <v>218.35927492247501</v>
      </c>
      <c r="N4749">
        <v>56.874937561283502</v>
      </c>
      <c r="O4749">
        <v>56.7936110521823</v>
      </c>
      <c r="P4749">
        <v>-0.83882724399776998</v>
      </c>
      <c r="Q4749">
        <v>0.127309169426604</v>
      </c>
      <c r="R4749">
        <v>0.99564736627007999</v>
      </c>
      <c r="S4749" t="s">
        <v>10610</v>
      </c>
      <c r="T4749" t="s">
        <v>11720</v>
      </c>
      <c r="U4749" t="s">
        <v>11720</v>
      </c>
      <c r="V4749" t="s">
        <v>11720</v>
      </c>
      <c r="W4749" t="s">
        <v>16413</v>
      </c>
      <c r="X4749">
        <v>13</v>
      </c>
      <c r="Y4749" t="s">
        <v>22122</v>
      </c>
      <c r="Z4749" t="s">
        <v>27956</v>
      </c>
      <c r="AA4749">
        <v>0.61608301834101564</v>
      </c>
      <c r="AB4749" t="str">
        <f>HYPERLINK("Melting_Curves/meltCurve_Q99805_TM9SF2.pdf", "Melting_Curves/meltCurve_Q99805_TM9SF2.pdf")</f>
        <v>Melting_Curves/meltCurve_Q99805_TM9SF2.pdf</v>
      </c>
    </row>
    <row r="4750" spans="1:28" x14ac:dyDescent="0.25">
      <c r="A4750" t="s">
        <v>4754</v>
      </c>
      <c r="B4750">
        <v>0.99334974765950101</v>
      </c>
      <c r="C4750">
        <v>0.97769415813998195</v>
      </c>
      <c r="D4750">
        <v>0.88945941050262001</v>
      </c>
      <c r="E4750">
        <v>1.00509860140648</v>
      </c>
      <c r="F4750">
        <v>0.94633592016679902</v>
      </c>
      <c r="G4750">
        <v>0.73884955869198998</v>
      </c>
      <c r="H4750">
        <v>0.63917840241250901</v>
      </c>
      <c r="I4750">
        <v>0.93029255967869395</v>
      </c>
      <c r="J4750">
        <v>0.63822736023853699</v>
      </c>
      <c r="K4750">
        <v>0.464606745662137</v>
      </c>
      <c r="L4750">
        <v>435.73332815936698</v>
      </c>
      <c r="M4750">
        <v>5.9916465056608699</v>
      </c>
      <c r="O4750">
        <v>65.862901618194797</v>
      </c>
      <c r="P4750">
        <v>-2.28168896764997E-2</v>
      </c>
      <c r="Q4750">
        <v>0</v>
      </c>
      <c r="R4750">
        <v>0.68045455781914499</v>
      </c>
      <c r="S4750" t="s">
        <v>10611</v>
      </c>
      <c r="T4750" t="s">
        <v>11720</v>
      </c>
      <c r="U4750" t="s">
        <v>11720</v>
      </c>
      <c r="V4750" t="s">
        <v>11720</v>
      </c>
      <c r="W4750" t="s">
        <v>16414</v>
      </c>
      <c r="X4750">
        <v>1</v>
      </c>
      <c r="Y4750" t="s">
        <v>22123</v>
      </c>
      <c r="Z4750" t="s">
        <v>27957</v>
      </c>
      <c r="AA4750">
        <v>0.83711618791855813</v>
      </c>
      <c r="AB4750" t="str">
        <f>HYPERLINK("Melting_Curves/meltCurve_Q99808_SLC29A1.pdf", "Melting_Curves/meltCurve_Q99808_SLC29A1.pdf")</f>
        <v>Melting_Curves/meltCurve_Q99808_SLC29A1.pdf</v>
      </c>
    </row>
    <row r="4751" spans="1:28" x14ac:dyDescent="0.25">
      <c r="A4751" t="s">
        <v>4755</v>
      </c>
      <c r="B4751">
        <v>0.99334974765950101</v>
      </c>
      <c r="C4751">
        <v>0.97136408706045096</v>
      </c>
      <c r="D4751">
        <v>0.95088084101723802</v>
      </c>
      <c r="E4751">
        <v>0.90350174066779798</v>
      </c>
      <c r="F4751">
        <v>0.93074602971449105</v>
      </c>
      <c r="G4751">
        <v>1.7659422936495901</v>
      </c>
      <c r="H4751">
        <v>1.80996720007718</v>
      </c>
      <c r="I4751">
        <v>0.76550658674084104</v>
      </c>
      <c r="J4751">
        <v>0.20685036988609601</v>
      </c>
      <c r="K4751">
        <v>0.11852320201337101</v>
      </c>
      <c r="L4751">
        <v>15000</v>
      </c>
      <c r="M4751">
        <v>233.43056886809501</v>
      </c>
      <c r="N4751">
        <v>64.367440372661903</v>
      </c>
      <c r="O4751">
        <v>64.254211136894796</v>
      </c>
      <c r="P4751">
        <v>-0.76050444921152405</v>
      </c>
      <c r="Q4751">
        <v>0.16265260412927399</v>
      </c>
      <c r="R4751">
        <v>0.52961176082551797</v>
      </c>
      <c r="S4751" t="s">
        <v>10612</v>
      </c>
      <c r="T4751" t="s">
        <v>11720</v>
      </c>
      <c r="U4751" t="s">
        <v>11720</v>
      </c>
      <c r="V4751" t="s">
        <v>11720</v>
      </c>
      <c r="W4751" t="s">
        <v>16415</v>
      </c>
      <c r="X4751">
        <v>36</v>
      </c>
      <c r="Y4751" t="s">
        <v>22124</v>
      </c>
      <c r="Z4751" t="s">
        <v>27958</v>
      </c>
      <c r="AA4751">
        <v>0.83986615101521345</v>
      </c>
      <c r="AB4751" t="str">
        <f>HYPERLINK("Melting_Curves/meltCurve_Q99832_CCT7.pdf", "Melting_Curves/meltCurve_Q99832_CCT7.pdf")</f>
        <v>Melting_Curves/meltCurve_Q99832_CCT7.pdf</v>
      </c>
    </row>
    <row r="4752" spans="1:28" x14ac:dyDescent="0.25">
      <c r="A4752" t="s">
        <v>4756</v>
      </c>
      <c r="B4752">
        <v>0.99334974765950101</v>
      </c>
      <c r="C4752">
        <v>1.0117755500859</v>
      </c>
      <c r="D4752">
        <v>1.0030658980298399</v>
      </c>
      <c r="E4752">
        <v>1.02279897788714</v>
      </c>
      <c r="F4752">
        <v>1.17228358803667</v>
      </c>
      <c r="G4752">
        <v>1.0699517650277299</v>
      </c>
      <c r="H4752">
        <v>1.0997018799282201</v>
      </c>
      <c r="I4752">
        <v>1.24641147399014</v>
      </c>
      <c r="J4752">
        <v>1.4549148230225299</v>
      </c>
      <c r="K4752">
        <v>1.31755830929336</v>
      </c>
      <c r="L4752">
        <v>741.80930943841895</v>
      </c>
      <c r="M4752">
        <v>11.671647932237001</v>
      </c>
      <c r="O4752">
        <v>61.776788640325002</v>
      </c>
      <c r="P4752">
        <v>2.3622906640078298E-2</v>
      </c>
      <c r="Q4752">
        <v>1.5</v>
      </c>
      <c r="R4752">
        <v>0.78887575092421502</v>
      </c>
      <c r="S4752" t="s">
        <v>10613</v>
      </c>
      <c r="T4752" t="s">
        <v>11720</v>
      </c>
      <c r="U4752" t="s">
        <v>11720</v>
      </c>
      <c r="V4752" t="s">
        <v>11720</v>
      </c>
      <c r="W4752" t="s">
        <v>16416</v>
      </c>
      <c r="X4752">
        <v>4</v>
      </c>
      <c r="Y4752" t="s">
        <v>22125</v>
      </c>
      <c r="Z4752" t="s">
        <v>27959</v>
      </c>
      <c r="AA4752">
        <v>1.1206712333850419</v>
      </c>
      <c r="AB4752" t="str">
        <f>HYPERLINK("Melting_Curves/meltCurve_Q99952_2_PTPN18.pdf", "Melting_Curves/meltCurve_Q99952_2_PTPN18.pdf")</f>
        <v>Melting_Curves/meltCurve_Q99952_2_PTPN18.pdf</v>
      </c>
    </row>
    <row r="4753" spans="1:28" x14ac:dyDescent="0.25">
      <c r="A4753" t="s">
        <v>4757</v>
      </c>
      <c r="B4753">
        <v>0.99334974765950101</v>
      </c>
      <c r="C4753">
        <v>0.95844547321878903</v>
      </c>
      <c r="D4753">
        <v>0.94087061224886004</v>
      </c>
      <c r="E4753">
        <v>0.43223759182347199</v>
      </c>
      <c r="F4753">
        <v>0.16294220264703299</v>
      </c>
      <c r="G4753">
        <v>0.111883843306976</v>
      </c>
      <c r="H4753">
        <v>8.6213928703490303E-2</v>
      </c>
      <c r="I4753">
        <v>8.6549020285079506E-2</v>
      </c>
      <c r="J4753">
        <v>8.6122444548826005E-2</v>
      </c>
      <c r="K4753">
        <v>8.7656065696693E-2</v>
      </c>
      <c r="L4753">
        <v>1734.1028549617099</v>
      </c>
      <c r="M4753">
        <v>35.175819345943403</v>
      </c>
      <c r="N4753">
        <v>49.577230973863699</v>
      </c>
      <c r="O4753">
        <v>49.139643535115297</v>
      </c>
      <c r="P4753">
        <v>-0.162885031541742</v>
      </c>
      <c r="Q4753">
        <v>8.9819808755779496E-2</v>
      </c>
      <c r="R4753">
        <v>0.99883682958138398</v>
      </c>
      <c r="S4753" t="s">
        <v>10614</v>
      </c>
      <c r="T4753" t="s">
        <v>11720</v>
      </c>
      <c r="U4753" t="s">
        <v>11720</v>
      </c>
      <c r="V4753" t="s">
        <v>11720</v>
      </c>
      <c r="W4753" t="s">
        <v>16417</v>
      </c>
      <c r="X4753">
        <v>28</v>
      </c>
      <c r="Y4753" t="s">
        <v>22126</v>
      </c>
      <c r="Z4753" t="s">
        <v>27960</v>
      </c>
      <c r="AA4753">
        <v>0.37594657878442911</v>
      </c>
      <c r="AB4753" t="str">
        <f>HYPERLINK("Melting_Curves/meltCurve_Q99961_SH3GL1.pdf", "Melting_Curves/meltCurve_Q99961_SH3GL1.pdf")</f>
        <v>Melting_Curves/meltCurve_Q99961_SH3GL1.pdf</v>
      </c>
    </row>
    <row r="4754" spans="1:28" x14ac:dyDescent="0.25">
      <c r="A4754" t="s">
        <v>4758</v>
      </c>
      <c r="B4754">
        <v>0.99334974765950101</v>
      </c>
      <c r="C4754">
        <v>1.87627492378007</v>
      </c>
      <c r="D4754">
        <v>1.7963347976684001</v>
      </c>
      <c r="E4754">
        <v>0.87875381396672902</v>
      </c>
      <c r="F4754">
        <v>0.74789516265543599</v>
      </c>
      <c r="G4754">
        <v>0.50625479777840698</v>
      </c>
      <c r="H4754">
        <v>0</v>
      </c>
      <c r="I4754">
        <v>0</v>
      </c>
      <c r="J4754">
        <v>0.52208346691648799</v>
      </c>
      <c r="K4754">
        <v>0</v>
      </c>
      <c r="L4754">
        <v>1604.9931613859001</v>
      </c>
      <c r="M4754">
        <v>28.988096437960198</v>
      </c>
      <c r="N4754">
        <v>55.944719831765099</v>
      </c>
      <c r="O4754">
        <v>55.105849706063701</v>
      </c>
      <c r="P4754">
        <v>-0.114509156406726</v>
      </c>
      <c r="Q4754">
        <v>0.12928737381098601</v>
      </c>
      <c r="R4754">
        <v>0.60964713987835895</v>
      </c>
      <c r="S4754" t="s">
        <v>10615</v>
      </c>
      <c r="T4754" t="s">
        <v>11720</v>
      </c>
      <c r="U4754" t="s">
        <v>11720</v>
      </c>
      <c r="V4754" t="s">
        <v>11720</v>
      </c>
      <c r="W4754" t="s">
        <v>16418</v>
      </c>
      <c r="X4754">
        <v>1</v>
      </c>
      <c r="Y4754" t="s">
        <v>22127</v>
      </c>
      <c r="Z4754" t="s">
        <v>27961</v>
      </c>
      <c r="AA4754">
        <v>0.58147639240463855</v>
      </c>
      <c r="AB4754" t="str">
        <f>HYPERLINK("Melting_Curves/meltCurve_Q99969_RARRES2.pdf", "Melting_Curves/meltCurve_Q99969_RARRES2.pdf")</f>
        <v>Melting_Curves/meltCurve_Q99969_RARRES2.pdf</v>
      </c>
    </row>
    <row r="4755" spans="1:28" x14ac:dyDescent="0.25">
      <c r="A4755" t="s">
        <v>4759</v>
      </c>
      <c r="B4755">
        <v>0.99334974765950101</v>
      </c>
      <c r="C4755">
        <v>1.15268543320173</v>
      </c>
      <c r="D4755">
        <v>1.1783490914630499</v>
      </c>
      <c r="E4755">
        <v>1.2736864177256999</v>
      </c>
      <c r="F4755">
        <v>1.60047077241387</v>
      </c>
      <c r="G4755">
        <v>1.27420351712826</v>
      </c>
      <c r="H4755">
        <v>1.15126662671331</v>
      </c>
      <c r="I4755">
        <v>0.86951336223655196</v>
      </c>
      <c r="J4755">
        <v>0.71893910777479098</v>
      </c>
      <c r="K4755">
        <v>0.35408321893404399</v>
      </c>
      <c r="L4755">
        <v>2632.9852456150202</v>
      </c>
      <c r="M4755">
        <v>38.612878388525402</v>
      </c>
      <c r="N4755">
        <v>68.674299880888398</v>
      </c>
      <c r="O4755">
        <v>68.007175727437399</v>
      </c>
      <c r="P4755">
        <v>-0.12500516429919201</v>
      </c>
      <c r="Q4755">
        <v>0.119337571163528</v>
      </c>
      <c r="R4755">
        <v>0.44261635235500701</v>
      </c>
      <c r="S4755" t="s">
        <v>10616</v>
      </c>
      <c r="T4755" t="s">
        <v>11720</v>
      </c>
      <c r="U4755" t="s">
        <v>11720</v>
      </c>
      <c r="V4755" t="s">
        <v>11720</v>
      </c>
      <c r="W4755" t="s">
        <v>16419</v>
      </c>
      <c r="X4755">
        <v>2</v>
      </c>
      <c r="Y4755" t="s">
        <v>22128</v>
      </c>
      <c r="Z4755" t="s">
        <v>27962</v>
      </c>
      <c r="AA4755">
        <v>0.93309682613114886</v>
      </c>
      <c r="AB4755" t="str">
        <f>HYPERLINK("Melting_Curves/meltCurve_Q99996_5_AKAP9.pdf", "Melting_Curves/meltCurve_Q99996_5_AKAP9.pdf")</f>
        <v>Melting_Curves/meltCurve_Q99996_5_AKAP9.pdf</v>
      </c>
    </row>
    <row r="4756" spans="1:28" x14ac:dyDescent="0.25">
      <c r="A4756" t="s">
        <v>4760</v>
      </c>
      <c r="B4756">
        <v>0.99334974765950101</v>
      </c>
      <c r="C4756">
        <v>0.95512314576577795</v>
      </c>
      <c r="D4756">
        <v>1.1843952883139499</v>
      </c>
      <c r="E4756">
        <v>1.1516799414203001</v>
      </c>
      <c r="F4756">
        <v>0.668800839150132</v>
      </c>
      <c r="G4756">
        <v>0.208849123770013</v>
      </c>
      <c r="H4756">
        <v>0.12647102123315401</v>
      </c>
      <c r="I4756">
        <v>0.15101125299302701</v>
      </c>
      <c r="J4756">
        <v>0.132008629369224</v>
      </c>
      <c r="K4756">
        <v>0.11811591623288201</v>
      </c>
      <c r="L4756">
        <v>13274.062455441501</v>
      </c>
      <c r="M4756">
        <v>250</v>
      </c>
      <c r="N4756">
        <v>53.170474662095501</v>
      </c>
      <c r="O4756">
        <v>53.092854429353302</v>
      </c>
      <c r="P4756">
        <v>-1.0037942893699601</v>
      </c>
      <c r="Q4756">
        <v>0.147291174444556</v>
      </c>
      <c r="R4756">
        <v>0.96701201013544402</v>
      </c>
      <c r="S4756" t="s">
        <v>10617</v>
      </c>
      <c r="T4756" t="s">
        <v>11720</v>
      </c>
      <c r="U4756" t="s">
        <v>11720</v>
      </c>
      <c r="V4756" t="s">
        <v>11720</v>
      </c>
      <c r="W4756" t="s">
        <v>16420</v>
      </c>
      <c r="X4756">
        <v>8</v>
      </c>
      <c r="Y4756" t="s">
        <v>22129</v>
      </c>
      <c r="Z4756" t="s">
        <v>27963</v>
      </c>
      <c r="AA4756">
        <v>0.51961355931285513</v>
      </c>
      <c r="AB4756" t="str">
        <f>HYPERLINK("Melting_Curves/meltCurve_Q9BPW8_NIPSNAP1.pdf", "Melting_Curves/meltCurve_Q9BPW8_NIPSNAP1.pdf")</f>
        <v>Melting_Curves/meltCurve_Q9BPW8_NIPSNAP1.pdf</v>
      </c>
    </row>
    <row r="4757" spans="1:28" x14ac:dyDescent="0.25">
      <c r="A4757" t="s">
        <v>4761</v>
      </c>
      <c r="B4757">
        <v>0.99334974765950101</v>
      </c>
      <c r="C4757">
        <v>1.0118586829570999</v>
      </c>
      <c r="D4757">
        <v>1.3201448275305301</v>
      </c>
      <c r="E4757">
        <v>1.2289736971906899</v>
      </c>
      <c r="F4757">
        <v>1.1234336130525899</v>
      </c>
      <c r="G4757">
        <v>1.1501169435793499</v>
      </c>
      <c r="H4757">
        <v>1.05956285372791</v>
      </c>
      <c r="I4757">
        <v>0.78654107574440701</v>
      </c>
      <c r="J4757">
        <v>0.57516050819088704</v>
      </c>
      <c r="K4757">
        <v>0.42038835377827699</v>
      </c>
      <c r="L4757">
        <v>3005.4405372573401</v>
      </c>
      <c r="M4757">
        <v>46.101003992012799</v>
      </c>
      <c r="N4757">
        <v>67.765302744785004</v>
      </c>
      <c r="O4757">
        <v>65.070203941112496</v>
      </c>
      <c r="P4757">
        <v>-0.103945430873105</v>
      </c>
      <c r="Q4757">
        <v>0.41313708348918599</v>
      </c>
      <c r="R4757">
        <v>0.72874053411631501</v>
      </c>
      <c r="S4757" t="s">
        <v>10618</v>
      </c>
      <c r="T4757" t="s">
        <v>11720</v>
      </c>
      <c r="U4757" t="s">
        <v>11720</v>
      </c>
      <c r="V4757" t="s">
        <v>11720</v>
      </c>
      <c r="W4757" t="s">
        <v>16421</v>
      </c>
      <c r="X4757">
        <v>5</v>
      </c>
      <c r="Y4757" t="s">
        <v>22130</v>
      </c>
      <c r="Z4757" t="s">
        <v>27964</v>
      </c>
      <c r="AA4757">
        <v>0.9065586475474976</v>
      </c>
      <c r="AB4757" t="str">
        <f>HYPERLINK("Melting_Curves/meltCurve_Q9BPX5_ARPC5L.pdf", "Melting_Curves/meltCurve_Q9BPX5_ARPC5L.pdf")</f>
        <v>Melting_Curves/meltCurve_Q9BPX5_ARPC5L.pdf</v>
      </c>
    </row>
    <row r="4758" spans="1:28" x14ac:dyDescent="0.25">
      <c r="A4758" t="s">
        <v>4762</v>
      </c>
      <c r="B4758">
        <v>0.99334974765950101</v>
      </c>
      <c r="C4758">
        <v>0.89082692893006599</v>
      </c>
      <c r="D4758">
        <v>0.754021045724802</v>
      </c>
      <c r="E4758">
        <v>0.32249128658443299</v>
      </c>
      <c r="F4758">
        <v>0.226645425960838</v>
      </c>
      <c r="G4758">
        <v>0.159191014480279</v>
      </c>
      <c r="H4758">
        <v>0.102099293225817</v>
      </c>
      <c r="I4758">
        <v>7.8289590600561898E-2</v>
      </c>
      <c r="J4758">
        <v>7.3379919047290298E-2</v>
      </c>
      <c r="K4758">
        <v>4.9158042064416402E-2</v>
      </c>
      <c r="L4758">
        <v>927.14268570825197</v>
      </c>
      <c r="M4758">
        <v>19.3231176834487</v>
      </c>
      <c r="N4758">
        <v>48.402472193355699</v>
      </c>
      <c r="O4758">
        <v>47.4759880396889</v>
      </c>
      <c r="P4758">
        <v>-9.3876638888297198E-2</v>
      </c>
      <c r="Q4758">
        <v>7.74325262321095E-2</v>
      </c>
      <c r="R4758">
        <v>0.99417711277083998</v>
      </c>
      <c r="S4758" t="s">
        <v>10619</v>
      </c>
      <c r="T4758" t="s">
        <v>11720</v>
      </c>
      <c r="U4758" t="s">
        <v>11720</v>
      </c>
      <c r="V4758" t="s">
        <v>11720</v>
      </c>
      <c r="W4758" t="s">
        <v>16422</v>
      </c>
      <c r="X4758">
        <v>5</v>
      </c>
      <c r="Y4758" t="s">
        <v>22131</v>
      </c>
      <c r="Z4758" t="s">
        <v>27965</v>
      </c>
      <c r="AA4758">
        <v>0.33697502096648368</v>
      </c>
      <c r="AB4758" t="str">
        <f>HYPERLINK("Melting_Curves/meltCurve_Q9BPX7_C7orf25.pdf", "Melting_Curves/meltCurve_Q9BPX7_C7orf25.pdf")</f>
        <v>Melting_Curves/meltCurve_Q9BPX7_C7orf25.pdf</v>
      </c>
    </row>
    <row r="4759" spans="1:28" x14ac:dyDescent="0.25">
      <c r="A4759" t="s">
        <v>4763</v>
      </c>
      <c r="B4759">
        <v>0.99334974765950101</v>
      </c>
      <c r="C4759">
        <v>0.96603508590600096</v>
      </c>
      <c r="D4759">
        <v>0.79568679471834003</v>
      </c>
      <c r="E4759">
        <v>0.49899067024827898</v>
      </c>
      <c r="F4759">
        <v>0.162328964248837</v>
      </c>
      <c r="G4759">
        <v>0.11048438463802999</v>
      </c>
      <c r="H4759">
        <v>7.4605578216127802E-2</v>
      </c>
      <c r="I4759">
        <v>6.0111811769206401E-2</v>
      </c>
      <c r="J4759">
        <v>6.4399080792927596E-2</v>
      </c>
      <c r="K4759">
        <v>5.30739236485216E-2</v>
      </c>
      <c r="L4759">
        <v>1060.7195547211099</v>
      </c>
      <c r="M4759">
        <v>21.5518931220791</v>
      </c>
      <c r="N4759">
        <v>49.474688739615701</v>
      </c>
      <c r="O4759">
        <v>48.799146968277</v>
      </c>
      <c r="P4759">
        <v>-0.104551962503576</v>
      </c>
      <c r="Q4759">
        <v>5.3090576812756203E-2</v>
      </c>
      <c r="R4759">
        <v>0.99486119581464405</v>
      </c>
      <c r="S4759" t="s">
        <v>10620</v>
      </c>
      <c r="T4759" t="s">
        <v>11720</v>
      </c>
      <c r="U4759" t="s">
        <v>11720</v>
      </c>
      <c r="V4759" t="s">
        <v>11720</v>
      </c>
      <c r="W4759" t="s">
        <v>16423</v>
      </c>
      <c r="X4759">
        <v>11</v>
      </c>
      <c r="Y4759" t="s">
        <v>22132</v>
      </c>
      <c r="Z4759" t="s">
        <v>27966</v>
      </c>
      <c r="AA4759">
        <v>0.35539330957951959</v>
      </c>
      <c r="AB4759" t="str">
        <f>HYPERLINK("Melting_Curves/meltCurve_Q9BQ24_ZFYVE21.pdf", "Melting_Curves/meltCurve_Q9BQ24_ZFYVE21.pdf")</f>
        <v>Melting_Curves/meltCurve_Q9BQ24_ZFYVE21.pdf</v>
      </c>
    </row>
    <row r="4760" spans="1:28" x14ac:dyDescent="0.25">
      <c r="A4760" t="s">
        <v>4764</v>
      </c>
      <c r="B4760">
        <v>0.99334974765950101</v>
      </c>
      <c r="C4760">
        <v>0.94789850703899503</v>
      </c>
      <c r="D4760">
        <v>0.88243174103793398</v>
      </c>
      <c r="E4760">
        <v>0.82350421243959104</v>
      </c>
      <c r="F4760">
        <v>0.77754471185360496</v>
      </c>
      <c r="G4760">
        <v>0.70858531134829394</v>
      </c>
      <c r="H4760">
        <v>0.57558025833787296</v>
      </c>
      <c r="I4760">
        <v>0.54555521734696599</v>
      </c>
      <c r="J4760">
        <v>0.410562875557965</v>
      </c>
      <c r="K4760">
        <v>0.32383066405664801</v>
      </c>
      <c r="L4760">
        <v>396.32196369715302</v>
      </c>
      <c r="M4760">
        <v>6.2089358788180702</v>
      </c>
      <c r="N4760">
        <v>63.830899753811899</v>
      </c>
      <c r="O4760">
        <v>58.164874886838199</v>
      </c>
      <c r="P4760">
        <v>-2.67632586861489E-2</v>
      </c>
      <c r="Q4760">
        <v>0</v>
      </c>
      <c r="R4760">
        <v>0.98354444988380596</v>
      </c>
      <c r="S4760" t="s">
        <v>10621</v>
      </c>
      <c r="T4760" t="s">
        <v>11720</v>
      </c>
      <c r="U4760" t="s">
        <v>11720</v>
      </c>
      <c r="V4760" t="s">
        <v>11720</v>
      </c>
      <c r="W4760" t="s">
        <v>16424</v>
      </c>
      <c r="X4760">
        <v>3</v>
      </c>
      <c r="Y4760" t="s">
        <v>22133</v>
      </c>
      <c r="Z4760" t="s">
        <v>27967</v>
      </c>
      <c r="AA4760">
        <v>0.70925708179104929</v>
      </c>
      <c r="AB4760" t="str">
        <f>HYPERLINK("Melting_Curves/meltCurve_Q9BQ51_PDCD1LG2.pdf", "Melting_Curves/meltCurve_Q9BQ51_PDCD1LG2.pdf")</f>
        <v>Melting_Curves/meltCurve_Q9BQ51_PDCD1LG2.pdf</v>
      </c>
    </row>
    <row r="4761" spans="1:28" x14ac:dyDescent="0.25">
      <c r="A4761" t="s">
        <v>4765</v>
      </c>
      <c r="B4761">
        <v>0.99334974765950101</v>
      </c>
      <c r="C4761">
        <v>0.978642502488828</v>
      </c>
      <c r="D4761">
        <v>1.0985188294049799</v>
      </c>
      <c r="E4761">
        <v>1.1171820083917701</v>
      </c>
      <c r="F4761">
        <v>1.17449550470763</v>
      </c>
      <c r="G4761">
        <v>1.2000856816865999</v>
      </c>
      <c r="H4761">
        <v>0.93410441985711701</v>
      </c>
      <c r="I4761">
        <v>0.76799496685698598</v>
      </c>
      <c r="J4761">
        <v>0.24254910503892599</v>
      </c>
      <c r="K4761">
        <v>0.107741671133911</v>
      </c>
      <c r="L4761">
        <v>3626.14887078221</v>
      </c>
      <c r="M4761">
        <v>55.632161455346299</v>
      </c>
      <c r="N4761">
        <v>65.396957325687495</v>
      </c>
      <c r="O4761">
        <v>65.0967444362809</v>
      </c>
      <c r="P4761">
        <v>-0.195709406670345</v>
      </c>
      <c r="Q4761">
        <v>8.3980411188380996E-2</v>
      </c>
      <c r="R4761">
        <v>0.92722169200555904</v>
      </c>
      <c r="S4761" t="s">
        <v>10622</v>
      </c>
      <c r="T4761" t="s">
        <v>11720</v>
      </c>
      <c r="U4761" t="s">
        <v>11720</v>
      </c>
      <c r="V4761" t="s">
        <v>11720</v>
      </c>
      <c r="W4761" t="s">
        <v>16425</v>
      </c>
      <c r="X4761">
        <v>17</v>
      </c>
      <c r="Y4761" t="s">
        <v>22134</v>
      </c>
      <c r="Z4761" t="s">
        <v>27968</v>
      </c>
      <c r="AA4761">
        <v>0.85405308347200537</v>
      </c>
      <c r="AB4761" t="str">
        <f>HYPERLINK("Melting_Curves/meltCurve_Q9BQ52_4_ELAC2.pdf", "Melting_Curves/meltCurve_Q9BQ52_4_ELAC2.pdf")</f>
        <v>Melting_Curves/meltCurve_Q9BQ52_4_ELAC2.pdf</v>
      </c>
    </row>
    <row r="4762" spans="1:28" x14ac:dyDescent="0.25">
      <c r="A4762" t="s">
        <v>4766</v>
      </c>
      <c r="B4762">
        <v>0.99334974765950101</v>
      </c>
      <c r="C4762">
        <v>1.0670249541183501</v>
      </c>
      <c r="D4762">
        <v>0.99451457984713598</v>
      </c>
      <c r="E4762">
        <v>0.77299493310112999</v>
      </c>
      <c r="F4762">
        <v>0.67971895251294401</v>
      </c>
      <c r="G4762">
        <v>0.38224570357839399</v>
      </c>
      <c r="H4762">
        <v>0.35463388467714102</v>
      </c>
      <c r="I4762">
        <v>0.44274987118841302</v>
      </c>
      <c r="J4762">
        <v>0.53441403935412601</v>
      </c>
      <c r="K4762">
        <v>0.45240330631257097</v>
      </c>
      <c r="L4762">
        <v>1408.72198593337</v>
      </c>
      <c r="M4762">
        <v>27.396716579522302</v>
      </c>
      <c r="N4762">
        <v>55.468778355615299</v>
      </c>
      <c r="O4762">
        <v>51.147777703246803</v>
      </c>
      <c r="P4762">
        <v>-7.6016378179906294E-2</v>
      </c>
      <c r="Q4762">
        <v>0.43233621893223001</v>
      </c>
      <c r="R4762">
        <v>0.94353016408438894</v>
      </c>
      <c r="S4762" t="s">
        <v>10623</v>
      </c>
      <c r="T4762" t="s">
        <v>11720</v>
      </c>
      <c r="U4762" t="s">
        <v>11720</v>
      </c>
      <c r="V4762" t="s">
        <v>11720</v>
      </c>
      <c r="W4762" t="s">
        <v>16426</v>
      </c>
      <c r="X4762">
        <v>8</v>
      </c>
      <c r="Y4762" t="s">
        <v>22135</v>
      </c>
      <c r="Z4762" t="s">
        <v>27969</v>
      </c>
      <c r="AA4762">
        <v>0.652718744770863</v>
      </c>
      <c r="AB4762" t="str">
        <f>HYPERLINK("Melting_Curves/meltCurve_Q9BQ61_C19orf43.pdf", "Melting_Curves/meltCurve_Q9BQ61_C19orf43.pdf")</f>
        <v>Melting_Curves/meltCurve_Q9BQ61_C19orf43.pdf</v>
      </c>
    </row>
    <row r="4763" spans="1:28" x14ac:dyDescent="0.25">
      <c r="A4763" t="s">
        <v>4767</v>
      </c>
      <c r="B4763">
        <v>0.99334974765950101</v>
      </c>
      <c r="C4763">
        <v>0.93153125224508004</v>
      </c>
      <c r="D4763">
        <v>0.69732078355558402</v>
      </c>
      <c r="E4763">
        <v>0.25449203619148503</v>
      </c>
      <c r="F4763">
        <v>0.18361045235797499</v>
      </c>
      <c r="G4763">
        <v>8.9792015004156803E-2</v>
      </c>
      <c r="H4763">
        <v>6.5891058139128197E-2</v>
      </c>
      <c r="I4763">
        <v>4.8536206228052103E-2</v>
      </c>
      <c r="J4763">
        <v>5.16267598503529E-2</v>
      </c>
      <c r="K4763">
        <v>4.61068540958273E-2</v>
      </c>
      <c r="L4763">
        <v>1079.2874787057799</v>
      </c>
      <c r="M4763">
        <v>22.738084355249899</v>
      </c>
      <c r="N4763">
        <v>47.7263331585496</v>
      </c>
      <c r="O4763">
        <v>47.103484650448301</v>
      </c>
      <c r="P4763">
        <v>-0.113647018460384</v>
      </c>
      <c r="Q4763">
        <v>5.8307955886036503E-2</v>
      </c>
      <c r="R4763">
        <v>0.99731399545595101</v>
      </c>
      <c r="S4763" t="s">
        <v>10624</v>
      </c>
      <c r="T4763" t="s">
        <v>11720</v>
      </c>
      <c r="U4763" t="s">
        <v>11720</v>
      </c>
      <c r="V4763" t="s">
        <v>11720</v>
      </c>
      <c r="W4763" t="s">
        <v>16427</v>
      </c>
      <c r="X4763">
        <v>8</v>
      </c>
      <c r="Y4763" t="s">
        <v>22136</v>
      </c>
      <c r="Z4763" t="s">
        <v>27970</v>
      </c>
      <c r="AA4763">
        <v>0.30292584459654848</v>
      </c>
      <c r="AB4763" t="str">
        <f>HYPERLINK("Melting_Curves/meltCurve_Q9BQ69_MACROD1.pdf", "Melting_Curves/meltCurve_Q9BQ69_MACROD1.pdf")</f>
        <v>Melting_Curves/meltCurve_Q9BQ69_MACROD1.pdf</v>
      </c>
    </row>
    <row r="4764" spans="1:28" x14ac:dyDescent="0.25">
      <c r="A4764" t="s">
        <v>4768</v>
      </c>
      <c r="B4764">
        <v>0.99334974765950101</v>
      </c>
      <c r="C4764">
        <v>1.0283214947014101</v>
      </c>
      <c r="D4764">
        <v>0.96338872596066905</v>
      </c>
      <c r="E4764">
        <v>1.0355410914668399</v>
      </c>
      <c r="F4764">
        <v>1.15284453170394</v>
      </c>
      <c r="G4764">
        <v>1.15942332902914</v>
      </c>
      <c r="H4764">
        <v>0.71997786523904095</v>
      </c>
      <c r="I4764">
        <v>0.32490574003827</v>
      </c>
      <c r="J4764">
        <v>0.14082657698978701</v>
      </c>
      <c r="K4764">
        <v>0</v>
      </c>
      <c r="L4764">
        <v>2517.5415583692602</v>
      </c>
      <c r="M4764">
        <v>40.180265292553898</v>
      </c>
      <c r="N4764">
        <v>62.744500181519001</v>
      </c>
      <c r="O4764">
        <v>62.501581468732901</v>
      </c>
      <c r="P4764">
        <v>-0.15629713147362401</v>
      </c>
      <c r="Q4764">
        <v>2.7503054035298999E-2</v>
      </c>
      <c r="R4764">
        <v>0.96280464572638502</v>
      </c>
      <c r="S4764" t="s">
        <v>10625</v>
      </c>
      <c r="T4764" t="s">
        <v>11720</v>
      </c>
      <c r="U4764" t="s">
        <v>11720</v>
      </c>
      <c r="V4764" t="s">
        <v>11720</v>
      </c>
      <c r="W4764" t="s">
        <v>16428</v>
      </c>
      <c r="X4764">
        <v>2</v>
      </c>
      <c r="Y4764" t="s">
        <v>22137</v>
      </c>
      <c r="Z4764" t="s">
        <v>27971</v>
      </c>
      <c r="AA4764">
        <v>0.76513193586777173</v>
      </c>
      <c r="AB4764" t="str">
        <f>HYPERLINK("Melting_Curves/meltCurve_Q9BQ95_ECSIT.pdf", "Melting_Curves/meltCurve_Q9BQ95_ECSIT.pdf")</f>
        <v>Melting_Curves/meltCurve_Q9BQ95_ECSIT.pdf</v>
      </c>
    </row>
    <row r="4765" spans="1:28" x14ac:dyDescent="0.25">
      <c r="A4765" t="s">
        <v>4769</v>
      </c>
      <c r="B4765">
        <v>0.99334974765950101</v>
      </c>
      <c r="C4765">
        <v>0.894922170616267</v>
      </c>
      <c r="D4765">
        <v>0.95112958593275598</v>
      </c>
      <c r="E4765">
        <v>0.72732102915345398</v>
      </c>
      <c r="F4765">
        <v>0.64033873163072397</v>
      </c>
      <c r="G4765">
        <v>0.342705858716919</v>
      </c>
      <c r="H4765">
        <v>0.25210881075975899</v>
      </c>
      <c r="I4765">
        <v>0.23722376320635299</v>
      </c>
      <c r="J4765">
        <v>0.261913699625131</v>
      </c>
      <c r="K4765">
        <v>0.19615623511487601</v>
      </c>
      <c r="L4765">
        <v>822.60685748945104</v>
      </c>
      <c r="M4765">
        <v>15.5944197962727</v>
      </c>
      <c r="N4765">
        <v>54.413672774840201</v>
      </c>
      <c r="O4765">
        <v>51.905486972184796</v>
      </c>
      <c r="P4765">
        <v>-6.0873623449503998E-2</v>
      </c>
      <c r="Q4765">
        <v>0.18960730568273901</v>
      </c>
      <c r="R4765">
        <v>0.98272561895314903</v>
      </c>
      <c r="S4765" t="s">
        <v>10626</v>
      </c>
      <c r="T4765" t="s">
        <v>11720</v>
      </c>
      <c r="U4765" t="s">
        <v>11720</v>
      </c>
      <c r="V4765" t="s">
        <v>11720</v>
      </c>
      <c r="W4765" t="s">
        <v>16429</v>
      </c>
      <c r="X4765">
        <v>1</v>
      </c>
      <c r="Y4765" t="s">
        <v>22138</v>
      </c>
      <c r="Z4765" t="s">
        <v>27972</v>
      </c>
      <c r="AA4765">
        <v>0.55067960011631079</v>
      </c>
      <c r="AB4765" t="str">
        <f>HYPERLINK("Melting_Curves/meltCurve_Q9BQB6_VKORC1.pdf", "Melting_Curves/meltCurve_Q9BQB6_VKORC1.pdf")</f>
        <v>Melting_Curves/meltCurve_Q9BQB6_VKORC1.pdf</v>
      </c>
    </row>
    <row r="4766" spans="1:28" x14ac:dyDescent="0.25">
      <c r="A4766" t="s">
        <v>4770</v>
      </c>
      <c r="B4766">
        <v>0.99334974765950101</v>
      </c>
      <c r="C4766">
        <v>0.932724952916128</v>
      </c>
      <c r="D4766">
        <v>0.94710046480768995</v>
      </c>
      <c r="E4766">
        <v>0.71025643333702304</v>
      </c>
      <c r="F4766">
        <v>0.33769682000475598</v>
      </c>
      <c r="G4766">
        <v>0.16944429870289501</v>
      </c>
      <c r="H4766">
        <v>8.30612056216153E-2</v>
      </c>
      <c r="I4766">
        <v>5.8895610681310502E-2</v>
      </c>
      <c r="J4766">
        <v>4.5246899189373302E-2</v>
      </c>
      <c r="K4766">
        <v>3.46335370437654E-2</v>
      </c>
      <c r="L4766">
        <v>1210.6739479581399</v>
      </c>
      <c r="M4766">
        <v>23.505983643580301</v>
      </c>
      <c r="N4766">
        <v>51.730952829633701</v>
      </c>
      <c r="O4766">
        <v>51.136503619223298</v>
      </c>
      <c r="P4766">
        <v>-0.109311466016506</v>
      </c>
      <c r="Q4766">
        <v>4.8802267912850403E-2</v>
      </c>
      <c r="R4766">
        <v>0.99570431178659802</v>
      </c>
      <c r="S4766" t="s">
        <v>10627</v>
      </c>
      <c r="T4766" t="s">
        <v>11720</v>
      </c>
      <c r="U4766" t="s">
        <v>11720</v>
      </c>
      <c r="V4766" t="s">
        <v>11720</v>
      </c>
      <c r="W4766" t="s">
        <v>16430</v>
      </c>
      <c r="X4766">
        <v>4</v>
      </c>
      <c r="Y4766" t="s">
        <v>22139</v>
      </c>
      <c r="Z4766" t="s">
        <v>27973</v>
      </c>
      <c r="AA4766">
        <v>0.42331776948736888</v>
      </c>
      <c r="AB4766" t="str">
        <f>HYPERLINK("Melting_Curves/meltCurve_Q9BQC3_DPH2.pdf", "Melting_Curves/meltCurve_Q9BQC3_DPH2.pdf")</f>
        <v>Melting_Curves/meltCurve_Q9BQC3_DPH2.pdf</v>
      </c>
    </row>
    <row r="4767" spans="1:28" x14ac:dyDescent="0.25">
      <c r="A4767" t="s">
        <v>4771</v>
      </c>
      <c r="B4767">
        <v>0.99334974765950101</v>
      </c>
      <c r="C4767">
        <v>0.92867142545199399</v>
      </c>
      <c r="D4767">
        <v>0.87678497047041704</v>
      </c>
      <c r="E4767">
        <v>0.31856416018598699</v>
      </c>
      <c r="F4767">
        <v>0.220809433954683</v>
      </c>
      <c r="G4767">
        <v>0.18598908355026</v>
      </c>
      <c r="H4767">
        <v>9.6263634457648295E-2</v>
      </c>
      <c r="I4767">
        <v>8.0377926804379607E-2</v>
      </c>
      <c r="J4767">
        <v>3.22258131335054E-2</v>
      </c>
      <c r="K4767">
        <v>3.8531876233810797E-2</v>
      </c>
      <c r="L4767">
        <v>1291.47273881607</v>
      </c>
      <c r="M4767">
        <v>26.605502344363899</v>
      </c>
      <c r="N4767">
        <v>48.881298337358103</v>
      </c>
      <c r="O4767">
        <v>48.269818180234999</v>
      </c>
      <c r="P4767">
        <v>-0.12616552277790499</v>
      </c>
      <c r="Q4767">
        <v>8.4411515515127405E-2</v>
      </c>
      <c r="R4767">
        <v>0.98450275869492898</v>
      </c>
      <c r="S4767" t="s">
        <v>10628</v>
      </c>
      <c r="T4767" t="s">
        <v>11720</v>
      </c>
      <c r="U4767" t="s">
        <v>11720</v>
      </c>
      <c r="V4767" t="s">
        <v>11720</v>
      </c>
      <c r="W4767" t="s">
        <v>16431</v>
      </c>
      <c r="X4767">
        <v>3</v>
      </c>
      <c r="Y4767" t="s">
        <v>22140</v>
      </c>
      <c r="Z4767" t="s">
        <v>27974</v>
      </c>
      <c r="AA4767">
        <v>0.35220685244657229</v>
      </c>
      <c r="AB4767" t="str">
        <f>HYPERLINK("Melting_Curves/meltCurve_Q9BQG0_MYBBP1A.pdf", "Melting_Curves/meltCurve_Q9BQG0_MYBBP1A.pdf")</f>
        <v>Melting_Curves/meltCurve_Q9BQG0_MYBBP1A.pdf</v>
      </c>
    </row>
    <row r="4768" spans="1:28" x14ac:dyDescent="0.25">
      <c r="A4768" t="s">
        <v>4772</v>
      </c>
      <c r="B4768">
        <v>0.99334974765950101</v>
      </c>
      <c r="C4768">
        <v>1.06038213894175</v>
      </c>
      <c r="D4768">
        <v>0.82829884996177205</v>
      </c>
      <c r="E4768">
        <v>0.83551187187725495</v>
      </c>
      <c r="F4768">
        <v>0.87269020704073097</v>
      </c>
      <c r="G4768">
        <v>0.773705241348696</v>
      </c>
      <c r="H4768">
        <v>0.58144093672291797</v>
      </c>
      <c r="I4768">
        <v>1.18809335438512</v>
      </c>
      <c r="J4768">
        <v>0.76507084353322796</v>
      </c>
      <c r="K4768">
        <v>0.54423554793974505</v>
      </c>
      <c r="L4768">
        <v>209.60894816301101</v>
      </c>
      <c r="M4768">
        <v>2.0892666713657699</v>
      </c>
      <c r="O4768">
        <v>61.186591482217899</v>
      </c>
      <c r="P4768">
        <v>-9.2262871020384295E-3</v>
      </c>
      <c r="Q4768">
        <v>0</v>
      </c>
      <c r="R4768">
        <v>0.21310351968907701</v>
      </c>
      <c r="S4768" t="s">
        <v>10629</v>
      </c>
      <c r="T4768" t="s">
        <v>11720</v>
      </c>
      <c r="U4768" t="s">
        <v>11720</v>
      </c>
      <c r="V4768" t="s">
        <v>11720</v>
      </c>
      <c r="W4768" t="s">
        <v>16432</v>
      </c>
      <c r="X4768">
        <v>1</v>
      </c>
      <c r="Y4768" t="s">
        <v>22141</v>
      </c>
      <c r="Z4768" t="s">
        <v>27975</v>
      </c>
      <c r="AA4768">
        <v>0.84417529369559996</v>
      </c>
      <c r="AB4768" t="str">
        <f>HYPERLINK("Melting_Curves/meltCurve_Q9BQJ4_TMEM47.pdf", "Melting_Curves/meltCurve_Q9BQJ4_TMEM47.pdf")</f>
        <v>Melting_Curves/meltCurve_Q9BQJ4_TMEM47.pdf</v>
      </c>
    </row>
    <row r="4769" spans="1:28" x14ac:dyDescent="0.25">
      <c r="A4769" t="s">
        <v>4773</v>
      </c>
      <c r="B4769">
        <v>0.99334974765950101</v>
      </c>
      <c r="C4769">
        <v>0.96243391841624903</v>
      </c>
      <c r="D4769">
        <v>0.91788880500516601</v>
      </c>
      <c r="E4769">
        <v>0.60135262856530403</v>
      </c>
      <c r="F4769">
        <v>0.30484036220433303</v>
      </c>
      <c r="G4769">
        <v>0.19009398033172001</v>
      </c>
      <c r="H4769">
        <v>0.16816280789049501</v>
      </c>
      <c r="I4769">
        <v>0.13065757833035699</v>
      </c>
      <c r="J4769">
        <v>0.13174306139585201</v>
      </c>
      <c r="K4769">
        <v>9.5440039832183396E-2</v>
      </c>
      <c r="L4769">
        <v>1200.89458169215</v>
      </c>
      <c r="M4769">
        <v>23.8873213314981</v>
      </c>
      <c r="N4769">
        <v>50.8961074430864</v>
      </c>
      <c r="O4769">
        <v>49.924946094158599</v>
      </c>
      <c r="P4769">
        <v>-0.104458563709401</v>
      </c>
      <c r="Q4769">
        <v>0.12673270309661999</v>
      </c>
      <c r="R4769">
        <v>0.99758851064330301</v>
      </c>
      <c r="S4769" t="s">
        <v>10630</v>
      </c>
      <c r="T4769" t="s">
        <v>11720</v>
      </c>
      <c r="U4769" t="s">
        <v>11720</v>
      </c>
      <c r="V4769" t="s">
        <v>11720</v>
      </c>
      <c r="W4769" t="s">
        <v>16433</v>
      </c>
      <c r="X4769">
        <v>10</v>
      </c>
      <c r="Y4769" t="s">
        <v>22142</v>
      </c>
      <c r="Z4769" t="s">
        <v>27976</v>
      </c>
      <c r="AA4769">
        <v>0.43434846629296531</v>
      </c>
      <c r="AB4769" t="str">
        <f>HYPERLINK("Melting_Curves/meltCurve_Q9BQL6_FERMT1.pdf", "Melting_Curves/meltCurve_Q9BQL6_FERMT1.pdf")</f>
        <v>Melting_Curves/meltCurve_Q9BQL6_FERMT1.pdf</v>
      </c>
    </row>
    <row r="4770" spans="1:28" x14ac:dyDescent="0.25">
      <c r="A4770" t="s">
        <v>4774</v>
      </c>
      <c r="B4770">
        <v>0.99334974765950101</v>
      </c>
      <c r="C4770">
        <v>1.0284068301751501</v>
      </c>
      <c r="D4770">
        <v>0.83015948697286401</v>
      </c>
      <c r="E4770">
        <v>0.70448180233440905</v>
      </c>
      <c r="F4770">
        <v>0.49121021583129598</v>
      </c>
      <c r="G4770">
        <v>0.16776163291309801</v>
      </c>
      <c r="H4770">
        <v>9.7098740662127106E-2</v>
      </c>
      <c r="I4770">
        <v>8.3745489417265298E-2</v>
      </c>
      <c r="J4770">
        <v>8.2956170952445701E-2</v>
      </c>
      <c r="K4770">
        <v>6.5123471958555196E-2</v>
      </c>
      <c r="L4770">
        <v>903.35007998568801</v>
      </c>
      <c r="M4770">
        <v>17.343688496303699</v>
      </c>
      <c r="N4770">
        <v>52.3583648433384</v>
      </c>
      <c r="O4770">
        <v>51.407591253824997</v>
      </c>
      <c r="P4770">
        <v>-8.0700646568088605E-2</v>
      </c>
      <c r="Q4770">
        <v>4.3251108172355897E-2</v>
      </c>
      <c r="R4770">
        <v>0.98994880431135601</v>
      </c>
      <c r="S4770" t="s">
        <v>10631</v>
      </c>
      <c r="T4770" t="s">
        <v>11720</v>
      </c>
      <c r="U4770" t="s">
        <v>11720</v>
      </c>
      <c r="V4770" t="s">
        <v>11720</v>
      </c>
      <c r="W4770" t="s">
        <v>16434</v>
      </c>
      <c r="X4770">
        <v>5</v>
      </c>
      <c r="Y4770" t="s">
        <v>22143</v>
      </c>
      <c r="Z4770" t="s">
        <v>27977</v>
      </c>
      <c r="AA4770">
        <v>0.44559519545915971</v>
      </c>
      <c r="AB4770" t="str">
        <f>HYPERLINK("Melting_Curves/meltCurve_Q9BQP7_MGME1.pdf", "Melting_Curves/meltCurve_Q9BQP7_MGME1.pdf")</f>
        <v>Melting_Curves/meltCurve_Q9BQP7_MGME1.pdf</v>
      </c>
    </row>
    <row r="4771" spans="1:28" x14ac:dyDescent="0.25">
      <c r="A4771" t="s">
        <v>4775</v>
      </c>
      <c r="B4771">
        <v>0.99334974765950101</v>
      </c>
      <c r="C4771">
        <v>0.95613254451116603</v>
      </c>
      <c r="D4771">
        <v>0.97036947431770804</v>
      </c>
      <c r="E4771">
        <v>0.602358903556933</v>
      </c>
      <c r="F4771">
        <v>0.26889375175846297</v>
      </c>
      <c r="G4771">
        <v>0.16045875198666901</v>
      </c>
      <c r="H4771">
        <v>0.12615327816230101</v>
      </c>
      <c r="I4771">
        <v>0.118509314804327</v>
      </c>
      <c r="J4771">
        <v>0.114581016107942</v>
      </c>
      <c r="K4771">
        <v>8.9935455981794907E-2</v>
      </c>
      <c r="L4771">
        <v>1538.1498272476399</v>
      </c>
      <c r="M4771">
        <v>30.547466013599099</v>
      </c>
      <c r="N4771">
        <v>50.786949065811697</v>
      </c>
      <c r="O4771">
        <v>50.1384858544914</v>
      </c>
      <c r="P4771">
        <v>-0.134812917474743</v>
      </c>
      <c r="Q4771">
        <v>0.11491548927464799</v>
      </c>
      <c r="R4771">
        <v>0.99785303571963502</v>
      </c>
      <c r="S4771" t="s">
        <v>10632</v>
      </c>
      <c r="T4771" t="s">
        <v>11720</v>
      </c>
      <c r="U4771" t="s">
        <v>11720</v>
      </c>
      <c r="V4771" t="s">
        <v>11720</v>
      </c>
      <c r="W4771" t="s">
        <v>16435</v>
      </c>
      <c r="X4771">
        <v>49</v>
      </c>
      <c r="Y4771" t="s">
        <v>22144</v>
      </c>
      <c r="Z4771" t="s">
        <v>27978</v>
      </c>
      <c r="AA4771">
        <v>0.42566047719254591</v>
      </c>
      <c r="AB4771" t="str">
        <f>HYPERLINK("Melting_Curves/meltCurve_Q9BQS8_FYCO1.pdf", "Melting_Curves/meltCurve_Q9BQS8_FYCO1.pdf")</f>
        <v>Melting_Curves/meltCurve_Q9BQS8_FYCO1.pdf</v>
      </c>
    </row>
    <row r="4772" spans="1:28" x14ac:dyDescent="0.25">
      <c r="A4772" t="s">
        <v>4776</v>
      </c>
      <c r="B4772">
        <v>0.99334974765950101</v>
      </c>
      <c r="C4772">
        <v>1.0702186732671</v>
      </c>
      <c r="D4772">
        <v>1.0101627485245901</v>
      </c>
      <c r="E4772">
        <v>1.4672680763082799</v>
      </c>
      <c r="F4772">
        <v>1.6095006063731301</v>
      </c>
      <c r="G4772">
        <v>2.5242518216796999</v>
      </c>
      <c r="H4772">
        <v>2.2158289580705302</v>
      </c>
      <c r="I4772">
        <v>3.1741690793229602</v>
      </c>
      <c r="J4772">
        <v>2.98658959245962</v>
      </c>
      <c r="K4772">
        <v>2.29189074656137</v>
      </c>
      <c r="L4772">
        <v>4071.6352220277199</v>
      </c>
      <c r="M4772">
        <v>84.163887006788698</v>
      </c>
      <c r="O4772">
        <v>48.350170264495503</v>
      </c>
      <c r="P4772">
        <v>0.21758945537822699</v>
      </c>
      <c r="Q4772">
        <v>1.5</v>
      </c>
      <c r="R4772">
        <v>-0.20118599449736899</v>
      </c>
      <c r="S4772" t="s">
        <v>10633</v>
      </c>
      <c r="T4772" t="s">
        <v>11720</v>
      </c>
      <c r="U4772" t="s">
        <v>11720</v>
      </c>
      <c r="V4772" t="s">
        <v>11720</v>
      </c>
      <c r="W4772" t="s">
        <v>16436</v>
      </c>
      <c r="X4772">
        <v>2</v>
      </c>
      <c r="Y4772" t="s">
        <v>22145</v>
      </c>
      <c r="Z4772" t="s">
        <v>27979</v>
      </c>
      <c r="AA4772">
        <v>1.360000432643645</v>
      </c>
      <c r="AB4772" t="str">
        <f>HYPERLINK("Melting_Curves/meltCurve_Q9BQT8_2_SLC25A21.pdf", "Melting_Curves/meltCurve_Q9BQT8_2_SLC25A21.pdf")</f>
        <v>Melting_Curves/meltCurve_Q9BQT8_2_SLC25A21.pdf</v>
      </c>
    </row>
    <row r="4773" spans="1:28" x14ac:dyDescent="0.25">
      <c r="A4773" t="s">
        <v>4777</v>
      </c>
      <c r="B4773">
        <v>0.99334974765950101</v>
      </c>
      <c r="C4773">
        <v>0.92259188459124697</v>
      </c>
      <c r="D4773">
        <v>0.66836947579879002</v>
      </c>
      <c r="E4773">
        <v>0.22689283489776299</v>
      </c>
      <c r="F4773">
        <v>0.11576964348619199</v>
      </c>
      <c r="G4773">
        <v>8.3631445773006602E-2</v>
      </c>
      <c r="H4773">
        <v>6.0964184521518701E-2</v>
      </c>
      <c r="I4773">
        <v>6.6045301179829194E-2</v>
      </c>
      <c r="J4773">
        <v>5.3216283956008602E-2</v>
      </c>
      <c r="K4773">
        <v>4.9047039516967601E-2</v>
      </c>
      <c r="L4773">
        <v>1194.7933339635799</v>
      </c>
      <c r="M4773">
        <v>25.381810271807201</v>
      </c>
      <c r="N4773">
        <v>47.308527129288599</v>
      </c>
      <c r="O4773">
        <v>46.7835144277417</v>
      </c>
      <c r="P4773">
        <v>-0.127579772399181</v>
      </c>
      <c r="Q4773">
        <v>5.9396114193839201E-2</v>
      </c>
      <c r="R4773">
        <v>0.999653930646482</v>
      </c>
      <c r="S4773" t="s">
        <v>10634</v>
      </c>
      <c r="T4773" t="s">
        <v>11720</v>
      </c>
      <c r="U4773" t="s">
        <v>11720</v>
      </c>
      <c r="V4773" t="s">
        <v>11720</v>
      </c>
      <c r="W4773" t="s">
        <v>16437</v>
      </c>
      <c r="X4773">
        <v>9</v>
      </c>
      <c r="Y4773" t="s">
        <v>22146</v>
      </c>
      <c r="Z4773" t="s">
        <v>27980</v>
      </c>
      <c r="AA4773">
        <v>0.28926518506877241</v>
      </c>
      <c r="AB4773" t="str">
        <f>HYPERLINK("Melting_Curves/meltCurve_Q9BR61_ACBD6.pdf", "Melting_Curves/meltCurve_Q9BR61_ACBD6.pdf")</f>
        <v>Melting_Curves/meltCurve_Q9BR61_ACBD6.pdf</v>
      </c>
    </row>
    <row r="4774" spans="1:28" x14ac:dyDescent="0.25">
      <c r="A4774" t="s">
        <v>4778</v>
      </c>
      <c r="B4774">
        <v>0.99334974765950101</v>
      </c>
      <c r="C4774">
        <v>1.03885921108652</v>
      </c>
      <c r="D4774">
        <v>1.0766529339353099</v>
      </c>
      <c r="E4774">
        <v>0.95366316457293598</v>
      </c>
      <c r="F4774">
        <v>0.226736135031192</v>
      </c>
      <c r="G4774">
        <v>0.13493117967964299</v>
      </c>
      <c r="H4774">
        <v>9.0021931539515598E-2</v>
      </c>
      <c r="I4774">
        <v>7.6769296938140205E-2</v>
      </c>
      <c r="J4774">
        <v>7.1836807590561894E-2</v>
      </c>
      <c r="K4774">
        <v>6.3178873040159095E-2</v>
      </c>
      <c r="L4774">
        <v>4079.5391137513798</v>
      </c>
      <c r="M4774">
        <v>78.678908308686204</v>
      </c>
      <c r="N4774">
        <v>51.976892970556897</v>
      </c>
      <c r="O4774">
        <v>51.817014300837798</v>
      </c>
      <c r="P4774">
        <v>-0.34653834907057401</v>
      </c>
      <c r="Q4774">
        <v>8.7095665186667906E-2</v>
      </c>
      <c r="R4774">
        <v>0.99469651507717405</v>
      </c>
      <c r="S4774" t="s">
        <v>10635</v>
      </c>
      <c r="T4774" t="s">
        <v>11720</v>
      </c>
      <c r="U4774" t="s">
        <v>11720</v>
      </c>
      <c r="V4774" t="s">
        <v>11720</v>
      </c>
      <c r="W4774" t="s">
        <v>16438</v>
      </c>
      <c r="X4774">
        <v>21</v>
      </c>
      <c r="Y4774" t="s">
        <v>22147</v>
      </c>
      <c r="Z4774" t="s">
        <v>27981</v>
      </c>
      <c r="AA4774">
        <v>0.44854787656704709</v>
      </c>
      <c r="AB4774" t="str">
        <f>HYPERLINK("Melting_Curves/meltCurve_Q9BR76_CORO1B.pdf", "Melting_Curves/meltCurve_Q9BR76_CORO1B.pdf")</f>
        <v>Melting_Curves/meltCurve_Q9BR76_CORO1B.pdf</v>
      </c>
    </row>
    <row r="4775" spans="1:28" x14ac:dyDescent="0.25">
      <c r="A4775" t="s">
        <v>4779</v>
      </c>
      <c r="B4775">
        <v>0.99334974765950101</v>
      </c>
      <c r="C4775">
        <v>0.99644631490207203</v>
      </c>
      <c r="D4775">
        <v>0.83119693025786501</v>
      </c>
      <c r="E4775">
        <v>0.72875923621919403</v>
      </c>
      <c r="F4775">
        <v>0.34421053543949098</v>
      </c>
      <c r="G4775">
        <v>0.22286326972152301</v>
      </c>
      <c r="H4775">
        <v>0.15645148613391899</v>
      </c>
      <c r="I4775">
        <v>0.168587111284902</v>
      </c>
      <c r="J4775">
        <v>0.13457854210304901</v>
      </c>
      <c r="K4775">
        <v>0.102905842892865</v>
      </c>
      <c r="L4775">
        <v>1022.83440738665</v>
      </c>
      <c r="M4775">
        <v>20.050129861583301</v>
      </c>
      <c r="N4775">
        <v>51.742373332742503</v>
      </c>
      <c r="O4775">
        <v>50.514548208372602</v>
      </c>
      <c r="P4775">
        <v>-8.7029509418093301E-2</v>
      </c>
      <c r="Q4775">
        <v>0.12297574995746099</v>
      </c>
      <c r="R4775">
        <v>0.98563078211394495</v>
      </c>
      <c r="S4775" t="s">
        <v>10636</v>
      </c>
      <c r="T4775" t="s">
        <v>11720</v>
      </c>
      <c r="U4775" t="s">
        <v>11720</v>
      </c>
      <c r="V4775" t="s">
        <v>11720</v>
      </c>
      <c r="W4775" t="s">
        <v>16439</v>
      </c>
      <c r="X4775">
        <v>7</v>
      </c>
      <c r="Y4775" t="s">
        <v>22148</v>
      </c>
      <c r="Z4775" t="s">
        <v>27982</v>
      </c>
      <c r="AA4775">
        <v>0.45707347479190458</v>
      </c>
      <c r="AB4775" t="str">
        <f>HYPERLINK("Melting_Curves/meltCurve_Q9BRA2_TXNDC17.pdf", "Melting_Curves/meltCurve_Q9BRA2_TXNDC17.pdf")</f>
        <v>Melting_Curves/meltCurve_Q9BRA2_TXNDC17.pdf</v>
      </c>
    </row>
    <row r="4776" spans="1:28" x14ac:dyDescent="0.25">
      <c r="A4776" t="s">
        <v>4780</v>
      </c>
      <c r="B4776">
        <v>0.99334974765950101</v>
      </c>
      <c r="C4776">
        <v>1.00720768258816</v>
      </c>
      <c r="D4776">
        <v>0.93174085307016197</v>
      </c>
      <c r="E4776">
        <v>0.71818907223476403</v>
      </c>
      <c r="F4776">
        <v>0.58654804933631399</v>
      </c>
      <c r="G4776">
        <v>0.43407137732402601</v>
      </c>
      <c r="H4776">
        <v>0.374032098704417</v>
      </c>
      <c r="I4776">
        <v>0.51774193847278105</v>
      </c>
      <c r="J4776">
        <v>0.353786686807118</v>
      </c>
      <c r="K4776">
        <v>0.28501335036984798</v>
      </c>
      <c r="L4776">
        <v>918.485280163276</v>
      </c>
      <c r="M4776">
        <v>18.0266623032797</v>
      </c>
      <c r="N4776">
        <v>54.942740090068497</v>
      </c>
      <c r="O4776">
        <v>50.336893844094</v>
      </c>
      <c r="P4776">
        <v>-5.6852062660919203E-2</v>
      </c>
      <c r="Q4776">
        <v>0.36502599290528798</v>
      </c>
      <c r="R4776">
        <v>0.95868377923092996</v>
      </c>
      <c r="S4776" t="s">
        <v>10637</v>
      </c>
      <c r="T4776" t="s">
        <v>11720</v>
      </c>
      <c r="U4776" t="s">
        <v>11720</v>
      </c>
      <c r="V4776" t="s">
        <v>11720</v>
      </c>
      <c r="W4776" t="s">
        <v>16440</v>
      </c>
      <c r="X4776">
        <v>14</v>
      </c>
      <c r="Y4776" t="s">
        <v>22149</v>
      </c>
      <c r="Z4776" t="s">
        <v>27983</v>
      </c>
      <c r="AA4776">
        <v>0.60749935114456544</v>
      </c>
      <c r="AB4776" t="str">
        <f>HYPERLINK("Melting_Curves/meltCurve_Q9BRF8_CPPED1.pdf", "Melting_Curves/meltCurve_Q9BRF8_CPPED1.pdf")</f>
        <v>Melting_Curves/meltCurve_Q9BRF8_CPPED1.pdf</v>
      </c>
    </row>
    <row r="4777" spans="1:28" x14ac:dyDescent="0.25">
      <c r="A4777" t="s">
        <v>4781</v>
      </c>
      <c r="B4777">
        <v>0.99334974765950101</v>
      </c>
      <c r="C4777">
        <v>1.0152438273056299</v>
      </c>
      <c r="D4777">
        <v>0.97722275341104503</v>
      </c>
      <c r="E4777">
        <v>0.78682950401992802</v>
      </c>
      <c r="F4777">
        <v>0.45205305483598701</v>
      </c>
      <c r="G4777">
        <v>0.21626044749982101</v>
      </c>
      <c r="H4777">
        <v>0.17059228847126401</v>
      </c>
      <c r="I4777">
        <v>0.136047732904856</v>
      </c>
      <c r="J4777">
        <v>0.12199112583986001</v>
      </c>
      <c r="K4777">
        <v>0.111001951917915</v>
      </c>
      <c r="L4777">
        <v>1380.1563753635701</v>
      </c>
      <c r="M4777">
        <v>26.516328218267599</v>
      </c>
      <c r="N4777">
        <v>52.6405154734787</v>
      </c>
      <c r="O4777">
        <v>51.755970706848501</v>
      </c>
      <c r="P4777">
        <v>-0.11159023335832501</v>
      </c>
      <c r="Q4777">
        <v>0.12877838142197301</v>
      </c>
      <c r="R4777">
        <v>0.99885870517577302</v>
      </c>
      <c r="S4777" t="s">
        <v>10638</v>
      </c>
      <c r="T4777" t="s">
        <v>11720</v>
      </c>
      <c r="U4777" t="s">
        <v>11720</v>
      </c>
      <c r="V4777" t="s">
        <v>11720</v>
      </c>
      <c r="W4777" t="s">
        <v>16441</v>
      </c>
      <c r="X4777">
        <v>8</v>
      </c>
      <c r="Y4777" t="s">
        <v>22150</v>
      </c>
      <c r="Z4777" t="s">
        <v>27984</v>
      </c>
      <c r="AA4777">
        <v>0.48579916086496389</v>
      </c>
      <c r="AB4777" t="str">
        <f>HYPERLINK("Melting_Curves/meltCurve_Q9BRG1_VPS25.pdf", "Melting_Curves/meltCurve_Q9BRG1_VPS25.pdf")</f>
        <v>Melting_Curves/meltCurve_Q9BRG1_VPS25.pdf</v>
      </c>
    </row>
    <row r="4778" spans="1:28" x14ac:dyDescent="0.25">
      <c r="A4778" t="s">
        <v>4782</v>
      </c>
      <c r="B4778">
        <v>0.99334974765950101</v>
      </c>
      <c r="C4778">
        <v>1.03181756131923</v>
      </c>
      <c r="D4778">
        <v>0.88297864605505705</v>
      </c>
      <c r="E4778">
        <v>0.81225212869739405</v>
      </c>
      <c r="F4778">
        <v>0.79592105052880802</v>
      </c>
      <c r="G4778">
        <v>0.62744949564221797</v>
      </c>
      <c r="H4778">
        <v>0.53830285709079695</v>
      </c>
      <c r="I4778">
        <v>0.56498125646078601</v>
      </c>
      <c r="J4778">
        <v>0.49420425433555798</v>
      </c>
      <c r="K4778">
        <v>0.38476861528988598</v>
      </c>
      <c r="L4778">
        <v>482.41866696431401</v>
      </c>
      <c r="M4778">
        <v>8.4634391166185505</v>
      </c>
      <c r="N4778">
        <v>64.503209506530496</v>
      </c>
      <c r="O4778">
        <v>54.085003970612497</v>
      </c>
      <c r="P4778">
        <v>-2.68937761618556E-2</v>
      </c>
      <c r="Q4778">
        <v>0.31317796722111702</v>
      </c>
      <c r="R4778">
        <v>0.96314783892425904</v>
      </c>
      <c r="S4778" t="s">
        <v>10639</v>
      </c>
      <c r="T4778" t="s">
        <v>11720</v>
      </c>
      <c r="U4778" t="s">
        <v>11720</v>
      </c>
      <c r="V4778" t="s">
        <v>11720</v>
      </c>
      <c r="W4778" t="s">
        <v>16442</v>
      </c>
      <c r="X4778">
        <v>9</v>
      </c>
      <c r="Y4778" t="s">
        <v>22151</v>
      </c>
      <c r="Z4778" t="s">
        <v>27985</v>
      </c>
      <c r="AA4778">
        <v>0.71145475976454897</v>
      </c>
      <c r="AB4778" t="str">
        <f>HYPERLINK("Melting_Curves/meltCurve_Q9BRK0_2_REEP2.pdf", "Melting_Curves/meltCurve_Q9BRK0_2_REEP2.pdf")</f>
        <v>Melting_Curves/meltCurve_Q9BRK0_2_REEP2.pdf</v>
      </c>
    </row>
    <row r="4779" spans="1:28" x14ac:dyDescent="0.25">
      <c r="A4779" t="s">
        <v>4783</v>
      </c>
      <c r="B4779">
        <v>0.99334974765950101</v>
      </c>
      <c r="C4779">
        <v>0.99203918213112297</v>
      </c>
      <c r="D4779">
        <v>0.86057770329673</v>
      </c>
      <c r="E4779">
        <v>0.71512787258792399</v>
      </c>
      <c r="F4779">
        <v>0.58244689681436901</v>
      </c>
      <c r="G4779">
        <v>0.44273063239152499</v>
      </c>
      <c r="H4779">
        <v>0.45023958889198101</v>
      </c>
      <c r="I4779">
        <v>0.57587723112579603</v>
      </c>
      <c r="J4779">
        <v>0.64835544226199304</v>
      </c>
      <c r="K4779">
        <v>0.62081875356586402</v>
      </c>
      <c r="L4779">
        <v>1190.5180601381101</v>
      </c>
      <c r="M4779">
        <v>24.753228043585899</v>
      </c>
      <c r="O4779">
        <v>47.784867029247501</v>
      </c>
      <c r="P4779">
        <v>-5.8460955178521401E-2</v>
      </c>
      <c r="Q4779">
        <v>0.54858257718928205</v>
      </c>
      <c r="R4779">
        <v>0.88462244890848696</v>
      </c>
      <c r="S4779" t="s">
        <v>10640</v>
      </c>
      <c r="T4779" t="s">
        <v>11720</v>
      </c>
      <c r="U4779" t="s">
        <v>11720</v>
      </c>
      <c r="V4779" t="s">
        <v>11720</v>
      </c>
      <c r="W4779" t="s">
        <v>16443</v>
      </c>
      <c r="X4779">
        <v>21</v>
      </c>
      <c r="Y4779" t="s">
        <v>22152</v>
      </c>
      <c r="Z4779" t="s">
        <v>27986</v>
      </c>
      <c r="AA4779">
        <v>0.67447098233527225</v>
      </c>
      <c r="AB4779" t="str">
        <f>HYPERLINK("Melting_Curves/meltCurve_Q9BRK5_SDF4.pdf", "Melting_Curves/meltCurve_Q9BRK5_SDF4.pdf")</f>
        <v>Melting_Curves/meltCurve_Q9BRK5_SDF4.pdf</v>
      </c>
    </row>
    <row r="4780" spans="1:28" x14ac:dyDescent="0.25">
      <c r="A4780" t="s">
        <v>4784</v>
      </c>
      <c r="B4780">
        <v>0.99334974765950101</v>
      </c>
      <c r="C4780">
        <v>0.96891252416350904</v>
      </c>
      <c r="D4780">
        <v>1.1121337360625101</v>
      </c>
      <c r="E4780">
        <v>1.0345341850121801</v>
      </c>
      <c r="F4780">
        <v>0.81031110627795799</v>
      </c>
      <c r="G4780">
        <v>0.58922145153752703</v>
      </c>
      <c r="H4780">
        <v>0.47201596026168002</v>
      </c>
      <c r="I4780">
        <v>0.54253747869644697</v>
      </c>
      <c r="J4780">
        <v>0.13097247258762601</v>
      </c>
      <c r="K4780">
        <v>3.5902959128868997E-2</v>
      </c>
      <c r="L4780">
        <v>797.14694409857395</v>
      </c>
      <c r="M4780">
        <v>13.1861671718771</v>
      </c>
      <c r="N4780">
        <v>60.453271607969</v>
      </c>
      <c r="O4780">
        <v>59.113615930070999</v>
      </c>
      <c r="P4780">
        <v>-5.5775522668929003E-2</v>
      </c>
      <c r="Q4780">
        <v>0</v>
      </c>
      <c r="R4780">
        <v>0.91915363476666001</v>
      </c>
      <c r="S4780" t="s">
        <v>10641</v>
      </c>
      <c r="T4780" t="s">
        <v>11720</v>
      </c>
      <c r="U4780" t="s">
        <v>11720</v>
      </c>
      <c r="V4780" t="s">
        <v>11720</v>
      </c>
      <c r="W4780" t="s">
        <v>16444</v>
      </c>
      <c r="X4780">
        <v>4</v>
      </c>
      <c r="Y4780" t="s">
        <v>22153</v>
      </c>
      <c r="Z4780" t="s">
        <v>27987</v>
      </c>
      <c r="AA4780">
        <v>0.684075821706566</v>
      </c>
      <c r="AB4780" t="str">
        <f>HYPERLINK("Melting_Curves/meltCurve_Q9BRP1_PDCD2L.pdf", "Melting_Curves/meltCurve_Q9BRP1_PDCD2L.pdf")</f>
        <v>Melting_Curves/meltCurve_Q9BRP1_PDCD2L.pdf</v>
      </c>
    </row>
    <row r="4781" spans="1:28" x14ac:dyDescent="0.25">
      <c r="A4781" t="s">
        <v>4785</v>
      </c>
      <c r="B4781">
        <v>0.99334974765950101</v>
      </c>
      <c r="C4781">
        <v>0.98372796584024302</v>
      </c>
      <c r="D4781">
        <v>1.14844372397141</v>
      </c>
      <c r="E4781">
        <v>1.5016033352796001</v>
      </c>
      <c r="F4781">
        <v>1.65476379479386</v>
      </c>
      <c r="G4781">
        <v>1.3098718438380299</v>
      </c>
      <c r="H4781">
        <v>1.18035177127221</v>
      </c>
      <c r="I4781">
        <v>0.48509185258984699</v>
      </c>
      <c r="J4781">
        <v>0.28072923154152901</v>
      </c>
      <c r="K4781">
        <v>0.21166570341883101</v>
      </c>
      <c r="L4781">
        <v>15000</v>
      </c>
      <c r="M4781">
        <v>235.142804466179</v>
      </c>
      <c r="N4781">
        <v>63.975494522413896</v>
      </c>
      <c r="O4781">
        <v>63.786403364563299</v>
      </c>
      <c r="P4781">
        <v>-0.69471527631130303</v>
      </c>
      <c r="Q4781">
        <v>0.24618756767241601</v>
      </c>
      <c r="R4781">
        <v>0.62600151844069296</v>
      </c>
      <c r="S4781" t="s">
        <v>10642</v>
      </c>
      <c r="T4781" t="s">
        <v>11720</v>
      </c>
      <c r="U4781" t="s">
        <v>11720</v>
      </c>
      <c r="V4781" t="s">
        <v>11720</v>
      </c>
      <c r="W4781" t="s">
        <v>16445</v>
      </c>
      <c r="X4781">
        <v>4</v>
      </c>
      <c r="Y4781" t="s">
        <v>22154</v>
      </c>
      <c r="Z4781" t="s">
        <v>27988</v>
      </c>
      <c r="AA4781">
        <v>0.84408192130577042</v>
      </c>
      <c r="AB4781" t="str">
        <f>HYPERLINK("Melting_Curves/meltCurve_Q9BRP4_PAAF1.pdf", "Melting_Curves/meltCurve_Q9BRP4_PAAF1.pdf")</f>
        <v>Melting_Curves/meltCurve_Q9BRP4_PAAF1.pdf</v>
      </c>
    </row>
    <row r="4782" spans="1:28" x14ac:dyDescent="0.25">
      <c r="A4782" t="s">
        <v>4786</v>
      </c>
      <c r="B4782">
        <v>0.99334974765950101</v>
      </c>
      <c r="C4782">
        <v>1.08993159403789</v>
      </c>
      <c r="D4782">
        <v>0.95062845567721399</v>
      </c>
      <c r="E4782">
        <v>0.92878234301505902</v>
      </c>
      <c r="F4782">
        <v>1.1127389456004899</v>
      </c>
      <c r="G4782">
        <v>0.86641214640872999</v>
      </c>
      <c r="H4782">
        <v>1.3275140673662</v>
      </c>
      <c r="I4782">
        <v>1.1351704306042301</v>
      </c>
      <c r="J4782">
        <v>1.1315499486845899</v>
      </c>
      <c r="K4782">
        <v>1.0358084871087201</v>
      </c>
      <c r="L4782">
        <v>2949.0687837526102</v>
      </c>
      <c r="M4782">
        <v>50.225021553991397</v>
      </c>
      <c r="O4782">
        <v>58.624261458178196</v>
      </c>
      <c r="P4782">
        <v>3.2182193137060201E-2</v>
      </c>
      <c r="Q4782">
        <v>1.1502562397501701</v>
      </c>
      <c r="R4782">
        <v>0.32435631649164698</v>
      </c>
      <c r="S4782" t="s">
        <v>10643</v>
      </c>
      <c r="T4782" t="s">
        <v>11720</v>
      </c>
      <c r="U4782" t="s">
        <v>11720</v>
      </c>
      <c r="V4782" t="s">
        <v>11720</v>
      </c>
      <c r="W4782" t="s">
        <v>16446</v>
      </c>
      <c r="X4782">
        <v>10</v>
      </c>
      <c r="Y4782" t="s">
        <v>22155</v>
      </c>
      <c r="Z4782" t="s">
        <v>27989</v>
      </c>
      <c r="AA4782">
        <v>1.056127750578538</v>
      </c>
      <c r="AB4782" t="str">
        <f>HYPERLINK("Melting_Curves/meltCurve_Q9BRP8_2_WIBG.pdf", "Melting_Curves/meltCurve_Q9BRP8_2_WIBG.pdf")</f>
        <v>Melting_Curves/meltCurve_Q9BRP8_2_WIBG.pdf</v>
      </c>
    </row>
    <row r="4783" spans="1:28" x14ac:dyDescent="0.25">
      <c r="A4783" t="s">
        <v>4787</v>
      </c>
      <c r="B4783">
        <v>0.99334974765950101</v>
      </c>
      <c r="C4783">
        <v>0.94212622163964599</v>
      </c>
      <c r="D4783">
        <v>0.88715333022698095</v>
      </c>
      <c r="E4783">
        <v>0.69954653342990103</v>
      </c>
      <c r="F4783">
        <v>0.46688955199465998</v>
      </c>
      <c r="G4783">
        <v>0.206701718888848</v>
      </c>
      <c r="H4783">
        <v>0.135817577092369</v>
      </c>
      <c r="I4783">
        <v>0.106328544105943</v>
      </c>
      <c r="J4783">
        <v>8.0945301283742804E-2</v>
      </c>
      <c r="K4783">
        <v>7.5761505679206295E-2</v>
      </c>
      <c r="L4783">
        <v>869.63041124024198</v>
      </c>
      <c r="M4783">
        <v>16.719255936731201</v>
      </c>
      <c r="N4783">
        <v>52.406842974427299</v>
      </c>
      <c r="O4783">
        <v>51.286687107980498</v>
      </c>
      <c r="P4783">
        <v>-7.6700679589114001E-2</v>
      </c>
      <c r="Q4783">
        <v>5.8937976402169197E-2</v>
      </c>
      <c r="R4783">
        <v>0.99801474399243495</v>
      </c>
      <c r="S4783" t="s">
        <v>10644</v>
      </c>
      <c r="T4783" t="s">
        <v>11720</v>
      </c>
      <c r="U4783" t="s">
        <v>11720</v>
      </c>
      <c r="V4783" t="s">
        <v>11720</v>
      </c>
      <c r="W4783" t="s">
        <v>16447</v>
      </c>
      <c r="X4783">
        <v>8</v>
      </c>
      <c r="Y4783" t="s">
        <v>22156</v>
      </c>
      <c r="Z4783" t="s">
        <v>27990</v>
      </c>
      <c r="AA4783">
        <v>0.45350455887059921</v>
      </c>
      <c r="AB4783" t="str">
        <f>HYPERLINK("Melting_Curves/meltCurve_Q9BRQ8_AIFM2.pdf", "Melting_Curves/meltCurve_Q9BRQ8_AIFM2.pdf")</f>
        <v>Melting_Curves/meltCurve_Q9BRQ8_AIFM2.pdf</v>
      </c>
    </row>
    <row r="4784" spans="1:28" x14ac:dyDescent="0.25">
      <c r="A4784" t="s">
        <v>4788</v>
      </c>
      <c r="B4784">
        <v>0.99334974765950101</v>
      </c>
      <c r="C4784">
        <v>0.92035125533273199</v>
      </c>
      <c r="D4784">
        <v>0.96201190576102802</v>
      </c>
      <c r="E4784">
        <v>0.83653642039825205</v>
      </c>
      <c r="F4784">
        <v>0.76359299022997895</v>
      </c>
      <c r="G4784">
        <v>0.449867379149194</v>
      </c>
      <c r="H4784">
        <v>0.256015348364173</v>
      </c>
      <c r="I4784">
        <v>9.5945083165045006E-2</v>
      </c>
      <c r="J4784">
        <v>8.6947521175811698E-2</v>
      </c>
      <c r="K4784">
        <v>6.2968110892687099E-2</v>
      </c>
      <c r="L4784">
        <v>855.98043947393501</v>
      </c>
      <c r="M4784">
        <v>15.188529174386501</v>
      </c>
      <c r="N4784">
        <v>56.357018493275298</v>
      </c>
      <c r="O4784">
        <v>55.407179834316103</v>
      </c>
      <c r="P4784">
        <v>-6.8538005534136304E-2</v>
      </c>
      <c r="Q4784">
        <v>0</v>
      </c>
      <c r="R4784">
        <v>0.99235358204145097</v>
      </c>
      <c r="S4784" t="s">
        <v>10645</v>
      </c>
      <c r="T4784" t="s">
        <v>11720</v>
      </c>
      <c r="U4784" t="s">
        <v>11720</v>
      </c>
      <c r="V4784" t="s">
        <v>11720</v>
      </c>
      <c r="W4784" t="s">
        <v>16448</v>
      </c>
      <c r="X4784">
        <v>12</v>
      </c>
      <c r="Y4784" t="s">
        <v>18413</v>
      </c>
      <c r="Z4784" t="s">
        <v>27991</v>
      </c>
      <c r="AA4784">
        <v>0.56217434107194875</v>
      </c>
      <c r="AB4784" t="str">
        <f>HYPERLINK("Melting_Curves/meltCurve_Q9BRR6_2_ADPGK.pdf", "Melting_Curves/meltCurve_Q9BRR6_2_ADPGK.pdf")</f>
        <v>Melting_Curves/meltCurve_Q9BRR6_2_ADPGK.pdf</v>
      </c>
    </row>
    <row r="4785" spans="1:28" x14ac:dyDescent="0.25">
      <c r="A4785" t="s">
        <v>4789</v>
      </c>
      <c r="B4785">
        <v>0.99334974765950101</v>
      </c>
      <c r="C4785">
        <v>0.98066077871406598</v>
      </c>
      <c r="D4785">
        <v>0.81113665122977896</v>
      </c>
      <c r="E4785">
        <v>0.61668530789543596</v>
      </c>
      <c r="F4785">
        <v>0.56719070838111196</v>
      </c>
      <c r="G4785">
        <v>0.34204487378683701</v>
      </c>
      <c r="H4785">
        <v>0.293881017171365</v>
      </c>
      <c r="I4785">
        <v>0.248759378373236</v>
      </c>
      <c r="J4785">
        <v>0.22043192866035699</v>
      </c>
      <c r="K4785">
        <v>0.22529802445968899</v>
      </c>
      <c r="L4785">
        <v>639.25099730881402</v>
      </c>
      <c r="M4785">
        <v>12.489603793339301</v>
      </c>
      <c r="N4785">
        <v>53.2229010341322</v>
      </c>
      <c r="O4785">
        <v>49.923658038308197</v>
      </c>
      <c r="P4785">
        <v>-5.0656299426315297E-2</v>
      </c>
      <c r="Q4785">
        <v>0.19023025681719399</v>
      </c>
      <c r="R4785">
        <v>0.98957874361224996</v>
      </c>
      <c r="S4785" t="s">
        <v>10646</v>
      </c>
      <c r="T4785" t="s">
        <v>11720</v>
      </c>
      <c r="U4785" t="s">
        <v>11720</v>
      </c>
      <c r="V4785" t="s">
        <v>11720</v>
      </c>
      <c r="W4785" t="s">
        <v>16449</v>
      </c>
      <c r="X4785">
        <v>4</v>
      </c>
      <c r="Y4785" t="s">
        <v>22157</v>
      </c>
      <c r="Z4785" t="s">
        <v>27992</v>
      </c>
      <c r="AA4785">
        <v>0.51674407535665146</v>
      </c>
      <c r="AB4785" t="str">
        <f>HYPERLINK("Melting_Curves/meltCurve_Q9BRS8_LARP6.pdf", "Melting_Curves/meltCurve_Q9BRS8_LARP6.pdf")</f>
        <v>Melting_Curves/meltCurve_Q9BRS8_LARP6.pdf</v>
      </c>
    </row>
    <row r="4786" spans="1:28" x14ac:dyDescent="0.25">
      <c r="A4786" t="s">
        <v>4790</v>
      </c>
      <c r="B4786">
        <v>0.99334974765950101</v>
      </c>
      <c r="C4786">
        <v>0.95267338596054096</v>
      </c>
      <c r="D4786">
        <v>0.95684638060657501</v>
      </c>
      <c r="E4786">
        <v>0.86266441820520601</v>
      </c>
      <c r="F4786">
        <v>0.77161475512467703</v>
      </c>
      <c r="G4786">
        <v>0.58281434043099301</v>
      </c>
      <c r="H4786">
        <v>0.41732549379202899</v>
      </c>
      <c r="I4786">
        <v>0.30538920911600997</v>
      </c>
      <c r="J4786">
        <v>0.30599085109901702</v>
      </c>
      <c r="K4786">
        <v>0.26783574344511502</v>
      </c>
      <c r="L4786">
        <v>733.35126962418701</v>
      </c>
      <c r="M4786">
        <v>12.9961805695349</v>
      </c>
      <c r="N4786">
        <v>58.716373428332702</v>
      </c>
      <c r="O4786">
        <v>55.142301868268902</v>
      </c>
      <c r="P4786">
        <v>-4.7222607877008799E-2</v>
      </c>
      <c r="Q4786">
        <v>0.19868665247512801</v>
      </c>
      <c r="R4786">
        <v>0.99610199918540299</v>
      </c>
      <c r="S4786" t="s">
        <v>10647</v>
      </c>
      <c r="T4786" t="s">
        <v>11720</v>
      </c>
      <c r="U4786" t="s">
        <v>11720</v>
      </c>
      <c r="V4786" t="s">
        <v>11720</v>
      </c>
      <c r="W4786" t="s">
        <v>16450</v>
      </c>
      <c r="X4786">
        <v>8</v>
      </c>
      <c r="Y4786" t="s">
        <v>22158</v>
      </c>
      <c r="Z4786" t="s">
        <v>27993</v>
      </c>
      <c r="AA4786">
        <v>0.65227186478835508</v>
      </c>
      <c r="AB4786" t="str">
        <f>HYPERLINK("Melting_Curves/meltCurve_Q9BRT2_MNF1.pdf", "Melting_Curves/meltCurve_Q9BRT2_MNF1.pdf")</f>
        <v>Melting_Curves/meltCurve_Q9BRT2_MNF1.pdf</v>
      </c>
    </row>
    <row r="4787" spans="1:28" x14ac:dyDescent="0.25">
      <c r="A4787" t="s">
        <v>4791</v>
      </c>
      <c r="B4787">
        <v>0.99334974765950101</v>
      </c>
      <c r="C4787">
        <v>0.97115058380080099</v>
      </c>
      <c r="D4787">
        <v>0.78482047070384597</v>
      </c>
      <c r="E4787">
        <v>0.671229036589163</v>
      </c>
      <c r="F4787">
        <v>0.72913854155056901</v>
      </c>
      <c r="G4787">
        <v>0.48517259200949298</v>
      </c>
      <c r="H4787">
        <v>0.43620811028446099</v>
      </c>
      <c r="I4787">
        <v>0.397933673083397</v>
      </c>
      <c r="J4787">
        <v>0.49901597342770199</v>
      </c>
      <c r="K4787">
        <v>0.407684982714906</v>
      </c>
      <c r="L4787">
        <v>559.40560859105904</v>
      </c>
      <c r="M4787">
        <v>11.0722506830759</v>
      </c>
      <c r="N4787">
        <v>58.505591985671799</v>
      </c>
      <c r="O4787">
        <v>48.959123189781003</v>
      </c>
      <c r="P4787">
        <v>-3.4521186454748803E-2</v>
      </c>
      <c r="Q4787">
        <v>0.38961960926196398</v>
      </c>
      <c r="R4787">
        <v>0.933789022368963</v>
      </c>
      <c r="S4787" t="s">
        <v>10648</v>
      </c>
      <c r="T4787" t="s">
        <v>11720</v>
      </c>
      <c r="U4787" t="s">
        <v>11720</v>
      </c>
      <c r="V4787" t="s">
        <v>11720</v>
      </c>
      <c r="W4787" t="s">
        <v>16451</v>
      </c>
      <c r="X4787">
        <v>6</v>
      </c>
      <c r="Y4787" t="s">
        <v>22159</v>
      </c>
      <c r="Z4787" t="s">
        <v>27994</v>
      </c>
      <c r="AA4787">
        <v>0.62675118434027477</v>
      </c>
      <c r="AB4787" t="str">
        <f>HYPERLINK("Melting_Curves/meltCurve_Q9BRV8_SIKE1.pdf", "Melting_Curves/meltCurve_Q9BRV8_SIKE1.pdf")</f>
        <v>Melting_Curves/meltCurve_Q9BRV8_SIKE1.pdf</v>
      </c>
    </row>
    <row r="4788" spans="1:28" x14ac:dyDescent="0.25">
      <c r="A4788" t="s">
        <v>4792</v>
      </c>
      <c r="B4788">
        <v>0.99334974765950101</v>
      </c>
      <c r="C4788">
        <v>0.89087025834773004</v>
      </c>
      <c r="D4788">
        <v>0.53039800122498604</v>
      </c>
      <c r="E4788">
        <v>0.164770422645829</v>
      </c>
      <c r="F4788">
        <v>0.12848960568739501</v>
      </c>
      <c r="G4788">
        <v>6.99823355257152E-2</v>
      </c>
      <c r="H4788">
        <v>5.4899916034284797E-2</v>
      </c>
      <c r="I4788">
        <v>4.1770661633781E-2</v>
      </c>
      <c r="J4788">
        <v>3.9032804765910797E-2</v>
      </c>
      <c r="K4788">
        <v>3.30640875216636E-2</v>
      </c>
      <c r="L4788">
        <v>1161.9135493520901</v>
      </c>
      <c r="M4788">
        <v>25.190535061685701</v>
      </c>
      <c r="N4788">
        <v>46.326859643368103</v>
      </c>
      <c r="O4788">
        <v>45.837271697965697</v>
      </c>
      <c r="P4788">
        <v>-0.130252136653773</v>
      </c>
      <c r="Q4788">
        <v>5.1973346248244602E-2</v>
      </c>
      <c r="R4788">
        <v>0.99754582156210903</v>
      </c>
      <c r="S4788" t="s">
        <v>10649</v>
      </c>
      <c r="T4788" t="s">
        <v>11720</v>
      </c>
      <c r="U4788" t="s">
        <v>11720</v>
      </c>
      <c r="V4788" t="s">
        <v>11720</v>
      </c>
      <c r="W4788" t="s">
        <v>16452</v>
      </c>
      <c r="X4788">
        <v>13</v>
      </c>
      <c r="Y4788" t="s">
        <v>22160</v>
      </c>
      <c r="Z4788" t="s">
        <v>27995</v>
      </c>
      <c r="AA4788">
        <v>0.25408328932759622</v>
      </c>
      <c r="AB4788" t="str">
        <f>HYPERLINK("Melting_Curves/meltCurve_Q9BRX2_PELO.pdf", "Melting_Curves/meltCurve_Q9BRX2_PELO.pdf")</f>
        <v>Melting_Curves/meltCurve_Q9BRX2_PELO.pdf</v>
      </c>
    </row>
    <row r="4789" spans="1:28" x14ac:dyDescent="0.25">
      <c r="A4789" t="s">
        <v>4793</v>
      </c>
      <c r="B4789">
        <v>0.99334974765950101</v>
      </c>
      <c r="C4789">
        <v>0.87159899030560595</v>
      </c>
      <c r="D4789">
        <v>0.92604404189299705</v>
      </c>
      <c r="E4789">
        <v>0.612446216572478</v>
      </c>
      <c r="F4789">
        <v>0.47745169368418799</v>
      </c>
      <c r="G4789">
        <v>0.30352526096787902</v>
      </c>
      <c r="H4789">
        <v>0.29312383998316499</v>
      </c>
      <c r="I4789">
        <v>0.324956933544018</v>
      </c>
      <c r="J4789">
        <v>0.29212316367935098</v>
      </c>
      <c r="K4789">
        <v>0.22272601534390599</v>
      </c>
      <c r="L4789">
        <v>886.93037672528703</v>
      </c>
      <c r="M4789">
        <v>17.7380929331941</v>
      </c>
      <c r="N4789">
        <v>52.199361371484201</v>
      </c>
      <c r="O4789">
        <v>49.378927800031398</v>
      </c>
      <c r="P4789">
        <v>-6.6183363347207202E-2</v>
      </c>
      <c r="Q4789">
        <v>0.26307905675601101</v>
      </c>
      <c r="R4789">
        <v>0.97750377449417303</v>
      </c>
      <c r="S4789" t="s">
        <v>10650</v>
      </c>
      <c r="T4789" t="s">
        <v>11720</v>
      </c>
      <c r="U4789" t="s">
        <v>11720</v>
      </c>
      <c r="V4789" t="s">
        <v>11720</v>
      </c>
      <c r="W4789" t="s">
        <v>16453</v>
      </c>
      <c r="X4789">
        <v>4</v>
      </c>
      <c r="Y4789" t="s">
        <v>22161</v>
      </c>
      <c r="Z4789" t="s">
        <v>27996</v>
      </c>
      <c r="AA4789">
        <v>0.52167572469645018</v>
      </c>
      <c r="AB4789" t="str">
        <f>HYPERLINK("Melting_Curves/meltCurve_Q9BRX8_2_FAM213A.pdf", "Melting_Curves/meltCurve_Q9BRX8_2_FAM213A.pdf")</f>
        <v>Melting_Curves/meltCurve_Q9BRX8_2_FAM213A.pdf</v>
      </c>
    </row>
    <row r="4790" spans="1:28" x14ac:dyDescent="0.25">
      <c r="A4790" t="s">
        <v>4794</v>
      </c>
      <c r="B4790">
        <v>0.99334974765950101</v>
      </c>
      <c r="C4790">
        <v>1.0289022097290601</v>
      </c>
      <c r="D4790">
        <v>0.96385272403918698</v>
      </c>
      <c r="E4790">
        <v>0.72612372101670597</v>
      </c>
      <c r="F4790">
        <v>0.94573151620442497</v>
      </c>
      <c r="G4790">
        <v>0.438882635342282</v>
      </c>
      <c r="H4790">
        <v>0.56150226321027996</v>
      </c>
      <c r="I4790">
        <v>0.32788541315229802</v>
      </c>
      <c r="J4790">
        <v>0.618360746969981</v>
      </c>
      <c r="K4790">
        <v>0.55676432222001604</v>
      </c>
      <c r="L4790">
        <v>1069.7427828366101</v>
      </c>
      <c r="M4790">
        <v>20.208713428330402</v>
      </c>
      <c r="N4790">
        <v>65.068086056251701</v>
      </c>
      <c r="O4790">
        <v>52.424567558184101</v>
      </c>
      <c r="P4790">
        <v>-4.9299357018524198E-2</v>
      </c>
      <c r="Q4790">
        <v>0.488454969564174</v>
      </c>
      <c r="R4790">
        <v>0.755951459471912</v>
      </c>
      <c r="S4790" t="s">
        <v>10651</v>
      </c>
      <c r="T4790" t="s">
        <v>11720</v>
      </c>
      <c r="U4790" t="s">
        <v>11720</v>
      </c>
      <c r="V4790" t="s">
        <v>11720</v>
      </c>
      <c r="W4790" t="s">
        <v>16454</v>
      </c>
      <c r="X4790">
        <v>2</v>
      </c>
      <c r="Y4790" t="s">
        <v>22162</v>
      </c>
      <c r="Z4790" t="s">
        <v>27997</v>
      </c>
      <c r="AA4790">
        <v>0.71592669087506444</v>
      </c>
      <c r="AB4790" t="str">
        <f>HYPERLINK("Melting_Curves/meltCurve_Q9BRZ2_TRIM56.pdf", "Melting_Curves/meltCurve_Q9BRZ2_TRIM56.pdf")</f>
        <v>Melting_Curves/meltCurve_Q9BRZ2_TRIM56.pdf</v>
      </c>
    </row>
    <row r="4791" spans="1:28" x14ac:dyDescent="0.25">
      <c r="A4791" t="s">
        <v>4795</v>
      </c>
      <c r="B4791">
        <v>0.99334974765950101</v>
      </c>
      <c r="C4791">
        <v>0.96913298867465303</v>
      </c>
      <c r="D4791">
        <v>0.93063229089178201</v>
      </c>
      <c r="E4791">
        <v>0.53828728066701503</v>
      </c>
      <c r="F4791">
        <v>0.87481749650473095</v>
      </c>
      <c r="G4791">
        <v>0.44137106258369901</v>
      </c>
      <c r="H4791">
        <v>0.36889097555359501</v>
      </c>
      <c r="I4791">
        <v>0.29366341075583902</v>
      </c>
      <c r="J4791">
        <v>0.430600088326408</v>
      </c>
      <c r="K4791">
        <v>0.33424110030309501</v>
      </c>
      <c r="L4791">
        <v>601.87041734109403</v>
      </c>
      <c r="M4791">
        <v>11.4200221931982</v>
      </c>
      <c r="N4791">
        <v>56.971690005606099</v>
      </c>
      <c r="O4791">
        <v>51.164688476281597</v>
      </c>
      <c r="P4791">
        <v>-3.9769579745045698E-2</v>
      </c>
      <c r="Q4791">
        <v>0.28749553380993298</v>
      </c>
      <c r="R4791">
        <v>0.83323609022206702</v>
      </c>
      <c r="S4791" t="s">
        <v>10652</v>
      </c>
      <c r="T4791" t="s">
        <v>11720</v>
      </c>
      <c r="U4791" t="s">
        <v>11720</v>
      </c>
      <c r="V4791" t="s">
        <v>11720</v>
      </c>
      <c r="W4791" t="s">
        <v>16455</v>
      </c>
      <c r="X4791">
        <v>1</v>
      </c>
      <c r="Y4791" t="s">
        <v>22163</v>
      </c>
      <c r="Z4791" t="s">
        <v>27998</v>
      </c>
      <c r="AA4791">
        <v>0.61115069610894701</v>
      </c>
      <c r="AB4791" t="str">
        <f>HYPERLINK("Melting_Curves/meltCurve_Q9BS18_ANAPC13.pdf", "Melting_Curves/meltCurve_Q9BS18_ANAPC13.pdf")</f>
        <v>Melting_Curves/meltCurve_Q9BS18_ANAPC13.pdf</v>
      </c>
    </row>
    <row r="4792" spans="1:28" x14ac:dyDescent="0.25">
      <c r="A4792" t="s">
        <v>4796</v>
      </c>
      <c r="B4792">
        <v>0.99334974765950101</v>
      </c>
      <c r="C4792">
        <v>1.00669722695675</v>
      </c>
      <c r="D4792">
        <v>0.94221428723091705</v>
      </c>
      <c r="E4792">
        <v>0.77884441243339098</v>
      </c>
      <c r="F4792">
        <v>0.36956031341186102</v>
      </c>
      <c r="G4792">
        <v>0.175595122494104</v>
      </c>
      <c r="H4792">
        <v>0.12596461726585401</v>
      </c>
      <c r="I4792">
        <v>0.10473375049296001</v>
      </c>
      <c r="J4792">
        <v>9.3081375518333301E-2</v>
      </c>
      <c r="K4792">
        <v>7.6883110859598605E-2</v>
      </c>
      <c r="L4792">
        <v>1543.34950363178</v>
      </c>
      <c r="M4792">
        <v>29.861605895923699</v>
      </c>
      <c r="N4792">
        <v>52.071970657331399</v>
      </c>
      <c r="O4792">
        <v>51.453270364443497</v>
      </c>
      <c r="P4792">
        <v>-0.13060087591021199</v>
      </c>
      <c r="Q4792">
        <v>9.9874305076802894E-2</v>
      </c>
      <c r="R4792">
        <v>0.99759464323453995</v>
      </c>
      <c r="S4792" t="s">
        <v>10653</v>
      </c>
      <c r="T4792" t="s">
        <v>11720</v>
      </c>
      <c r="U4792" t="s">
        <v>11720</v>
      </c>
      <c r="V4792" t="s">
        <v>11720</v>
      </c>
      <c r="W4792" t="s">
        <v>16456</v>
      </c>
      <c r="X4792">
        <v>25</v>
      </c>
      <c r="Y4792" t="s">
        <v>22164</v>
      </c>
      <c r="Z4792" t="s">
        <v>27999</v>
      </c>
      <c r="AA4792">
        <v>0.45620084190862492</v>
      </c>
      <c r="AB4792" t="str">
        <f>HYPERLINK("Melting_Curves/meltCurve_Q9BS26_ERP44.pdf", "Melting_Curves/meltCurve_Q9BS26_ERP44.pdf")</f>
        <v>Melting_Curves/meltCurve_Q9BS26_ERP44.pdf</v>
      </c>
    </row>
    <row r="4793" spans="1:28" x14ac:dyDescent="0.25">
      <c r="A4793" t="s">
        <v>4797</v>
      </c>
      <c r="B4793">
        <v>0.99334974765950101</v>
      </c>
      <c r="C4793">
        <v>0.99025361343088902</v>
      </c>
      <c r="D4793">
        <v>0.88132716886870799</v>
      </c>
      <c r="E4793">
        <v>0.73789202423668498</v>
      </c>
      <c r="F4793">
        <v>0.59795884110601305</v>
      </c>
      <c r="G4793">
        <v>0.31641179869087599</v>
      </c>
      <c r="H4793">
        <v>0.23533759875188801</v>
      </c>
      <c r="I4793">
        <v>0.18287779658477099</v>
      </c>
      <c r="J4793">
        <v>0.181755868236432</v>
      </c>
      <c r="K4793">
        <v>0.15835673613779</v>
      </c>
      <c r="L4793">
        <v>793.91312295033697</v>
      </c>
      <c r="M4793">
        <v>15.016682236252301</v>
      </c>
      <c r="N4793">
        <v>53.9738808467079</v>
      </c>
      <c r="O4793">
        <v>51.957755996791001</v>
      </c>
      <c r="P4793">
        <v>-6.2697865861147006E-2</v>
      </c>
      <c r="Q4793">
        <v>0.13234822376618</v>
      </c>
      <c r="R4793">
        <v>0.99584889187692405</v>
      </c>
      <c r="S4793" t="s">
        <v>10654</v>
      </c>
      <c r="T4793" t="s">
        <v>11720</v>
      </c>
      <c r="U4793" t="s">
        <v>11720</v>
      </c>
      <c r="V4793" t="s">
        <v>11720</v>
      </c>
      <c r="W4793" t="s">
        <v>16457</v>
      </c>
      <c r="X4793">
        <v>6</v>
      </c>
      <c r="Y4793" t="s">
        <v>22165</v>
      </c>
      <c r="Z4793" t="s">
        <v>28000</v>
      </c>
      <c r="AA4793">
        <v>0.52327800601313312</v>
      </c>
      <c r="AB4793" t="str">
        <f>HYPERLINK("Melting_Curves/meltCurve_Q9BS40_LXN.pdf", "Melting_Curves/meltCurve_Q9BS40_LXN.pdf")</f>
        <v>Melting_Curves/meltCurve_Q9BS40_LXN.pdf</v>
      </c>
    </row>
    <row r="4794" spans="1:28" x14ac:dyDescent="0.25">
      <c r="A4794" t="s">
        <v>4798</v>
      </c>
      <c r="B4794">
        <v>0.99334974765950101</v>
      </c>
      <c r="C4794">
        <v>1.1771822607262199</v>
      </c>
      <c r="D4794">
        <v>0.92805783583008405</v>
      </c>
      <c r="E4794">
        <v>1.25299108689723</v>
      </c>
      <c r="F4794">
        <v>1.2289766374286</v>
      </c>
      <c r="G4794">
        <v>1.1520507557947399</v>
      </c>
      <c r="H4794">
        <v>0.85287431930985702</v>
      </c>
      <c r="I4794">
        <v>1.4038167403995501</v>
      </c>
      <c r="J4794">
        <v>1.28803407495044</v>
      </c>
      <c r="K4794">
        <v>1.07010929356562</v>
      </c>
      <c r="L4794">
        <v>663.71984249193497</v>
      </c>
      <c r="M4794">
        <v>14.7341727975413</v>
      </c>
      <c r="O4794">
        <v>44.240953566260103</v>
      </c>
      <c r="P4794">
        <v>1.4589778051105499E-2</v>
      </c>
      <c r="Q4794">
        <v>1.17521049286471</v>
      </c>
      <c r="R4794">
        <v>9.5762711465290001E-2</v>
      </c>
      <c r="S4794" t="s">
        <v>10655</v>
      </c>
      <c r="T4794" t="s">
        <v>11720</v>
      </c>
      <c r="U4794" t="s">
        <v>11720</v>
      </c>
      <c r="V4794" t="s">
        <v>11720</v>
      </c>
      <c r="W4794" t="s">
        <v>16458</v>
      </c>
      <c r="X4794">
        <v>3</v>
      </c>
      <c r="Y4794" t="s">
        <v>22166</v>
      </c>
      <c r="Z4794" t="s">
        <v>28001</v>
      </c>
      <c r="AA4794">
        <v>1.139924692629674</v>
      </c>
      <c r="AB4794" t="str">
        <f>HYPERLINK("Melting_Curves/meltCurve_Q9BSA9_TMEM175.pdf", "Melting_Curves/meltCurve_Q9BSA9_TMEM175.pdf")</f>
        <v>Melting_Curves/meltCurve_Q9BSA9_TMEM175.pdf</v>
      </c>
    </row>
    <row r="4795" spans="1:28" x14ac:dyDescent="0.25">
      <c r="A4795" t="s">
        <v>4799</v>
      </c>
      <c r="B4795">
        <v>0.99334974765950101</v>
      </c>
      <c r="C4795">
        <v>0.79768434707575298</v>
      </c>
      <c r="D4795">
        <v>0.53143740015094998</v>
      </c>
      <c r="E4795">
        <v>0.415245495974783</v>
      </c>
      <c r="F4795">
        <v>0.38803132029157</v>
      </c>
      <c r="G4795">
        <v>0.33168630633507901</v>
      </c>
      <c r="H4795">
        <v>0.36840185795790298</v>
      </c>
      <c r="I4795">
        <v>0.429492472895663</v>
      </c>
      <c r="J4795">
        <v>0.38511565445261298</v>
      </c>
      <c r="K4795">
        <v>0.20076601204560099</v>
      </c>
      <c r="L4795">
        <v>1101.2817731795501</v>
      </c>
      <c r="M4795">
        <v>24.8187477859185</v>
      </c>
      <c r="N4795">
        <v>46.647872519223498</v>
      </c>
      <c r="O4795">
        <v>44.0879095809631</v>
      </c>
      <c r="P4795">
        <v>-9.1344561997074303E-2</v>
      </c>
      <c r="Q4795">
        <v>0.35095274878377197</v>
      </c>
      <c r="R4795">
        <v>0.93385377180154905</v>
      </c>
      <c r="S4795" t="s">
        <v>10656</v>
      </c>
      <c r="T4795" t="s">
        <v>11720</v>
      </c>
      <c r="U4795" t="s">
        <v>11720</v>
      </c>
      <c r="V4795" t="s">
        <v>11720</v>
      </c>
      <c r="W4795" t="s">
        <v>16459</v>
      </c>
      <c r="X4795">
        <v>9</v>
      </c>
      <c r="Y4795" t="s">
        <v>22167</v>
      </c>
      <c r="Z4795" t="s">
        <v>28002</v>
      </c>
      <c r="AA4795">
        <v>0.45268158973339728</v>
      </c>
      <c r="AB4795" t="str">
        <f>HYPERLINK("Melting_Curves/meltCurve_Q9BSB4_ATG101.pdf", "Melting_Curves/meltCurve_Q9BSB4_ATG101.pdf")</f>
        <v>Melting_Curves/meltCurve_Q9BSB4_ATG101.pdf</v>
      </c>
    </row>
    <row r="4796" spans="1:28" x14ac:dyDescent="0.25">
      <c r="A4796" t="s">
        <v>4800</v>
      </c>
      <c r="B4796">
        <v>0.99334974765950101</v>
      </c>
      <c r="C4796">
        <v>0.92649794933560403</v>
      </c>
      <c r="D4796">
        <v>0.84569365648994999</v>
      </c>
      <c r="E4796">
        <v>0.73263117967584601</v>
      </c>
      <c r="F4796">
        <v>0.43842174667553602</v>
      </c>
      <c r="G4796">
        <v>0.15642850252353999</v>
      </c>
      <c r="H4796">
        <v>8.2210761911905197E-2</v>
      </c>
      <c r="I4796">
        <v>8.6549694322654497E-2</v>
      </c>
      <c r="J4796">
        <v>8.6280464581035901E-2</v>
      </c>
      <c r="K4796">
        <v>4.7347628669278601E-2</v>
      </c>
      <c r="L4796">
        <v>934.42930004281504</v>
      </c>
      <c r="M4796">
        <v>17.998170206716999</v>
      </c>
      <c r="N4796">
        <v>52.161506078156897</v>
      </c>
      <c r="O4796">
        <v>51.289787324230403</v>
      </c>
      <c r="P4796">
        <v>-8.4197285496639296E-2</v>
      </c>
      <c r="Q4796">
        <v>4.0291376572534399E-2</v>
      </c>
      <c r="R4796">
        <v>0.99026543007879697</v>
      </c>
      <c r="S4796" t="s">
        <v>10657</v>
      </c>
      <c r="T4796" t="s">
        <v>11720</v>
      </c>
      <c r="U4796" t="s">
        <v>11720</v>
      </c>
      <c r="V4796" t="s">
        <v>11720</v>
      </c>
      <c r="W4796" t="s">
        <v>16460</v>
      </c>
      <c r="X4796">
        <v>1</v>
      </c>
      <c r="Y4796" t="s">
        <v>22168</v>
      </c>
      <c r="Z4796" t="s">
        <v>28003</v>
      </c>
      <c r="AA4796">
        <v>0.43754319254293828</v>
      </c>
      <c r="AB4796" t="str">
        <f>HYPERLINK("Melting_Curves/meltCurve_Q9BSD7_NTPCR.pdf", "Melting_Curves/meltCurve_Q9BSD7_NTPCR.pdf")</f>
        <v>Melting_Curves/meltCurve_Q9BSD7_NTPCR.pdf</v>
      </c>
    </row>
    <row r="4797" spans="1:28" x14ac:dyDescent="0.25">
      <c r="A4797" t="s">
        <v>4801</v>
      </c>
      <c r="B4797">
        <v>0.99334974765950101</v>
      </c>
      <c r="C4797">
        <v>0.96950482087078105</v>
      </c>
      <c r="D4797">
        <v>0.979121854209281</v>
      </c>
      <c r="E4797">
        <v>0.816482424046169</v>
      </c>
      <c r="F4797">
        <v>0.46287932887906402</v>
      </c>
      <c r="G4797">
        <v>0.279665338850976</v>
      </c>
      <c r="H4797">
        <v>0.102222100875242</v>
      </c>
      <c r="I4797">
        <v>7.6557561420264805E-2</v>
      </c>
      <c r="J4797">
        <v>1.7193694703288302E-2</v>
      </c>
      <c r="K4797">
        <v>0</v>
      </c>
      <c r="L4797">
        <v>990.43011135081599</v>
      </c>
      <c r="M4797">
        <v>18.589896027287701</v>
      </c>
      <c r="N4797">
        <v>53.344055892751697</v>
      </c>
      <c r="O4797">
        <v>52.672846887989401</v>
      </c>
      <c r="P4797">
        <v>-8.7230770499849397E-2</v>
      </c>
      <c r="Q4797">
        <v>1.13999956817908E-2</v>
      </c>
      <c r="R4797">
        <v>0.99362183116596303</v>
      </c>
      <c r="S4797" t="s">
        <v>10658</v>
      </c>
      <c r="T4797" t="s">
        <v>11720</v>
      </c>
      <c r="U4797" t="s">
        <v>11720</v>
      </c>
      <c r="V4797" t="s">
        <v>11720</v>
      </c>
      <c r="W4797" t="s">
        <v>16461</v>
      </c>
      <c r="X4797">
        <v>1</v>
      </c>
      <c r="Y4797" t="s">
        <v>22169</v>
      </c>
      <c r="Z4797" t="s">
        <v>28004</v>
      </c>
      <c r="AA4797">
        <v>0.46424381880043752</v>
      </c>
      <c r="AB4797" t="str">
        <f>HYPERLINK("Melting_Curves/meltCurve_Q9BSE4_HERPUD2.pdf", "Melting_Curves/meltCurve_Q9BSE4_HERPUD2.pdf")</f>
        <v>Melting_Curves/meltCurve_Q9BSE4_HERPUD2.pdf</v>
      </c>
    </row>
    <row r="4798" spans="1:28" x14ac:dyDescent="0.25">
      <c r="A4798" t="s">
        <v>4802</v>
      </c>
      <c r="B4798">
        <v>0.99334974765950101</v>
      </c>
      <c r="C4798">
        <v>0.91432816589343902</v>
      </c>
      <c r="D4798">
        <v>0.92512035178360597</v>
      </c>
      <c r="E4798">
        <v>0.86749725314000103</v>
      </c>
      <c r="F4798">
        <v>0.79655771655396501</v>
      </c>
      <c r="G4798">
        <v>0.90990091080129598</v>
      </c>
      <c r="H4798">
        <v>0.76164851748709805</v>
      </c>
      <c r="I4798">
        <v>0.99325479689587604</v>
      </c>
      <c r="J4798">
        <v>0.81944495260984396</v>
      </c>
      <c r="K4798">
        <v>0.56870382743203496</v>
      </c>
      <c r="L4798">
        <v>207.938013521248</v>
      </c>
      <c r="M4798">
        <v>1.93989840901411</v>
      </c>
      <c r="O4798">
        <v>62.466979663377501</v>
      </c>
      <c r="P4798">
        <v>-8.5129805702321096E-3</v>
      </c>
      <c r="Q4798">
        <v>0</v>
      </c>
      <c r="R4798">
        <v>0.37515549447364699</v>
      </c>
      <c r="S4798" t="s">
        <v>10659</v>
      </c>
      <c r="T4798" t="s">
        <v>11720</v>
      </c>
      <c r="U4798" t="s">
        <v>11720</v>
      </c>
      <c r="V4798" t="s">
        <v>11720</v>
      </c>
      <c r="W4798" t="s">
        <v>16462</v>
      </c>
      <c r="X4798">
        <v>3</v>
      </c>
      <c r="Y4798" t="s">
        <v>22170</v>
      </c>
      <c r="Z4798" t="s">
        <v>28005</v>
      </c>
      <c r="AA4798">
        <v>0.85877226095948656</v>
      </c>
      <c r="AB4798" t="str">
        <f>HYPERLINK("Melting_Curves/meltCurve_Q9BSE5_AGMAT.pdf", "Melting_Curves/meltCurve_Q9BSE5_AGMAT.pdf")</f>
        <v>Melting_Curves/meltCurve_Q9BSE5_AGMAT.pdf</v>
      </c>
    </row>
    <row r="4799" spans="1:28" x14ac:dyDescent="0.25">
      <c r="A4799" t="s">
        <v>4803</v>
      </c>
      <c r="B4799">
        <v>0.99334974765950101</v>
      </c>
      <c r="C4799">
        <v>0.88544659694960004</v>
      </c>
      <c r="D4799">
        <v>0.99088246112189804</v>
      </c>
      <c r="E4799">
        <v>0.99192788744867699</v>
      </c>
      <c r="F4799">
        <v>1.0329375911553</v>
      </c>
      <c r="G4799">
        <v>0.67152890357298001</v>
      </c>
      <c r="H4799">
        <v>0.312656413346522</v>
      </c>
      <c r="I4799">
        <v>0.28189406680408302</v>
      </c>
      <c r="J4799">
        <v>0.29685493237066402</v>
      </c>
      <c r="K4799">
        <v>0.24505357364142399</v>
      </c>
      <c r="L4799">
        <v>3433.0526963574498</v>
      </c>
      <c r="M4799">
        <v>60.035482877529297</v>
      </c>
      <c r="N4799">
        <v>57.973568797776899</v>
      </c>
      <c r="O4799">
        <v>57.120383609774699</v>
      </c>
      <c r="P4799">
        <v>-0.18936268916872601</v>
      </c>
      <c r="Q4799">
        <v>0.27932854036162302</v>
      </c>
      <c r="R4799">
        <v>0.98471445657829804</v>
      </c>
      <c r="S4799" t="s">
        <v>10660</v>
      </c>
      <c r="T4799" t="s">
        <v>11720</v>
      </c>
      <c r="U4799" t="s">
        <v>11720</v>
      </c>
      <c r="V4799" t="s">
        <v>11720</v>
      </c>
      <c r="W4799" t="s">
        <v>16463</v>
      </c>
      <c r="X4799">
        <v>6</v>
      </c>
      <c r="Y4799" t="s">
        <v>22171</v>
      </c>
      <c r="Z4799" t="s">
        <v>28006</v>
      </c>
      <c r="AA4799">
        <v>0.6933807200020824</v>
      </c>
      <c r="AB4799" t="str">
        <f>HYPERLINK("Melting_Curves/meltCurve_Q9BSF4_C19orf52.pdf", "Melting_Curves/meltCurve_Q9BSF4_C19orf52.pdf")</f>
        <v>Melting_Curves/meltCurve_Q9BSF4_C19orf52.pdf</v>
      </c>
    </row>
    <row r="4800" spans="1:28" x14ac:dyDescent="0.25">
      <c r="A4800" t="s">
        <v>4804</v>
      </c>
      <c r="B4800">
        <v>0.99334974765950101</v>
      </c>
      <c r="C4800">
        <v>1.0047743986044499</v>
      </c>
      <c r="D4800">
        <v>0.818821996734305</v>
      </c>
      <c r="E4800">
        <v>0.63238993551467604</v>
      </c>
      <c r="F4800">
        <v>0.51475637779773398</v>
      </c>
      <c r="G4800">
        <v>0.37155688154164002</v>
      </c>
      <c r="H4800">
        <v>0.26458475421164701</v>
      </c>
      <c r="I4800">
        <v>0.20373682988881001</v>
      </c>
      <c r="J4800">
        <v>0.14796950118073901</v>
      </c>
      <c r="K4800">
        <v>5.2219196053433503E-2</v>
      </c>
      <c r="L4800">
        <v>537.80375780776103</v>
      </c>
      <c r="M4800">
        <v>10.0737571761279</v>
      </c>
      <c r="N4800">
        <v>53.624805618340098</v>
      </c>
      <c r="O4800">
        <v>51.410862167526801</v>
      </c>
      <c r="P4800">
        <v>-4.7937348812734301E-2</v>
      </c>
      <c r="Q4800">
        <v>2.18801308317217E-2</v>
      </c>
      <c r="R4800">
        <v>0.98742565692692397</v>
      </c>
      <c r="S4800" t="s">
        <v>10661</v>
      </c>
      <c r="T4800" t="s">
        <v>11720</v>
      </c>
      <c r="U4800" t="s">
        <v>11720</v>
      </c>
      <c r="V4800" t="s">
        <v>11720</v>
      </c>
      <c r="W4800" t="s">
        <v>16464</v>
      </c>
      <c r="X4800">
        <v>2</v>
      </c>
      <c r="Y4800" t="s">
        <v>22172</v>
      </c>
      <c r="Z4800" t="s">
        <v>28007</v>
      </c>
      <c r="AA4800">
        <v>0.49012645219014273</v>
      </c>
      <c r="AB4800" t="str">
        <f>HYPERLINK("Melting_Curves/meltCurve_Q9BSG0_PRADC1.pdf", "Melting_Curves/meltCurve_Q9BSG0_PRADC1.pdf")</f>
        <v>Melting_Curves/meltCurve_Q9BSG0_PRADC1.pdf</v>
      </c>
    </row>
    <row r="4801" spans="1:28" x14ac:dyDescent="0.25">
      <c r="A4801" t="s">
        <v>4805</v>
      </c>
      <c r="B4801">
        <v>0.99334974765950101</v>
      </c>
      <c r="C4801">
        <v>0.893529901586811</v>
      </c>
      <c r="D4801">
        <v>0.527861292515859</v>
      </c>
      <c r="E4801">
        <v>0.15745060238303299</v>
      </c>
      <c r="F4801">
        <v>0.16088513149286601</v>
      </c>
      <c r="G4801">
        <v>8.4099776128890302E-2</v>
      </c>
      <c r="H4801">
        <v>7.2913414474300706E-2</v>
      </c>
      <c r="I4801">
        <v>6.3733522772097595E-2</v>
      </c>
      <c r="J4801">
        <v>5.0719812101760499E-2</v>
      </c>
      <c r="K4801">
        <v>4.96892090825631E-2</v>
      </c>
      <c r="L4801">
        <v>1218.9894755138901</v>
      </c>
      <c r="M4801">
        <v>26.498706201203699</v>
      </c>
      <c r="N4801">
        <v>46.272302487933999</v>
      </c>
      <c r="O4801">
        <v>45.7422590430658</v>
      </c>
      <c r="P4801">
        <v>-0.13443717343091899</v>
      </c>
      <c r="Q4801">
        <v>7.1744211009876505E-2</v>
      </c>
      <c r="R4801">
        <v>0.99549215537832503</v>
      </c>
      <c r="S4801" t="s">
        <v>10662</v>
      </c>
      <c r="T4801" t="s">
        <v>11720</v>
      </c>
      <c r="U4801" t="s">
        <v>11720</v>
      </c>
      <c r="V4801" t="s">
        <v>11720</v>
      </c>
      <c r="W4801" t="s">
        <v>16465</v>
      </c>
      <c r="X4801">
        <v>8</v>
      </c>
      <c r="Y4801" t="s">
        <v>22173</v>
      </c>
      <c r="Z4801" t="s">
        <v>28008</v>
      </c>
      <c r="AA4801">
        <v>0.26495236238753989</v>
      </c>
      <c r="AB4801" t="str">
        <f>HYPERLINK("Melting_Curves/meltCurve_Q9BSH4_TACO1.pdf", "Melting_Curves/meltCurve_Q9BSH4_TACO1.pdf")</f>
        <v>Melting_Curves/meltCurve_Q9BSH4_TACO1.pdf</v>
      </c>
    </row>
    <row r="4802" spans="1:28" x14ac:dyDescent="0.25">
      <c r="A4802" t="s">
        <v>4806</v>
      </c>
      <c r="B4802">
        <v>0.99334974765950101</v>
      </c>
      <c r="C4802">
        <v>0.989142298425014</v>
      </c>
      <c r="D4802">
        <v>0.97620214433696895</v>
      </c>
      <c r="E4802">
        <v>0.83091398455850796</v>
      </c>
      <c r="F4802">
        <v>0.73805167029142804</v>
      </c>
      <c r="G4802">
        <v>0.64131288091879002</v>
      </c>
      <c r="H4802">
        <v>0.39399644660340499</v>
      </c>
      <c r="I4802">
        <v>0.21782011440183199</v>
      </c>
      <c r="J4802">
        <v>0.149143524046426</v>
      </c>
      <c r="K4802">
        <v>0.14598094753065699</v>
      </c>
      <c r="L4802">
        <v>687.80154497015099</v>
      </c>
      <c r="M4802">
        <v>11.777068609137</v>
      </c>
      <c r="N4802">
        <v>58.4017693841324</v>
      </c>
      <c r="O4802">
        <v>56.794194557228899</v>
      </c>
      <c r="P4802">
        <v>-5.1854408128620098E-2</v>
      </c>
      <c r="Q4802">
        <v>0</v>
      </c>
      <c r="R4802">
        <v>0.989192596814229</v>
      </c>
      <c r="S4802" t="s">
        <v>10663</v>
      </c>
      <c r="T4802" t="s">
        <v>11720</v>
      </c>
      <c r="U4802" t="s">
        <v>11720</v>
      </c>
      <c r="V4802" t="s">
        <v>11720</v>
      </c>
      <c r="W4802" t="s">
        <v>16466</v>
      </c>
      <c r="X4802">
        <v>8</v>
      </c>
      <c r="Y4802" t="s">
        <v>22174</v>
      </c>
      <c r="Z4802" t="s">
        <v>28009</v>
      </c>
      <c r="AA4802">
        <v>0.62399708594660364</v>
      </c>
      <c r="AB4802" t="str">
        <f>HYPERLINK("Melting_Curves/meltCurve_Q9BSH5_HDHD3.pdf", "Melting_Curves/meltCurve_Q9BSH5_HDHD3.pdf")</f>
        <v>Melting_Curves/meltCurve_Q9BSH5_HDHD3.pdf</v>
      </c>
    </row>
    <row r="4803" spans="1:28" x14ac:dyDescent="0.25">
      <c r="A4803" t="s">
        <v>4807</v>
      </c>
      <c r="B4803">
        <v>0.99334974765950101</v>
      </c>
      <c r="C4803">
        <v>1.0821284873322199</v>
      </c>
      <c r="D4803">
        <v>0.89757025429848503</v>
      </c>
      <c r="E4803">
        <v>0.80569717434324195</v>
      </c>
      <c r="F4803">
        <v>0.106856365576351</v>
      </c>
      <c r="G4803">
        <v>9.1077052488509405E-2</v>
      </c>
      <c r="H4803">
        <v>5.3308376276575302E-2</v>
      </c>
      <c r="I4803">
        <v>3.9205524501603597E-2</v>
      </c>
      <c r="J4803">
        <v>2.78698396942458E-2</v>
      </c>
      <c r="K4803">
        <v>2.48545301287851E-2</v>
      </c>
      <c r="L4803">
        <v>3544.3907379166899</v>
      </c>
      <c r="M4803">
        <v>69.532085075812702</v>
      </c>
      <c r="N4803">
        <v>51.046918586536201</v>
      </c>
      <c r="O4803">
        <v>50.932757579130701</v>
      </c>
      <c r="P4803">
        <v>-0.32534772681215601</v>
      </c>
      <c r="Q4803">
        <v>4.6721519877108098E-2</v>
      </c>
      <c r="R4803">
        <v>0.98967017293752702</v>
      </c>
      <c r="S4803" t="s">
        <v>10664</v>
      </c>
      <c r="T4803" t="s">
        <v>11720</v>
      </c>
      <c r="U4803" t="s">
        <v>11720</v>
      </c>
      <c r="V4803" t="s">
        <v>11720</v>
      </c>
      <c r="W4803" t="s">
        <v>16467</v>
      </c>
      <c r="X4803">
        <v>3</v>
      </c>
      <c r="Y4803" t="s">
        <v>22175</v>
      </c>
      <c r="Z4803" t="s">
        <v>28010</v>
      </c>
      <c r="AA4803">
        <v>0.39656460498315033</v>
      </c>
      <c r="AB4803" t="str">
        <f>HYPERLINK("Melting_Curves/meltCurve_Q9BSJ5_3_C17orf80.pdf", "Melting_Curves/meltCurve_Q9BSJ5_3_C17orf80.pdf")</f>
        <v>Melting_Curves/meltCurve_Q9BSJ5_3_C17orf80.pdf</v>
      </c>
    </row>
    <row r="4804" spans="1:28" x14ac:dyDescent="0.25">
      <c r="A4804" t="s">
        <v>4808</v>
      </c>
      <c r="B4804">
        <v>0.99334974765950101</v>
      </c>
      <c r="C4804">
        <v>0.82033734220482102</v>
      </c>
      <c r="D4804">
        <v>0.56325508464840401</v>
      </c>
      <c r="E4804">
        <v>0.11854493279197099</v>
      </c>
      <c r="F4804">
        <v>0.117364789656597</v>
      </c>
      <c r="G4804">
        <v>5.4038132336446401E-2</v>
      </c>
      <c r="H4804">
        <v>3.1013050075497001E-2</v>
      </c>
      <c r="I4804">
        <v>3.06598247683477E-2</v>
      </c>
      <c r="J4804">
        <v>3.5443239326236602E-2</v>
      </c>
      <c r="K4804">
        <v>1.6670576104731001E-2</v>
      </c>
      <c r="L4804">
        <v>1067.4881318780001</v>
      </c>
      <c r="M4804">
        <v>23.1442303829023</v>
      </c>
      <c r="N4804">
        <v>46.252223368920497</v>
      </c>
      <c r="O4804">
        <v>45.783105307505899</v>
      </c>
      <c r="P4804">
        <v>-0.122434093676726</v>
      </c>
      <c r="Q4804">
        <v>3.1238586917902701E-2</v>
      </c>
      <c r="R4804">
        <v>0.99411455932037895</v>
      </c>
      <c r="S4804" t="s">
        <v>10665</v>
      </c>
      <c r="T4804" t="s">
        <v>11720</v>
      </c>
      <c r="U4804" t="s">
        <v>11720</v>
      </c>
      <c r="V4804" t="s">
        <v>11720</v>
      </c>
      <c r="W4804" t="s">
        <v>16468</v>
      </c>
      <c r="X4804">
        <v>43</v>
      </c>
      <c r="Y4804" t="s">
        <v>22176</v>
      </c>
      <c r="Z4804" t="s">
        <v>28011</v>
      </c>
      <c r="AA4804">
        <v>0.2395932149656749</v>
      </c>
      <c r="AB4804" t="str">
        <f>HYPERLINK("Melting_Curves/meltCurve_Q9BSJ8_2_ESYT1.pdf", "Melting_Curves/meltCurve_Q9BSJ8_2_ESYT1.pdf")</f>
        <v>Melting_Curves/meltCurve_Q9BSJ8_2_ESYT1.pdf</v>
      </c>
    </row>
    <row r="4805" spans="1:28" x14ac:dyDescent="0.25">
      <c r="A4805" t="s">
        <v>4809</v>
      </c>
      <c r="B4805">
        <v>0.99334974765950101</v>
      </c>
      <c r="C4805">
        <v>1.03131991511536</v>
      </c>
      <c r="D4805">
        <v>1.0555281352965</v>
      </c>
      <c r="E4805">
        <v>1.1948325430940201</v>
      </c>
      <c r="F4805">
        <v>0.89985250670272099</v>
      </c>
      <c r="G4805">
        <v>0.36951179085661001</v>
      </c>
      <c r="H4805">
        <v>0.25487365269072498</v>
      </c>
      <c r="I4805">
        <v>0.23527268496553699</v>
      </c>
      <c r="J4805">
        <v>0.211170382166814</v>
      </c>
      <c r="K4805">
        <v>0.16442036830998899</v>
      </c>
      <c r="L4805">
        <v>2689.6400399297099</v>
      </c>
      <c r="M4805">
        <v>48.597712576893798</v>
      </c>
      <c r="N4805">
        <v>55.9883922871674</v>
      </c>
      <c r="O4805">
        <v>55.251536975080199</v>
      </c>
      <c r="P4805">
        <v>-0.172845372900331</v>
      </c>
      <c r="Q4805">
        <v>0.213958022639919</v>
      </c>
      <c r="R4805">
        <v>0.97037611640751897</v>
      </c>
      <c r="S4805" t="s">
        <v>10666</v>
      </c>
      <c r="T4805" t="s">
        <v>11720</v>
      </c>
      <c r="U4805" t="s">
        <v>11720</v>
      </c>
      <c r="V4805" t="s">
        <v>11720</v>
      </c>
      <c r="W4805" t="s">
        <v>16469</v>
      </c>
      <c r="X4805">
        <v>7</v>
      </c>
      <c r="Y4805" t="s">
        <v>22177</v>
      </c>
      <c r="Z4805" t="s">
        <v>28012</v>
      </c>
      <c r="AA4805">
        <v>0.61804834533280451</v>
      </c>
      <c r="AB4805" t="str">
        <f>HYPERLINK("Melting_Curves/meltCurve_Q9BSL1_UBAC1.pdf", "Melting_Curves/meltCurve_Q9BSL1_UBAC1.pdf")</f>
        <v>Melting_Curves/meltCurve_Q9BSL1_UBAC1.pdf</v>
      </c>
    </row>
    <row r="4806" spans="1:28" x14ac:dyDescent="0.25">
      <c r="A4806" t="s">
        <v>4810</v>
      </c>
      <c r="B4806">
        <v>0.99334974765950101</v>
      </c>
      <c r="C4806">
        <v>0.99584634043707598</v>
      </c>
      <c r="D4806">
        <v>1.0295959228421501</v>
      </c>
      <c r="E4806">
        <v>0.82262580192018098</v>
      </c>
      <c r="F4806">
        <v>1.3785565306060601</v>
      </c>
      <c r="G4806">
        <v>0.53521515971633804</v>
      </c>
      <c r="H4806">
        <v>0.56587799529540805</v>
      </c>
      <c r="I4806">
        <v>0.54571528298968197</v>
      </c>
      <c r="J4806">
        <v>0.65283796470369704</v>
      </c>
      <c r="K4806">
        <v>0.58639250024740996</v>
      </c>
      <c r="L4806">
        <v>13794.0957523908</v>
      </c>
      <c r="M4806">
        <v>250</v>
      </c>
      <c r="O4806">
        <v>55.172852094326899</v>
      </c>
      <c r="P4806">
        <v>-0.47896649517828999</v>
      </c>
      <c r="Q4806">
        <v>0.577184839005776</v>
      </c>
      <c r="R4806">
        <v>0.74366861994318401</v>
      </c>
      <c r="S4806" t="s">
        <v>10667</v>
      </c>
      <c r="T4806" t="s">
        <v>11720</v>
      </c>
      <c r="U4806" t="s">
        <v>11720</v>
      </c>
      <c r="V4806" t="s">
        <v>11720</v>
      </c>
      <c r="W4806" t="s">
        <v>16470</v>
      </c>
      <c r="X4806">
        <v>1</v>
      </c>
      <c r="Y4806" t="s">
        <v>22178</v>
      </c>
      <c r="Z4806" t="s">
        <v>28013</v>
      </c>
      <c r="AA4806">
        <v>0.79111927594274267</v>
      </c>
      <c r="AB4806" t="str">
        <f>HYPERLINK("Melting_Curves/meltCurve_Q9BSN7_TMEM204.pdf", "Melting_Curves/meltCurve_Q9BSN7_TMEM204.pdf")</f>
        <v>Melting_Curves/meltCurve_Q9BSN7_TMEM204.pdf</v>
      </c>
    </row>
    <row r="4807" spans="1:28" x14ac:dyDescent="0.25">
      <c r="A4807" t="s">
        <v>4811</v>
      </c>
      <c r="B4807">
        <v>0.99334974765950101</v>
      </c>
      <c r="C4807">
        <v>0.95432663514415705</v>
      </c>
      <c r="D4807">
        <v>1.0168523471330999</v>
      </c>
      <c r="E4807">
        <v>0.90295144656737603</v>
      </c>
      <c r="F4807">
        <v>0.68891312753705503</v>
      </c>
      <c r="G4807">
        <v>0.62454389000949695</v>
      </c>
      <c r="H4807">
        <v>0.49484706639031101</v>
      </c>
      <c r="I4807">
        <v>0.46241056422273702</v>
      </c>
      <c r="J4807">
        <v>0.27716725660522001</v>
      </c>
      <c r="K4807">
        <v>0.17568426981493501</v>
      </c>
      <c r="L4807">
        <v>543.188596731644</v>
      </c>
      <c r="M4807">
        <v>8.9813651901155591</v>
      </c>
      <c r="N4807">
        <v>60.4795086356798</v>
      </c>
      <c r="O4807">
        <v>57.706899223617803</v>
      </c>
      <c r="P4807">
        <v>-3.8937887722209803E-2</v>
      </c>
      <c r="Q4807">
        <v>0</v>
      </c>
      <c r="R4807">
        <v>0.96932151297575297</v>
      </c>
      <c r="S4807" t="s">
        <v>10668</v>
      </c>
      <c r="T4807" t="s">
        <v>11720</v>
      </c>
      <c r="U4807" t="s">
        <v>11720</v>
      </c>
      <c r="V4807" t="s">
        <v>11720</v>
      </c>
      <c r="W4807" t="s">
        <v>16471</v>
      </c>
      <c r="X4807">
        <v>3</v>
      </c>
      <c r="Y4807" t="s">
        <v>22179</v>
      </c>
      <c r="Z4807" t="s">
        <v>28014</v>
      </c>
      <c r="AA4807">
        <v>0.66941386867958064</v>
      </c>
      <c r="AB4807" t="str">
        <f>HYPERLINK("Melting_Curves/meltCurve_Q9BSR8_YIPF4.pdf", "Melting_Curves/meltCurve_Q9BSR8_YIPF4.pdf")</f>
        <v>Melting_Curves/meltCurve_Q9BSR8_YIPF4.pdf</v>
      </c>
    </row>
    <row r="4808" spans="1:28" x14ac:dyDescent="0.25">
      <c r="A4808" t="s">
        <v>4812</v>
      </c>
      <c r="B4808">
        <v>0.99334974765950101</v>
      </c>
      <c r="C4808">
        <v>0.92709704779369095</v>
      </c>
      <c r="D4808">
        <v>0.69966834840042802</v>
      </c>
      <c r="E4808">
        <v>0.27330187897133701</v>
      </c>
      <c r="F4808">
        <v>0.18581163942363699</v>
      </c>
      <c r="G4808">
        <v>0.146590867508582</v>
      </c>
      <c r="H4808">
        <v>0.12469965160014</v>
      </c>
      <c r="I4808">
        <v>0.121491507628408</v>
      </c>
      <c r="J4808">
        <v>0.11483351130389199</v>
      </c>
      <c r="K4808">
        <v>9.6234612351097107E-2</v>
      </c>
      <c r="L4808">
        <v>1186.9357075543701</v>
      </c>
      <c r="M4808">
        <v>25.176271787582799</v>
      </c>
      <c r="N4808">
        <v>47.657358255174103</v>
      </c>
      <c r="O4808">
        <v>46.850609956</v>
      </c>
      <c r="P4808">
        <v>-0.118417032442861</v>
      </c>
      <c r="Q4808">
        <v>0.11856128606152699</v>
      </c>
      <c r="R4808">
        <v>0.99882502251329597</v>
      </c>
      <c r="S4808" t="s">
        <v>10669</v>
      </c>
      <c r="T4808" t="s">
        <v>11720</v>
      </c>
      <c r="U4808" t="s">
        <v>11720</v>
      </c>
      <c r="V4808" t="s">
        <v>11720</v>
      </c>
      <c r="W4808" t="s">
        <v>16472</v>
      </c>
      <c r="X4808">
        <v>5</v>
      </c>
      <c r="Y4808" t="s">
        <v>22180</v>
      </c>
      <c r="Z4808" t="s">
        <v>28015</v>
      </c>
      <c r="AA4808">
        <v>0.3362202591064376</v>
      </c>
      <c r="AB4808" t="str">
        <f>HYPERLINK("Melting_Curves/meltCurve_Q9BST9_2_RTKN.pdf", "Melting_Curves/meltCurve_Q9BST9_2_RTKN.pdf")</f>
        <v>Melting_Curves/meltCurve_Q9BST9_2_RTKN.pdf</v>
      </c>
    </row>
    <row r="4809" spans="1:28" x14ac:dyDescent="0.25">
      <c r="A4809" t="s">
        <v>4813</v>
      </c>
      <c r="B4809">
        <v>0.99334974765950101</v>
      </c>
      <c r="C4809">
        <v>0.95655847581993303</v>
      </c>
      <c r="D4809">
        <v>1.0729375383797399</v>
      </c>
      <c r="E4809">
        <v>0.92148170159815901</v>
      </c>
      <c r="F4809">
        <v>0.46309296321077698</v>
      </c>
      <c r="G4809">
        <v>0.15008081048490701</v>
      </c>
      <c r="H4809">
        <v>9.1062730471117001E-2</v>
      </c>
      <c r="I4809">
        <v>8.5106500747277006E-2</v>
      </c>
      <c r="J4809">
        <v>0.100737701746808</v>
      </c>
      <c r="K4809">
        <v>9.00182005692894E-2</v>
      </c>
      <c r="L4809">
        <v>2319.8705452109898</v>
      </c>
      <c r="M4809">
        <v>44.126575424533499</v>
      </c>
      <c r="N4809">
        <v>52.829946546401402</v>
      </c>
      <c r="O4809">
        <v>52.465465968711598</v>
      </c>
      <c r="P4809">
        <v>-0.18996671109216701</v>
      </c>
      <c r="Q4809">
        <v>9.6537441959931997E-2</v>
      </c>
      <c r="R4809">
        <v>0.99516814854503599</v>
      </c>
      <c r="S4809" t="s">
        <v>10670</v>
      </c>
      <c r="T4809" t="s">
        <v>11720</v>
      </c>
      <c r="U4809" t="s">
        <v>11720</v>
      </c>
      <c r="V4809" t="s">
        <v>11720</v>
      </c>
      <c r="W4809" t="s">
        <v>16473</v>
      </c>
      <c r="X4809">
        <v>2</v>
      </c>
      <c r="Y4809" t="s">
        <v>22181</v>
      </c>
      <c r="Z4809" t="s">
        <v>28016</v>
      </c>
      <c r="AA4809">
        <v>0.47787460202619853</v>
      </c>
      <c r="AB4809" t="str">
        <f>HYPERLINK("Melting_Curves/meltCurve_Q9BSU1_C16orf70.pdf", "Melting_Curves/meltCurve_Q9BSU1_C16orf70.pdf")</f>
        <v>Melting_Curves/meltCurve_Q9BSU1_C16orf70.pdf</v>
      </c>
    </row>
    <row r="4810" spans="1:28" x14ac:dyDescent="0.25">
      <c r="A4810" t="s">
        <v>4814</v>
      </c>
      <c r="B4810">
        <v>0.99334974765950101</v>
      </c>
      <c r="C4810">
        <v>0.95991739083586403</v>
      </c>
      <c r="D4810">
        <v>0.865198694805281</v>
      </c>
      <c r="E4810">
        <v>0.74826695285276501</v>
      </c>
      <c r="F4810">
        <v>0.65711937661572395</v>
      </c>
      <c r="G4810">
        <v>0.54632236052251604</v>
      </c>
      <c r="H4810">
        <v>0.51860800337222301</v>
      </c>
      <c r="I4810">
        <v>0.68145634611894701</v>
      </c>
      <c r="J4810">
        <v>0.60861311147882202</v>
      </c>
      <c r="K4810">
        <v>0.52314067289806998</v>
      </c>
      <c r="L4810">
        <v>863.39509775110298</v>
      </c>
      <c r="M4810">
        <v>17.815217784523099</v>
      </c>
      <c r="O4810">
        <v>47.865640701656098</v>
      </c>
      <c r="P4810">
        <v>-4.0017849440065402E-2</v>
      </c>
      <c r="Q4810">
        <v>0.56994484401539003</v>
      </c>
      <c r="R4810">
        <v>0.92110788389265597</v>
      </c>
      <c r="S4810" t="s">
        <v>10671</v>
      </c>
      <c r="T4810" t="s">
        <v>11720</v>
      </c>
      <c r="U4810" t="s">
        <v>11720</v>
      </c>
      <c r="V4810" t="s">
        <v>11720</v>
      </c>
      <c r="W4810" t="s">
        <v>16474</v>
      </c>
      <c r="X4810">
        <v>5</v>
      </c>
      <c r="Y4810" t="s">
        <v>22182</v>
      </c>
      <c r="Z4810" t="s">
        <v>28017</v>
      </c>
      <c r="AA4810">
        <v>0.69897171787178258</v>
      </c>
      <c r="AB4810" t="str">
        <f>HYPERLINK("Melting_Curves/meltCurve_Q9BSY4_CHCHD5.pdf", "Melting_Curves/meltCurve_Q9BSY4_CHCHD5.pdf")</f>
        <v>Melting_Curves/meltCurve_Q9BSY4_CHCHD5.pdf</v>
      </c>
    </row>
    <row r="4811" spans="1:28" x14ac:dyDescent="0.25">
      <c r="A4811" t="s">
        <v>4815</v>
      </c>
      <c r="B4811">
        <v>0.99334974765950101</v>
      </c>
      <c r="C4811">
        <v>1.02412777006641</v>
      </c>
      <c r="D4811">
        <v>0.95644582546218204</v>
      </c>
      <c r="E4811">
        <v>0.82412964202947503</v>
      </c>
      <c r="F4811">
        <v>0.81852335331183002</v>
      </c>
      <c r="G4811">
        <v>0.69588080562808097</v>
      </c>
      <c r="H4811">
        <v>0.714660133902706</v>
      </c>
      <c r="I4811">
        <v>0.812047818832631</v>
      </c>
      <c r="J4811">
        <v>0.92431192915951299</v>
      </c>
      <c r="K4811">
        <v>0.80441921212073197</v>
      </c>
      <c r="L4811">
        <v>1862.5595772992101</v>
      </c>
      <c r="M4811">
        <v>39.053008483803303</v>
      </c>
      <c r="O4811">
        <v>47.568572490050201</v>
      </c>
      <c r="P4811">
        <v>-4.2233404078490501E-2</v>
      </c>
      <c r="Q4811">
        <v>0.79423063776818603</v>
      </c>
      <c r="R4811">
        <v>0.69780164698237401</v>
      </c>
      <c r="S4811" t="s">
        <v>10672</v>
      </c>
      <c r="T4811" t="s">
        <v>11720</v>
      </c>
      <c r="U4811" t="s">
        <v>11720</v>
      </c>
      <c r="V4811" t="s">
        <v>11720</v>
      </c>
      <c r="W4811" t="s">
        <v>16475</v>
      </c>
      <c r="X4811">
        <v>15</v>
      </c>
      <c r="Y4811" t="s">
        <v>22183</v>
      </c>
      <c r="Z4811" t="s">
        <v>28018</v>
      </c>
      <c r="AA4811">
        <v>0.84771272809391363</v>
      </c>
      <c r="AB4811" t="str">
        <f>HYPERLINK("Melting_Curves/meltCurve_Q9BT09_CNPY3.pdf", "Melting_Curves/meltCurve_Q9BT09_CNPY3.pdf")</f>
        <v>Melting_Curves/meltCurve_Q9BT09_CNPY3.pdf</v>
      </c>
    </row>
    <row r="4812" spans="1:28" x14ac:dyDescent="0.25">
      <c r="A4812" t="s">
        <v>4816</v>
      </c>
      <c r="B4812">
        <v>0.99334974765950101</v>
      </c>
      <c r="C4812">
        <v>1.02297048879163</v>
      </c>
      <c r="D4812">
        <v>0.99349482067445705</v>
      </c>
      <c r="E4812">
        <v>0.77867801280118898</v>
      </c>
      <c r="F4812">
        <v>0.34953984984062803</v>
      </c>
      <c r="G4812">
        <v>0.158708637869349</v>
      </c>
      <c r="H4812">
        <v>0.111490497337577</v>
      </c>
      <c r="I4812">
        <v>0.108505299121058</v>
      </c>
      <c r="J4812">
        <v>0.119875340085907</v>
      </c>
      <c r="K4812">
        <v>0.134719573025815</v>
      </c>
      <c r="L4812">
        <v>1869.2584611505499</v>
      </c>
      <c r="M4812">
        <v>36.297764812646001</v>
      </c>
      <c r="N4812">
        <v>51.891440870926402</v>
      </c>
      <c r="O4812">
        <v>51.342334657923303</v>
      </c>
      <c r="P4812">
        <v>-0.155477439054727</v>
      </c>
      <c r="Q4812">
        <v>0.120325971872351</v>
      </c>
      <c r="R4812">
        <v>0.99916632476566003</v>
      </c>
      <c r="S4812" t="s">
        <v>10673</v>
      </c>
      <c r="T4812" t="s">
        <v>11720</v>
      </c>
      <c r="U4812" t="s">
        <v>11720</v>
      </c>
      <c r="V4812" t="s">
        <v>11720</v>
      </c>
      <c r="W4812" t="s">
        <v>16476</v>
      </c>
      <c r="X4812">
        <v>7</v>
      </c>
      <c r="Y4812" t="s">
        <v>22184</v>
      </c>
      <c r="Z4812" t="s">
        <v>28019</v>
      </c>
      <c r="AA4812">
        <v>0.46127874581132988</v>
      </c>
      <c r="AB4812" t="str">
        <f>HYPERLINK("Melting_Curves/meltCurve_Q9BT22_ALG1.pdf", "Melting_Curves/meltCurve_Q9BT22_ALG1.pdf")</f>
        <v>Melting_Curves/meltCurve_Q9BT22_ALG1.pdf</v>
      </c>
    </row>
    <row r="4813" spans="1:28" x14ac:dyDescent="0.25">
      <c r="A4813" t="s">
        <v>4817</v>
      </c>
      <c r="B4813">
        <v>0.99334974765950101</v>
      </c>
      <c r="C4813">
        <v>0.84054463773647503</v>
      </c>
      <c r="D4813">
        <v>0.74128593455708003</v>
      </c>
      <c r="E4813">
        <v>0.56310237445032696</v>
      </c>
      <c r="F4813">
        <v>0.40116632632641203</v>
      </c>
      <c r="G4813">
        <v>0.30626797943199902</v>
      </c>
      <c r="H4813">
        <v>0.251819045064967</v>
      </c>
      <c r="I4813">
        <v>0.231131136058777</v>
      </c>
      <c r="J4813">
        <v>0.124614080961453</v>
      </c>
      <c r="K4813">
        <v>8.3778253415479495E-2</v>
      </c>
      <c r="L4813">
        <v>489.63697083304697</v>
      </c>
      <c r="M4813">
        <v>9.6723433853405592</v>
      </c>
      <c r="N4813">
        <v>51.3859647734227</v>
      </c>
      <c r="O4813">
        <v>48.600558018377498</v>
      </c>
      <c r="P4813">
        <v>-4.64494029118157E-2</v>
      </c>
      <c r="Q4813">
        <v>6.69393851862711E-2</v>
      </c>
      <c r="R4813">
        <v>0.987014627947149</v>
      </c>
      <c r="S4813" t="s">
        <v>10674</v>
      </c>
      <c r="T4813" t="s">
        <v>11720</v>
      </c>
      <c r="U4813" t="s">
        <v>11720</v>
      </c>
      <c r="V4813" t="s">
        <v>11720</v>
      </c>
      <c r="W4813" t="s">
        <v>16477</v>
      </c>
      <c r="X4813">
        <v>2</v>
      </c>
      <c r="Y4813" t="s">
        <v>22185</v>
      </c>
      <c r="Z4813" t="s">
        <v>28020</v>
      </c>
      <c r="AA4813">
        <v>0.43912289507841762</v>
      </c>
      <c r="AB4813" t="str">
        <f>HYPERLINK("Melting_Curves/meltCurve_Q9BT30_ALKBH7.pdf", "Melting_Curves/meltCurve_Q9BT30_ALKBH7.pdf")</f>
        <v>Melting_Curves/meltCurve_Q9BT30_ALKBH7.pdf</v>
      </c>
    </row>
    <row r="4814" spans="1:28" x14ac:dyDescent="0.25">
      <c r="A4814" t="s">
        <v>4818</v>
      </c>
      <c r="B4814">
        <v>0.99334974765950101</v>
      </c>
      <c r="C4814">
        <v>1.0710724442730699</v>
      </c>
      <c r="D4814">
        <v>1.1290686830015699</v>
      </c>
      <c r="E4814">
        <v>0.97705900178760796</v>
      </c>
      <c r="F4814">
        <v>1.03747623063973</v>
      </c>
      <c r="G4814">
        <v>0.87622126121963495</v>
      </c>
      <c r="H4814">
        <v>0.83375954977347499</v>
      </c>
      <c r="I4814">
        <v>0.74694152478600295</v>
      </c>
      <c r="J4814">
        <v>0.79294515777889196</v>
      </c>
      <c r="K4814">
        <v>0.458256029898017</v>
      </c>
      <c r="L4814">
        <v>816.52950295042399</v>
      </c>
      <c r="M4814">
        <v>11.5243879491846</v>
      </c>
      <c r="O4814">
        <v>68.819671837454806</v>
      </c>
      <c r="P4814">
        <v>-4.1876242243318998E-2</v>
      </c>
      <c r="Q4814">
        <v>0</v>
      </c>
      <c r="R4814">
        <v>0.84070912906099604</v>
      </c>
      <c r="S4814" t="s">
        <v>10675</v>
      </c>
      <c r="T4814" t="s">
        <v>11720</v>
      </c>
      <c r="U4814" t="s">
        <v>11720</v>
      </c>
      <c r="V4814" t="s">
        <v>11720</v>
      </c>
      <c r="W4814" t="s">
        <v>16478</v>
      </c>
      <c r="X4814">
        <v>4</v>
      </c>
      <c r="Y4814" t="s">
        <v>22186</v>
      </c>
      <c r="Z4814" t="s">
        <v>28021</v>
      </c>
      <c r="AA4814">
        <v>0.89471261350970699</v>
      </c>
      <c r="AB4814" t="str">
        <f>HYPERLINK("Melting_Curves/meltCurve_Q9BT73_PSMG3.pdf", "Melting_Curves/meltCurve_Q9BT73_PSMG3.pdf")</f>
        <v>Melting_Curves/meltCurve_Q9BT73_PSMG3.pdf</v>
      </c>
    </row>
    <row r="4815" spans="1:28" x14ac:dyDescent="0.25">
      <c r="A4815" t="s">
        <v>4819</v>
      </c>
      <c r="B4815">
        <v>0.99334974765950101</v>
      </c>
      <c r="C4815">
        <v>0.963656673481179</v>
      </c>
      <c r="D4815">
        <v>0.98439473069227801</v>
      </c>
      <c r="E4815">
        <v>1.12483617741632</v>
      </c>
      <c r="F4815">
        <v>0.95166871543327103</v>
      </c>
      <c r="G4815">
        <v>0.48642512477571898</v>
      </c>
      <c r="H4815">
        <v>0.14315331281757601</v>
      </c>
      <c r="I4815">
        <v>9.8199431244394605E-2</v>
      </c>
      <c r="J4815">
        <v>9.5233250872831895E-2</v>
      </c>
      <c r="K4815">
        <v>6.3131285211788901E-2</v>
      </c>
      <c r="L4815">
        <v>2421.4220541453101</v>
      </c>
      <c r="M4815">
        <v>42.715092004214704</v>
      </c>
      <c r="N4815">
        <v>56.941162830360703</v>
      </c>
      <c r="O4815">
        <v>56.563916992895102</v>
      </c>
      <c r="P4815">
        <v>-0.17244855447927901</v>
      </c>
      <c r="Q4815">
        <v>8.6566389792457593E-2</v>
      </c>
      <c r="R4815">
        <v>0.989825638226004</v>
      </c>
      <c r="S4815" t="s">
        <v>10676</v>
      </c>
      <c r="T4815" t="s">
        <v>11720</v>
      </c>
      <c r="U4815" t="s">
        <v>11720</v>
      </c>
      <c r="V4815" t="s">
        <v>11720</v>
      </c>
      <c r="W4815" t="s">
        <v>16479</v>
      </c>
      <c r="X4815">
        <v>17</v>
      </c>
      <c r="Y4815" t="s">
        <v>22187</v>
      </c>
      <c r="Z4815" t="s">
        <v>28022</v>
      </c>
      <c r="AA4815">
        <v>0.59778786814996709</v>
      </c>
      <c r="AB4815" t="str">
        <f>HYPERLINK("Melting_Curves/meltCurve_Q9BT78_COPS4.pdf", "Melting_Curves/meltCurve_Q9BT78_COPS4.pdf")</f>
        <v>Melting_Curves/meltCurve_Q9BT78_COPS4.pdf</v>
      </c>
    </row>
    <row r="4816" spans="1:28" x14ac:dyDescent="0.25">
      <c r="A4816" t="s">
        <v>4820</v>
      </c>
      <c r="B4816">
        <v>0.99334974765950101</v>
      </c>
      <c r="C4816">
        <v>0.94106697328524702</v>
      </c>
      <c r="D4816">
        <v>0.89833409470081305</v>
      </c>
      <c r="E4816">
        <v>0.63521862449308897</v>
      </c>
      <c r="F4816">
        <v>0.40241281403990098</v>
      </c>
      <c r="G4816">
        <v>0.25516123799157298</v>
      </c>
      <c r="H4816">
        <v>0.195035377588024</v>
      </c>
      <c r="I4816">
        <v>0.150813208492454</v>
      </c>
      <c r="J4816">
        <v>0.199306550060008</v>
      </c>
      <c r="K4816">
        <v>0.16535917615079901</v>
      </c>
      <c r="L4816">
        <v>963.00385476893598</v>
      </c>
      <c r="M4816">
        <v>19.037031499559301</v>
      </c>
      <c r="N4816">
        <v>51.658437563937902</v>
      </c>
      <c r="O4816">
        <v>50.037548944570801</v>
      </c>
      <c r="P4816">
        <v>-7.9589037173353999E-2</v>
      </c>
      <c r="Q4816">
        <v>0.16325550684644299</v>
      </c>
      <c r="R4816">
        <v>0.99745631708753202</v>
      </c>
      <c r="S4816" t="s">
        <v>10677</v>
      </c>
      <c r="T4816" t="s">
        <v>11720</v>
      </c>
      <c r="U4816" t="s">
        <v>11720</v>
      </c>
      <c r="V4816" t="s">
        <v>11720</v>
      </c>
      <c r="W4816" t="s">
        <v>16480</v>
      </c>
      <c r="X4816">
        <v>2</v>
      </c>
      <c r="Y4816" t="s">
        <v>22188</v>
      </c>
      <c r="Z4816" t="s">
        <v>28023</v>
      </c>
      <c r="AA4816">
        <v>0.47127441064038528</v>
      </c>
      <c r="AB4816" t="str">
        <f>HYPERLINK("Melting_Curves/meltCurve_Q9BTA9_5_WAC.pdf", "Melting_Curves/meltCurve_Q9BTA9_5_WAC.pdf")</f>
        <v>Melting_Curves/meltCurve_Q9BTA9_5_WAC.pdf</v>
      </c>
    </row>
    <row r="4817" spans="1:28" x14ac:dyDescent="0.25">
      <c r="A4817" t="s">
        <v>4821</v>
      </c>
      <c r="B4817">
        <v>0.99334974765950101</v>
      </c>
      <c r="C4817">
        <v>0.95718506994479602</v>
      </c>
      <c r="D4817">
        <v>0.78544256449009897</v>
      </c>
      <c r="E4817">
        <v>0.65737035924632403</v>
      </c>
      <c r="F4817">
        <v>0.55883728809414202</v>
      </c>
      <c r="G4817">
        <v>0.45885588913784198</v>
      </c>
      <c r="H4817">
        <v>0.362444376538688</v>
      </c>
      <c r="I4817">
        <v>0.35423703186678701</v>
      </c>
      <c r="J4817">
        <v>0.37672623968378299</v>
      </c>
      <c r="K4817">
        <v>0.306370089597646</v>
      </c>
      <c r="L4817">
        <v>604.31617579893998</v>
      </c>
      <c r="M4817">
        <v>12.052513979087401</v>
      </c>
      <c r="N4817">
        <v>54.538570621510502</v>
      </c>
      <c r="O4817">
        <v>48.819780843379498</v>
      </c>
      <c r="P4817">
        <v>-4.25449808809703E-2</v>
      </c>
      <c r="Q4817">
        <v>0.31083445909615598</v>
      </c>
      <c r="R4817">
        <v>0.98927476243420298</v>
      </c>
      <c r="S4817" t="s">
        <v>10678</v>
      </c>
      <c r="T4817" t="s">
        <v>11720</v>
      </c>
      <c r="U4817" t="s">
        <v>11720</v>
      </c>
      <c r="V4817" t="s">
        <v>11720</v>
      </c>
      <c r="W4817" t="s">
        <v>16481</v>
      </c>
      <c r="X4817">
        <v>9</v>
      </c>
      <c r="Y4817" t="s">
        <v>22189</v>
      </c>
      <c r="Z4817" t="s">
        <v>28024</v>
      </c>
      <c r="AA4817">
        <v>0.56727924312674882</v>
      </c>
      <c r="AB4817" t="str">
        <f>HYPERLINK("Melting_Curves/meltCurve_Q9BTC0_DIDO1.pdf", "Melting_Curves/meltCurve_Q9BTC0_DIDO1.pdf")</f>
        <v>Melting_Curves/meltCurve_Q9BTC0_DIDO1.pdf</v>
      </c>
    </row>
    <row r="4818" spans="1:28" x14ac:dyDescent="0.25">
      <c r="A4818" t="s">
        <v>4822</v>
      </c>
      <c r="B4818">
        <v>0.99334974765950101</v>
      </c>
      <c r="C4818">
        <v>0.95868316167277401</v>
      </c>
      <c r="D4818">
        <v>0.93017475962071505</v>
      </c>
      <c r="E4818">
        <v>0.32190695136394099</v>
      </c>
      <c r="F4818">
        <v>0.17341426687633901</v>
      </c>
      <c r="G4818">
        <v>0.112798674027019</v>
      </c>
      <c r="H4818">
        <v>8.9127501695537403E-2</v>
      </c>
      <c r="I4818">
        <v>8.28837684204001E-2</v>
      </c>
      <c r="J4818">
        <v>7.5136533898322394E-2</v>
      </c>
      <c r="K4818">
        <v>5.1224405232189997E-2</v>
      </c>
      <c r="L4818">
        <v>1823.58024899882</v>
      </c>
      <c r="M4818">
        <v>37.432258000218901</v>
      </c>
      <c r="N4818">
        <v>48.968119622466901</v>
      </c>
      <c r="O4818">
        <v>48.578395851746997</v>
      </c>
      <c r="P4818">
        <v>-0.17580399721602699</v>
      </c>
      <c r="Q4818">
        <v>8.7391094917536494E-2</v>
      </c>
      <c r="R4818">
        <v>0.99607384211790495</v>
      </c>
      <c r="S4818" t="s">
        <v>10679</v>
      </c>
      <c r="T4818" t="s">
        <v>11720</v>
      </c>
      <c r="U4818" t="s">
        <v>11720</v>
      </c>
      <c r="V4818" t="s">
        <v>11720</v>
      </c>
      <c r="W4818" t="s">
        <v>16482</v>
      </c>
      <c r="X4818">
        <v>11</v>
      </c>
      <c r="Y4818" t="s">
        <v>22190</v>
      </c>
      <c r="Z4818" t="s">
        <v>28025</v>
      </c>
      <c r="AA4818">
        <v>0.35608010864649559</v>
      </c>
      <c r="AB4818" t="str">
        <f>HYPERLINK("Melting_Curves/meltCurve_Q9BTE3_2_MCMBP.pdf", "Melting_Curves/meltCurve_Q9BTE3_2_MCMBP.pdf")</f>
        <v>Melting_Curves/meltCurve_Q9BTE3_2_MCMBP.pdf</v>
      </c>
    </row>
    <row r="4819" spans="1:28" x14ac:dyDescent="0.25">
      <c r="A4819" t="s">
        <v>4823</v>
      </c>
      <c r="B4819">
        <v>0.99334974765950101</v>
      </c>
      <c r="C4819">
        <v>0.993275007987238</v>
      </c>
      <c r="D4819">
        <v>0.98964197759724903</v>
      </c>
      <c r="E4819">
        <v>0.95886040940280004</v>
      </c>
      <c r="F4819">
        <v>0.91861087072729397</v>
      </c>
      <c r="G4819">
        <v>0.75828717808030099</v>
      </c>
      <c r="H4819">
        <v>0.84710625447457699</v>
      </c>
      <c r="I4819">
        <v>1.57575654113737</v>
      </c>
      <c r="J4819">
        <v>1.71389610660944</v>
      </c>
      <c r="K4819">
        <v>1.7710462502108699</v>
      </c>
      <c r="L4819">
        <v>15000</v>
      </c>
      <c r="M4819">
        <v>239.79617457293199</v>
      </c>
      <c r="O4819">
        <v>62.548774277352301</v>
      </c>
      <c r="P4819">
        <v>0.47921837705852099</v>
      </c>
      <c r="Q4819">
        <v>1.5</v>
      </c>
      <c r="R4819">
        <v>0.83323972916737299</v>
      </c>
      <c r="S4819" t="s">
        <v>10680</v>
      </c>
      <c r="T4819" t="s">
        <v>11720</v>
      </c>
      <c r="U4819" t="s">
        <v>11720</v>
      </c>
      <c r="V4819" t="s">
        <v>11720</v>
      </c>
      <c r="W4819" t="s">
        <v>16483</v>
      </c>
      <c r="X4819">
        <v>3</v>
      </c>
      <c r="Y4819" t="s">
        <v>22191</v>
      </c>
      <c r="Z4819" t="s">
        <v>28026</v>
      </c>
      <c r="AA4819">
        <v>1.12405492730086</v>
      </c>
      <c r="AB4819" t="str">
        <f>HYPERLINK("Melting_Curves/meltCurve_Q9BTL3_FAM103A1.pdf", "Melting_Curves/meltCurve_Q9BTL3_FAM103A1.pdf")</f>
        <v>Melting_Curves/meltCurve_Q9BTL3_FAM103A1.pdf</v>
      </c>
    </row>
    <row r="4820" spans="1:28" x14ac:dyDescent="0.25">
      <c r="A4820" t="s">
        <v>4824</v>
      </c>
      <c r="B4820">
        <v>0.99334974765950101</v>
      </c>
      <c r="C4820">
        <v>0.88216319838065904</v>
      </c>
      <c r="D4820">
        <v>0.50336127711843903</v>
      </c>
      <c r="E4820">
        <v>0.25327315992146299</v>
      </c>
      <c r="F4820">
        <v>0.18728415608955801</v>
      </c>
      <c r="G4820">
        <v>0.159805383831992</v>
      </c>
      <c r="H4820">
        <v>0.14625870120347401</v>
      </c>
      <c r="I4820">
        <v>0.18699878593792599</v>
      </c>
      <c r="J4820">
        <v>0.18603143634174901</v>
      </c>
      <c r="K4820">
        <v>0.192918770369368</v>
      </c>
      <c r="L4820">
        <v>1326.4785480934199</v>
      </c>
      <c r="M4820">
        <v>29.2045350772608</v>
      </c>
      <c r="N4820">
        <v>46.109519659701697</v>
      </c>
      <c r="O4820">
        <v>45.2089303571816</v>
      </c>
      <c r="P4820">
        <v>-0.13293545820066999</v>
      </c>
      <c r="Q4820">
        <v>0.17686399248120599</v>
      </c>
      <c r="R4820">
        <v>0.997179368409292</v>
      </c>
      <c r="S4820" t="s">
        <v>10681</v>
      </c>
      <c r="T4820" t="s">
        <v>11720</v>
      </c>
      <c r="U4820" t="s">
        <v>11720</v>
      </c>
      <c r="V4820" t="s">
        <v>11720</v>
      </c>
      <c r="W4820" t="s">
        <v>16484</v>
      </c>
      <c r="X4820">
        <v>6</v>
      </c>
      <c r="Y4820" t="s">
        <v>22192</v>
      </c>
      <c r="Z4820" t="s">
        <v>28027</v>
      </c>
      <c r="AA4820">
        <v>0.33106091709069418</v>
      </c>
      <c r="AB4820" t="str">
        <f>HYPERLINK("Melting_Curves/meltCurve_Q9BTT0_ANP32E.pdf", "Melting_Curves/meltCurve_Q9BTT0_ANP32E.pdf")</f>
        <v>Melting_Curves/meltCurve_Q9BTT0_ANP32E.pdf</v>
      </c>
    </row>
    <row r="4821" spans="1:28" x14ac:dyDescent="0.25">
      <c r="A4821" t="s">
        <v>4825</v>
      </c>
      <c r="B4821">
        <v>0.99334974765950101</v>
      </c>
      <c r="C4821">
        <v>0.94798552906064704</v>
      </c>
      <c r="D4821">
        <v>0.85720559221179304</v>
      </c>
      <c r="E4821">
        <v>0.78024770347977701</v>
      </c>
      <c r="F4821">
        <v>0.75593123147023</v>
      </c>
      <c r="G4821">
        <v>0.57617436865277505</v>
      </c>
      <c r="H4821">
        <v>0.53278956431879398</v>
      </c>
      <c r="I4821">
        <v>0.46405182405627399</v>
      </c>
      <c r="J4821">
        <v>0.53370839363046296</v>
      </c>
      <c r="K4821">
        <v>0.55278283444899701</v>
      </c>
      <c r="L4821">
        <v>597.29452097207798</v>
      </c>
      <c r="M4821">
        <v>11.6403503522283</v>
      </c>
      <c r="O4821">
        <v>49.868181691719798</v>
      </c>
      <c r="P4821">
        <v>-3.0281889848460999E-2</v>
      </c>
      <c r="Q4821">
        <v>0.48122065562132699</v>
      </c>
      <c r="R4821">
        <v>0.959024624130841</v>
      </c>
      <c r="S4821" t="s">
        <v>10682</v>
      </c>
      <c r="T4821" t="s">
        <v>11720</v>
      </c>
      <c r="U4821" t="s">
        <v>11720</v>
      </c>
      <c r="V4821" t="s">
        <v>11720</v>
      </c>
      <c r="W4821" t="s">
        <v>16485</v>
      </c>
      <c r="X4821">
        <v>3</v>
      </c>
      <c r="Y4821" t="s">
        <v>22193</v>
      </c>
      <c r="Z4821" t="s">
        <v>28028</v>
      </c>
      <c r="AA4821">
        <v>0.69414625129549989</v>
      </c>
      <c r="AB4821" t="str">
        <f>HYPERLINK("Melting_Curves/meltCurve_Q9BTT4_MED10.pdf", "Melting_Curves/meltCurve_Q9BTT4_MED10.pdf")</f>
        <v>Melting_Curves/meltCurve_Q9BTT4_MED10.pdf</v>
      </c>
    </row>
    <row r="4822" spans="1:28" x14ac:dyDescent="0.25">
      <c r="A4822" t="s">
        <v>4826</v>
      </c>
      <c r="B4822">
        <v>0.99334974765950101</v>
      </c>
      <c r="C4822">
        <v>1.01600366587638</v>
      </c>
      <c r="D4822">
        <v>0.98405720424770005</v>
      </c>
      <c r="E4822">
        <v>0.65922371969774396</v>
      </c>
      <c r="F4822">
        <v>0.26230303869645399</v>
      </c>
      <c r="G4822">
        <v>0.10611631649479999</v>
      </c>
      <c r="H4822">
        <v>9.9849928319689196E-2</v>
      </c>
      <c r="I4822">
        <v>6.6091838579050002E-2</v>
      </c>
      <c r="J4822">
        <v>5.3261687680575397E-2</v>
      </c>
      <c r="K4822">
        <v>5.9220769328591098E-2</v>
      </c>
      <c r="L4822">
        <v>1674.6802194186901</v>
      </c>
      <c r="M4822">
        <v>32.935551608480402</v>
      </c>
      <c r="N4822">
        <v>51.082224919151201</v>
      </c>
      <c r="O4822">
        <v>50.660839055034998</v>
      </c>
      <c r="P4822">
        <v>-0.15110375076482699</v>
      </c>
      <c r="Q4822">
        <v>7.0304587452639497E-2</v>
      </c>
      <c r="R4822">
        <v>0.99896187550646198</v>
      </c>
      <c r="S4822" t="s">
        <v>10683</v>
      </c>
      <c r="T4822" t="s">
        <v>11720</v>
      </c>
      <c r="U4822" t="s">
        <v>11720</v>
      </c>
      <c r="V4822" t="s">
        <v>11720</v>
      </c>
      <c r="W4822" t="s">
        <v>16486</v>
      </c>
      <c r="X4822">
        <v>4</v>
      </c>
      <c r="Y4822" t="s">
        <v>22194</v>
      </c>
      <c r="Z4822" t="s">
        <v>28029</v>
      </c>
      <c r="AA4822">
        <v>0.41129063330334609</v>
      </c>
      <c r="AB4822" t="str">
        <f>HYPERLINK("Melting_Curves/meltCurve_Q9BTT6_LRRC1.pdf", "Melting_Curves/meltCurve_Q9BTT6_LRRC1.pdf")</f>
        <v>Melting_Curves/meltCurve_Q9BTT6_LRRC1.pdf</v>
      </c>
    </row>
    <row r="4823" spans="1:28" x14ac:dyDescent="0.25">
      <c r="A4823" t="s">
        <v>4827</v>
      </c>
      <c r="B4823">
        <v>0.99334974765950101</v>
      </c>
      <c r="C4823">
        <v>0.92979756090361099</v>
      </c>
      <c r="D4823">
        <v>0.92091192057676996</v>
      </c>
      <c r="E4823">
        <v>0.77376922946719995</v>
      </c>
      <c r="F4823">
        <v>0.47622090899290598</v>
      </c>
      <c r="G4823">
        <v>0.17407630989808701</v>
      </c>
      <c r="H4823">
        <v>0.11795780714302399</v>
      </c>
      <c r="I4823">
        <v>0.115104572752271</v>
      </c>
      <c r="J4823">
        <v>9.8587901710159506E-2</v>
      </c>
      <c r="K4823">
        <v>8.9679180110699003E-2</v>
      </c>
      <c r="L4823">
        <v>1207.9403185006399</v>
      </c>
      <c r="M4823">
        <v>23.131411650809401</v>
      </c>
      <c r="N4823">
        <v>52.660076546938903</v>
      </c>
      <c r="O4823">
        <v>51.8351833625563</v>
      </c>
      <c r="P4823">
        <v>-0.101775268296416</v>
      </c>
      <c r="Q4823">
        <v>8.7743848666099702E-2</v>
      </c>
      <c r="R4823">
        <v>0.99488755800714301</v>
      </c>
      <c r="S4823" t="s">
        <v>10684</v>
      </c>
      <c r="T4823" t="s">
        <v>11720</v>
      </c>
      <c r="U4823" t="s">
        <v>11720</v>
      </c>
      <c r="V4823" t="s">
        <v>11720</v>
      </c>
      <c r="W4823" t="s">
        <v>16487</v>
      </c>
      <c r="X4823">
        <v>24</v>
      </c>
      <c r="Y4823" t="s">
        <v>22195</v>
      </c>
      <c r="Z4823" t="s">
        <v>28030</v>
      </c>
      <c r="AA4823">
        <v>0.46902912223654258</v>
      </c>
      <c r="AB4823" t="str">
        <f>HYPERLINK("Melting_Curves/meltCurve_Q9BTU6_PI4K2A.pdf", "Melting_Curves/meltCurve_Q9BTU6_PI4K2A.pdf")</f>
        <v>Melting_Curves/meltCurve_Q9BTU6_PI4K2A.pdf</v>
      </c>
    </row>
    <row r="4824" spans="1:28" x14ac:dyDescent="0.25">
      <c r="A4824" t="s">
        <v>4828</v>
      </c>
      <c r="B4824">
        <v>0.99334974765950101</v>
      </c>
      <c r="C4824">
        <v>0.94889663160744997</v>
      </c>
      <c r="D4824">
        <v>1.0270686489087699</v>
      </c>
      <c r="E4824">
        <v>0.99394032169193702</v>
      </c>
      <c r="F4824">
        <v>0.53527735956446099</v>
      </c>
      <c r="G4824">
        <v>0.42477398472620298</v>
      </c>
      <c r="H4824">
        <v>0.274613568234712</v>
      </c>
      <c r="I4824">
        <v>0.213067003488772</v>
      </c>
      <c r="J4824">
        <v>0.155769888632523</v>
      </c>
      <c r="K4824">
        <v>0.106262866427644</v>
      </c>
      <c r="L4824">
        <v>1115.0506311381801</v>
      </c>
      <c r="M4824">
        <v>20.616105973299302</v>
      </c>
      <c r="N4824">
        <v>55.080868612857799</v>
      </c>
      <c r="O4824">
        <v>53.585209860668598</v>
      </c>
      <c r="P4824">
        <v>-8.1239164562366004E-2</v>
      </c>
      <c r="Q4824">
        <v>0.15539980386899699</v>
      </c>
      <c r="R4824">
        <v>0.96537544177693702</v>
      </c>
      <c r="S4824" t="s">
        <v>10685</v>
      </c>
      <c r="T4824" t="s">
        <v>11720</v>
      </c>
      <c r="U4824" t="s">
        <v>11720</v>
      </c>
      <c r="V4824" t="s">
        <v>11720</v>
      </c>
      <c r="W4824" t="s">
        <v>16488</v>
      </c>
      <c r="X4824">
        <v>2</v>
      </c>
      <c r="Y4824" t="s">
        <v>22196</v>
      </c>
      <c r="Z4824" t="s">
        <v>28031</v>
      </c>
      <c r="AA4824">
        <v>0.56289266321732767</v>
      </c>
      <c r="AB4824" t="str">
        <f>HYPERLINK("Melting_Curves/meltCurve_Q9BTV4_TMEM43.pdf", "Melting_Curves/meltCurve_Q9BTV4_TMEM43.pdf")</f>
        <v>Melting_Curves/meltCurve_Q9BTV4_TMEM43.pdf</v>
      </c>
    </row>
    <row r="4825" spans="1:28" x14ac:dyDescent="0.25">
      <c r="A4825" t="s">
        <v>4829</v>
      </c>
      <c r="B4825">
        <v>0.99334974765950101</v>
      </c>
      <c r="C4825">
        <v>1.0740791985032201</v>
      </c>
      <c r="D4825">
        <v>0.99328918675470301</v>
      </c>
      <c r="E4825">
        <v>1.0811059090173201</v>
      </c>
      <c r="F4825">
        <v>0.88808482876582195</v>
      </c>
      <c r="G4825">
        <v>0.89267863391915303</v>
      </c>
      <c r="H4825">
        <v>0.66524693023771797</v>
      </c>
      <c r="I4825">
        <v>0.48168318581061598</v>
      </c>
      <c r="J4825">
        <v>0.35044171385975098</v>
      </c>
      <c r="K4825">
        <v>0.24992913048628199</v>
      </c>
      <c r="L4825">
        <v>1093.1181094286301</v>
      </c>
      <c r="M4825">
        <v>17.443804641150301</v>
      </c>
      <c r="N4825">
        <v>63.784580469077099</v>
      </c>
      <c r="O4825">
        <v>61.858949754881401</v>
      </c>
      <c r="P4825">
        <v>-6.1205698822961299E-2</v>
      </c>
      <c r="Q4825">
        <v>0.13186153827080199</v>
      </c>
      <c r="R4825">
        <v>0.97606064887766697</v>
      </c>
      <c r="S4825" t="s">
        <v>10686</v>
      </c>
      <c r="T4825" t="s">
        <v>11720</v>
      </c>
      <c r="U4825" t="s">
        <v>11720</v>
      </c>
      <c r="V4825" t="s">
        <v>11720</v>
      </c>
      <c r="W4825" t="s">
        <v>16489</v>
      </c>
      <c r="X4825">
        <v>3</v>
      </c>
      <c r="Y4825" t="s">
        <v>22197</v>
      </c>
      <c r="Z4825" t="s">
        <v>28032</v>
      </c>
      <c r="AA4825">
        <v>0.78574255656621517</v>
      </c>
      <c r="AB4825" t="str">
        <f>HYPERLINK("Melting_Curves/meltCurve_Q9BTV6_WDR85.pdf", "Melting_Curves/meltCurve_Q9BTV6_WDR85.pdf")</f>
        <v>Melting_Curves/meltCurve_Q9BTV6_WDR85.pdf</v>
      </c>
    </row>
    <row r="4826" spans="1:28" x14ac:dyDescent="0.25">
      <c r="A4826" t="s">
        <v>4830</v>
      </c>
      <c r="B4826">
        <v>0.99334974765950101</v>
      </c>
      <c r="C4826">
        <v>0.977425993250574</v>
      </c>
      <c r="D4826">
        <v>0.86209393753743702</v>
      </c>
      <c r="E4826">
        <v>0.72027761977614602</v>
      </c>
      <c r="F4826">
        <v>0.50389642080353902</v>
      </c>
      <c r="G4826">
        <v>0.30083508560984901</v>
      </c>
      <c r="H4826">
        <v>0.201679613638478</v>
      </c>
      <c r="I4826">
        <v>0.10911031248549601</v>
      </c>
      <c r="J4826">
        <v>7.3819056097261498E-2</v>
      </c>
      <c r="K4826">
        <v>6.1302424884929499E-2</v>
      </c>
      <c r="L4826">
        <v>687.77938584549702</v>
      </c>
      <c r="M4826">
        <v>12.9370841335659</v>
      </c>
      <c r="N4826">
        <v>53.319771440858702</v>
      </c>
      <c r="O4826">
        <v>51.941222756315099</v>
      </c>
      <c r="P4826">
        <v>-6.1119862605685499E-2</v>
      </c>
      <c r="Q4826">
        <v>1.8613801741539201E-2</v>
      </c>
      <c r="R4826">
        <v>0.99807847177924502</v>
      </c>
      <c r="S4826" t="s">
        <v>10687</v>
      </c>
      <c r="T4826" t="s">
        <v>11720</v>
      </c>
      <c r="U4826" t="s">
        <v>11720</v>
      </c>
      <c r="V4826" t="s">
        <v>11720</v>
      </c>
      <c r="W4826" t="s">
        <v>16490</v>
      </c>
      <c r="X4826">
        <v>10</v>
      </c>
      <c r="Y4826" t="s">
        <v>22198</v>
      </c>
      <c r="Z4826" t="s">
        <v>28033</v>
      </c>
      <c r="AA4826">
        <v>0.47455209969165479</v>
      </c>
      <c r="AB4826" t="str">
        <f>HYPERLINK("Melting_Curves/meltCurve_Q9BTX7_TTPAL.pdf", "Melting_Curves/meltCurve_Q9BTX7_TTPAL.pdf")</f>
        <v>Melting_Curves/meltCurve_Q9BTX7_TTPAL.pdf</v>
      </c>
    </row>
    <row r="4827" spans="1:28" x14ac:dyDescent="0.25">
      <c r="A4827" t="s">
        <v>4831</v>
      </c>
      <c r="B4827">
        <v>0.99334974765950101</v>
      </c>
      <c r="C4827">
        <v>0.96980074736661803</v>
      </c>
      <c r="D4827">
        <v>0.91353522452730596</v>
      </c>
      <c r="E4827">
        <v>0.68909026339420598</v>
      </c>
      <c r="F4827">
        <v>0.40777005390992299</v>
      </c>
      <c r="G4827">
        <v>0.30191727387969802</v>
      </c>
      <c r="H4827">
        <v>0.22940488167730999</v>
      </c>
      <c r="I4827">
        <v>0.110410958075824</v>
      </c>
      <c r="J4827">
        <v>6.7751585479479598E-2</v>
      </c>
      <c r="K4827">
        <v>5.5191069184369203E-2</v>
      </c>
      <c r="L4827">
        <v>752.69151692992796</v>
      </c>
      <c r="M4827">
        <v>14.4142845579424</v>
      </c>
      <c r="N4827">
        <v>52.647976073432098</v>
      </c>
      <c r="O4827">
        <v>51.244254843431101</v>
      </c>
      <c r="P4827">
        <v>-6.6428296545615606E-2</v>
      </c>
      <c r="Q4827">
        <v>5.5474092443636699E-2</v>
      </c>
      <c r="R4827">
        <v>0.99012081063673096</v>
      </c>
      <c r="S4827" t="s">
        <v>10688</v>
      </c>
      <c r="T4827" t="s">
        <v>11720</v>
      </c>
      <c r="U4827" t="s">
        <v>11720</v>
      </c>
      <c r="V4827" t="s">
        <v>11720</v>
      </c>
      <c r="W4827" t="s">
        <v>16491</v>
      </c>
      <c r="X4827">
        <v>4</v>
      </c>
      <c r="Y4827" t="s">
        <v>22199</v>
      </c>
      <c r="Z4827" t="s">
        <v>28034</v>
      </c>
      <c r="AA4827">
        <v>0.46238550658631389</v>
      </c>
      <c r="AB4827" t="str">
        <f>HYPERLINK("Melting_Curves/meltCurve_Q9BTY2_FUCA2.pdf", "Melting_Curves/meltCurve_Q9BTY2_FUCA2.pdf")</f>
        <v>Melting_Curves/meltCurve_Q9BTY2_FUCA2.pdf</v>
      </c>
    </row>
    <row r="4828" spans="1:28" x14ac:dyDescent="0.25">
      <c r="A4828" t="s">
        <v>4832</v>
      </c>
      <c r="B4828">
        <v>0.99334974765950101</v>
      </c>
      <c r="C4828">
        <v>0.79959516456888302</v>
      </c>
      <c r="D4828">
        <v>0.43859978169869202</v>
      </c>
      <c r="E4828">
        <v>0.21107632901253701</v>
      </c>
      <c r="F4828">
        <v>0.14480740296622699</v>
      </c>
      <c r="G4828">
        <v>0.117230996848482</v>
      </c>
      <c r="H4828">
        <v>9.5606230892051197E-2</v>
      </c>
      <c r="I4828">
        <v>9.9538538446830097E-2</v>
      </c>
      <c r="J4828">
        <v>8.2838011586112398E-2</v>
      </c>
      <c r="K4828">
        <v>6.7345155184317607E-2</v>
      </c>
      <c r="L4828">
        <v>1042.60611794543</v>
      </c>
      <c r="M4828">
        <v>23.063421508941101</v>
      </c>
      <c r="N4828">
        <v>45.629728609793801</v>
      </c>
      <c r="O4828">
        <v>44.870282333489399</v>
      </c>
      <c r="P4828">
        <v>-0.11611702012912301</v>
      </c>
      <c r="Q4828">
        <v>9.6385718010746302E-2</v>
      </c>
      <c r="R4828">
        <v>0.99599090528589695</v>
      </c>
      <c r="S4828" t="s">
        <v>10689</v>
      </c>
      <c r="T4828" t="s">
        <v>11720</v>
      </c>
      <c r="U4828" t="s">
        <v>11720</v>
      </c>
      <c r="V4828" t="s">
        <v>11720</v>
      </c>
      <c r="W4828" t="s">
        <v>16492</v>
      </c>
      <c r="X4828">
        <v>6</v>
      </c>
      <c r="Y4828" t="s">
        <v>22200</v>
      </c>
      <c r="Z4828" t="s">
        <v>28035</v>
      </c>
      <c r="AA4828">
        <v>0.26388757981708871</v>
      </c>
      <c r="AB4828" t="str">
        <f>HYPERLINK("Melting_Curves/meltCurve_Q9BTY7_FAM203A.pdf", "Melting_Curves/meltCurve_Q9BTY7_FAM203A.pdf")</f>
        <v>Melting_Curves/meltCurve_Q9BTY7_FAM203A.pdf</v>
      </c>
    </row>
    <row r="4829" spans="1:28" x14ac:dyDescent="0.25">
      <c r="A4829" t="s">
        <v>4833</v>
      </c>
      <c r="B4829">
        <v>0.99334974765950101</v>
      </c>
      <c r="C4829">
        <v>0.99270439510110398</v>
      </c>
      <c r="D4829">
        <v>0.99008667205814704</v>
      </c>
      <c r="E4829">
        <v>0.865181796833151</v>
      </c>
      <c r="F4829">
        <v>0.54821364748739598</v>
      </c>
      <c r="G4829">
        <v>0.27801316602300502</v>
      </c>
      <c r="H4829">
        <v>0.15580157542513601</v>
      </c>
      <c r="I4829">
        <v>0.169302253384472</v>
      </c>
      <c r="J4829">
        <v>0.12546854488411099</v>
      </c>
      <c r="K4829">
        <v>7.3403846149605698E-2</v>
      </c>
      <c r="L4829">
        <v>1283.4693594370201</v>
      </c>
      <c r="M4829">
        <v>24.146911642580601</v>
      </c>
      <c r="N4829">
        <v>53.7461056463437</v>
      </c>
      <c r="O4829">
        <v>52.7920046509293</v>
      </c>
      <c r="P4829">
        <v>-0.100967244089709</v>
      </c>
      <c r="Q4829">
        <v>0.117041381429385</v>
      </c>
      <c r="R4829">
        <v>0.99642754471291695</v>
      </c>
      <c r="S4829" t="s">
        <v>10690</v>
      </c>
      <c r="T4829" t="s">
        <v>11720</v>
      </c>
      <c r="U4829" t="s">
        <v>11720</v>
      </c>
      <c r="V4829" t="s">
        <v>11720</v>
      </c>
      <c r="W4829" t="s">
        <v>16493</v>
      </c>
      <c r="X4829">
        <v>12</v>
      </c>
      <c r="Y4829" t="s">
        <v>22201</v>
      </c>
      <c r="Z4829" t="s">
        <v>28036</v>
      </c>
      <c r="AA4829">
        <v>0.51282636865101516</v>
      </c>
      <c r="AB4829" t="str">
        <f>HYPERLINK("Melting_Curves/meltCurve_Q9BTZ2_DHRS4.pdf", "Melting_Curves/meltCurve_Q9BTZ2_DHRS4.pdf")</f>
        <v>Melting_Curves/meltCurve_Q9BTZ2_DHRS4.pdf</v>
      </c>
    </row>
    <row r="4830" spans="1:28" x14ac:dyDescent="0.25">
      <c r="A4830" t="s">
        <v>4834</v>
      </c>
      <c r="B4830">
        <v>0.99334974765950101</v>
      </c>
      <c r="C4830">
        <v>0.95376790819850499</v>
      </c>
      <c r="D4830">
        <v>0.85051693546432094</v>
      </c>
      <c r="E4830">
        <v>0.67886900225339997</v>
      </c>
      <c r="F4830">
        <v>0.37103414798103801</v>
      </c>
      <c r="G4830">
        <v>0.20127782818127599</v>
      </c>
      <c r="H4830">
        <v>0.15278820454769099</v>
      </c>
      <c r="I4830">
        <v>0.13101895585211701</v>
      </c>
      <c r="J4830">
        <v>0.13196310973137801</v>
      </c>
      <c r="K4830">
        <v>0.111818339851537</v>
      </c>
      <c r="L4830">
        <v>940.63151060734504</v>
      </c>
      <c r="M4830">
        <v>18.477127919923799</v>
      </c>
      <c r="N4830">
        <v>51.5911173657381</v>
      </c>
      <c r="O4830">
        <v>50.322832937026099</v>
      </c>
      <c r="P4830">
        <v>-8.1834451793506999E-2</v>
      </c>
      <c r="Q4830">
        <v>0.108528674787645</v>
      </c>
      <c r="R4830">
        <v>0.99533792463702897</v>
      </c>
      <c r="S4830" t="s">
        <v>10691</v>
      </c>
      <c r="T4830" t="s">
        <v>11720</v>
      </c>
      <c r="U4830" t="s">
        <v>11720</v>
      </c>
      <c r="V4830" t="s">
        <v>11720</v>
      </c>
      <c r="W4830" t="s">
        <v>16494</v>
      </c>
      <c r="X4830">
        <v>14</v>
      </c>
      <c r="Y4830" t="s">
        <v>22202</v>
      </c>
      <c r="Z4830" t="s">
        <v>28037</v>
      </c>
      <c r="AA4830">
        <v>0.44700134140125619</v>
      </c>
      <c r="AB4830" t="str">
        <f>HYPERLINK("Melting_Curves/meltCurve_Q9BU02_THTPA.pdf", "Melting_Curves/meltCurve_Q9BU02_THTPA.pdf")</f>
        <v>Melting_Curves/meltCurve_Q9BU02_THTPA.pdf</v>
      </c>
    </row>
    <row r="4831" spans="1:28" x14ac:dyDescent="0.25">
      <c r="A4831" t="s">
        <v>4835</v>
      </c>
      <c r="B4831">
        <v>0.99334974765950101</v>
      </c>
      <c r="C4831">
        <v>1.0035396827759699</v>
      </c>
      <c r="D4831">
        <v>0.78876762042110005</v>
      </c>
      <c r="E4831">
        <v>0.42234415547801901</v>
      </c>
      <c r="F4831">
        <v>0.198908548827991</v>
      </c>
      <c r="G4831">
        <v>0.107944394274842</v>
      </c>
      <c r="H4831">
        <v>8.4800609557382001E-2</v>
      </c>
      <c r="I4831">
        <v>7.0992409203796306E-2</v>
      </c>
      <c r="J4831">
        <v>7.9447658925356907E-2</v>
      </c>
      <c r="K4831">
        <v>4.5607564405611097E-2</v>
      </c>
      <c r="L4831">
        <v>1088.38563875924</v>
      </c>
      <c r="M4831">
        <v>22.291302069859601</v>
      </c>
      <c r="N4831">
        <v>49.139403709733401</v>
      </c>
      <c r="O4831">
        <v>48.437745023574401</v>
      </c>
      <c r="P4831">
        <v>-0.107420315211313</v>
      </c>
      <c r="Q4831">
        <v>6.6346908549252195E-2</v>
      </c>
      <c r="R4831">
        <v>0.99772029192353295</v>
      </c>
      <c r="S4831" t="s">
        <v>10692</v>
      </c>
      <c r="T4831" t="s">
        <v>11720</v>
      </c>
      <c r="U4831" t="s">
        <v>11720</v>
      </c>
      <c r="V4831" t="s">
        <v>11720</v>
      </c>
      <c r="W4831" t="s">
        <v>16495</v>
      </c>
      <c r="X4831">
        <v>6</v>
      </c>
      <c r="Y4831" t="s">
        <v>22203</v>
      </c>
      <c r="Z4831" t="s">
        <v>28038</v>
      </c>
      <c r="AA4831">
        <v>0.35149375273651512</v>
      </c>
      <c r="AB4831" t="str">
        <f>HYPERLINK("Melting_Curves/meltCurve_Q9BU23_3_LMF2.pdf", "Melting_Curves/meltCurve_Q9BU23_3_LMF2.pdf")</f>
        <v>Melting_Curves/meltCurve_Q9BU23_3_LMF2.pdf</v>
      </c>
    </row>
    <row r="4832" spans="1:28" x14ac:dyDescent="0.25">
      <c r="A4832" t="s">
        <v>4836</v>
      </c>
      <c r="B4832">
        <v>0.99334974765950101</v>
      </c>
      <c r="C4832">
        <v>0.97899346440329604</v>
      </c>
      <c r="D4832">
        <v>0.97964293852800199</v>
      </c>
      <c r="E4832">
        <v>0.99590952804283495</v>
      </c>
      <c r="F4832">
        <v>1.23286708296854</v>
      </c>
      <c r="G4832">
        <v>0.56404233322566699</v>
      </c>
      <c r="H4832">
        <v>0.22557856984914099</v>
      </c>
      <c r="I4832">
        <v>0.16783794014287201</v>
      </c>
      <c r="J4832">
        <v>0.15533282094484699</v>
      </c>
      <c r="K4832">
        <v>0.12056091001002001</v>
      </c>
      <c r="L4832">
        <v>9848.3759510309592</v>
      </c>
      <c r="M4832">
        <v>172.872823409528</v>
      </c>
      <c r="N4832">
        <v>57.103496250637697</v>
      </c>
      <c r="O4832">
        <v>56.961284518435001</v>
      </c>
      <c r="P4832">
        <v>-0.63177533421393495</v>
      </c>
      <c r="Q4832">
        <v>0.16732465809375199</v>
      </c>
      <c r="R4832">
        <v>0.96498706742443996</v>
      </c>
      <c r="S4832" t="s">
        <v>10693</v>
      </c>
      <c r="T4832" t="s">
        <v>11720</v>
      </c>
      <c r="U4832" t="s">
        <v>11720</v>
      </c>
      <c r="V4832" t="s">
        <v>11720</v>
      </c>
      <c r="W4832" t="s">
        <v>16496</v>
      </c>
      <c r="X4832">
        <v>4</v>
      </c>
      <c r="Y4832" t="s">
        <v>22204</v>
      </c>
      <c r="Z4832" t="s">
        <v>28039</v>
      </c>
      <c r="AA4832">
        <v>0.63848517827451567</v>
      </c>
      <c r="AB4832" t="str">
        <f>HYPERLINK("Melting_Curves/meltCurve_Q9BU61_NDUFAF3.pdf", "Melting_Curves/meltCurve_Q9BU61_NDUFAF3.pdf")</f>
        <v>Melting_Curves/meltCurve_Q9BU61_NDUFAF3.pdf</v>
      </c>
    </row>
    <row r="4833" spans="1:28" x14ac:dyDescent="0.25">
      <c r="A4833" t="s">
        <v>4837</v>
      </c>
      <c r="B4833">
        <v>0.99334974765950101</v>
      </c>
      <c r="C4833">
        <v>0.97980081462862001</v>
      </c>
      <c r="D4833">
        <v>0.79890015618493104</v>
      </c>
      <c r="E4833">
        <v>0.73975134241310203</v>
      </c>
      <c r="F4833">
        <v>0.89638742421267203</v>
      </c>
      <c r="G4833">
        <v>0.49227085510503799</v>
      </c>
      <c r="H4833">
        <v>0.35366809861947002</v>
      </c>
      <c r="I4833">
        <v>0.32906582258144601</v>
      </c>
      <c r="J4833">
        <v>0.46570245732323101</v>
      </c>
      <c r="K4833">
        <v>0.51316386252886803</v>
      </c>
      <c r="L4833">
        <v>671.56614583869305</v>
      </c>
      <c r="M4833">
        <v>12.705437676287399</v>
      </c>
      <c r="N4833">
        <v>59.228778177933698</v>
      </c>
      <c r="O4833">
        <v>51.598524455158</v>
      </c>
      <c r="P4833">
        <v>-3.86324024646948E-2</v>
      </c>
      <c r="Q4833">
        <v>0.37255544368476601</v>
      </c>
      <c r="R4833">
        <v>0.81618803449980004</v>
      </c>
      <c r="S4833" t="s">
        <v>10694</v>
      </c>
      <c r="T4833" t="s">
        <v>11720</v>
      </c>
      <c r="U4833" t="s">
        <v>11720</v>
      </c>
      <c r="V4833" t="s">
        <v>11720</v>
      </c>
      <c r="W4833" t="s">
        <v>16497</v>
      </c>
      <c r="X4833">
        <v>1</v>
      </c>
      <c r="Y4833" t="s">
        <v>22205</v>
      </c>
      <c r="Z4833" t="s">
        <v>28040</v>
      </c>
      <c r="AA4833">
        <v>0.65833742750255952</v>
      </c>
      <c r="AB4833" t="str">
        <f>HYPERLINK("Melting_Curves/meltCurve_Q9BU76_2_MMTAG2.pdf", "Melting_Curves/meltCurve_Q9BU76_2_MMTAG2.pdf")</f>
        <v>Melting_Curves/meltCurve_Q9BU76_2_MMTAG2.pdf</v>
      </c>
    </row>
    <row r="4834" spans="1:28" x14ac:dyDescent="0.25">
      <c r="A4834" t="s">
        <v>4838</v>
      </c>
      <c r="B4834">
        <v>0.99334974765950101</v>
      </c>
      <c r="C4834">
        <v>0.93264090649041498</v>
      </c>
      <c r="D4834">
        <v>0.696895827524594</v>
      </c>
      <c r="E4834">
        <v>0.44366514826175801</v>
      </c>
      <c r="F4834">
        <v>0.32884363298513197</v>
      </c>
      <c r="G4834">
        <v>0.19660347273964701</v>
      </c>
      <c r="H4834">
        <v>0.163559086956827</v>
      </c>
      <c r="I4834">
        <v>0.17307260201614999</v>
      </c>
      <c r="J4834">
        <v>0.147692615246903</v>
      </c>
      <c r="K4834">
        <v>0.144154754958496</v>
      </c>
      <c r="L4834">
        <v>793.32874594381201</v>
      </c>
      <c r="M4834">
        <v>16.477266506504801</v>
      </c>
      <c r="N4834">
        <v>49.173317493040599</v>
      </c>
      <c r="O4834">
        <v>47.454460507843699</v>
      </c>
      <c r="P4834">
        <v>-7.4179294024806094E-2</v>
      </c>
      <c r="Q4834">
        <v>0.145515447805599</v>
      </c>
      <c r="R4834">
        <v>0.99612836454130105</v>
      </c>
      <c r="S4834" t="s">
        <v>10695</v>
      </c>
      <c r="T4834" t="s">
        <v>11720</v>
      </c>
      <c r="U4834" t="s">
        <v>11720</v>
      </c>
      <c r="V4834" t="s">
        <v>11720</v>
      </c>
      <c r="W4834" t="s">
        <v>16498</v>
      </c>
      <c r="X4834">
        <v>16</v>
      </c>
      <c r="Y4834" t="s">
        <v>22206</v>
      </c>
      <c r="Z4834" t="s">
        <v>28041</v>
      </c>
      <c r="AA4834">
        <v>0.39566170011172219</v>
      </c>
      <c r="AB4834" t="str">
        <f>HYPERLINK("Melting_Curves/meltCurve_Q9BU89_DOHH.pdf", "Melting_Curves/meltCurve_Q9BU89_DOHH.pdf")</f>
        <v>Melting_Curves/meltCurve_Q9BU89_DOHH.pdf</v>
      </c>
    </row>
    <row r="4835" spans="1:28" x14ac:dyDescent="0.25">
      <c r="A4835" t="s">
        <v>4839</v>
      </c>
      <c r="B4835">
        <v>0.99334974765950101</v>
      </c>
      <c r="C4835">
        <v>0.92606704734544398</v>
      </c>
      <c r="D4835">
        <v>0.83474250372747105</v>
      </c>
      <c r="E4835">
        <v>0.51532106575861902</v>
      </c>
      <c r="F4835">
        <v>0.288617443756363</v>
      </c>
      <c r="G4835">
        <v>0.15032430442391101</v>
      </c>
      <c r="H4835">
        <v>0.12795544164224601</v>
      </c>
      <c r="I4835">
        <v>0.10653300617733601</v>
      </c>
      <c r="J4835">
        <v>0.115075908642503</v>
      </c>
      <c r="K4835">
        <v>8.2508519501039101E-2</v>
      </c>
      <c r="L4835">
        <v>937.30972564066803</v>
      </c>
      <c r="M4835">
        <v>18.923239040748101</v>
      </c>
      <c r="N4835">
        <v>50.075201295150102</v>
      </c>
      <c r="O4835">
        <v>48.989014394453001</v>
      </c>
      <c r="P4835">
        <v>-8.7615007133517803E-2</v>
      </c>
      <c r="Q4835">
        <v>9.2756340557337294E-2</v>
      </c>
      <c r="R4835">
        <v>0.99865667320472995</v>
      </c>
      <c r="S4835" t="s">
        <v>10696</v>
      </c>
      <c r="T4835" t="s">
        <v>11720</v>
      </c>
      <c r="U4835" t="s">
        <v>11720</v>
      </c>
      <c r="V4835" t="s">
        <v>11720</v>
      </c>
      <c r="W4835" t="s">
        <v>16499</v>
      </c>
      <c r="X4835">
        <v>3</v>
      </c>
      <c r="Y4835" t="s">
        <v>22207</v>
      </c>
      <c r="Z4835" t="s">
        <v>28042</v>
      </c>
      <c r="AA4835">
        <v>0.39514655270126592</v>
      </c>
      <c r="AB4835" t="str">
        <f>HYPERLINK("Melting_Curves/meltCurve_Q9BUB5_2_MKNK1.pdf", "Melting_Curves/meltCurve_Q9BUB5_2_MKNK1.pdf")</f>
        <v>Melting_Curves/meltCurve_Q9BUB5_2_MKNK1.pdf</v>
      </c>
    </row>
    <row r="4836" spans="1:28" x14ac:dyDescent="0.25">
      <c r="A4836" t="s">
        <v>4840</v>
      </c>
      <c r="B4836">
        <v>0.99334974765950101</v>
      </c>
      <c r="C4836">
        <v>0.89635312435607595</v>
      </c>
      <c r="D4836">
        <v>0.82751514412642402</v>
      </c>
      <c r="E4836">
        <v>0.67950934585656997</v>
      </c>
      <c r="F4836">
        <v>0.26513178875867699</v>
      </c>
      <c r="G4836">
        <v>0.180528122515006</v>
      </c>
      <c r="H4836">
        <v>0.126486200146671</v>
      </c>
      <c r="I4836">
        <v>0.12895022290024799</v>
      </c>
      <c r="J4836">
        <v>0.116618797966149</v>
      </c>
      <c r="K4836">
        <v>9.84647544230456E-2</v>
      </c>
      <c r="L4836">
        <v>972.01244669459902</v>
      </c>
      <c r="M4836">
        <v>19.2970651160419</v>
      </c>
      <c r="N4836">
        <v>50.9407800012577</v>
      </c>
      <c r="O4836">
        <v>49.839416209087702</v>
      </c>
      <c r="P4836">
        <v>-8.7403674901546505E-2</v>
      </c>
      <c r="Q4836">
        <v>9.7067943534722298E-2</v>
      </c>
      <c r="R4836">
        <v>0.98001164326288803</v>
      </c>
      <c r="S4836" t="s">
        <v>10697</v>
      </c>
      <c r="T4836" t="s">
        <v>11720</v>
      </c>
      <c r="U4836" t="s">
        <v>11720</v>
      </c>
      <c r="V4836" t="s">
        <v>11720</v>
      </c>
      <c r="W4836" t="s">
        <v>16500</v>
      </c>
      <c r="X4836">
        <v>2</v>
      </c>
      <c r="Y4836" t="s">
        <v>22208</v>
      </c>
      <c r="Z4836" t="s">
        <v>28043</v>
      </c>
      <c r="AA4836">
        <v>0.422655122458864</v>
      </c>
      <c r="AB4836" t="str">
        <f>HYPERLINK("Melting_Curves/meltCurve_Q9BUB7_2_TMEM70.pdf", "Melting_Curves/meltCurve_Q9BUB7_2_TMEM70.pdf")</f>
        <v>Melting_Curves/meltCurve_Q9BUB7_2_TMEM70.pdf</v>
      </c>
    </row>
    <row r="4837" spans="1:28" x14ac:dyDescent="0.25">
      <c r="A4837" t="s">
        <v>4841</v>
      </c>
      <c r="B4837">
        <v>0.99334974765950101</v>
      </c>
      <c r="C4837">
        <v>0.78804851194112902</v>
      </c>
      <c r="D4837">
        <v>0.419190282823239</v>
      </c>
      <c r="E4837">
        <v>0.26666728356424302</v>
      </c>
      <c r="F4837">
        <v>0.16121509915429599</v>
      </c>
      <c r="G4837">
        <v>0.116305929508182</v>
      </c>
      <c r="H4837">
        <v>8.1153147289679595E-2</v>
      </c>
      <c r="I4837">
        <v>7.01027760450951E-2</v>
      </c>
      <c r="J4837">
        <v>4.4537739032063102E-2</v>
      </c>
      <c r="K4837">
        <v>3.7778211957661498E-2</v>
      </c>
      <c r="L4837">
        <v>850.63663443765802</v>
      </c>
      <c r="M4837">
        <v>18.712351415229701</v>
      </c>
      <c r="N4837">
        <v>45.835803087289101</v>
      </c>
      <c r="O4837">
        <v>44.948939036438396</v>
      </c>
      <c r="P4837">
        <v>-9.6652046753913604E-2</v>
      </c>
      <c r="Q4837">
        <v>7.1367796324258395E-2</v>
      </c>
      <c r="R4837">
        <v>0.98583619129907596</v>
      </c>
      <c r="S4837" t="s">
        <v>10698</v>
      </c>
      <c r="T4837" t="s">
        <v>11720</v>
      </c>
      <c r="U4837" t="s">
        <v>11720</v>
      </c>
      <c r="V4837" t="s">
        <v>11720</v>
      </c>
      <c r="W4837" t="s">
        <v>16501</v>
      </c>
      <c r="X4837">
        <v>9</v>
      </c>
      <c r="Y4837" t="s">
        <v>22209</v>
      </c>
      <c r="Z4837" t="s">
        <v>28044</v>
      </c>
      <c r="AA4837">
        <v>0.25781868401918751</v>
      </c>
      <c r="AB4837" t="str">
        <f>HYPERLINK("Melting_Curves/meltCurve_Q9BUD6_SPON2.pdf", "Melting_Curves/meltCurve_Q9BUD6_SPON2.pdf")</f>
        <v>Melting_Curves/meltCurve_Q9BUD6_SPON2.pdf</v>
      </c>
    </row>
    <row r="4838" spans="1:28" x14ac:dyDescent="0.25">
      <c r="A4838" t="s">
        <v>4842</v>
      </c>
      <c r="B4838">
        <v>0.99334974765950101</v>
      </c>
      <c r="C4838">
        <v>0.94893623161566698</v>
      </c>
      <c r="D4838">
        <v>0.76034606975421404</v>
      </c>
      <c r="E4838">
        <v>0.547239592375102</v>
      </c>
      <c r="F4838">
        <v>0.38509225084892801</v>
      </c>
      <c r="G4838">
        <v>0.21975716331909001</v>
      </c>
      <c r="H4838">
        <v>8.9869540324057196E-2</v>
      </c>
      <c r="I4838">
        <v>5.8426833236896999E-2</v>
      </c>
      <c r="J4838">
        <v>5.8418277912346703E-2</v>
      </c>
      <c r="K4838">
        <v>4.6386073731454099E-2</v>
      </c>
      <c r="L4838">
        <v>657.85307367347798</v>
      </c>
      <c r="M4838">
        <v>12.964689854289301</v>
      </c>
      <c r="N4838">
        <v>50.8222906953741</v>
      </c>
      <c r="O4838">
        <v>49.5801705155504</v>
      </c>
      <c r="P4838">
        <v>-6.4720655115062697E-2</v>
      </c>
      <c r="Q4838">
        <v>1.01457504430051E-2</v>
      </c>
      <c r="R4838">
        <v>0.99683507914038305</v>
      </c>
      <c r="S4838" t="s">
        <v>10699</v>
      </c>
      <c r="T4838" t="s">
        <v>11720</v>
      </c>
      <c r="U4838" t="s">
        <v>11720</v>
      </c>
      <c r="V4838" t="s">
        <v>11720</v>
      </c>
      <c r="W4838" t="s">
        <v>16502</v>
      </c>
      <c r="X4838">
        <v>5</v>
      </c>
      <c r="Y4838" t="s">
        <v>22210</v>
      </c>
      <c r="Z4838" t="s">
        <v>28045</v>
      </c>
      <c r="AA4838">
        <v>0.39376278867738002</v>
      </c>
      <c r="AB4838" t="str">
        <f>HYPERLINK("Melting_Curves/meltCurve_Q9BUE0_MED18.pdf", "Melting_Curves/meltCurve_Q9BUE0_MED18.pdf")</f>
        <v>Melting_Curves/meltCurve_Q9BUE0_MED18.pdf</v>
      </c>
    </row>
    <row r="4839" spans="1:28" x14ac:dyDescent="0.25">
      <c r="A4839" t="s">
        <v>4843</v>
      </c>
      <c r="B4839">
        <v>0.99334974765950101</v>
      </c>
      <c r="C4839">
        <v>0.91132499179175497</v>
      </c>
      <c r="D4839">
        <v>0.77580831139107898</v>
      </c>
      <c r="E4839">
        <v>0.56215631299408797</v>
      </c>
      <c r="F4839">
        <v>0.33887803157611701</v>
      </c>
      <c r="G4839">
        <v>0.26790048825707602</v>
      </c>
      <c r="H4839">
        <v>0.162240999896829</v>
      </c>
      <c r="I4839">
        <v>0.12666809940440699</v>
      </c>
      <c r="J4839">
        <v>0.111252660339088</v>
      </c>
      <c r="K4839">
        <v>6.6864198721609397E-2</v>
      </c>
      <c r="L4839">
        <v>654.87779115188096</v>
      </c>
      <c r="M4839">
        <v>13.0486273920102</v>
      </c>
      <c r="N4839">
        <v>50.7805620090801</v>
      </c>
      <c r="O4839">
        <v>49.052630000850897</v>
      </c>
      <c r="P4839">
        <v>-6.1813739240513497E-2</v>
      </c>
      <c r="Q4839">
        <v>7.0676620818715799E-2</v>
      </c>
      <c r="R4839">
        <v>0.99571377914119696</v>
      </c>
      <c r="S4839" t="s">
        <v>10700</v>
      </c>
      <c r="T4839" t="s">
        <v>11720</v>
      </c>
      <c r="U4839" t="s">
        <v>11720</v>
      </c>
      <c r="V4839" t="s">
        <v>11720</v>
      </c>
      <c r="W4839" t="s">
        <v>16503</v>
      </c>
      <c r="X4839">
        <v>3</v>
      </c>
      <c r="Y4839" t="s">
        <v>22211</v>
      </c>
      <c r="Z4839" t="s">
        <v>28046</v>
      </c>
      <c r="AA4839">
        <v>0.41412890904844091</v>
      </c>
      <c r="AB4839" t="str">
        <f>HYPERLINK("Melting_Curves/meltCurve_Q9BUE6_ISCA1.pdf", "Melting_Curves/meltCurve_Q9BUE6_ISCA1.pdf")</f>
        <v>Melting_Curves/meltCurve_Q9BUE6_ISCA1.pdf</v>
      </c>
    </row>
    <row r="4840" spans="1:28" x14ac:dyDescent="0.25">
      <c r="A4840" t="s">
        <v>4844</v>
      </c>
      <c r="B4840">
        <v>0.99334974765950101</v>
      </c>
      <c r="C4840">
        <v>1.0921148931070399</v>
      </c>
      <c r="D4840">
        <v>1.16107304782168</v>
      </c>
      <c r="E4840">
        <v>1.1118089411187899</v>
      </c>
      <c r="F4840">
        <v>0.87142275234609601</v>
      </c>
      <c r="G4840">
        <v>0.54410743918585902</v>
      </c>
      <c r="H4840">
        <v>0.15317520607896701</v>
      </c>
      <c r="I4840">
        <v>8.1840450758078706E-2</v>
      </c>
      <c r="J4840">
        <v>6.4365718496633903E-2</v>
      </c>
      <c r="K4840">
        <v>4.7977521367159201E-2</v>
      </c>
      <c r="L4840">
        <v>1770.05943963086</v>
      </c>
      <c r="M4840">
        <v>31.019059015428699</v>
      </c>
      <c r="N4840">
        <v>57.251801242749004</v>
      </c>
      <c r="O4840">
        <v>56.828013416202701</v>
      </c>
      <c r="P4840">
        <v>-0.129846908893479</v>
      </c>
      <c r="Q4840">
        <v>4.8468907310978498E-2</v>
      </c>
      <c r="R4840">
        <v>0.97511482787653003</v>
      </c>
      <c r="S4840" t="s">
        <v>10701</v>
      </c>
      <c r="T4840" t="s">
        <v>11720</v>
      </c>
      <c r="U4840" t="s">
        <v>11720</v>
      </c>
      <c r="V4840" t="s">
        <v>11720</v>
      </c>
      <c r="W4840" t="s">
        <v>16504</v>
      </c>
      <c r="X4840">
        <v>34</v>
      </c>
      <c r="Y4840" t="s">
        <v>18632</v>
      </c>
      <c r="Z4840" t="s">
        <v>28047</v>
      </c>
      <c r="AA4840">
        <v>0.59565821060145341</v>
      </c>
      <c r="AB4840" t="str">
        <f>HYPERLINK("Melting_Curves/meltCurve_Q9BUF5_TUBB6.pdf", "Melting_Curves/meltCurve_Q9BUF5_TUBB6.pdf")</f>
        <v>Melting_Curves/meltCurve_Q9BUF5_TUBB6.pdf</v>
      </c>
    </row>
    <row r="4841" spans="1:28" x14ac:dyDescent="0.25">
      <c r="A4841" t="s">
        <v>4845</v>
      </c>
      <c r="B4841">
        <v>0.99334974765950101</v>
      </c>
      <c r="C4841">
        <v>0.91199019391435898</v>
      </c>
      <c r="D4841">
        <v>0.83531074257614402</v>
      </c>
      <c r="E4841">
        <v>0.74727566232683196</v>
      </c>
      <c r="F4841">
        <v>0.59003957991874301</v>
      </c>
      <c r="G4841">
        <v>0.50713250316293401</v>
      </c>
      <c r="H4841">
        <v>0.44844983393576998</v>
      </c>
      <c r="I4841">
        <v>0.50157906374004502</v>
      </c>
      <c r="J4841">
        <v>0.34020175650857198</v>
      </c>
      <c r="K4841">
        <v>0.177222080367788</v>
      </c>
      <c r="L4841">
        <v>353.10179637676799</v>
      </c>
      <c r="M4841">
        <v>6.0288618890883496</v>
      </c>
      <c r="N4841">
        <v>58.568542888370402</v>
      </c>
      <c r="O4841">
        <v>53.101262330332297</v>
      </c>
      <c r="P4841">
        <v>-2.8474157619402699E-2</v>
      </c>
      <c r="Q4841">
        <v>0</v>
      </c>
      <c r="R4841">
        <v>0.94556479533402404</v>
      </c>
      <c r="S4841" t="s">
        <v>10702</v>
      </c>
      <c r="T4841" t="s">
        <v>11720</v>
      </c>
      <c r="U4841" t="s">
        <v>11720</v>
      </c>
      <c r="V4841" t="s">
        <v>11720</v>
      </c>
      <c r="W4841" t="s">
        <v>16505</v>
      </c>
      <c r="X4841">
        <v>12</v>
      </c>
      <c r="Y4841" t="s">
        <v>22212</v>
      </c>
      <c r="Z4841" t="s">
        <v>28048</v>
      </c>
      <c r="AA4841">
        <v>0.6036535482029024</v>
      </c>
      <c r="AB4841" t="str">
        <f>HYPERLINK("Melting_Curves/meltCurve_Q9BUH6_C9orf142.pdf", "Melting_Curves/meltCurve_Q9BUH6_C9orf142.pdf")</f>
        <v>Melting_Curves/meltCurve_Q9BUH6_C9orf142.pdf</v>
      </c>
    </row>
    <row r="4842" spans="1:28" x14ac:dyDescent="0.25">
      <c r="A4842" t="s">
        <v>4846</v>
      </c>
      <c r="B4842">
        <v>0.99334974765950101</v>
      </c>
      <c r="C4842">
        <v>0.91126917782498595</v>
      </c>
      <c r="D4842">
        <v>0.703038714480961</v>
      </c>
      <c r="E4842">
        <v>0.32001451251486202</v>
      </c>
      <c r="F4842">
        <v>0.26994708469033502</v>
      </c>
      <c r="G4842">
        <v>0.170308165637723</v>
      </c>
      <c r="H4842">
        <v>0.13946444022968399</v>
      </c>
      <c r="I4842">
        <v>0.11972256479349</v>
      </c>
      <c r="J4842">
        <v>0.121632753510432</v>
      </c>
      <c r="K4842">
        <v>9.0855925256154199E-2</v>
      </c>
      <c r="L4842">
        <v>930.82827737692503</v>
      </c>
      <c r="M4842">
        <v>19.596591124232098</v>
      </c>
      <c r="N4842">
        <v>48.178822641044498</v>
      </c>
      <c r="O4842">
        <v>47.013146760241703</v>
      </c>
      <c r="P4842">
        <v>-9.1632286986395597E-2</v>
      </c>
      <c r="Q4842">
        <v>0.120709902769167</v>
      </c>
      <c r="R4842">
        <v>0.99487830753967399</v>
      </c>
      <c r="S4842" t="s">
        <v>10703</v>
      </c>
      <c r="T4842" t="s">
        <v>11720</v>
      </c>
      <c r="U4842" t="s">
        <v>11720</v>
      </c>
      <c r="V4842" t="s">
        <v>11720</v>
      </c>
      <c r="W4842" t="s">
        <v>16506</v>
      </c>
      <c r="X4842">
        <v>13</v>
      </c>
      <c r="Y4842" t="s">
        <v>22213</v>
      </c>
      <c r="Z4842" t="s">
        <v>28049</v>
      </c>
      <c r="AA4842">
        <v>0.35374002283699651</v>
      </c>
      <c r="AB4842" t="str">
        <f>HYPERLINK("Melting_Curves/meltCurve_Q9BUJ2_2_HNRNPUL1.pdf", "Melting_Curves/meltCurve_Q9BUJ2_2_HNRNPUL1.pdf")</f>
        <v>Melting_Curves/meltCurve_Q9BUJ2_2_HNRNPUL1.pdf</v>
      </c>
    </row>
    <row r="4843" spans="1:28" x14ac:dyDescent="0.25">
      <c r="A4843" t="s">
        <v>4847</v>
      </c>
      <c r="B4843">
        <v>0.99334974765950101</v>
      </c>
      <c r="C4843">
        <v>1.00685213864884</v>
      </c>
      <c r="D4843">
        <v>0.92274939964879399</v>
      </c>
      <c r="E4843">
        <v>0.60633845748105097</v>
      </c>
      <c r="F4843">
        <v>0.25910051681429602</v>
      </c>
      <c r="G4843">
        <v>0.13478279523297701</v>
      </c>
      <c r="H4843">
        <v>9.7495543314659497E-2</v>
      </c>
      <c r="I4843">
        <v>7.8918590352972107E-2</v>
      </c>
      <c r="J4843">
        <v>7.4021819707858899E-2</v>
      </c>
      <c r="K4843">
        <v>6.2923010674412902E-2</v>
      </c>
      <c r="L4843">
        <v>1356.8736929015499</v>
      </c>
      <c r="M4843">
        <v>26.891360681535598</v>
      </c>
      <c r="N4843">
        <v>50.772661797490301</v>
      </c>
      <c r="O4843">
        <v>50.181051793112502</v>
      </c>
      <c r="P4843">
        <v>-0.123678042180488</v>
      </c>
      <c r="Q4843">
        <v>7.6843775191230201E-2</v>
      </c>
      <c r="R4843">
        <v>0.99899568639324599</v>
      </c>
      <c r="S4843" t="s">
        <v>10704</v>
      </c>
      <c r="T4843" t="s">
        <v>11720</v>
      </c>
      <c r="U4843" t="s">
        <v>11720</v>
      </c>
      <c r="V4843" t="s">
        <v>11720</v>
      </c>
      <c r="W4843" t="s">
        <v>16507</v>
      </c>
      <c r="X4843">
        <v>15</v>
      </c>
      <c r="Y4843" t="s">
        <v>22214</v>
      </c>
      <c r="Z4843" t="s">
        <v>28050</v>
      </c>
      <c r="AA4843">
        <v>0.40581077164304069</v>
      </c>
      <c r="AB4843" t="str">
        <f>HYPERLINK("Melting_Curves/meltCurve_Q9BUK6_3_MSTO1.pdf", "Melting_Curves/meltCurve_Q9BUK6_3_MSTO1.pdf")</f>
        <v>Melting_Curves/meltCurve_Q9BUK6_3_MSTO1.pdf</v>
      </c>
    </row>
    <row r="4844" spans="1:28" x14ac:dyDescent="0.25">
      <c r="A4844" t="s">
        <v>4848</v>
      </c>
      <c r="B4844">
        <v>0.99334974765950101</v>
      </c>
      <c r="C4844">
        <v>0.97139360761359295</v>
      </c>
      <c r="D4844">
        <v>0.81070162529065803</v>
      </c>
      <c r="E4844">
        <v>0.41936884547380898</v>
      </c>
      <c r="F4844">
        <v>0.13993140174840901</v>
      </c>
      <c r="G4844">
        <v>0.101148584296645</v>
      </c>
      <c r="H4844">
        <v>7.4419651993002003E-2</v>
      </c>
      <c r="I4844">
        <v>6.6883574865320497E-2</v>
      </c>
      <c r="J4844">
        <v>5.5912440502536E-2</v>
      </c>
      <c r="K4844">
        <v>4.4933363798166398E-2</v>
      </c>
      <c r="L4844">
        <v>1181.90247439172</v>
      </c>
      <c r="M4844">
        <v>24.218085810931498</v>
      </c>
      <c r="N4844">
        <v>49.045517835076403</v>
      </c>
      <c r="O4844">
        <v>48.473395524707101</v>
      </c>
      <c r="P4844">
        <v>-0.117843115736034</v>
      </c>
      <c r="Q4844">
        <v>5.65453070246398E-2</v>
      </c>
      <c r="R4844">
        <v>0.99808676936941199</v>
      </c>
      <c r="S4844" t="s">
        <v>10705</v>
      </c>
      <c r="T4844" t="s">
        <v>11720</v>
      </c>
      <c r="U4844" t="s">
        <v>11720</v>
      </c>
      <c r="V4844" t="s">
        <v>11720</v>
      </c>
      <c r="W4844" t="s">
        <v>16508</v>
      </c>
      <c r="X4844">
        <v>15</v>
      </c>
      <c r="Y4844" t="s">
        <v>22215</v>
      </c>
      <c r="Z4844" t="s">
        <v>28051</v>
      </c>
      <c r="AA4844">
        <v>0.34228890854681532</v>
      </c>
      <c r="AB4844" t="str">
        <f>HYPERLINK("Melting_Curves/meltCurve_Q9BUP3_3_HTATIP2.pdf", "Melting_Curves/meltCurve_Q9BUP3_3_HTATIP2.pdf")</f>
        <v>Melting_Curves/meltCurve_Q9BUP3_3_HTATIP2.pdf</v>
      </c>
    </row>
    <row r="4845" spans="1:28" x14ac:dyDescent="0.25">
      <c r="A4845" t="s">
        <v>4849</v>
      </c>
      <c r="B4845">
        <v>0.99334974765950101</v>
      </c>
      <c r="C4845">
        <v>1.02644900305447</v>
      </c>
      <c r="D4845">
        <v>0.94257638931192</v>
      </c>
      <c r="E4845">
        <v>0.77468267555725401</v>
      </c>
      <c r="F4845">
        <v>0.70019492194208499</v>
      </c>
      <c r="G4845">
        <v>0.37903893515808501</v>
      </c>
      <c r="H4845">
        <v>0.232883402567442</v>
      </c>
      <c r="I4845">
        <v>0.24203723259354801</v>
      </c>
      <c r="J4845">
        <v>0.18416827528476701</v>
      </c>
      <c r="K4845">
        <v>0.10485085451755299</v>
      </c>
      <c r="L4845">
        <v>823.23162343796503</v>
      </c>
      <c r="M4845">
        <v>15.1201968959271</v>
      </c>
      <c r="N4845">
        <v>55.370410647204103</v>
      </c>
      <c r="O4845">
        <v>53.520106108120999</v>
      </c>
      <c r="P4845">
        <v>-6.2754991055533907E-2</v>
      </c>
      <c r="Q4845">
        <v>0.111565816771601</v>
      </c>
      <c r="R4845">
        <v>0.99001168918160698</v>
      </c>
      <c r="S4845" t="s">
        <v>10706</v>
      </c>
      <c r="T4845" t="s">
        <v>11720</v>
      </c>
      <c r="U4845" t="s">
        <v>11720</v>
      </c>
      <c r="V4845" t="s">
        <v>11720</v>
      </c>
      <c r="W4845" t="s">
        <v>16509</v>
      </c>
      <c r="X4845">
        <v>3</v>
      </c>
      <c r="Y4845" t="s">
        <v>22216</v>
      </c>
      <c r="Z4845" t="s">
        <v>28052</v>
      </c>
      <c r="AA4845">
        <v>0.55697487056259998</v>
      </c>
      <c r="AB4845" t="str">
        <f>HYPERLINK("Melting_Curves/meltCurve_Q9BUR4_WRAP53.pdf", "Melting_Curves/meltCurve_Q9BUR4_WRAP53.pdf")</f>
        <v>Melting_Curves/meltCurve_Q9BUR4_WRAP53.pdf</v>
      </c>
    </row>
    <row r="4846" spans="1:28" x14ac:dyDescent="0.25">
      <c r="A4846" t="s">
        <v>4850</v>
      </c>
      <c r="B4846">
        <v>0.99334974765950101</v>
      </c>
      <c r="C4846">
        <v>0.95319823542617399</v>
      </c>
      <c r="D4846">
        <v>1.01326175604544</v>
      </c>
      <c r="E4846">
        <v>0.85698935585525204</v>
      </c>
      <c r="F4846">
        <v>0.18942481010211901</v>
      </c>
      <c r="G4846">
        <v>8.3147470542778407E-2</v>
      </c>
      <c r="H4846">
        <v>4.7904201225886699E-2</v>
      </c>
      <c r="I4846">
        <v>3.8764490413317698E-2</v>
      </c>
      <c r="J4846">
        <v>3.3222166522237202E-2</v>
      </c>
      <c r="K4846">
        <v>2.2449124094268601E-2</v>
      </c>
      <c r="L4846">
        <v>3034.5423275929102</v>
      </c>
      <c r="M4846">
        <v>58.960039230161499</v>
      </c>
      <c r="N4846">
        <v>51.548605740302001</v>
      </c>
      <c r="O4846">
        <v>51.408685008159601</v>
      </c>
      <c r="P4846">
        <v>-0.27406329484377501</v>
      </c>
      <c r="Q4846">
        <v>4.4150991278299002E-2</v>
      </c>
      <c r="R4846">
        <v>0.99772315963320302</v>
      </c>
      <c r="S4846" t="s">
        <v>10707</v>
      </c>
      <c r="T4846" t="s">
        <v>11720</v>
      </c>
      <c r="U4846" t="s">
        <v>11720</v>
      </c>
      <c r="V4846" t="s">
        <v>11720</v>
      </c>
      <c r="W4846" t="s">
        <v>16510</v>
      </c>
      <c r="X4846">
        <v>10</v>
      </c>
      <c r="Y4846" t="s">
        <v>22217</v>
      </c>
      <c r="Z4846" t="s">
        <v>28053</v>
      </c>
      <c r="AA4846">
        <v>0.41109132220387318</v>
      </c>
      <c r="AB4846" t="str">
        <f>HYPERLINK("Melting_Curves/meltCurve_Q9BUT1_BDH2.pdf", "Melting_Curves/meltCurve_Q9BUT1_BDH2.pdf")</f>
        <v>Melting_Curves/meltCurve_Q9BUT1_BDH2.pdf</v>
      </c>
    </row>
    <row r="4847" spans="1:28" x14ac:dyDescent="0.25">
      <c r="A4847" t="s">
        <v>4851</v>
      </c>
      <c r="B4847">
        <v>0.99334974765950101</v>
      </c>
      <c r="C4847">
        <v>1.30440959737566</v>
      </c>
      <c r="D4847">
        <v>1.01288173430678</v>
      </c>
      <c r="E4847">
        <v>0.97743756819087801</v>
      </c>
      <c r="F4847">
        <v>1.3778782439220101</v>
      </c>
      <c r="G4847">
        <v>1.00033915901913</v>
      </c>
      <c r="H4847">
        <v>0.99066094983861797</v>
      </c>
      <c r="I4847">
        <v>1.05522839196423</v>
      </c>
      <c r="J4847">
        <v>1.3600626507317399</v>
      </c>
      <c r="K4847">
        <v>1.57272050795415</v>
      </c>
      <c r="L4847">
        <v>4965.8782495305204</v>
      </c>
      <c r="M4847">
        <v>75.1782764592284</v>
      </c>
      <c r="O4847">
        <v>66.008002177857094</v>
      </c>
      <c r="P4847">
        <v>0.142365862198162</v>
      </c>
      <c r="Q4847">
        <v>1.5</v>
      </c>
      <c r="R4847">
        <v>0.43011054076116101</v>
      </c>
      <c r="S4847" t="s">
        <v>10708</v>
      </c>
      <c r="T4847" t="s">
        <v>11720</v>
      </c>
      <c r="U4847" t="s">
        <v>11720</v>
      </c>
      <c r="V4847" t="s">
        <v>11720</v>
      </c>
      <c r="W4847" t="s">
        <v>16511</v>
      </c>
      <c r="X4847">
        <v>2</v>
      </c>
      <c r="Y4847" t="s">
        <v>22218</v>
      </c>
      <c r="Z4847" t="s">
        <v>28054</v>
      </c>
      <c r="AA4847">
        <v>1.065355534441212</v>
      </c>
      <c r="AB4847" t="str">
        <f>HYPERLINK("Melting_Curves/meltCurve_Q9BUW7_C9orf16.pdf", "Melting_Curves/meltCurve_Q9BUW7_C9orf16.pdf")</f>
        <v>Melting_Curves/meltCurve_Q9BUW7_C9orf16.pdf</v>
      </c>
    </row>
    <row r="4848" spans="1:28" x14ac:dyDescent="0.25">
      <c r="A4848" t="s">
        <v>4852</v>
      </c>
      <c r="B4848">
        <v>0.99334974765950101</v>
      </c>
      <c r="C4848">
        <v>0.90576742564192403</v>
      </c>
      <c r="D4848">
        <v>0.88849059241794803</v>
      </c>
      <c r="E4848">
        <v>0.84221910234966901</v>
      </c>
      <c r="F4848">
        <v>0.52902253027441504</v>
      </c>
      <c r="G4848">
        <v>0.54201436963741301</v>
      </c>
      <c r="H4848">
        <v>0.31931767841886399</v>
      </c>
      <c r="I4848">
        <v>0.504012751368066</v>
      </c>
      <c r="J4848">
        <v>0.33583581007622798</v>
      </c>
      <c r="K4848">
        <v>0.33363802478512</v>
      </c>
      <c r="L4848">
        <v>695.03072186410304</v>
      </c>
      <c r="M4848">
        <v>13.3801079474618</v>
      </c>
      <c r="N4848">
        <v>56.581877544519699</v>
      </c>
      <c r="O4848">
        <v>50.825915017384602</v>
      </c>
      <c r="P4848">
        <v>-4.3905953355650201E-2</v>
      </c>
      <c r="Q4848">
        <v>0.332977600066312</v>
      </c>
      <c r="R4848">
        <v>0.92309509272122603</v>
      </c>
      <c r="S4848" t="s">
        <v>10709</v>
      </c>
      <c r="T4848" t="s">
        <v>11720</v>
      </c>
      <c r="U4848" t="s">
        <v>11720</v>
      </c>
      <c r="V4848" t="s">
        <v>11720</v>
      </c>
      <c r="W4848" t="s">
        <v>16512</v>
      </c>
      <c r="X4848">
        <v>5</v>
      </c>
      <c r="Y4848" t="s">
        <v>22219</v>
      </c>
      <c r="Z4848" t="s">
        <v>28055</v>
      </c>
      <c r="AA4848">
        <v>0.61624842601885144</v>
      </c>
      <c r="AB4848" t="str">
        <f>HYPERLINK("Melting_Curves/meltCurve_Q9BV19_C1orf50.pdf", "Melting_Curves/meltCurve_Q9BV19_C1orf50.pdf")</f>
        <v>Melting_Curves/meltCurve_Q9BV19_C1orf50.pdf</v>
      </c>
    </row>
    <row r="4849" spans="1:28" x14ac:dyDescent="0.25">
      <c r="A4849" t="s">
        <v>4853</v>
      </c>
      <c r="B4849">
        <v>0.99334974765950101</v>
      </c>
      <c r="C4849">
        <v>0.99512625058799198</v>
      </c>
      <c r="D4849">
        <v>0.92795716059195399</v>
      </c>
      <c r="E4849">
        <v>0.81739274859363797</v>
      </c>
      <c r="F4849">
        <v>0.61255413754609001</v>
      </c>
      <c r="G4849">
        <v>0.29797619991392299</v>
      </c>
      <c r="H4849">
        <v>0.16823008107048101</v>
      </c>
      <c r="I4849">
        <v>0.143035022934307</v>
      </c>
      <c r="J4849">
        <v>0.15408853449540999</v>
      </c>
      <c r="K4849">
        <v>0.10916343302878601</v>
      </c>
      <c r="L4849">
        <v>1056.2134069937399</v>
      </c>
      <c r="M4849">
        <v>19.7580093466002</v>
      </c>
      <c r="N4849">
        <v>54.1432414484605</v>
      </c>
      <c r="O4849">
        <v>52.918921514368002</v>
      </c>
      <c r="P4849">
        <v>-8.3011308244241105E-2</v>
      </c>
      <c r="Q4849">
        <v>0.110696338862642</v>
      </c>
      <c r="R4849">
        <v>0.99772162211003002</v>
      </c>
      <c r="S4849" t="s">
        <v>10710</v>
      </c>
      <c r="T4849" t="s">
        <v>11720</v>
      </c>
      <c r="U4849" t="s">
        <v>11720</v>
      </c>
      <c r="V4849" t="s">
        <v>11720</v>
      </c>
      <c r="W4849" t="s">
        <v>16513</v>
      </c>
      <c r="X4849">
        <v>13</v>
      </c>
      <c r="Y4849" t="s">
        <v>22220</v>
      </c>
      <c r="Z4849" t="s">
        <v>28056</v>
      </c>
      <c r="AA4849">
        <v>0.52204651787126055</v>
      </c>
      <c r="AB4849" t="str">
        <f>HYPERLINK("Melting_Curves/meltCurve_Q9BV20_MRI1.pdf", "Melting_Curves/meltCurve_Q9BV20_MRI1.pdf")</f>
        <v>Melting_Curves/meltCurve_Q9BV20_MRI1.pdf</v>
      </c>
    </row>
    <row r="4850" spans="1:28" x14ac:dyDescent="0.25">
      <c r="A4850" t="s">
        <v>4854</v>
      </c>
      <c r="B4850">
        <v>0.99334974765950101</v>
      </c>
      <c r="C4850">
        <v>1.01465276412062</v>
      </c>
      <c r="D4850">
        <v>0.81453975385418598</v>
      </c>
      <c r="E4850">
        <v>0.33743010746532698</v>
      </c>
      <c r="F4850">
        <v>0.18946258587992201</v>
      </c>
      <c r="G4850">
        <v>0.105313594947999</v>
      </c>
      <c r="H4850">
        <v>7.93864720481159E-2</v>
      </c>
      <c r="I4850">
        <v>8.9925153396077498E-2</v>
      </c>
      <c r="J4850">
        <v>9.6811562154127298E-2</v>
      </c>
      <c r="K4850">
        <v>7.0831118951696206E-2</v>
      </c>
      <c r="L4850">
        <v>1333.8168993833499</v>
      </c>
      <c r="M4850">
        <v>27.592230101418298</v>
      </c>
      <c r="N4850">
        <v>48.682734515665103</v>
      </c>
      <c r="O4850">
        <v>48.088531818965699</v>
      </c>
      <c r="P4850">
        <v>-0.13079376687460501</v>
      </c>
      <c r="Q4850">
        <v>8.8203736539975305E-2</v>
      </c>
      <c r="R4850">
        <v>0.99779555350898397</v>
      </c>
      <c r="S4850" t="s">
        <v>10711</v>
      </c>
      <c r="T4850" t="s">
        <v>11720</v>
      </c>
      <c r="U4850" t="s">
        <v>11720</v>
      </c>
      <c r="V4850" t="s">
        <v>11720</v>
      </c>
      <c r="W4850" t="s">
        <v>16514</v>
      </c>
      <c r="X4850">
        <v>1</v>
      </c>
      <c r="Y4850" t="s">
        <v>22221</v>
      </c>
      <c r="Z4850" t="s">
        <v>28057</v>
      </c>
      <c r="AA4850">
        <v>0.34824607111123379</v>
      </c>
      <c r="AB4850" t="str">
        <f>HYPERLINK("Melting_Curves/meltCurve_Q9BV23_ABHD6.pdf", "Melting_Curves/meltCurve_Q9BV23_ABHD6.pdf")</f>
        <v>Melting_Curves/meltCurve_Q9BV23_ABHD6.pdf</v>
      </c>
    </row>
    <row r="4851" spans="1:28" x14ac:dyDescent="0.25">
      <c r="A4851" t="s">
        <v>4855</v>
      </c>
      <c r="B4851">
        <v>0.99334974765950101</v>
      </c>
      <c r="C4851">
        <v>0.98150715883781303</v>
      </c>
      <c r="D4851">
        <v>0.82867330672281003</v>
      </c>
      <c r="E4851">
        <v>0.78644975029863995</v>
      </c>
      <c r="F4851">
        <v>1.0342488721746399</v>
      </c>
      <c r="G4851">
        <v>0.77927235493823099</v>
      </c>
      <c r="H4851">
        <v>0.30369669143446998</v>
      </c>
      <c r="I4851">
        <v>0.342160064656653</v>
      </c>
      <c r="J4851">
        <v>0.23545801266826899</v>
      </c>
      <c r="K4851">
        <v>0.192576607075925</v>
      </c>
      <c r="L4851">
        <v>2719.9970779948599</v>
      </c>
      <c r="M4851">
        <v>46.840202326266599</v>
      </c>
      <c r="N4851">
        <v>58.931274110169298</v>
      </c>
      <c r="O4851">
        <v>57.964169571234102</v>
      </c>
      <c r="P4851">
        <v>-0.15194055966016501</v>
      </c>
      <c r="Q4851">
        <v>0.247902678587922</v>
      </c>
      <c r="R4851">
        <v>0.91555795360389203</v>
      </c>
      <c r="S4851" t="s">
        <v>10712</v>
      </c>
      <c r="T4851" t="s">
        <v>11720</v>
      </c>
      <c r="U4851" t="s">
        <v>11720</v>
      </c>
      <c r="V4851" t="s">
        <v>11720</v>
      </c>
      <c r="W4851" t="s">
        <v>16515</v>
      </c>
      <c r="X4851">
        <v>6</v>
      </c>
      <c r="Y4851" t="s">
        <v>22222</v>
      </c>
      <c r="Z4851" t="s">
        <v>28058</v>
      </c>
      <c r="AA4851">
        <v>0.70308938456271552</v>
      </c>
      <c r="AB4851" t="str">
        <f>HYPERLINK("Melting_Curves/meltCurve_Q9BV38_WDR18.pdf", "Melting_Curves/meltCurve_Q9BV38_WDR18.pdf")</f>
        <v>Melting_Curves/meltCurve_Q9BV38_WDR18.pdf</v>
      </c>
    </row>
    <row r="4852" spans="1:28" x14ac:dyDescent="0.25">
      <c r="A4852" t="s">
        <v>4856</v>
      </c>
      <c r="B4852">
        <v>0.99334974765950101</v>
      </c>
      <c r="C4852">
        <v>0.97683635388555101</v>
      </c>
      <c r="D4852">
        <v>1.1712918686587399</v>
      </c>
      <c r="E4852">
        <v>1.0599246231660699</v>
      </c>
      <c r="F4852">
        <v>0.879090636311749</v>
      </c>
      <c r="G4852">
        <v>0.50264919661377805</v>
      </c>
      <c r="H4852">
        <v>0.17749751863857499</v>
      </c>
      <c r="I4852">
        <v>0.117178895615295</v>
      </c>
      <c r="J4852">
        <v>9.7899253075719797E-2</v>
      </c>
      <c r="K4852">
        <v>7.0869510890586698E-2</v>
      </c>
      <c r="L4852">
        <v>1743.71898348987</v>
      </c>
      <c r="M4852">
        <v>30.7720773126563</v>
      </c>
      <c r="N4852">
        <v>57.0039911103771</v>
      </c>
      <c r="O4852">
        <v>56.427929214132199</v>
      </c>
      <c r="P4852">
        <v>-0.12495401640649501</v>
      </c>
      <c r="Q4852">
        <v>8.3473669878185996E-2</v>
      </c>
      <c r="R4852">
        <v>0.98035087902725104</v>
      </c>
      <c r="S4852" t="s">
        <v>10713</v>
      </c>
      <c r="T4852" t="s">
        <v>11720</v>
      </c>
      <c r="U4852" t="s">
        <v>11720</v>
      </c>
      <c r="V4852" t="s">
        <v>11720</v>
      </c>
      <c r="W4852" t="s">
        <v>16516</v>
      </c>
      <c r="X4852">
        <v>10</v>
      </c>
      <c r="Y4852" t="s">
        <v>22223</v>
      </c>
      <c r="Z4852" t="s">
        <v>28059</v>
      </c>
      <c r="AA4852">
        <v>0.59846223574264379</v>
      </c>
      <c r="AB4852" t="str">
        <f>HYPERLINK("Melting_Curves/meltCurve_Q9BV44_THUMPD3.pdf", "Melting_Curves/meltCurve_Q9BV44_THUMPD3.pdf")</f>
        <v>Melting_Curves/meltCurve_Q9BV44_THUMPD3.pdf</v>
      </c>
    </row>
    <row r="4853" spans="1:28" x14ac:dyDescent="0.25">
      <c r="A4853" t="s">
        <v>4857</v>
      </c>
      <c r="B4853">
        <v>0.99334974765950101</v>
      </c>
      <c r="C4853">
        <v>0.94629436764798003</v>
      </c>
      <c r="D4853">
        <v>0.82339299273653799</v>
      </c>
      <c r="E4853">
        <v>0.57022770486365904</v>
      </c>
      <c r="F4853">
        <v>0.389396378173053</v>
      </c>
      <c r="G4853">
        <v>0.18188162370927299</v>
      </c>
      <c r="H4853">
        <v>9.4192678271633107E-2</v>
      </c>
      <c r="I4853">
        <v>6.6744978161968199E-2</v>
      </c>
      <c r="J4853">
        <v>6.5925683965649601E-2</v>
      </c>
      <c r="K4853">
        <v>4.9105234997868702E-2</v>
      </c>
      <c r="L4853">
        <v>756.21507102116004</v>
      </c>
      <c r="M4853">
        <v>14.8727037620044</v>
      </c>
      <c r="N4853">
        <v>51.049876919621703</v>
      </c>
      <c r="O4853">
        <v>49.953155315663601</v>
      </c>
      <c r="P4853">
        <v>-7.2293192742956702E-2</v>
      </c>
      <c r="Q4853">
        <v>2.8852869494682298E-2</v>
      </c>
      <c r="R4853">
        <v>0.99934000549997104</v>
      </c>
      <c r="S4853" t="s">
        <v>10714</v>
      </c>
      <c r="T4853" t="s">
        <v>11720</v>
      </c>
      <c r="U4853" t="s">
        <v>11720</v>
      </c>
      <c r="V4853" t="s">
        <v>11720</v>
      </c>
      <c r="W4853" t="s">
        <v>16517</v>
      </c>
      <c r="X4853">
        <v>14</v>
      </c>
      <c r="Y4853" t="s">
        <v>22224</v>
      </c>
      <c r="Z4853" t="s">
        <v>28060</v>
      </c>
      <c r="AA4853">
        <v>0.40281997751936871</v>
      </c>
      <c r="AB4853" t="str">
        <f>HYPERLINK("Melting_Curves/meltCurve_Q9BV57_ADI1.pdf", "Melting_Curves/meltCurve_Q9BV57_ADI1.pdf")</f>
        <v>Melting_Curves/meltCurve_Q9BV57_ADI1.pdf</v>
      </c>
    </row>
    <row r="4854" spans="1:28" x14ac:dyDescent="0.25">
      <c r="A4854" t="s">
        <v>4858</v>
      </c>
      <c r="B4854">
        <v>0.99334974765950101</v>
      </c>
      <c r="C4854">
        <v>1.0194429189552101</v>
      </c>
      <c r="D4854">
        <v>0.84886897302828002</v>
      </c>
      <c r="E4854">
        <v>0.710740408655404</v>
      </c>
      <c r="F4854">
        <v>0.89100690657063997</v>
      </c>
      <c r="G4854">
        <v>0.47022488191822198</v>
      </c>
      <c r="H4854">
        <v>0.38466480078744397</v>
      </c>
      <c r="I4854">
        <v>0.46101866113680101</v>
      </c>
      <c r="J4854">
        <v>0.45566762820369899</v>
      </c>
      <c r="K4854">
        <v>0.53367913979781101</v>
      </c>
      <c r="L4854">
        <v>731.684602105659</v>
      </c>
      <c r="M4854">
        <v>14.0242042975948</v>
      </c>
      <c r="N4854">
        <v>60.443610619015097</v>
      </c>
      <c r="O4854">
        <v>51.146520965675897</v>
      </c>
      <c r="P4854">
        <v>-3.9309869960254498E-2</v>
      </c>
      <c r="Q4854">
        <v>0.42662020333589501</v>
      </c>
      <c r="R4854">
        <v>0.83757832963879497</v>
      </c>
      <c r="S4854" t="s">
        <v>10715</v>
      </c>
      <c r="T4854" t="s">
        <v>11720</v>
      </c>
      <c r="U4854" t="s">
        <v>11720</v>
      </c>
      <c r="V4854" t="s">
        <v>11720</v>
      </c>
      <c r="W4854" t="s">
        <v>16518</v>
      </c>
      <c r="X4854">
        <v>3</v>
      </c>
      <c r="Y4854" t="s">
        <v>22225</v>
      </c>
      <c r="Z4854" t="s">
        <v>28061</v>
      </c>
      <c r="AA4854">
        <v>0.67334203391393288</v>
      </c>
      <c r="AB4854" t="str">
        <f>HYPERLINK("Melting_Curves/meltCurve_Q9BV68_2_RNF126.pdf", "Melting_Curves/meltCurve_Q9BV68_2_RNF126.pdf")</f>
        <v>Melting_Curves/meltCurve_Q9BV68_2_RNF126.pdf</v>
      </c>
    </row>
    <row r="4855" spans="1:28" x14ac:dyDescent="0.25">
      <c r="A4855" t="s">
        <v>4859</v>
      </c>
      <c r="B4855">
        <v>0.99334974765950101</v>
      </c>
      <c r="C4855">
        <v>0.95767763118953597</v>
      </c>
      <c r="D4855">
        <v>0.95734227780213399</v>
      </c>
      <c r="E4855">
        <v>0.86978967685486996</v>
      </c>
      <c r="F4855">
        <v>0.76178009381457701</v>
      </c>
      <c r="G4855">
        <v>0.178063713739569</v>
      </c>
      <c r="H4855">
        <v>0.103943558720319</v>
      </c>
      <c r="I4855">
        <v>7.3589721324098106E-2</v>
      </c>
      <c r="J4855">
        <v>6.6694058671490794E-2</v>
      </c>
      <c r="K4855">
        <v>6.0678988285758302E-2</v>
      </c>
      <c r="L4855">
        <v>1947.69669115445</v>
      </c>
      <c r="M4855">
        <v>35.8711644333519</v>
      </c>
      <c r="N4855">
        <v>54.509774539511</v>
      </c>
      <c r="O4855">
        <v>54.129084056726199</v>
      </c>
      <c r="P4855">
        <v>-0.15485122722467401</v>
      </c>
      <c r="Q4855">
        <v>6.5329700777030902E-2</v>
      </c>
      <c r="R4855">
        <v>0.99155526190029197</v>
      </c>
      <c r="S4855" t="s">
        <v>10716</v>
      </c>
      <c r="T4855" t="s">
        <v>11720</v>
      </c>
      <c r="U4855" t="s">
        <v>11720</v>
      </c>
      <c r="V4855" t="s">
        <v>11720</v>
      </c>
      <c r="W4855" t="s">
        <v>16519</v>
      </c>
      <c r="X4855">
        <v>5</v>
      </c>
      <c r="Y4855" t="s">
        <v>22226</v>
      </c>
      <c r="Z4855" t="s">
        <v>28062</v>
      </c>
      <c r="AA4855">
        <v>0.51510819474731562</v>
      </c>
      <c r="AB4855" t="str">
        <f>HYPERLINK("Melting_Curves/meltCurve_Q9BV79_MECR.pdf", "Melting_Curves/meltCurve_Q9BV79_MECR.pdf")</f>
        <v>Melting_Curves/meltCurve_Q9BV79_MECR.pdf</v>
      </c>
    </row>
    <row r="4856" spans="1:28" x14ac:dyDescent="0.25">
      <c r="A4856" t="s">
        <v>4860</v>
      </c>
      <c r="B4856">
        <v>0.99334974765950101</v>
      </c>
      <c r="C4856">
        <v>1.06490174043875</v>
      </c>
      <c r="D4856">
        <v>0.70246774326384598</v>
      </c>
      <c r="E4856">
        <v>0.34323213839784</v>
      </c>
      <c r="F4856">
        <v>0.14294202554730601</v>
      </c>
      <c r="G4856">
        <v>8.9596459928662997E-2</v>
      </c>
      <c r="H4856">
        <v>7.5768764788424606E-2</v>
      </c>
      <c r="I4856">
        <v>8.2892363472094999E-2</v>
      </c>
      <c r="J4856">
        <v>8.6685930700422104E-2</v>
      </c>
      <c r="K4856">
        <v>8.81719971354223E-2</v>
      </c>
      <c r="L4856">
        <v>1224.3046660769201</v>
      </c>
      <c r="M4856">
        <v>25.5928115459858</v>
      </c>
      <c r="N4856">
        <v>48.175030374804003</v>
      </c>
      <c r="O4856">
        <v>47.548652291786098</v>
      </c>
      <c r="P4856">
        <v>-0.123528308507988</v>
      </c>
      <c r="Q4856">
        <v>8.2003186659476104E-2</v>
      </c>
      <c r="R4856">
        <v>0.98845841288973502</v>
      </c>
      <c r="S4856" t="s">
        <v>10717</v>
      </c>
      <c r="T4856" t="s">
        <v>11720</v>
      </c>
      <c r="U4856" t="s">
        <v>11720</v>
      </c>
      <c r="V4856" t="s">
        <v>11720</v>
      </c>
      <c r="W4856" t="s">
        <v>16520</v>
      </c>
      <c r="X4856">
        <v>13</v>
      </c>
      <c r="Y4856" t="s">
        <v>22227</v>
      </c>
      <c r="Z4856" t="s">
        <v>28063</v>
      </c>
      <c r="AA4856">
        <v>0.32956232607686869</v>
      </c>
      <c r="AB4856" t="str">
        <f>HYPERLINK("Melting_Curves/meltCurve_Q9BV86_NTMT1.pdf", "Melting_Curves/meltCurve_Q9BV86_NTMT1.pdf")</f>
        <v>Melting_Curves/meltCurve_Q9BV86_NTMT1.pdf</v>
      </c>
    </row>
    <row r="4857" spans="1:28" x14ac:dyDescent="0.25">
      <c r="A4857" t="s">
        <v>4861</v>
      </c>
      <c r="B4857">
        <v>0.99334974765950101</v>
      </c>
      <c r="C4857">
        <v>1.07045726990186</v>
      </c>
      <c r="D4857">
        <v>1.0173186992327401</v>
      </c>
      <c r="E4857">
        <v>0.90168050389786003</v>
      </c>
      <c r="F4857">
        <v>0.51669080309986704</v>
      </c>
      <c r="G4857">
        <v>0.16458747870607399</v>
      </c>
      <c r="H4857">
        <v>5.06714074440082E-2</v>
      </c>
      <c r="I4857">
        <v>1.8663167242041898E-2</v>
      </c>
      <c r="J4857">
        <v>1.3506492908118299E-2</v>
      </c>
      <c r="K4857">
        <v>1.0126496855003501E-2</v>
      </c>
      <c r="L4857">
        <v>1597.76046860631</v>
      </c>
      <c r="M4857">
        <v>30.019094317107001</v>
      </c>
      <c r="N4857">
        <v>53.296013430666299</v>
      </c>
      <c r="O4857">
        <v>52.990284894248397</v>
      </c>
      <c r="P4857">
        <v>-0.138842406652529</v>
      </c>
      <c r="Q4857">
        <v>1.9657178998240699E-2</v>
      </c>
      <c r="R4857">
        <v>0.99599805927287899</v>
      </c>
      <c r="S4857" t="s">
        <v>10718</v>
      </c>
      <c r="T4857" t="s">
        <v>11720</v>
      </c>
      <c r="U4857" t="s">
        <v>11720</v>
      </c>
      <c r="V4857" t="s">
        <v>11720</v>
      </c>
      <c r="W4857" t="s">
        <v>16521</v>
      </c>
      <c r="X4857">
        <v>2</v>
      </c>
      <c r="Y4857" t="s">
        <v>22228</v>
      </c>
      <c r="Z4857" t="s">
        <v>28064</v>
      </c>
      <c r="AA4857">
        <v>0.45818793545934661</v>
      </c>
      <c r="AB4857" t="str">
        <f>HYPERLINK("Melting_Curves/meltCurve_Q9BVA0_KATNB1.pdf", "Melting_Curves/meltCurve_Q9BVA0_KATNB1.pdf")</f>
        <v>Melting_Curves/meltCurve_Q9BVA0_KATNB1.pdf</v>
      </c>
    </row>
    <row r="4858" spans="1:28" x14ac:dyDescent="0.25">
      <c r="A4858" t="s">
        <v>4862</v>
      </c>
      <c r="B4858">
        <v>0.99334974765950101</v>
      </c>
      <c r="C4858">
        <v>1.0978112612397899</v>
      </c>
      <c r="D4858">
        <v>0.93215915559914597</v>
      </c>
      <c r="E4858">
        <v>0.773495940657832</v>
      </c>
      <c r="F4858">
        <v>0.51784821311038498</v>
      </c>
      <c r="G4858">
        <v>0.36493329023875998</v>
      </c>
      <c r="H4858">
        <v>0.27767410187923403</v>
      </c>
      <c r="I4858">
        <v>0.28555100333125</v>
      </c>
      <c r="J4858">
        <v>0.27194991506260502</v>
      </c>
      <c r="K4858">
        <v>0.20220941353558899</v>
      </c>
      <c r="L4858">
        <v>1108.6384261743599</v>
      </c>
      <c r="M4858">
        <v>21.390308425159201</v>
      </c>
      <c r="N4858">
        <v>53.5550552433848</v>
      </c>
      <c r="O4858">
        <v>51.382400313523299</v>
      </c>
      <c r="P4858">
        <v>-7.81551033142696E-2</v>
      </c>
      <c r="Q4858">
        <v>0.24906250880927699</v>
      </c>
      <c r="R4858">
        <v>0.98491968900984395</v>
      </c>
      <c r="S4858" t="s">
        <v>10719</v>
      </c>
      <c r="T4858" t="s">
        <v>11720</v>
      </c>
      <c r="U4858" t="s">
        <v>11720</v>
      </c>
      <c r="V4858" t="s">
        <v>11720</v>
      </c>
      <c r="W4858" t="s">
        <v>16522</v>
      </c>
      <c r="X4858">
        <v>2</v>
      </c>
      <c r="Y4858" t="s">
        <v>22229</v>
      </c>
      <c r="Z4858" t="s">
        <v>28065</v>
      </c>
      <c r="AA4858">
        <v>0.5543534084867936</v>
      </c>
      <c r="AB4858" t="str">
        <f>HYPERLINK("Melting_Curves/meltCurve_Q9BVA6_FICD.pdf", "Melting_Curves/meltCurve_Q9BVA6_FICD.pdf")</f>
        <v>Melting_Curves/meltCurve_Q9BVA6_FICD.pdf</v>
      </c>
    </row>
    <row r="4859" spans="1:28" x14ac:dyDescent="0.25">
      <c r="A4859" t="s">
        <v>4863</v>
      </c>
      <c r="B4859">
        <v>0.99334974765950101</v>
      </c>
      <c r="C4859">
        <v>0.89328869792540799</v>
      </c>
      <c r="D4859">
        <v>0.87266403761895295</v>
      </c>
      <c r="E4859">
        <v>0.89565574814355098</v>
      </c>
      <c r="F4859">
        <v>0.21404242301119999</v>
      </c>
      <c r="G4859">
        <v>0.124968743463058</v>
      </c>
      <c r="H4859">
        <v>9.3690716409123298E-2</v>
      </c>
      <c r="I4859">
        <v>5.7934000278114503E-2</v>
      </c>
      <c r="J4859">
        <v>5.2728844991549201E-2</v>
      </c>
      <c r="K4859">
        <v>2.4192716229934599E-2</v>
      </c>
      <c r="L4859">
        <v>3277.8107344605701</v>
      </c>
      <c r="M4859">
        <v>63.518302571077001</v>
      </c>
      <c r="N4859">
        <v>51.726637345101103</v>
      </c>
      <c r="O4859">
        <v>51.553135776042403</v>
      </c>
      <c r="P4859">
        <v>-0.28652374266332797</v>
      </c>
      <c r="Q4859">
        <v>6.9799657517558206E-2</v>
      </c>
      <c r="R4859">
        <v>0.97964139336411904</v>
      </c>
      <c r="S4859" t="s">
        <v>10720</v>
      </c>
      <c r="T4859" t="s">
        <v>11720</v>
      </c>
      <c r="U4859" t="s">
        <v>11720</v>
      </c>
      <c r="V4859" t="s">
        <v>11720</v>
      </c>
      <c r="W4859" t="s">
        <v>16523</v>
      </c>
      <c r="X4859">
        <v>2</v>
      </c>
      <c r="Y4859" t="s">
        <v>22230</v>
      </c>
      <c r="Z4859" t="s">
        <v>28066</v>
      </c>
      <c r="AA4859">
        <v>0.43091636097288538</v>
      </c>
      <c r="AB4859" t="str">
        <f>HYPERLINK("Melting_Curves/meltCurve_Q9BVC4_3_MLST8.pdf", "Melting_Curves/meltCurve_Q9BVC4_3_MLST8.pdf")</f>
        <v>Melting_Curves/meltCurve_Q9BVC4_3_MLST8.pdf</v>
      </c>
    </row>
    <row r="4860" spans="1:28" x14ac:dyDescent="0.25">
      <c r="A4860" t="s">
        <v>4864</v>
      </c>
      <c r="B4860">
        <v>0.99334974765950101</v>
      </c>
      <c r="C4860">
        <v>0.97321395828962898</v>
      </c>
      <c r="D4860">
        <v>0.96606326495874595</v>
      </c>
      <c r="E4860">
        <v>1.00210079498817</v>
      </c>
      <c r="F4860">
        <v>0.83661011340598201</v>
      </c>
      <c r="G4860">
        <v>0.75996660545817896</v>
      </c>
      <c r="H4860">
        <v>0.66976932321039595</v>
      </c>
      <c r="I4860">
        <v>1.0270715155957899</v>
      </c>
      <c r="J4860">
        <v>0.89637712731777197</v>
      </c>
      <c r="K4860">
        <v>0.703071468887981</v>
      </c>
      <c r="L4860">
        <v>13151.260616813301</v>
      </c>
      <c r="M4860">
        <v>250</v>
      </c>
      <c r="O4860">
        <v>52.601676120728499</v>
      </c>
      <c r="P4860">
        <v>-0.22426661598450701</v>
      </c>
      <c r="Q4860">
        <v>0.81125120193975497</v>
      </c>
      <c r="R4860">
        <v>0.42785878239276298</v>
      </c>
      <c r="S4860" t="s">
        <v>10721</v>
      </c>
      <c r="T4860" t="s">
        <v>11720</v>
      </c>
      <c r="U4860" t="s">
        <v>11720</v>
      </c>
      <c r="V4860" t="s">
        <v>11720</v>
      </c>
      <c r="W4860" t="s">
        <v>16524</v>
      </c>
      <c r="X4860">
        <v>7</v>
      </c>
      <c r="Y4860" t="s">
        <v>22231</v>
      </c>
      <c r="Z4860" t="s">
        <v>28067</v>
      </c>
      <c r="AA4860">
        <v>0.89057484792976993</v>
      </c>
      <c r="AB4860" t="str">
        <f>HYPERLINK("Melting_Curves/meltCurve_Q9BVC6_TMEM109.pdf", "Melting_Curves/meltCurve_Q9BVC6_TMEM109.pdf")</f>
        <v>Melting_Curves/meltCurve_Q9BVC6_TMEM109.pdf</v>
      </c>
    </row>
    <row r="4861" spans="1:28" x14ac:dyDescent="0.25">
      <c r="A4861" t="s">
        <v>4865</v>
      </c>
      <c r="B4861">
        <v>0.99334974765950101</v>
      </c>
      <c r="C4861">
        <v>1.01118858235272</v>
      </c>
      <c r="D4861">
        <v>0.88300703035565697</v>
      </c>
      <c r="E4861">
        <v>0.64432939998489602</v>
      </c>
      <c r="F4861">
        <v>0.33427210486372</v>
      </c>
      <c r="G4861">
        <v>0.17071438825836699</v>
      </c>
      <c r="H4861">
        <v>0.12500127477648201</v>
      </c>
      <c r="I4861">
        <v>0.11416715037964099</v>
      </c>
      <c r="J4861">
        <v>9.9021669965770595E-2</v>
      </c>
      <c r="K4861">
        <v>8.39199904205854E-2</v>
      </c>
      <c r="L4861">
        <v>1106.3929933146601</v>
      </c>
      <c r="M4861">
        <v>21.796148967502798</v>
      </c>
      <c r="N4861">
        <v>51.2517982243699</v>
      </c>
      <c r="O4861">
        <v>50.339457452898202</v>
      </c>
      <c r="P4861">
        <v>-9.8051277994317496E-2</v>
      </c>
      <c r="Q4861">
        <v>9.4200964068008694E-2</v>
      </c>
      <c r="R4861">
        <v>0.997926680855038</v>
      </c>
      <c r="S4861" t="s">
        <v>10722</v>
      </c>
      <c r="T4861" t="s">
        <v>11720</v>
      </c>
      <c r="U4861" t="s">
        <v>11720</v>
      </c>
      <c r="V4861" t="s">
        <v>11720</v>
      </c>
      <c r="W4861" t="s">
        <v>16525</v>
      </c>
      <c r="X4861">
        <v>10</v>
      </c>
      <c r="Y4861" t="s">
        <v>22232</v>
      </c>
      <c r="Z4861" t="s">
        <v>28068</v>
      </c>
      <c r="AA4861">
        <v>0.42978287656014641</v>
      </c>
      <c r="AB4861" t="str">
        <f>HYPERLINK("Melting_Curves/meltCurve_Q9BVG4_PBDC1.pdf", "Melting_Curves/meltCurve_Q9BVG4_PBDC1.pdf")</f>
        <v>Melting_Curves/meltCurve_Q9BVG4_PBDC1.pdf</v>
      </c>
    </row>
    <row r="4862" spans="1:28" x14ac:dyDescent="0.25">
      <c r="A4862" t="s">
        <v>4866</v>
      </c>
      <c r="B4862">
        <v>0.99334974765950101</v>
      </c>
      <c r="C4862">
        <v>0.92804057505430204</v>
      </c>
      <c r="D4862">
        <v>0.98145387368280301</v>
      </c>
      <c r="E4862">
        <v>1.0174460680575199</v>
      </c>
      <c r="F4862">
        <v>0.67652240077338099</v>
      </c>
      <c r="G4862">
        <v>0.52532788701651401</v>
      </c>
      <c r="H4862">
        <v>0.29257586177508799</v>
      </c>
      <c r="I4862">
        <v>0.32013123190359299</v>
      </c>
      <c r="J4862">
        <v>0.20729866489979201</v>
      </c>
      <c r="K4862">
        <v>8.7212428374380896E-2</v>
      </c>
      <c r="L4862">
        <v>882.28884864246004</v>
      </c>
      <c r="M4862">
        <v>15.646447179625699</v>
      </c>
      <c r="N4862">
        <v>57.353659433612897</v>
      </c>
      <c r="O4862">
        <v>55.492066062846497</v>
      </c>
      <c r="P4862">
        <v>-6.2340363738033901E-2</v>
      </c>
      <c r="Q4862">
        <v>0.115684378919915</v>
      </c>
      <c r="R4862">
        <v>0.96591699119428298</v>
      </c>
      <c r="S4862" t="s">
        <v>10723</v>
      </c>
      <c r="T4862" t="s">
        <v>11720</v>
      </c>
      <c r="U4862" t="s">
        <v>11720</v>
      </c>
      <c r="V4862" t="s">
        <v>11720</v>
      </c>
      <c r="W4862" t="s">
        <v>16526</v>
      </c>
      <c r="X4862">
        <v>3</v>
      </c>
      <c r="Y4862" t="s">
        <v>22233</v>
      </c>
      <c r="Z4862" t="s">
        <v>28069</v>
      </c>
      <c r="AA4862">
        <v>0.6133644965520314</v>
      </c>
      <c r="AB4862" t="str">
        <f>HYPERLINK("Melting_Curves/meltCurve_Q9BVG9_PTDSS2.pdf", "Melting_Curves/meltCurve_Q9BVG9_PTDSS2.pdf")</f>
        <v>Melting_Curves/meltCurve_Q9BVG9_PTDSS2.pdf</v>
      </c>
    </row>
    <row r="4863" spans="1:28" x14ac:dyDescent="0.25">
      <c r="A4863" t="s">
        <v>4867</v>
      </c>
      <c r="B4863">
        <v>0.99334974765950101</v>
      </c>
      <c r="C4863">
        <v>0.91001733722511402</v>
      </c>
      <c r="D4863">
        <v>0.82633850382433705</v>
      </c>
      <c r="E4863">
        <v>0.64857254031916201</v>
      </c>
      <c r="F4863">
        <v>0.43882430259889699</v>
      </c>
      <c r="G4863">
        <v>0.20217786269608101</v>
      </c>
      <c r="H4863">
        <v>0.109766487547606</v>
      </c>
      <c r="I4863">
        <v>8.4104758846025404E-2</v>
      </c>
      <c r="J4863">
        <v>6.6080899639561694E-2</v>
      </c>
      <c r="K4863">
        <v>4.4913578256043397E-2</v>
      </c>
      <c r="L4863">
        <v>699.87003082558704</v>
      </c>
      <c r="M4863">
        <v>13.524400127751001</v>
      </c>
      <c r="N4863">
        <v>51.830005380147497</v>
      </c>
      <c r="O4863">
        <v>50.656603125212101</v>
      </c>
      <c r="P4863">
        <v>-6.6054870723575201E-2</v>
      </c>
      <c r="Q4863">
        <v>1.04969680878623E-2</v>
      </c>
      <c r="R4863">
        <v>0.99710528037985002</v>
      </c>
      <c r="S4863" t="s">
        <v>10724</v>
      </c>
      <c r="T4863" t="s">
        <v>11720</v>
      </c>
      <c r="U4863" t="s">
        <v>11720</v>
      </c>
      <c r="V4863" t="s">
        <v>11720</v>
      </c>
      <c r="W4863" t="s">
        <v>16527</v>
      </c>
      <c r="X4863">
        <v>12</v>
      </c>
      <c r="Y4863" t="s">
        <v>22234</v>
      </c>
      <c r="Z4863" t="s">
        <v>28070</v>
      </c>
      <c r="AA4863">
        <v>0.42409086657946599</v>
      </c>
      <c r="AB4863" t="str">
        <f>HYPERLINK("Melting_Curves/meltCurve_Q9BVJ7_DUSP23.pdf", "Melting_Curves/meltCurve_Q9BVJ7_DUSP23.pdf")</f>
        <v>Melting_Curves/meltCurve_Q9BVJ7_DUSP23.pdf</v>
      </c>
    </row>
    <row r="4864" spans="1:28" x14ac:dyDescent="0.25">
      <c r="A4864" t="s">
        <v>4868</v>
      </c>
      <c r="B4864">
        <v>0.99334974765950101</v>
      </c>
      <c r="C4864">
        <v>0.94540566622470801</v>
      </c>
      <c r="D4864">
        <v>0.947359965477654</v>
      </c>
      <c r="E4864">
        <v>1.0307646350836499</v>
      </c>
      <c r="F4864">
        <v>0.92887784622265601</v>
      </c>
      <c r="G4864">
        <v>0.69101225737624405</v>
      </c>
      <c r="H4864">
        <v>0.365603837326897</v>
      </c>
      <c r="I4864">
        <v>0.257861899711816</v>
      </c>
      <c r="J4864">
        <v>0.178216217903682</v>
      </c>
      <c r="K4864">
        <v>0.135987158543452</v>
      </c>
      <c r="L4864">
        <v>1359.91074782752</v>
      </c>
      <c r="M4864">
        <v>23.241315483781001</v>
      </c>
      <c r="N4864">
        <v>59.294825356712998</v>
      </c>
      <c r="O4864">
        <v>58.084594151927902</v>
      </c>
      <c r="P4864">
        <v>-8.6827152479813804E-2</v>
      </c>
      <c r="Q4864">
        <v>0.13202312706794</v>
      </c>
      <c r="R4864">
        <v>0.99303981661581198</v>
      </c>
      <c r="S4864" t="s">
        <v>10725</v>
      </c>
      <c r="T4864" t="s">
        <v>11720</v>
      </c>
      <c r="U4864" t="s">
        <v>11720</v>
      </c>
      <c r="V4864" t="s">
        <v>11720</v>
      </c>
      <c r="W4864" t="s">
        <v>16528</v>
      </c>
      <c r="X4864">
        <v>11</v>
      </c>
      <c r="Y4864" t="s">
        <v>22235</v>
      </c>
      <c r="Z4864" t="s">
        <v>28071</v>
      </c>
      <c r="AA4864">
        <v>0.67567671987798261</v>
      </c>
      <c r="AB4864" t="str">
        <f>HYPERLINK("Melting_Curves/meltCurve_Q9BVK6_TMED9.pdf", "Melting_Curves/meltCurve_Q9BVK6_TMED9.pdf")</f>
        <v>Melting_Curves/meltCurve_Q9BVK6_TMED9.pdf</v>
      </c>
    </row>
    <row r="4865" spans="1:28" x14ac:dyDescent="0.25">
      <c r="A4865" t="s">
        <v>4869</v>
      </c>
      <c r="B4865">
        <v>0.99334974765950101</v>
      </c>
      <c r="C4865">
        <v>0.88940362890556002</v>
      </c>
      <c r="D4865">
        <v>0.458317923338041</v>
      </c>
      <c r="E4865">
        <v>0.27716301294906598</v>
      </c>
      <c r="F4865">
        <v>0.19578517292946901</v>
      </c>
      <c r="G4865">
        <v>0.143799301258108</v>
      </c>
      <c r="H4865">
        <v>0.11183547433536201</v>
      </c>
      <c r="I4865">
        <v>0.108811716380962</v>
      </c>
      <c r="J4865">
        <v>7.8651747632722105E-2</v>
      </c>
      <c r="K4865">
        <v>5.9201303990104898E-2</v>
      </c>
      <c r="L4865">
        <v>1015.97360460228</v>
      </c>
      <c r="M4865">
        <v>22.205506931790602</v>
      </c>
      <c r="N4865">
        <v>46.267321571692598</v>
      </c>
      <c r="O4865">
        <v>45.387008163131703</v>
      </c>
      <c r="P4865">
        <v>-0.108942507963935</v>
      </c>
      <c r="Q4865">
        <v>0.109325764072451</v>
      </c>
      <c r="R4865">
        <v>0.98350712967342302</v>
      </c>
      <c r="S4865" t="s">
        <v>10726</v>
      </c>
      <c r="T4865" t="s">
        <v>11720</v>
      </c>
      <c r="U4865" t="s">
        <v>11720</v>
      </c>
      <c r="V4865" t="s">
        <v>11720</v>
      </c>
      <c r="W4865" t="s">
        <v>16529</v>
      </c>
      <c r="X4865">
        <v>4</v>
      </c>
      <c r="Y4865" t="s">
        <v>22236</v>
      </c>
      <c r="Z4865" t="s">
        <v>28072</v>
      </c>
      <c r="AA4865">
        <v>0.29113781643733389</v>
      </c>
      <c r="AB4865" t="str">
        <f>HYPERLINK("Melting_Curves/meltCurve_Q9BVL4_SELO.pdf", "Melting_Curves/meltCurve_Q9BVL4_SELO.pdf")</f>
        <v>Melting_Curves/meltCurve_Q9BVL4_SELO.pdf</v>
      </c>
    </row>
    <row r="4866" spans="1:28" x14ac:dyDescent="0.25">
      <c r="A4866" t="s">
        <v>4870</v>
      </c>
      <c r="B4866">
        <v>0.99334974765950101</v>
      </c>
      <c r="C4866">
        <v>0.90400114946307897</v>
      </c>
      <c r="D4866">
        <v>0.84163739842302898</v>
      </c>
      <c r="E4866">
        <v>0.60304689178562199</v>
      </c>
      <c r="F4866">
        <v>0.351613888859727</v>
      </c>
      <c r="G4866">
        <v>0.15328756337865099</v>
      </c>
      <c r="H4866">
        <v>0.12456050604909499</v>
      </c>
      <c r="I4866">
        <v>0.11272805813905699</v>
      </c>
      <c r="J4866">
        <v>0.114054110584934</v>
      </c>
      <c r="K4866">
        <v>9.2529525583770603E-2</v>
      </c>
      <c r="L4866">
        <v>863.31718601768296</v>
      </c>
      <c r="M4866">
        <v>17.140675154195701</v>
      </c>
      <c r="N4866">
        <v>50.901609615644702</v>
      </c>
      <c r="O4866">
        <v>49.696038781609097</v>
      </c>
      <c r="P4866">
        <v>-7.9124212526568399E-2</v>
      </c>
      <c r="Q4866">
        <v>8.2434381353888794E-2</v>
      </c>
      <c r="R4866">
        <v>0.99528115911007498</v>
      </c>
      <c r="S4866" t="s">
        <v>10727</v>
      </c>
      <c r="T4866" t="s">
        <v>11720</v>
      </c>
      <c r="U4866" t="s">
        <v>11720</v>
      </c>
      <c r="V4866" t="s">
        <v>11720</v>
      </c>
      <c r="W4866" t="s">
        <v>16530</v>
      </c>
      <c r="X4866">
        <v>4</v>
      </c>
      <c r="Y4866" t="s">
        <v>22237</v>
      </c>
      <c r="Z4866" t="s">
        <v>28073</v>
      </c>
      <c r="AA4866">
        <v>0.41655153574112691</v>
      </c>
      <c r="AB4866" t="str">
        <f>HYPERLINK("Melting_Curves/meltCurve_Q9BVM4_GGACT.pdf", "Melting_Curves/meltCurve_Q9BVM4_GGACT.pdf")</f>
        <v>Melting_Curves/meltCurve_Q9BVM4_GGACT.pdf</v>
      </c>
    </row>
    <row r="4867" spans="1:28" x14ac:dyDescent="0.25">
      <c r="A4867" t="s">
        <v>4871</v>
      </c>
      <c r="B4867">
        <v>0.99334974765950101</v>
      </c>
      <c r="C4867">
        <v>0.99665767663716498</v>
      </c>
      <c r="D4867">
        <v>0.86389131755596704</v>
      </c>
      <c r="E4867">
        <v>0.80815770811482301</v>
      </c>
      <c r="F4867">
        <v>0.74746101955940103</v>
      </c>
      <c r="G4867">
        <v>0.61298128270744501</v>
      </c>
      <c r="H4867">
        <v>0.54876970866533803</v>
      </c>
      <c r="I4867">
        <v>0.60270159920236399</v>
      </c>
      <c r="J4867">
        <v>0.60951587904386695</v>
      </c>
      <c r="K4867">
        <v>0.54643491835279001</v>
      </c>
      <c r="L4867">
        <v>679.50464123365498</v>
      </c>
      <c r="M4867">
        <v>13.398496185410201</v>
      </c>
      <c r="O4867">
        <v>49.625219317427501</v>
      </c>
      <c r="P4867">
        <v>-3.0141133443140199E-2</v>
      </c>
      <c r="Q4867">
        <v>0.55352432802423401</v>
      </c>
      <c r="R4867">
        <v>0.96525833648234205</v>
      </c>
      <c r="S4867" t="s">
        <v>10728</v>
      </c>
      <c r="T4867" t="s">
        <v>11720</v>
      </c>
      <c r="U4867" t="s">
        <v>11720</v>
      </c>
      <c r="V4867" t="s">
        <v>11720</v>
      </c>
      <c r="W4867" t="s">
        <v>16531</v>
      </c>
      <c r="X4867">
        <v>7</v>
      </c>
      <c r="Y4867" t="s">
        <v>22238</v>
      </c>
      <c r="Z4867" t="s">
        <v>28074</v>
      </c>
      <c r="AA4867">
        <v>0.72551055615215398</v>
      </c>
      <c r="AB4867" t="str">
        <f>HYPERLINK("Melting_Curves/meltCurve_Q9BW30_TPPP3.pdf", "Melting_Curves/meltCurve_Q9BW30_TPPP3.pdf")</f>
        <v>Melting_Curves/meltCurve_Q9BW30_TPPP3.pdf</v>
      </c>
    </row>
    <row r="4868" spans="1:28" x14ac:dyDescent="0.25">
      <c r="A4868" t="s">
        <v>4872</v>
      </c>
      <c r="B4868">
        <v>0.99334974765950101</v>
      </c>
      <c r="C4868">
        <v>1.05047244262172</v>
      </c>
      <c r="D4868">
        <v>0.80416004904562999</v>
      </c>
      <c r="E4868">
        <v>0.92726539882865</v>
      </c>
      <c r="F4868">
        <v>0.40468701398616003</v>
      </c>
      <c r="G4868">
        <v>0.233032425906186</v>
      </c>
      <c r="H4868">
        <v>0.13354222085009201</v>
      </c>
      <c r="I4868">
        <v>0.109399509468107</v>
      </c>
      <c r="J4868">
        <v>8.2264721173460995E-2</v>
      </c>
      <c r="K4868">
        <v>5.8272229384025903E-2</v>
      </c>
      <c r="L4868">
        <v>2156.4980883790199</v>
      </c>
      <c r="M4868">
        <v>41.247282326338102</v>
      </c>
      <c r="N4868">
        <v>52.610598316822902</v>
      </c>
      <c r="O4868">
        <v>52.159745532781699</v>
      </c>
      <c r="P4868">
        <v>-0.175258407992188</v>
      </c>
      <c r="Q4868">
        <v>0.113501139911418</v>
      </c>
      <c r="R4868">
        <v>0.96436757968790898</v>
      </c>
      <c r="S4868" t="s">
        <v>10729</v>
      </c>
      <c r="T4868" t="s">
        <v>11720</v>
      </c>
      <c r="U4868" t="s">
        <v>11720</v>
      </c>
      <c r="V4868" t="s">
        <v>11720</v>
      </c>
      <c r="W4868" t="s">
        <v>16532</v>
      </c>
      <c r="X4868">
        <v>1</v>
      </c>
      <c r="Y4868" t="s">
        <v>22239</v>
      </c>
      <c r="Z4868" t="s">
        <v>28075</v>
      </c>
      <c r="AA4868">
        <v>0.47944939147603732</v>
      </c>
      <c r="AB4868" t="str">
        <f>HYPERLINK("Melting_Curves/meltCurve_Q9BW60_2_ELOVL1.pdf", "Melting_Curves/meltCurve_Q9BW60_2_ELOVL1.pdf")</f>
        <v>Melting_Curves/meltCurve_Q9BW60_2_ELOVL1.pdf</v>
      </c>
    </row>
    <row r="4869" spans="1:28" x14ac:dyDescent="0.25">
      <c r="A4869" t="s">
        <v>4873</v>
      </c>
      <c r="B4869">
        <v>0.99334974765950101</v>
      </c>
      <c r="C4869">
        <v>0.92980944199381999</v>
      </c>
      <c r="D4869">
        <v>0.90444811015821303</v>
      </c>
      <c r="E4869">
        <v>0.82747514507338005</v>
      </c>
      <c r="F4869">
        <v>0.56056682844320205</v>
      </c>
      <c r="G4869">
        <v>0.35754398427372203</v>
      </c>
      <c r="H4869">
        <v>0.27829645654985302</v>
      </c>
      <c r="I4869">
        <v>0.215170656852151</v>
      </c>
      <c r="J4869">
        <v>0.210887598857117</v>
      </c>
      <c r="K4869">
        <v>0.179425378755903</v>
      </c>
      <c r="L4869">
        <v>871.39705022722399</v>
      </c>
      <c r="M4869">
        <v>16.4501625855303</v>
      </c>
      <c r="N4869">
        <v>54.393250838218499</v>
      </c>
      <c r="O4869">
        <v>52.2076932039502</v>
      </c>
      <c r="P4869">
        <v>-6.5015888604828001E-2</v>
      </c>
      <c r="Q4869">
        <v>0.17469730615364501</v>
      </c>
      <c r="R4869">
        <v>0.99203210958903898</v>
      </c>
      <c r="S4869" t="s">
        <v>10730</v>
      </c>
      <c r="T4869" t="s">
        <v>11720</v>
      </c>
      <c r="U4869" t="s">
        <v>11720</v>
      </c>
      <c r="V4869" t="s">
        <v>11720</v>
      </c>
      <c r="W4869" t="s">
        <v>16533</v>
      </c>
      <c r="X4869">
        <v>6</v>
      </c>
      <c r="Y4869" t="s">
        <v>22240</v>
      </c>
      <c r="Z4869" t="s">
        <v>28076</v>
      </c>
      <c r="AA4869">
        <v>0.54710911306611365</v>
      </c>
      <c r="AB4869" t="str">
        <f>HYPERLINK("Melting_Curves/meltCurve_Q9BW61_DDA1.pdf", "Melting_Curves/meltCurve_Q9BW61_DDA1.pdf")</f>
        <v>Melting_Curves/meltCurve_Q9BW61_DDA1.pdf</v>
      </c>
    </row>
    <row r="4870" spans="1:28" x14ac:dyDescent="0.25">
      <c r="A4870" t="s">
        <v>4874</v>
      </c>
      <c r="B4870">
        <v>0.99334974765950101</v>
      </c>
      <c r="C4870">
        <v>0.98475322029802703</v>
      </c>
      <c r="D4870">
        <v>0.86180738591986294</v>
      </c>
      <c r="E4870">
        <v>0.50603520780623401</v>
      </c>
      <c r="F4870">
        <v>0.35071911443474402</v>
      </c>
      <c r="G4870">
        <v>0.18448860373283499</v>
      </c>
      <c r="H4870">
        <v>0.13698771323004399</v>
      </c>
      <c r="I4870">
        <v>0.10530948811938801</v>
      </c>
      <c r="J4870">
        <v>9.3275380834656002E-2</v>
      </c>
      <c r="K4870">
        <v>7.6835294127958795E-2</v>
      </c>
      <c r="L4870">
        <v>918.95394287506997</v>
      </c>
      <c r="M4870">
        <v>18.389861516813099</v>
      </c>
      <c r="N4870">
        <v>50.520606283625099</v>
      </c>
      <c r="O4870">
        <v>49.391031991593302</v>
      </c>
      <c r="P4870">
        <v>-8.4643605296921096E-2</v>
      </c>
      <c r="Q4870">
        <v>9.0706446415905598E-2</v>
      </c>
      <c r="R4870">
        <v>0.99725586560059698</v>
      </c>
      <c r="S4870" t="s">
        <v>10731</v>
      </c>
      <c r="T4870" t="s">
        <v>11720</v>
      </c>
      <c r="U4870" t="s">
        <v>11720</v>
      </c>
      <c r="V4870" t="s">
        <v>11720</v>
      </c>
      <c r="W4870" t="s">
        <v>16534</v>
      </c>
      <c r="X4870">
        <v>9</v>
      </c>
      <c r="Y4870" t="s">
        <v>22241</v>
      </c>
      <c r="Z4870" t="s">
        <v>28077</v>
      </c>
      <c r="AA4870">
        <v>0.40780706572728948</v>
      </c>
      <c r="AB4870" t="str">
        <f>HYPERLINK("Melting_Curves/meltCurve_Q9BW62_KATNAL1.pdf", "Melting_Curves/meltCurve_Q9BW62_KATNAL1.pdf")</f>
        <v>Melting_Curves/meltCurve_Q9BW62_KATNAL1.pdf</v>
      </c>
    </row>
    <row r="4871" spans="1:28" x14ac:dyDescent="0.25">
      <c r="A4871" t="s">
        <v>4875</v>
      </c>
      <c r="B4871">
        <v>0.99334974765950101</v>
      </c>
      <c r="C4871">
        <v>0.98699007136772499</v>
      </c>
      <c r="D4871">
        <v>0.83151919968409505</v>
      </c>
      <c r="E4871">
        <v>0.63901118524160105</v>
      </c>
      <c r="F4871">
        <v>0.33448675028171998</v>
      </c>
      <c r="G4871">
        <v>0.13439579593381601</v>
      </c>
      <c r="H4871">
        <v>8.1913824524079304E-2</v>
      </c>
      <c r="I4871">
        <v>7.9411120430707596E-2</v>
      </c>
      <c r="J4871">
        <v>6.1365784724392101E-2</v>
      </c>
      <c r="K4871">
        <v>6.7129621410719306E-2</v>
      </c>
      <c r="L4871">
        <v>962.40497160137795</v>
      </c>
      <c r="M4871">
        <v>18.943882106291301</v>
      </c>
      <c r="N4871">
        <v>51.087456660544703</v>
      </c>
      <c r="O4871">
        <v>50.246967887411202</v>
      </c>
      <c r="P4871">
        <v>-8.9538773906126995E-2</v>
      </c>
      <c r="Q4871">
        <v>5.0063271692632499E-2</v>
      </c>
      <c r="R4871">
        <v>0.99594936759782904</v>
      </c>
      <c r="S4871" t="s">
        <v>10732</v>
      </c>
      <c r="T4871" t="s">
        <v>11720</v>
      </c>
      <c r="U4871" t="s">
        <v>11720</v>
      </c>
      <c r="V4871" t="s">
        <v>11720</v>
      </c>
      <c r="W4871" t="s">
        <v>16535</v>
      </c>
      <c r="X4871">
        <v>8</v>
      </c>
      <c r="Y4871" t="s">
        <v>22242</v>
      </c>
      <c r="Z4871" t="s">
        <v>28078</v>
      </c>
      <c r="AA4871">
        <v>0.40673682033401348</v>
      </c>
      <c r="AB4871" t="str">
        <f>HYPERLINK("Melting_Curves/meltCurve_Q9BW83_IFT27.pdf", "Melting_Curves/meltCurve_Q9BW83_IFT27.pdf")</f>
        <v>Melting_Curves/meltCurve_Q9BW83_IFT27.pdf</v>
      </c>
    </row>
    <row r="4872" spans="1:28" x14ac:dyDescent="0.25">
      <c r="A4872" t="s">
        <v>4876</v>
      </c>
      <c r="B4872">
        <v>0.99334974765950101</v>
      </c>
      <c r="C4872">
        <v>0.97771793612036895</v>
      </c>
      <c r="D4872">
        <v>0.88079212884524205</v>
      </c>
      <c r="E4872">
        <v>0.60174328753828399</v>
      </c>
      <c r="F4872">
        <v>0.231994503653074</v>
      </c>
      <c r="G4872">
        <v>0.15500137210054599</v>
      </c>
      <c r="H4872">
        <v>0.107076277007754</v>
      </c>
      <c r="I4872">
        <v>9.4793376286537903E-2</v>
      </c>
      <c r="J4872">
        <v>9.62063266705694E-2</v>
      </c>
      <c r="K4872">
        <v>8.5961520875678599E-2</v>
      </c>
      <c r="L4872">
        <v>1275.47781105891</v>
      </c>
      <c r="M4872">
        <v>25.430352937294401</v>
      </c>
      <c r="N4872">
        <v>50.560395491221399</v>
      </c>
      <c r="O4872">
        <v>49.848660302232098</v>
      </c>
      <c r="P4872">
        <v>-0.11579574853380201</v>
      </c>
      <c r="Q4872">
        <v>9.2078567748034496E-2</v>
      </c>
      <c r="R4872">
        <v>0.99614043160545795</v>
      </c>
      <c r="S4872" t="s">
        <v>10733</v>
      </c>
      <c r="T4872" t="s">
        <v>11720</v>
      </c>
      <c r="U4872" t="s">
        <v>11720</v>
      </c>
      <c r="V4872" t="s">
        <v>11720</v>
      </c>
      <c r="W4872" t="s">
        <v>16536</v>
      </c>
      <c r="X4872">
        <v>17</v>
      </c>
      <c r="Y4872" t="s">
        <v>22243</v>
      </c>
      <c r="Z4872" t="s">
        <v>28079</v>
      </c>
      <c r="AA4872">
        <v>0.40728624754139348</v>
      </c>
      <c r="AB4872" t="str">
        <f>HYPERLINK("Melting_Curves/meltCurve_Q9BW91_2_NUDT9.pdf", "Melting_Curves/meltCurve_Q9BW91_2_NUDT9.pdf")</f>
        <v>Melting_Curves/meltCurve_Q9BW91_2_NUDT9.pdf</v>
      </c>
    </row>
    <row r="4873" spans="1:28" x14ac:dyDescent="0.25">
      <c r="A4873" t="s">
        <v>4877</v>
      </c>
      <c r="B4873">
        <v>0.99334974765950101</v>
      </c>
      <c r="C4873">
        <v>0.91419015601494402</v>
      </c>
      <c r="D4873">
        <v>0.92468172507086899</v>
      </c>
      <c r="E4873">
        <v>0.58986076488615602</v>
      </c>
      <c r="F4873">
        <v>0.17929474636176601</v>
      </c>
      <c r="G4873">
        <v>8.9810651060047098E-2</v>
      </c>
      <c r="H4873">
        <v>0.109632000429449</v>
      </c>
      <c r="I4873">
        <v>9.4839361153140803E-2</v>
      </c>
      <c r="J4873">
        <v>3.8993423097796999E-2</v>
      </c>
      <c r="K4873">
        <v>2.5224103774125501E-2</v>
      </c>
      <c r="L4873">
        <v>1637.3802645312801</v>
      </c>
      <c r="M4873">
        <v>32.589848622641497</v>
      </c>
      <c r="N4873">
        <v>50.4525711707117</v>
      </c>
      <c r="O4873">
        <v>50.054015415469003</v>
      </c>
      <c r="P4873">
        <v>-0.15242549139925499</v>
      </c>
      <c r="Q4873">
        <v>6.3577242931650901E-2</v>
      </c>
      <c r="R4873">
        <v>0.99077929745825399</v>
      </c>
      <c r="S4873" t="s">
        <v>10734</v>
      </c>
      <c r="T4873" t="s">
        <v>11720</v>
      </c>
      <c r="U4873" t="s">
        <v>11720</v>
      </c>
      <c r="V4873" t="s">
        <v>11720</v>
      </c>
      <c r="W4873" t="s">
        <v>16537</v>
      </c>
      <c r="X4873">
        <v>2</v>
      </c>
      <c r="Y4873" t="s">
        <v>22244</v>
      </c>
      <c r="Z4873" t="s">
        <v>28080</v>
      </c>
      <c r="AA4873">
        <v>0.38819242401743792</v>
      </c>
      <c r="AB4873" t="str">
        <f>HYPERLINK("Melting_Curves/meltCurve_Q9BW92_TARS2.pdf", "Melting_Curves/meltCurve_Q9BW92_TARS2.pdf")</f>
        <v>Melting_Curves/meltCurve_Q9BW92_TARS2.pdf</v>
      </c>
    </row>
    <row r="4874" spans="1:28" x14ac:dyDescent="0.25">
      <c r="A4874" t="s">
        <v>4878</v>
      </c>
      <c r="B4874">
        <v>0.99334974765950101</v>
      </c>
      <c r="C4874">
        <v>1.0149195752820299</v>
      </c>
      <c r="D4874">
        <v>1.00336655176798</v>
      </c>
      <c r="E4874">
        <v>1.1106467961044399</v>
      </c>
      <c r="F4874">
        <v>1.14123755973749</v>
      </c>
      <c r="G4874">
        <v>1.0198190803892599</v>
      </c>
      <c r="H4874">
        <v>0.81971843301672298</v>
      </c>
      <c r="I4874">
        <v>0.42484079396357299</v>
      </c>
      <c r="J4874">
        <v>0.23976984243032101</v>
      </c>
      <c r="K4874">
        <v>0.17043197866555801</v>
      </c>
      <c r="L4874">
        <v>2739.7053961511601</v>
      </c>
      <c r="M4874">
        <v>43.617232407820197</v>
      </c>
      <c r="N4874">
        <v>63.432019272614397</v>
      </c>
      <c r="O4874">
        <v>62.680849884816404</v>
      </c>
      <c r="P4874">
        <v>-0.14379145415612199</v>
      </c>
      <c r="Q4874">
        <v>0.17344987369414899</v>
      </c>
      <c r="R4874">
        <v>0.97266539031851995</v>
      </c>
      <c r="S4874" t="s">
        <v>10735</v>
      </c>
      <c r="T4874" t="s">
        <v>11720</v>
      </c>
      <c r="U4874" t="s">
        <v>11720</v>
      </c>
      <c r="V4874" t="s">
        <v>11720</v>
      </c>
      <c r="W4874" t="s">
        <v>16538</v>
      </c>
      <c r="X4874">
        <v>25</v>
      </c>
      <c r="Y4874" t="s">
        <v>22245</v>
      </c>
      <c r="Z4874" t="s">
        <v>28081</v>
      </c>
      <c r="AA4874">
        <v>0.80439879081331322</v>
      </c>
      <c r="AB4874" t="str">
        <f>HYPERLINK("Melting_Curves/meltCurve_Q9BWD1_ACAT2.pdf", "Melting_Curves/meltCurve_Q9BWD1_ACAT2.pdf")</f>
        <v>Melting_Curves/meltCurve_Q9BWD1_ACAT2.pdf</v>
      </c>
    </row>
    <row r="4875" spans="1:28" x14ac:dyDescent="0.25">
      <c r="A4875" t="s">
        <v>4879</v>
      </c>
      <c r="B4875">
        <v>0.99334974765950101</v>
      </c>
      <c r="C4875">
        <v>0.92105948370316104</v>
      </c>
      <c r="D4875">
        <v>0.82719353765552694</v>
      </c>
      <c r="E4875">
        <v>0.84192017502735605</v>
      </c>
      <c r="F4875">
        <v>0.98464247142801498</v>
      </c>
      <c r="G4875">
        <v>0.81836667105295102</v>
      </c>
      <c r="H4875">
        <v>0.84695879630592996</v>
      </c>
      <c r="I4875">
        <v>1.0490163834873201</v>
      </c>
      <c r="J4875">
        <v>1.26049061859112</v>
      </c>
      <c r="K4875">
        <v>0.99213245035250597</v>
      </c>
      <c r="L4875">
        <v>10075.819359985901</v>
      </c>
      <c r="M4875">
        <v>250</v>
      </c>
      <c r="O4875">
        <v>40.3006800400128</v>
      </c>
      <c r="P4875">
        <v>-7.8958414309386396E-2</v>
      </c>
      <c r="Q4875">
        <v>0.94908673216612405</v>
      </c>
      <c r="R4875">
        <v>1.05913143617066E-2</v>
      </c>
      <c r="S4875" t="s">
        <v>10736</v>
      </c>
      <c r="T4875" t="s">
        <v>11720</v>
      </c>
      <c r="U4875" t="s">
        <v>11720</v>
      </c>
      <c r="V4875" t="s">
        <v>11720</v>
      </c>
      <c r="W4875" t="s">
        <v>16539</v>
      </c>
      <c r="X4875">
        <v>6</v>
      </c>
      <c r="Y4875" t="s">
        <v>22246</v>
      </c>
      <c r="Z4875" t="s">
        <v>28082</v>
      </c>
      <c r="AA4875">
        <v>0.94964244431504408</v>
      </c>
      <c r="AB4875" t="str">
        <f>HYPERLINK("Melting_Curves/meltCurve_Q9BWH2_FUNDC2.pdf", "Melting_Curves/meltCurve_Q9BWH2_FUNDC2.pdf")</f>
        <v>Melting_Curves/meltCurve_Q9BWH2_FUNDC2.pdf</v>
      </c>
    </row>
    <row r="4876" spans="1:28" x14ac:dyDescent="0.25">
      <c r="A4876" t="s">
        <v>4880</v>
      </c>
      <c r="B4876">
        <v>0.99334974765950101</v>
      </c>
      <c r="C4876">
        <v>0.91760094608645004</v>
      </c>
      <c r="D4876">
        <v>1.0018761005935699</v>
      </c>
      <c r="E4876">
        <v>0.97709264406060903</v>
      </c>
      <c r="F4876">
        <v>0.71924468325938196</v>
      </c>
      <c r="G4876">
        <v>0.293216868442436</v>
      </c>
      <c r="H4876">
        <v>0.224254329775746</v>
      </c>
      <c r="I4876">
        <v>0.222100660599172</v>
      </c>
      <c r="J4876">
        <v>0.20812823107423301</v>
      </c>
      <c r="K4876">
        <v>0.10714214854154901</v>
      </c>
      <c r="L4876">
        <v>1921.8133966783</v>
      </c>
      <c r="M4876">
        <v>35.581135200312801</v>
      </c>
      <c r="N4876">
        <v>54.724031578658597</v>
      </c>
      <c r="O4876">
        <v>53.8423895029607</v>
      </c>
      <c r="P4876">
        <v>-0.13460325540693599</v>
      </c>
      <c r="Q4876">
        <v>0.185260804538151</v>
      </c>
      <c r="R4876">
        <v>0.988221996183555</v>
      </c>
      <c r="S4876" t="s">
        <v>10737</v>
      </c>
      <c r="T4876" t="s">
        <v>11720</v>
      </c>
      <c r="U4876" t="s">
        <v>11720</v>
      </c>
      <c r="V4876" t="s">
        <v>11720</v>
      </c>
      <c r="W4876" t="s">
        <v>16540</v>
      </c>
      <c r="X4876">
        <v>3</v>
      </c>
      <c r="Y4876" t="s">
        <v>22247</v>
      </c>
      <c r="Z4876" t="s">
        <v>28083</v>
      </c>
      <c r="AA4876">
        <v>0.56963462914855711</v>
      </c>
      <c r="AB4876" t="str">
        <f>HYPERLINK("Melting_Curves/meltCurve_Q9BWH6_RPAP1.pdf", "Melting_Curves/meltCurve_Q9BWH6_RPAP1.pdf")</f>
        <v>Melting_Curves/meltCurve_Q9BWH6_RPAP1.pdf</v>
      </c>
    </row>
    <row r="4877" spans="1:28" x14ac:dyDescent="0.25">
      <c r="A4877" t="s">
        <v>4881</v>
      </c>
      <c r="B4877">
        <v>0.99334974765950101</v>
      </c>
      <c r="C4877">
        <v>1.41794530843029</v>
      </c>
      <c r="D4877">
        <v>1.5909340298119301</v>
      </c>
      <c r="E4877">
        <v>1.92166471569465</v>
      </c>
      <c r="F4877">
        <v>5.3919240998057196</v>
      </c>
      <c r="G4877">
        <v>3.57247994181636</v>
      </c>
      <c r="H4877">
        <v>2.8741537344033001</v>
      </c>
      <c r="I4877">
        <v>2.2769821564054702</v>
      </c>
      <c r="J4877">
        <v>3.6385648764557801</v>
      </c>
      <c r="K4877">
        <v>3.5913001508166298</v>
      </c>
      <c r="L4877">
        <v>10655.1603191061</v>
      </c>
      <c r="M4877">
        <v>250</v>
      </c>
      <c r="O4877">
        <v>42.617913856257204</v>
      </c>
      <c r="P4877">
        <v>0.73325973099854602</v>
      </c>
      <c r="Q4877">
        <v>1.5</v>
      </c>
      <c r="R4877">
        <v>-0.90864600803641304</v>
      </c>
      <c r="S4877" t="s">
        <v>10738</v>
      </c>
      <c r="T4877" t="s">
        <v>11720</v>
      </c>
      <c r="U4877" t="s">
        <v>11720</v>
      </c>
      <c r="V4877" t="s">
        <v>11720</v>
      </c>
      <c r="W4877" t="s">
        <v>16541</v>
      </c>
      <c r="X4877">
        <v>1</v>
      </c>
      <c r="Y4877" t="s">
        <v>22248</v>
      </c>
      <c r="Z4877" t="s">
        <v>28084</v>
      </c>
      <c r="AA4877">
        <v>1.4562852459205049</v>
      </c>
      <c r="AB4877" t="str">
        <f>HYPERLINK("Melting_Curves/meltCurve_Q9BWJ5_SF3B5.pdf", "Melting_Curves/meltCurve_Q9BWJ5_SF3B5.pdf")</f>
        <v>Melting_Curves/meltCurve_Q9BWJ5_SF3B5.pdf</v>
      </c>
    </row>
    <row r="4878" spans="1:28" x14ac:dyDescent="0.25">
      <c r="A4878" t="s">
        <v>4882</v>
      </c>
      <c r="B4878">
        <v>0.99334974765950101</v>
      </c>
      <c r="C4878">
        <v>0.93887919931911801</v>
      </c>
      <c r="D4878">
        <v>0.97991783135426602</v>
      </c>
      <c r="E4878">
        <v>1.15062836927871</v>
      </c>
      <c r="F4878">
        <v>1.3656649386386599</v>
      </c>
      <c r="G4878">
        <v>0.76525751953531596</v>
      </c>
      <c r="H4878">
        <v>0.54849835344780096</v>
      </c>
      <c r="I4878">
        <v>0.44652548139068998</v>
      </c>
      <c r="J4878">
        <v>0.29852123039526202</v>
      </c>
      <c r="K4878">
        <v>0.28439602147134901</v>
      </c>
      <c r="L4878">
        <v>1818.18876372093</v>
      </c>
      <c r="M4878">
        <v>30.470041014563201</v>
      </c>
      <c r="N4878">
        <v>61.548689881988999</v>
      </c>
      <c r="O4878">
        <v>59.4161046211916</v>
      </c>
      <c r="P4878">
        <v>-8.9411027763725198E-2</v>
      </c>
      <c r="Q4878">
        <v>0.30260384912421101</v>
      </c>
      <c r="R4878">
        <v>0.84765614008713297</v>
      </c>
      <c r="S4878" t="s">
        <v>10739</v>
      </c>
      <c r="T4878" t="s">
        <v>11720</v>
      </c>
      <c r="U4878" t="s">
        <v>11720</v>
      </c>
      <c r="V4878" t="s">
        <v>11720</v>
      </c>
      <c r="W4878" t="s">
        <v>16542</v>
      </c>
      <c r="X4878">
        <v>11</v>
      </c>
      <c r="Y4878" t="s">
        <v>22249</v>
      </c>
      <c r="Z4878" t="s">
        <v>28085</v>
      </c>
      <c r="AA4878">
        <v>0.76413000357485106</v>
      </c>
      <c r="AB4878" t="str">
        <f>HYPERLINK("Melting_Curves/meltCurve_Q9BWM7_SFXN3.pdf", "Melting_Curves/meltCurve_Q9BWM7_SFXN3.pdf")</f>
        <v>Melting_Curves/meltCurve_Q9BWM7_SFXN3.pdf</v>
      </c>
    </row>
    <row r="4879" spans="1:28" x14ac:dyDescent="0.25">
      <c r="A4879" t="s">
        <v>4883</v>
      </c>
      <c r="B4879">
        <v>0.99334974765950101</v>
      </c>
      <c r="C4879">
        <v>0.97160400740572805</v>
      </c>
      <c r="D4879">
        <v>0.88610388351928204</v>
      </c>
      <c r="E4879">
        <v>0.68905510181066099</v>
      </c>
      <c r="F4879">
        <v>0.37827427223509802</v>
      </c>
      <c r="G4879">
        <v>0.23733287928128699</v>
      </c>
      <c r="H4879">
        <v>0.17931201972865299</v>
      </c>
      <c r="I4879">
        <v>0.13911108236615899</v>
      </c>
      <c r="J4879">
        <v>0.11767264701523</v>
      </c>
      <c r="K4879">
        <v>0.10100137793731399</v>
      </c>
      <c r="L4879">
        <v>964.43935584642895</v>
      </c>
      <c r="M4879">
        <v>18.848032818580201</v>
      </c>
      <c r="N4879">
        <v>51.880778796616603</v>
      </c>
      <c r="O4879">
        <v>50.603663595684502</v>
      </c>
      <c r="P4879">
        <v>-8.2513822952716503E-2</v>
      </c>
      <c r="Q4879">
        <v>0.113895868437804</v>
      </c>
      <c r="R4879">
        <v>0.99653317612936199</v>
      </c>
      <c r="S4879" t="s">
        <v>10740</v>
      </c>
      <c r="T4879" t="s">
        <v>11720</v>
      </c>
      <c r="U4879" t="s">
        <v>11720</v>
      </c>
      <c r="V4879" t="s">
        <v>11720</v>
      </c>
      <c r="W4879" t="s">
        <v>16543</v>
      </c>
      <c r="X4879">
        <v>11</v>
      </c>
      <c r="Y4879" t="s">
        <v>22250</v>
      </c>
      <c r="Z4879" t="s">
        <v>28086</v>
      </c>
      <c r="AA4879">
        <v>0.45751246988254107</v>
      </c>
      <c r="AB4879" t="str">
        <f>HYPERLINK("Melting_Curves/meltCurve_Q9BWU0_SLC4A1AP.pdf", "Melting_Curves/meltCurve_Q9BWU0_SLC4A1AP.pdf")</f>
        <v>Melting_Curves/meltCurve_Q9BWU0_SLC4A1AP.pdf</v>
      </c>
    </row>
    <row r="4880" spans="1:28" x14ac:dyDescent="0.25">
      <c r="A4880" t="s">
        <v>4884</v>
      </c>
      <c r="B4880">
        <v>0.99334974765950101</v>
      </c>
      <c r="C4880">
        <v>1.1487187929673399</v>
      </c>
      <c r="D4880">
        <v>1.1785024996595299</v>
      </c>
      <c r="E4880">
        <v>1.2730197228504601</v>
      </c>
      <c r="F4880">
        <v>0.83066255964499303</v>
      </c>
      <c r="G4880">
        <v>0.54227394246233795</v>
      </c>
      <c r="H4880">
        <v>0.24859070993812701</v>
      </c>
      <c r="I4880">
        <v>0.26917387679800198</v>
      </c>
      <c r="J4880">
        <v>0.14327270234546399</v>
      </c>
      <c r="K4880">
        <v>8.5677847826926598E-2</v>
      </c>
      <c r="L4880">
        <v>1653.86209487976</v>
      </c>
      <c r="M4880">
        <v>29.1479193366613</v>
      </c>
      <c r="N4880">
        <v>57.4400055905393</v>
      </c>
      <c r="O4880">
        <v>56.475253265960298</v>
      </c>
      <c r="P4880">
        <v>-0.109749157016931</v>
      </c>
      <c r="Q4880">
        <v>0.14943279018809</v>
      </c>
      <c r="R4880">
        <v>0.92006694517464704</v>
      </c>
      <c r="S4880" t="s">
        <v>10741</v>
      </c>
      <c r="T4880" t="s">
        <v>11720</v>
      </c>
      <c r="U4880" t="s">
        <v>11720</v>
      </c>
      <c r="V4880" t="s">
        <v>11720</v>
      </c>
      <c r="W4880" t="s">
        <v>16544</v>
      </c>
      <c r="X4880">
        <v>1</v>
      </c>
      <c r="Y4880" t="s">
        <v>22251</v>
      </c>
      <c r="Z4880" t="s">
        <v>28087</v>
      </c>
      <c r="AA4880">
        <v>0.63002478771448145</v>
      </c>
      <c r="AB4880" t="str">
        <f>HYPERLINK("Melting_Curves/meltCurve_Q9BWW5_SSDP4.pdf", "Melting_Curves/meltCurve_Q9BWW5_SSDP4.pdf")</f>
        <v>Melting_Curves/meltCurve_Q9BWW5_SSDP4.pdf</v>
      </c>
    </row>
    <row r="4881" spans="1:28" x14ac:dyDescent="0.25">
      <c r="A4881" t="s">
        <v>4885</v>
      </c>
      <c r="B4881">
        <v>0.99334974765950101</v>
      </c>
      <c r="C4881">
        <v>1.0006705552175701</v>
      </c>
      <c r="D4881">
        <v>0.837057071438149</v>
      </c>
      <c r="E4881">
        <v>0.56114685673134101</v>
      </c>
      <c r="F4881">
        <v>0.52255636929762805</v>
      </c>
      <c r="G4881">
        <v>0.29932438255758598</v>
      </c>
      <c r="H4881">
        <v>0.23155122897319</v>
      </c>
      <c r="I4881">
        <v>0.16850556149812099</v>
      </c>
      <c r="J4881">
        <v>0.14038080917680901</v>
      </c>
      <c r="K4881">
        <v>0.12211258763332999</v>
      </c>
      <c r="L4881">
        <v>660.17423113789403</v>
      </c>
      <c r="M4881">
        <v>12.832051116090801</v>
      </c>
      <c r="N4881">
        <v>52.406862981506698</v>
      </c>
      <c r="O4881">
        <v>50.245868909714297</v>
      </c>
      <c r="P4881">
        <v>-5.7172405980578198E-2</v>
      </c>
      <c r="Q4881">
        <v>0.104696996431099</v>
      </c>
      <c r="R4881">
        <v>0.98788295023192596</v>
      </c>
      <c r="S4881" t="s">
        <v>10742</v>
      </c>
      <c r="T4881" t="s">
        <v>11720</v>
      </c>
      <c r="U4881" t="s">
        <v>11720</v>
      </c>
      <c r="V4881" t="s">
        <v>11720</v>
      </c>
      <c r="W4881" t="s">
        <v>16545</v>
      </c>
      <c r="X4881">
        <v>1</v>
      </c>
      <c r="Y4881" t="s">
        <v>22252</v>
      </c>
      <c r="Z4881" t="s">
        <v>28088</v>
      </c>
      <c r="AA4881">
        <v>0.47217538224010908</v>
      </c>
      <c r="AB4881" t="str">
        <f>HYPERLINK("Melting_Curves/meltCurve_Q9BX40_LSM14B.pdf", "Melting_Curves/meltCurve_Q9BX40_LSM14B.pdf")</f>
        <v>Melting_Curves/meltCurve_Q9BX40_LSM14B.pdf</v>
      </c>
    </row>
    <row r="4882" spans="1:28" x14ac:dyDescent="0.25">
      <c r="A4882" t="s">
        <v>4886</v>
      </c>
      <c r="B4882">
        <v>0.99334974765950101</v>
      </c>
      <c r="C4882">
        <v>1.06544743194221</v>
      </c>
      <c r="D4882">
        <v>0.88763237756886404</v>
      </c>
      <c r="E4882">
        <v>0.85081283445229405</v>
      </c>
      <c r="F4882">
        <v>0.448436869087733</v>
      </c>
      <c r="G4882">
        <v>0.185314526923925</v>
      </c>
      <c r="H4882">
        <v>0.134368861881316</v>
      </c>
      <c r="I4882">
        <v>0.16964978090146299</v>
      </c>
      <c r="J4882">
        <v>0.153303574508488</v>
      </c>
      <c r="K4882">
        <v>9.0519176865841697E-2</v>
      </c>
      <c r="L4882">
        <v>1713.46425329422</v>
      </c>
      <c r="M4882">
        <v>32.849784458732401</v>
      </c>
      <c r="N4882">
        <v>52.660806251024901</v>
      </c>
      <c r="O4882">
        <v>51.968443066637697</v>
      </c>
      <c r="P4882">
        <v>-0.13684913370712001</v>
      </c>
      <c r="Q4882">
        <v>0.13402138817050199</v>
      </c>
      <c r="R4882">
        <v>0.98727681046032401</v>
      </c>
      <c r="S4882" t="s">
        <v>10743</v>
      </c>
      <c r="T4882" t="s">
        <v>11720</v>
      </c>
      <c r="U4882" t="s">
        <v>11720</v>
      </c>
      <c r="V4882" t="s">
        <v>11720</v>
      </c>
      <c r="W4882" t="s">
        <v>16546</v>
      </c>
      <c r="X4882">
        <v>4</v>
      </c>
      <c r="Y4882" t="s">
        <v>22253</v>
      </c>
      <c r="Z4882" t="s">
        <v>28089</v>
      </c>
      <c r="AA4882">
        <v>0.4896797025902917</v>
      </c>
      <c r="AB4882" t="str">
        <f>HYPERLINK("Melting_Curves/meltCurve_Q9BX59_TAPBPL.pdf", "Melting_Curves/meltCurve_Q9BX59_TAPBPL.pdf")</f>
        <v>Melting_Curves/meltCurve_Q9BX59_TAPBPL.pdf</v>
      </c>
    </row>
    <row r="4883" spans="1:28" x14ac:dyDescent="0.25">
      <c r="A4883" t="s">
        <v>4887</v>
      </c>
      <c r="B4883">
        <v>0.99334974765950101</v>
      </c>
      <c r="C4883">
        <v>0.98765369836469996</v>
      </c>
      <c r="D4883">
        <v>0.89262021653688495</v>
      </c>
      <c r="E4883">
        <v>0.84703051617033798</v>
      </c>
      <c r="F4883">
        <v>1.02477631443245</v>
      </c>
      <c r="G4883">
        <v>0.71190854691127503</v>
      </c>
      <c r="H4883">
        <v>0.63150302520651802</v>
      </c>
      <c r="I4883">
        <v>0.54724332705794998</v>
      </c>
      <c r="J4883">
        <v>0.48257128346224498</v>
      </c>
      <c r="K4883">
        <v>0.36125290241946001</v>
      </c>
      <c r="L4883">
        <v>520.33333557643198</v>
      </c>
      <c r="M4883">
        <v>7.9370975906575696</v>
      </c>
      <c r="N4883">
        <v>65.557128877295298</v>
      </c>
      <c r="O4883">
        <v>61.787575343935899</v>
      </c>
      <c r="P4883">
        <v>-3.2151866247074799E-2</v>
      </c>
      <c r="Q4883">
        <v>0</v>
      </c>
      <c r="R4883">
        <v>0.92024298129585702</v>
      </c>
      <c r="S4883" t="s">
        <v>10744</v>
      </c>
      <c r="T4883" t="s">
        <v>11720</v>
      </c>
      <c r="U4883" t="s">
        <v>11720</v>
      </c>
      <c r="V4883" t="s">
        <v>11720</v>
      </c>
      <c r="W4883" t="s">
        <v>16547</v>
      </c>
      <c r="X4883">
        <v>10</v>
      </c>
      <c r="Y4883" t="s">
        <v>22254</v>
      </c>
      <c r="Z4883" t="s">
        <v>28090</v>
      </c>
      <c r="AA4883">
        <v>0.76746891753507696</v>
      </c>
      <c r="AB4883" t="str">
        <f>HYPERLINK("Melting_Curves/meltCurve_Q9BX67_JAM3.pdf", "Melting_Curves/meltCurve_Q9BX67_JAM3.pdf")</f>
        <v>Melting_Curves/meltCurve_Q9BX67_JAM3.pdf</v>
      </c>
    </row>
    <row r="4884" spans="1:28" x14ac:dyDescent="0.25">
      <c r="A4884" t="s">
        <v>4888</v>
      </c>
      <c r="B4884">
        <v>0.99334974765950101</v>
      </c>
      <c r="C4884">
        <v>0.97586235922384701</v>
      </c>
      <c r="D4884">
        <v>0.881658995006947</v>
      </c>
      <c r="E4884">
        <v>0.76055240943898605</v>
      </c>
      <c r="F4884">
        <v>0.64827757301136002</v>
      </c>
      <c r="G4884">
        <v>0.43498689967073201</v>
      </c>
      <c r="H4884">
        <v>0.24006748280985701</v>
      </c>
      <c r="I4884">
        <v>0.14443751824906101</v>
      </c>
      <c r="J4884">
        <v>0.12329169328421601</v>
      </c>
      <c r="K4884">
        <v>0.106447799177392</v>
      </c>
      <c r="L4884">
        <v>634.58583092404206</v>
      </c>
      <c r="M4884">
        <v>11.465239556711801</v>
      </c>
      <c r="N4884">
        <v>55.350145807826003</v>
      </c>
      <c r="O4884">
        <v>53.745167181694001</v>
      </c>
      <c r="P4884">
        <v>-5.3338708121483398E-2</v>
      </c>
      <c r="Q4884">
        <v>1.52192192845027E-4</v>
      </c>
      <c r="R4884">
        <v>0.996785015322874</v>
      </c>
      <c r="S4884" t="s">
        <v>10745</v>
      </c>
      <c r="T4884" t="s">
        <v>11720</v>
      </c>
      <c r="U4884" t="s">
        <v>11720</v>
      </c>
      <c r="V4884" t="s">
        <v>11720</v>
      </c>
      <c r="W4884" t="s">
        <v>16548</v>
      </c>
      <c r="X4884">
        <v>8</v>
      </c>
      <c r="Y4884" t="s">
        <v>22255</v>
      </c>
      <c r="Z4884" t="s">
        <v>28091</v>
      </c>
      <c r="AA4884">
        <v>0.53469831382347743</v>
      </c>
      <c r="AB4884" t="str">
        <f>HYPERLINK("Melting_Curves/meltCurve_Q9BX68_HINT2.pdf", "Melting_Curves/meltCurve_Q9BX68_HINT2.pdf")</f>
        <v>Melting_Curves/meltCurve_Q9BX68_HINT2.pdf</v>
      </c>
    </row>
    <row r="4885" spans="1:28" x14ac:dyDescent="0.25">
      <c r="A4885" t="s">
        <v>4889</v>
      </c>
      <c r="B4885">
        <v>0.99334974765950101</v>
      </c>
      <c r="C4885">
        <v>0.92589360269173404</v>
      </c>
      <c r="D4885">
        <v>0.74086690844463898</v>
      </c>
      <c r="E4885">
        <v>0.79581492145170096</v>
      </c>
      <c r="F4885">
        <v>0.56490675101111898</v>
      </c>
      <c r="G4885">
        <v>0.27463887242533602</v>
      </c>
      <c r="H4885">
        <v>0.101585385945137</v>
      </c>
      <c r="I4885">
        <v>8.6342756028718506E-2</v>
      </c>
      <c r="J4885">
        <v>9.4709505507367495E-2</v>
      </c>
      <c r="K4885">
        <v>9.6196160416429505E-2</v>
      </c>
      <c r="L4885">
        <v>675.05710212360202</v>
      </c>
      <c r="M4885">
        <v>12.6544813066096</v>
      </c>
      <c r="N4885">
        <v>53.350651960518498</v>
      </c>
      <c r="O4885">
        <v>52.065742142357998</v>
      </c>
      <c r="P4885">
        <v>-6.0735424729865498E-2</v>
      </c>
      <c r="Q4885">
        <v>6.3395982130706903E-4</v>
      </c>
      <c r="R4885">
        <v>0.96732998204473397</v>
      </c>
      <c r="S4885" t="s">
        <v>10746</v>
      </c>
      <c r="T4885" t="s">
        <v>11720</v>
      </c>
      <c r="U4885" t="s">
        <v>11720</v>
      </c>
      <c r="V4885" t="s">
        <v>11720</v>
      </c>
      <c r="W4885" t="s">
        <v>16549</v>
      </c>
      <c r="X4885">
        <v>5</v>
      </c>
      <c r="Y4885" t="s">
        <v>22256</v>
      </c>
      <c r="Z4885" t="s">
        <v>28092</v>
      </c>
      <c r="AA4885">
        <v>0.47131289781604951</v>
      </c>
      <c r="AB4885" t="str">
        <f>HYPERLINK("Melting_Curves/meltCurve_Q9BX95_SGPP1.pdf", "Melting_Curves/meltCurve_Q9BX95_SGPP1.pdf")</f>
        <v>Melting_Curves/meltCurve_Q9BX95_SGPP1.pdf</v>
      </c>
    </row>
    <row r="4886" spans="1:28" x14ac:dyDescent="0.25">
      <c r="A4886" t="s">
        <v>4890</v>
      </c>
      <c r="B4886">
        <v>0.99334974765950101</v>
      </c>
      <c r="C4886">
        <v>0.901737598759346</v>
      </c>
      <c r="D4886">
        <v>0.66779108619467198</v>
      </c>
      <c r="E4886">
        <v>0.50615864530792498</v>
      </c>
      <c r="F4886">
        <v>0.41876470094006901</v>
      </c>
      <c r="G4886">
        <v>0.22357660332694301</v>
      </c>
      <c r="H4886">
        <v>0.140954016107288</v>
      </c>
      <c r="I4886">
        <v>0.13779819854511</v>
      </c>
      <c r="J4886">
        <v>0.25663891497380698</v>
      </c>
      <c r="K4886">
        <v>0.152040663290189</v>
      </c>
      <c r="L4886">
        <v>649.98030503689301</v>
      </c>
      <c r="M4886">
        <v>13.3676843857889</v>
      </c>
      <c r="N4886">
        <v>49.910046488187596</v>
      </c>
      <c r="O4886">
        <v>47.5737826895692</v>
      </c>
      <c r="P4886">
        <v>-6.0017024145235701E-2</v>
      </c>
      <c r="Q4886">
        <v>0.14576545789898801</v>
      </c>
      <c r="R4886">
        <v>0.974584280527522</v>
      </c>
      <c r="S4886" t="s">
        <v>10747</v>
      </c>
      <c r="T4886" t="s">
        <v>11720</v>
      </c>
      <c r="U4886" t="s">
        <v>11720</v>
      </c>
      <c r="V4886" t="s">
        <v>11720</v>
      </c>
      <c r="W4886" t="s">
        <v>16550</v>
      </c>
      <c r="X4886">
        <v>2</v>
      </c>
      <c r="Y4886" t="s">
        <v>22257</v>
      </c>
      <c r="Z4886" t="s">
        <v>28093</v>
      </c>
      <c r="AA4886">
        <v>0.41784967999807182</v>
      </c>
      <c r="AB4886" t="str">
        <f>HYPERLINK("Melting_Curves/meltCurve_Q9BXB5_OSBPL10.pdf", "Melting_Curves/meltCurve_Q9BXB5_OSBPL10.pdf")</f>
        <v>Melting_Curves/meltCurve_Q9BXB5_OSBPL10.pdf</v>
      </c>
    </row>
    <row r="4887" spans="1:28" x14ac:dyDescent="0.25">
      <c r="A4887" t="s">
        <v>4891</v>
      </c>
      <c r="B4887">
        <v>0.99334974765950101</v>
      </c>
      <c r="C4887">
        <v>0.94368983631903902</v>
      </c>
      <c r="D4887">
        <v>0.77737334292918003</v>
      </c>
      <c r="E4887">
        <v>0.55072100151444403</v>
      </c>
      <c r="F4887">
        <v>0.35366224537480501</v>
      </c>
      <c r="G4887">
        <v>0.244423482009164</v>
      </c>
      <c r="H4887">
        <v>0.208158394830572</v>
      </c>
      <c r="I4887">
        <v>0.195223754616592</v>
      </c>
      <c r="J4887">
        <v>0.21135380357046599</v>
      </c>
      <c r="K4887">
        <v>0.190356742694818</v>
      </c>
      <c r="L4887">
        <v>834.312374331564</v>
      </c>
      <c r="M4887">
        <v>17.013623428384399</v>
      </c>
      <c r="N4887">
        <v>50.409692123433899</v>
      </c>
      <c r="O4887">
        <v>48.375464710755502</v>
      </c>
      <c r="P4887">
        <v>-7.1636800746062504E-2</v>
      </c>
      <c r="Q4887">
        <v>0.18529990884165901</v>
      </c>
      <c r="R4887">
        <v>0.99804563714920402</v>
      </c>
      <c r="S4887" t="s">
        <v>10748</v>
      </c>
      <c r="T4887" t="s">
        <v>11720</v>
      </c>
      <c r="U4887" t="s">
        <v>11720</v>
      </c>
      <c r="V4887" t="s">
        <v>11720</v>
      </c>
      <c r="W4887" t="s">
        <v>16551</v>
      </c>
      <c r="X4887">
        <v>22</v>
      </c>
      <c r="Y4887" t="s">
        <v>22258</v>
      </c>
      <c r="Z4887" t="s">
        <v>28094</v>
      </c>
      <c r="AA4887">
        <v>0.44650185921007512</v>
      </c>
      <c r="AB4887" t="str">
        <f>HYPERLINK("Melting_Curves/meltCurve_Q9BXF6_RAB11FIP5.pdf", "Melting_Curves/meltCurve_Q9BXF6_RAB11FIP5.pdf")</f>
        <v>Melting_Curves/meltCurve_Q9BXF6_RAB11FIP5.pdf</v>
      </c>
    </row>
    <row r="4888" spans="1:28" x14ac:dyDescent="0.25">
      <c r="A4888" t="s">
        <v>4892</v>
      </c>
      <c r="B4888">
        <v>0.99334974765950101</v>
      </c>
      <c r="C4888">
        <v>1.00873199314036</v>
      </c>
      <c r="D4888">
        <v>1.1133898035954599</v>
      </c>
      <c r="E4888">
        <v>1.1046265604451799</v>
      </c>
      <c r="F4888">
        <v>0.35432932437133802</v>
      </c>
      <c r="G4888">
        <v>0.17161612777566199</v>
      </c>
      <c r="H4888">
        <v>0.134843449925905</v>
      </c>
      <c r="I4888">
        <v>0.119158553432717</v>
      </c>
      <c r="J4888">
        <v>0.122888771783411</v>
      </c>
      <c r="K4888">
        <v>9.3057143173773199E-2</v>
      </c>
      <c r="L4888">
        <v>13194.3670654957</v>
      </c>
      <c r="M4888">
        <v>250</v>
      </c>
      <c r="N4888">
        <v>52.840148775123701</v>
      </c>
      <c r="O4888">
        <v>52.774090857081497</v>
      </c>
      <c r="P4888">
        <v>-1.0323333394615699</v>
      </c>
      <c r="Q4888">
        <v>0.128312745846693</v>
      </c>
      <c r="R4888">
        <v>0.98608487475832796</v>
      </c>
      <c r="S4888" t="s">
        <v>10749</v>
      </c>
      <c r="T4888" t="s">
        <v>11720</v>
      </c>
      <c r="U4888" t="s">
        <v>11720</v>
      </c>
      <c r="V4888" t="s">
        <v>11720</v>
      </c>
      <c r="W4888" t="s">
        <v>16552</v>
      </c>
      <c r="X4888">
        <v>46</v>
      </c>
      <c r="Y4888" t="s">
        <v>22259</v>
      </c>
      <c r="Z4888" t="s">
        <v>28095</v>
      </c>
      <c r="AA4888">
        <v>0.49965869216639919</v>
      </c>
      <c r="AB4888" t="str">
        <f>HYPERLINK("Melting_Curves/meltCurve_Q9BXJ9_NAA15.pdf", "Melting_Curves/meltCurve_Q9BXJ9_NAA15.pdf")</f>
        <v>Melting_Curves/meltCurve_Q9BXJ9_NAA15.pdf</v>
      </c>
    </row>
    <row r="4889" spans="1:28" x14ac:dyDescent="0.25">
      <c r="A4889" t="s">
        <v>4893</v>
      </c>
      <c r="B4889">
        <v>0.99334974765950101</v>
      </c>
      <c r="C4889">
        <v>0.93360475240152696</v>
      </c>
      <c r="D4889">
        <v>0.81481417409169599</v>
      </c>
      <c r="E4889">
        <v>0.73751594501200202</v>
      </c>
      <c r="F4889">
        <v>0.80978008344313201</v>
      </c>
      <c r="G4889">
        <v>0.43956315283926001</v>
      </c>
      <c r="H4889">
        <v>0.367492887129727</v>
      </c>
      <c r="I4889">
        <v>0.56643922790774004</v>
      </c>
      <c r="J4889">
        <v>0.44507391337733898</v>
      </c>
      <c r="K4889">
        <v>0.33525713785572803</v>
      </c>
      <c r="L4889">
        <v>505.176993557061</v>
      </c>
      <c r="M4889">
        <v>9.5478024586775003</v>
      </c>
      <c r="N4889">
        <v>59.499852126895703</v>
      </c>
      <c r="O4889">
        <v>50.745316202318499</v>
      </c>
      <c r="P4889">
        <v>-3.1706690904745302E-2</v>
      </c>
      <c r="Q4889">
        <v>0.32632334157249498</v>
      </c>
      <c r="R4889">
        <v>0.86460859984657801</v>
      </c>
      <c r="S4889" t="s">
        <v>10750</v>
      </c>
      <c r="T4889" t="s">
        <v>11720</v>
      </c>
      <c r="U4889" t="s">
        <v>11720</v>
      </c>
      <c r="V4889" t="s">
        <v>11720</v>
      </c>
      <c r="W4889" t="s">
        <v>16553</v>
      </c>
      <c r="X4889">
        <v>7</v>
      </c>
      <c r="Y4889" t="s">
        <v>22260</v>
      </c>
      <c r="Z4889" t="s">
        <v>28096</v>
      </c>
      <c r="AA4889">
        <v>0.64049562184951703</v>
      </c>
      <c r="AB4889" t="str">
        <f>HYPERLINK("Melting_Curves/meltCurve_Q9BXK5_BCL2L13.pdf", "Melting_Curves/meltCurve_Q9BXK5_BCL2L13.pdf")</f>
        <v>Melting_Curves/meltCurve_Q9BXK5_BCL2L13.pdf</v>
      </c>
    </row>
    <row r="4890" spans="1:28" x14ac:dyDescent="0.25">
      <c r="A4890" t="s">
        <v>4894</v>
      </c>
      <c r="B4890">
        <v>0.99334974765950101</v>
      </c>
      <c r="C4890">
        <v>0.89892693162731196</v>
      </c>
      <c r="D4890">
        <v>0.91674225713968105</v>
      </c>
      <c r="E4890">
        <v>0.85100108668744301</v>
      </c>
      <c r="F4890">
        <v>0.67961653338624195</v>
      </c>
      <c r="G4890">
        <v>0.51503229142963702</v>
      </c>
      <c r="H4890">
        <v>0.33268105863161002</v>
      </c>
      <c r="I4890">
        <v>0.181171667299595</v>
      </c>
      <c r="J4890">
        <v>0.111338966895153</v>
      </c>
      <c r="K4890">
        <v>8.7899326518502505E-2</v>
      </c>
      <c r="L4890">
        <v>670.57984876240596</v>
      </c>
      <c r="M4890">
        <v>11.8159867777192</v>
      </c>
      <c r="N4890">
        <v>56.751912452317498</v>
      </c>
      <c r="O4890">
        <v>55.199590711366902</v>
      </c>
      <c r="P4890">
        <v>-5.3528525862079401E-2</v>
      </c>
      <c r="Q4890">
        <v>0</v>
      </c>
      <c r="R4890">
        <v>0.99061033614612204</v>
      </c>
      <c r="S4890" t="s">
        <v>10751</v>
      </c>
      <c r="T4890" t="s">
        <v>11720</v>
      </c>
      <c r="U4890" t="s">
        <v>11720</v>
      </c>
      <c r="V4890" t="s">
        <v>11720</v>
      </c>
      <c r="W4890" t="s">
        <v>16554</v>
      </c>
      <c r="X4890">
        <v>6</v>
      </c>
      <c r="Y4890" t="s">
        <v>22261</v>
      </c>
      <c r="Z4890" t="s">
        <v>28097</v>
      </c>
      <c r="AA4890">
        <v>0.57617715972795369</v>
      </c>
      <c r="AB4890" t="str">
        <f>HYPERLINK("Melting_Curves/meltCurve_Q9BXP2_SLC12A9.pdf", "Melting_Curves/meltCurve_Q9BXP2_SLC12A9.pdf")</f>
        <v>Melting_Curves/meltCurve_Q9BXP2_SLC12A9.pdf</v>
      </c>
    </row>
    <row r="4891" spans="1:28" x14ac:dyDescent="0.25">
      <c r="A4891" t="s">
        <v>4895</v>
      </c>
      <c r="B4891">
        <v>0.99334974765950101</v>
      </c>
      <c r="C4891">
        <v>1.0178275564288599</v>
      </c>
      <c r="D4891">
        <v>1.00425950388073</v>
      </c>
      <c r="E4891">
        <v>0.35670760641898303</v>
      </c>
      <c r="F4891">
        <v>0.38122914327861401</v>
      </c>
      <c r="G4891">
        <v>0.206478417609051</v>
      </c>
      <c r="H4891">
        <v>0.162972193516744</v>
      </c>
      <c r="I4891">
        <v>0.123248903105035</v>
      </c>
      <c r="J4891">
        <v>0.14354946479304301</v>
      </c>
      <c r="K4891">
        <v>0.12729274714010899</v>
      </c>
      <c r="L4891">
        <v>2046.82924379828</v>
      </c>
      <c r="M4891">
        <v>41.892820398949297</v>
      </c>
      <c r="N4891">
        <v>49.381163265710001</v>
      </c>
      <c r="O4891">
        <v>48.747764287023998</v>
      </c>
      <c r="P4891">
        <v>-0.17638385914966201</v>
      </c>
      <c r="Q4891">
        <v>0.17901867240101199</v>
      </c>
      <c r="R4891">
        <v>0.96800408385763603</v>
      </c>
      <c r="S4891" t="s">
        <v>10752</v>
      </c>
      <c r="T4891" t="s">
        <v>11720</v>
      </c>
      <c r="U4891" t="s">
        <v>11720</v>
      </c>
      <c r="V4891" t="s">
        <v>11720</v>
      </c>
      <c r="W4891" t="s">
        <v>16555</v>
      </c>
      <c r="X4891">
        <v>14</v>
      </c>
      <c r="Y4891" t="s">
        <v>22262</v>
      </c>
      <c r="Z4891" t="s">
        <v>28098</v>
      </c>
      <c r="AA4891">
        <v>0.42397478825744361</v>
      </c>
      <c r="AB4891" t="str">
        <f>HYPERLINK("Melting_Curves/meltCurve_Q9BXP5_5_SRRT.pdf", "Melting_Curves/meltCurve_Q9BXP5_5_SRRT.pdf")</f>
        <v>Melting_Curves/meltCurve_Q9BXP5_5_SRRT.pdf</v>
      </c>
    </row>
    <row r="4892" spans="1:28" x14ac:dyDescent="0.25">
      <c r="A4892" t="s">
        <v>4896</v>
      </c>
      <c r="B4892">
        <v>0.99334974765950101</v>
      </c>
      <c r="C4892">
        <v>1.04650117570051</v>
      </c>
      <c r="D4892">
        <v>1.0784319462151799</v>
      </c>
      <c r="E4892">
        <v>1.07987007193343</v>
      </c>
      <c r="F4892">
        <v>1.00577662973737</v>
      </c>
      <c r="G4892">
        <v>0.86106290707864497</v>
      </c>
      <c r="H4892">
        <v>0.69367970703624604</v>
      </c>
      <c r="I4892">
        <v>0.79836822019093101</v>
      </c>
      <c r="J4892">
        <v>0.63484806869149002</v>
      </c>
      <c r="K4892">
        <v>0.51591716570073498</v>
      </c>
      <c r="L4892">
        <v>840.44697801165103</v>
      </c>
      <c r="M4892">
        <v>13.1640917853515</v>
      </c>
      <c r="O4892">
        <v>62.424535307095297</v>
      </c>
      <c r="P4892">
        <v>-3.11282857893901E-2</v>
      </c>
      <c r="Q4892">
        <v>0.40965411674305002</v>
      </c>
      <c r="R4892">
        <v>0.88526794339709802</v>
      </c>
      <c r="S4892" t="s">
        <v>10753</v>
      </c>
      <c r="T4892" t="s">
        <v>11720</v>
      </c>
      <c r="U4892" t="s">
        <v>11720</v>
      </c>
      <c r="V4892" t="s">
        <v>11720</v>
      </c>
      <c r="W4892" t="s">
        <v>16556</v>
      </c>
      <c r="X4892">
        <v>13</v>
      </c>
      <c r="Y4892" t="s">
        <v>22263</v>
      </c>
      <c r="Z4892" t="s">
        <v>28099</v>
      </c>
      <c r="AA4892">
        <v>0.86581205886381563</v>
      </c>
      <c r="AB4892" t="str">
        <f>HYPERLINK("Melting_Curves/meltCurve_Q9BXR0_QTRT1.pdf", "Melting_Curves/meltCurve_Q9BXR0_QTRT1.pdf")</f>
        <v>Melting_Curves/meltCurve_Q9BXR0_QTRT1.pdf</v>
      </c>
    </row>
    <row r="4893" spans="1:28" x14ac:dyDescent="0.25">
      <c r="A4893" t="s">
        <v>4897</v>
      </c>
      <c r="B4893">
        <v>0.99334974765950101</v>
      </c>
      <c r="C4893">
        <v>0.87954384518608797</v>
      </c>
      <c r="D4893">
        <v>0.868837437192855</v>
      </c>
      <c r="E4893">
        <v>0.63304129966938105</v>
      </c>
      <c r="F4893">
        <v>0.42428166752569602</v>
      </c>
      <c r="G4893">
        <v>0.35989846215889998</v>
      </c>
      <c r="H4893">
        <v>0.29022763230684201</v>
      </c>
      <c r="I4893">
        <v>0.35323483400696098</v>
      </c>
      <c r="J4893">
        <v>0.53524085492517803</v>
      </c>
      <c r="K4893">
        <v>0.47435497948373001</v>
      </c>
      <c r="L4893">
        <v>1115.9369336959201</v>
      </c>
      <c r="M4893">
        <v>23.065384796063299</v>
      </c>
      <c r="N4893">
        <v>51.906088501016903</v>
      </c>
      <c r="O4893">
        <v>48.022209293735301</v>
      </c>
      <c r="P4893">
        <v>-7.2577501003032202E-2</v>
      </c>
      <c r="Q4893">
        <v>0.39558503271432599</v>
      </c>
      <c r="R4893">
        <v>0.90434331109275401</v>
      </c>
      <c r="S4893" t="s">
        <v>10754</v>
      </c>
      <c r="T4893" t="s">
        <v>11720</v>
      </c>
      <c r="U4893" t="s">
        <v>11720</v>
      </c>
      <c r="V4893" t="s">
        <v>11720</v>
      </c>
      <c r="W4893" t="s">
        <v>16557</v>
      </c>
      <c r="X4893">
        <v>1</v>
      </c>
      <c r="Y4893" t="s">
        <v>22264</v>
      </c>
      <c r="Z4893" t="s">
        <v>28100</v>
      </c>
      <c r="AA4893">
        <v>0.57077390608203038</v>
      </c>
      <c r="AB4893" t="str">
        <f>HYPERLINK("Melting_Curves/meltCurve_Q9BXS4_TMEM59.pdf", "Melting_Curves/meltCurve_Q9BXS4_TMEM59.pdf")</f>
        <v>Melting_Curves/meltCurve_Q9BXS4_TMEM59.pdf</v>
      </c>
    </row>
    <row r="4894" spans="1:28" x14ac:dyDescent="0.25">
      <c r="A4894" t="s">
        <v>4898</v>
      </c>
      <c r="B4894">
        <v>0.99334974765950101</v>
      </c>
      <c r="C4894">
        <v>0.91173194806976299</v>
      </c>
      <c r="D4894">
        <v>0.91608249532291497</v>
      </c>
      <c r="E4894">
        <v>0.729010593455233</v>
      </c>
      <c r="F4894">
        <v>0.65314246269290299</v>
      </c>
      <c r="G4894">
        <v>0.44244519363842599</v>
      </c>
      <c r="H4894">
        <v>0.43745841991808798</v>
      </c>
      <c r="I4894">
        <v>0.47263695444244602</v>
      </c>
      <c r="J4894">
        <v>0.51894566774847095</v>
      </c>
      <c r="K4894">
        <v>0.49962710038723002</v>
      </c>
      <c r="L4894">
        <v>912.203690792967</v>
      </c>
      <c r="M4894">
        <v>18.2584048307152</v>
      </c>
      <c r="N4894">
        <v>58.494113091502697</v>
      </c>
      <c r="O4894">
        <v>49.373005019807998</v>
      </c>
      <c r="P4894">
        <v>-4.94497319207962E-2</v>
      </c>
      <c r="Q4894">
        <v>0.465151919937207</v>
      </c>
      <c r="R4894">
        <v>0.95881670820314202</v>
      </c>
      <c r="S4894" t="s">
        <v>10755</v>
      </c>
      <c r="T4894" t="s">
        <v>11720</v>
      </c>
      <c r="U4894" t="s">
        <v>11720</v>
      </c>
      <c r="V4894" t="s">
        <v>11720</v>
      </c>
      <c r="W4894" t="s">
        <v>16558</v>
      </c>
      <c r="X4894">
        <v>3</v>
      </c>
      <c r="Y4894" t="s">
        <v>22265</v>
      </c>
      <c r="Z4894" t="s">
        <v>28101</v>
      </c>
      <c r="AA4894">
        <v>0.65161605016287605</v>
      </c>
      <c r="AB4894" t="str">
        <f>HYPERLINK("Melting_Curves/meltCurve_Q9BXV9_C14orf142.pdf", "Melting_Curves/meltCurve_Q9BXV9_C14orf142.pdf")</f>
        <v>Melting_Curves/meltCurve_Q9BXV9_C14orf142.pdf</v>
      </c>
    </row>
    <row r="4895" spans="1:28" x14ac:dyDescent="0.25">
      <c r="A4895" t="s">
        <v>4899</v>
      </c>
      <c r="B4895">
        <v>0.99334974765950101</v>
      </c>
      <c r="C4895">
        <v>0.96234622732372799</v>
      </c>
      <c r="D4895">
        <v>0.88144570414035694</v>
      </c>
      <c r="E4895">
        <v>0.60779563094516598</v>
      </c>
      <c r="F4895">
        <v>0.23641971142658399</v>
      </c>
      <c r="G4895">
        <v>0.120975378321069</v>
      </c>
      <c r="H4895">
        <v>9.0901934773070903E-2</v>
      </c>
      <c r="I4895">
        <v>8.0165140028564494E-2</v>
      </c>
      <c r="J4895">
        <v>8.2652238659861196E-2</v>
      </c>
      <c r="K4895">
        <v>9.3994400891143998E-2</v>
      </c>
      <c r="L4895">
        <v>1293.59421998161</v>
      </c>
      <c r="M4895">
        <v>25.738446060202101</v>
      </c>
      <c r="N4895">
        <v>50.599128647925198</v>
      </c>
      <c r="O4895">
        <v>49.958774065306301</v>
      </c>
      <c r="P4895">
        <v>-0.118574554397214</v>
      </c>
      <c r="Q4895">
        <v>7.9389926807617306E-2</v>
      </c>
      <c r="R4895">
        <v>0.99633775494253496</v>
      </c>
      <c r="S4895" t="s">
        <v>10756</v>
      </c>
      <c r="T4895" t="s">
        <v>11720</v>
      </c>
      <c r="U4895" t="s">
        <v>11720</v>
      </c>
      <c r="V4895" t="s">
        <v>11720</v>
      </c>
      <c r="W4895" t="s">
        <v>16559</v>
      </c>
      <c r="X4895">
        <v>15</v>
      </c>
      <c r="Y4895" t="s">
        <v>22266</v>
      </c>
      <c r="Z4895" t="s">
        <v>28102</v>
      </c>
      <c r="AA4895">
        <v>0.40199792584240268</v>
      </c>
      <c r="AB4895" t="str">
        <f>HYPERLINK("Melting_Curves/meltCurve_Q9BXW6_OSBPL1A.pdf", "Melting_Curves/meltCurve_Q9BXW6_OSBPL1A.pdf")</f>
        <v>Melting_Curves/meltCurve_Q9BXW6_OSBPL1A.pdf</v>
      </c>
    </row>
    <row r="4896" spans="1:28" x14ac:dyDescent="0.25">
      <c r="A4896" t="s">
        <v>4900</v>
      </c>
      <c r="B4896">
        <v>0.99334974765950101</v>
      </c>
      <c r="C4896">
        <v>0.99744649336438396</v>
      </c>
      <c r="D4896">
        <v>0.86369300635628099</v>
      </c>
      <c r="E4896">
        <v>0.52301213966610705</v>
      </c>
      <c r="F4896">
        <v>0.30470072663785103</v>
      </c>
      <c r="G4896">
        <v>0.20680925890357399</v>
      </c>
      <c r="H4896">
        <v>0.17506301079131301</v>
      </c>
      <c r="I4896">
        <v>0.135156153982363</v>
      </c>
      <c r="J4896">
        <v>0.14336856407468099</v>
      </c>
      <c r="K4896">
        <v>8.4522296600608296E-2</v>
      </c>
      <c r="L4896">
        <v>1047.7434409560699</v>
      </c>
      <c r="M4896">
        <v>21.1119245387377</v>
      </c>
      <c r="N4896">
        <v>50.349359845763303</v>
      </c>
      <c r="O4896">
        <v>49.189207465375802</v>
      </c>
      <c r="P4896">
        <v>-9.3299673858978305E-2</v>
      </c>
      <c r="Q4896">
        <v>0.13049774403037101</v>
      </c>
      <c r="R4896">
        <v>0.99634051899295795</v>
      </c>
      <c r="S4896" t="s">
        <v>10757</v>
      </c>
      <c r="T4896" t="s">
        <v>11720</v>
      </c>
      <c r="U4896" t="s">
        <v>11720</v>
      </c>
      <c r="V4896" t="s">
        <v>11720</v>
      </c>
      <c r="W4896" t="s">
        <v>16560</v>
      </c>
      <c r="X4896">
        <v>8</v>
      </c>
      <c r="Y4896" t="s">
        <v>22267</v>
      </c>
      <c r="Z4896" t="s">
        <v>28103</v>
      </c>
      <c r="AA4896">
        <v>0.42043868285018721</v>
      </c>
      <c r="AB4896" t="str">
        <f>HYPERLINK("Melting_Curves/meltCurve_Q9BXW7_2_CECR5.pdf", "Melting_Curves/meltCurve_Q9BXW7_2_CECR5.pdf")</f>
        <v>Melting_Curves/meltCurve_Q9BXW7_2_CECR5.pdf</v>
      </c>
    </row>
    <row r="4897" spans="1:28" x14ac:dyDescent="0.25">
      <c r="A4897" t="s">
        <v>4901</v>
      </c>
      <c r="B4897">
        <v>0.99334974765950101</v>
      </c>
      <c r="C4897">
        <v>0.96096562092367899</v>
      </c>
      <c r="D4897">
        <v>0.89338359573344905</v>
      </c>
      <c r="E4897">
        <v>0.80186579890899301</v>
      </c>
      <c r="F4897">
        <v>0.58135798556116902</v>
      </c>
      <c r="G4897">
        <v>0.57172506508906396</v>
      </c>
      <c r="H4897">
        <v>0.49032269518145899</v>
      </c>
      <c r="I4897">
        <v>0.55132372051788803</v>
      </c>
      <c r="J4897">
        <v>0.319112774649144</v>
      </c>
      <c r="K4897">
        <v>0.10103796568250401</v>
      </c>
      <c r="L4897">
        <v>413.29807884519198</v>
      </c>
      <c r="M4897">
        <v>6.9523180147381396</v>
      </c>
      <c r="N4897">
        <v>59.447522992819003</v>
      </c>
      <c r="O4897">
        <v>55.114180361162298</v>
      </c>
      <c r="P4897">
        <v>-3.1595925521733001E-2</v>
      </c>
      <c r="Q4897">
        <v>0</v>
      </c>
      <c r="R4897">
        <v>0.90416415434401898</v>
      </c>
      <c r="S4897" t="s">
        <v>10758</v>
      </c>
      <c r="T4897" t="s">
        <v>11720</v>
      </c>
      <c r="U4897" t="s">
        <v>11720</v>
      </c>
      <c r="V4897" t="s">
        <v>11720</v>
      </c>
      <c r="W4897" t="s">
        <v>16561</v>
      </c>
      <c r="X4897">
        <v>5</v>
      </c>
      <c r="Y4897" t="s">
        <v>22268</v>
      </c>
      <c r="Z4897" t="s">
        <v>28104</v>
      </c>
      <c r="AA4897">
        <v>0.63076803291972294</v>
      </c>
      <c r="AB4897" t="str">
        <f>HYPERLINK("Melting_Curves/meltCurve_Q9BY32_ITPA.pdf", "Melting_Curves/meltCurve_Q9BY32_ITPA.pdf")</f>
        <v>Melting_Curves/meltCurve_Q9BY32_ITPA.pdf</v>
      </c>
    </row>
    <row r="4898" spans="1:28" x14ac:dyDescent="0.25">
      <c r="A4898" t="s">
        <v>4902</v>
      </c>
      <c r="B4898">
        <v>0.99334974765950101</v>
      </c>
      <c r="C4898">
        <v>1.2130234584771</v>
      </c>
      <c r="D4898">
        <v>1.06585025391016</v>
      </c>
      <c r="E4898">
        <v>0.88790751407403201</v>
      </c>
      <c r="F4898">
        <v>0.61806138369675401</v>
      </c>
      <c r="G4898">
        <v>0.55118341220626399</v>
      </c>
      <c r="H4898">
        <v>0.41335835384632602</v>
      </c>
      <c r="I4898">
        <v>0.41307577976374699</v>
      </c>
      <c r="J4898">
        <v>0.41948787356342598</v>
      </c>
      <c r="K4898">
        <v>0.633209682175502</v>
      </c>
      <c r="L4898">
        <v>2025.34669192812</v>
      </c>
      <c r="M4898">
        <v>39.1838575594495</v>
      </c>
      <c r="N4898">
        <v>56.474956310990699</v>
      </c>
      <c r="O4898">
        <v>51.554214580486303</v>
      </c>
      <c r="P4898">
        <v>-9.8437574030217495E-2</v>
      </c>
      <c r="Q4898">
        <v>0.48194376773134601</v>
      </c>
      <c r="R4898">
        <v>0.88611583390836401</v>
      </c>
      <c r="S4898" t="s">
        <v>10759</v>
      </c>
      <c r="T4898" t="s">
        <v>11720</v>
      </c>
      <c r="U4898" t="s">
        <v>11720</v>
      </c>
      <c r="V4898" t="s">
        <v>11720</v>
      </c>
      <c r="W4898" t="s">
        <v>16562</v>
      </c>
      <c r="X4898">
        <v>13</v>
      </c>
      <c r="Y4898" t="s">
        <v>22269</v>
      </c>
      <c r="Z4898" t="s">
        <v>28105</v>
      </c>
      <c r="AA4898">
        <v>0.6857121978717039</v>
      </c>
      <c r="AB4898" t="str">
        <f>HYPERLINK("Melting_Curves/meltCurve_Q9BY43_CHMP4A.pdf", "Melting_Curves/meltCurve_Q9BY43_CHMP4A.pdf")</f>
        <v>Melting_Curves/meltCurve_Q9BY43_CHMP4A.pdf</v>
      </c>
    </row>
    <row r="4899" spans="1:28" x14ac:dyDescent="0.25">
      <c r="A4899" t="s">
        <v>4903</v>
      </c>
      <c r="B4899">
        <v>0.99334974765950101</v>
      </c>
      <c r="C4899">
        <v>0.97013408849663196</v>
      </c>
      <c r="D4899">
        <v>0.69404905362366998</v>
      </c>
      <c r="E4899">
        <v>0.58681936550529901</v>
      </c>
      <c r="F4899">
        <v>0.37704773757100701</v>
      </c>
      <c r="G4899">
        <v>0.25976762834251999</v>
      </c>
      <c r="H4899">
        <v>0.21925415330116599</v>
      </c>
      <c r="I4899">
        <v>0.27184447460590599</v>
      </c>
      <c r="J4899">
        <v>0.29536757382977702</v>
      </c>
      <c r="K4899">
        <v>0.30568173181847302</v>
      </c>
      <c r="L4899">
        <v>831.609853402319</v>
      </c>
      <c r="M4899">
        <v>17.2688454222316</v>
      </c>
      <c r="N4899">
        <v>50.274129298442503</v>
      </c>
      <c r="O4899">
        <v>47.524798191475099</v>
      </c>
      <c r="P4899">
        <v>-6.7371467421244502E-2</v>
      </c>
      <c r="Q4899">
        <v>0.25840337182017198</v>
      </c>
      <c r="R4899">
        <v>0.97176607985079</v>
      </c>
      <c r="S4899" t="s">
        <v>10760</v>
      </c>
      <c r="T4899" t="s">
        <v>11720</v>
      </c>
      <c r="U4899" t="s">
        <v>11720</v>
      </c>
      <c r="V4899" t="s">
        <v>11720</v>
      </c>
      <c r="W4899" t="s">
        <v>16563</v>
      </c>
      <c r="X4899">
        <v>5</v>
      </c>
      <c r="Y4899" t="s">
        <v>22270</v>
      </c>
      <c r="Z4899" t="s">
        <v>28106</v>
      </c>
      <c r="AA4899">
        <v>0.47430353116797108</v>
      </c>
      <c r="AB4899" t="str">
        <f>HYPERLINK("Melting_Curves/meltCurve_Q9BY77_POLDIP3.pdf", "Melting_Curves/meltCurve_Q9BY77_POLDIP3.pdf")</f>
        <v>Melting_Curves/meltCurve_Q9BY77_POLDIP3.pdf</v>
      </c>
    </row>
    <row r="4900" spans="1:28" x14ac:dyDescent="0.25">
      <c r="A4900" t="s">
        <v>4904</v>
      </c>
      <c r="B4900">
        <v>0.99334974765950101</v>
      </c>
      <c r="C4900">
        <v>0.92502917042118304</v>
      </c>
      <c r="D4900">
        <v>0.85164560835617897</v>
      </c>
      <c r="E4900">
        <v>0.732781156561637</v>
      </c>
      <c r="F4900">
        <v>0.49043865983107798</v>
      </c>
      <c r="G4900">
        <v>0.43938576341271401</v>
      </c>
      <c r="H4900">
        <v>0.327397357789938</v>
      </c>
      <c r="I4900">
        <v>0.256661355085542</v>
      </c>
      <c r="J4900">
        <v>0.29500474482820799</v>
      </c>
      <c r="K4900">
        <v>0.20507708021039001</v>
      </c>
      <c r="L4900">
        <v>611.37577962353203</v>
      </c>
      <c r="M4900">
        <v>11.7715906156053</v>
      </c>
      <c r="N4900">
        <v>54.295024972284899</v>
      </c>
      <c r="O4900">
        <v>50.5056899930659</v>
      </c>
      <c r="P4900">
        <v>-4.6618013311767598E-2</v>
      </c>
      <c r="Q4900">
        <v>0.20015442899285399</v>
      </c>
      <c r="R4900">
        <v>0.98677821022907997</v>
      </c>
      <c r="S4900" t="s">
        <v>10761</v>
      </c>
      <c r="T4900" t="s">
        <v>11720</v>
      </c>
      <c r="U4900" t="s">
        <v>11720</v>
      </c>
      <c r="V4900" t="s">
        <v>11720</v>
      </c>
      <c r="W4900" t="s">
        <v>16564</v>
      </c>
      <c r="X4900">
        <v>10</v>
      </c>
      <c r="Y4900" t="s">
        <v>22271</v>
      </c>
      <c r="Z4900" t="s">
        <v>28107</v>
      </c>
      <c r="AA4900">
        <v>0.54359654528669921</v>
      </c>
      <c r="AB4900" t="str">
        <f>HYPERLINK("Melting_Curves/meltCurve_Q9BYB4_GNB1L.pdf", "Melting_Curves/meltCurve_Q9BYB4_GNB1L.pdf")</f>
        <v>Melting_Curves/meltCurve_Q9BYB4_GNB1L.pdf</v>
      </c>
    </row>
    <row r="4901" spans="1:28" x14ac:dyDescent="0.25">
      <c r="A4901" t="s">
        <v>4905</v>
      </c>
      <c r="B4901">
        <v>0.99334974765950101</v>
      </c>
      <c r="C4901">
        <v>1.1667771871602299</v>
      </c>
      <c r="D4901">
        <v>1.0528735336430399</v>
      </c>
      <c r="E4901">
        <v>1.2373878652219099</v>
      </c>
      <c r="F4901">
        <v>1.3776260374001099</v>
      </c>
      <c r="G4901">
        <v>1.1951045566969001</v>
      </c>
      <c r="H4901">
        <v>0.96292910629732598</v>
      </c>
      <c r="I4901">
        <v>0.92153928953767705</v>
      </c>
      <c r="J4901">
        <v>0.829098515701851</v>
      </c>
      <c r="K4901">
        <v>0.71888880300245805</v>
      </c>
      <c r="L4901">
        <v>2174.6922533931902</v>
      </c>
      <c r="M4901">
        <v>32.5884292278948</v>
      </c>
      <c r="O4901">
        <v>66.482266089694704</v>
      </c>
      <c r="P4901">
        <v>-4.1488592971901099E-2</v>
      </c>
      <c r="Q4901">
        <v>0.66144517528564895</v>
      </c>
      <c r="R4901">
        <v>0.25846630068998699</v>
      </c>
      <c r="S4901" t="s">
        <v>10762</v>
      </c>
      <c r="T4901" t="s">
        <v>11720</v>
      </c>
      <c r="U4901" t="s">
        <v>11720</v>
      </c>
      <c r="V4901" t="s">
        <v>11720</v>
      </c>
      <c r="W4901" t="s">
        <v>16565</v>
      </c>
      <c r="X4901">
        <v>2</v>
      </c>
      <c r="Y4901" t="s">
        <v>22272</v>
      </c>
      <c r="Z4901" t="s">
        <v>28108</v>
      </c>
      <c r="AA4901">
        <v>0.96008301159062226</v>
      </c>
      <c r="AB4901" t="str">
        <f>HYPERLINK("Melting_Curves/meltCurve_Q9BYC8_MRPL32.pdf", "Melting_Curves/meltCurve_Q9BYC8_MRPL32.pdf")</f>
        <v>Melting_Curves/meltCurve_Q9BYC8_MRPL32.pdf</v>
      </c>
    </row>
    <row r="4902" spans="1:28" x14ac:dyDescent="0.25">
      <c r="A4902" t="s">
        <v>4906</v>
      </c>
      <c r="B4902">
        <v>0.99334974765950101</v>
      </c>
      <c r="C4902">
        <v>1.05559442505199</v>
      </c>
      <c r="D4902">
        <v>0.50598021867895304</v>
      </c>
      <c r="E4902">
        <v>0.24541373692236301</v>
      </c>
      <c r="F4902">
        <v>0.119537892351328</v>
      </c>
      <c r="G4902">
        <v>0.14638790301184701</v>
      </c>
      <c r="H4902">
        <v>0.110899444531779</v>
      </c>
      <c r="I4902">
        <v>7.9329851048449501E-2</v>
      </c>
      <c r="J4902">
        <v>6.0814512850583598E-2</v>
      </c>
      <c r="K4902">
        <v>5.0082772854226298E-2</v>
      </c>
      <c r="L4902">
        <v>11489.1140872052</v>
      </c>
      <c r="M4902">
        <v>250</v>
      </c>
      <c r="N4902">
        <v>46.0050632208115</v>
      </c>
      <c r="O4902">
        <v>45.953515745555499</v>
      </c>
      <c r="P4902">
        <v>-1.2022113617685199</v>
      </c>
      <c r="Q4902">
        <v>0.116066587024341</v>
      </c>
      <c r="R4902">
        <v>0.97798863774770595</v>
      </c>
      <c r="S4902" t="s">
        <v>10763</v>
      </c>
      <c r="T4902" t="s">
        <v>11720</v>
      </c>
      <c r="U4902" t="s">
        <v>11720</v>
      </c>
      <c r="V4902" t="s">
        <v>11720</v>
      </c>
      <c r="W4902" t="s">
        <v>16566</v>
      </c>
      <c r="X4902">
        <v>3</v>
      </c>
      <c r="Y4902" t="s">
        <v>22273</v>
      </c>
      <c r="Z4902" t="s">
        <v>28109</v>
      </c>
      <c r="AA4902">
        <v>0.29164157177559957</v>
      </c>
      <c r="AB4902" t="str">
        <f>HYPERLINK("Melting_Curves/meltCurve_Q9BYD6_MRPL1.pdf", "Melting_Curves/meltCurve_Q9BYD6_MRPL1.pdf")</f>
        <v>Melting_Curves/meltCurve_Q9BYD6_MRPL1.pdf</v>
      </c>
    </row>
    <row r="4903" spans="1:28" x14ac:dyDescent="0.25">
      <c r="A4903" t="s">
        <v>4907</v>
      </c>
      <c r="B4903">
        <v>0.99334974765950101</v>
      </c>
      <c r="C4903">
        <v>0.87812233734247602</v>
      </c>
      <c r="D4903">
        <v>0.71688131604505201</v>
      </c>
      <c r="E4903">
        <v>0.53762956689580299</v>
      </c>
      <c r="F4903">
        <v>0.31921162692698402</v>
      </c>
      <c r="G4903">
        <v>0.18250096942944699</v>
      </c>
      <c r="H4903">
        <v>0.15646375756738601</v>
      </c>
      <c r="I4903">
        <v>0.12835635675086099</v>
      </c>
      <c r="J4903">
        <v>0.23204321303888001</v>
      </c>
      <c r="K4903">
        <v>0.22668670332999899</v>
      </c>
      <c r="L4903">
        <v>769.28157690913201</v>
      </c>
      <c r="M4903">
        <v>15.903921644754901</v>
      </c>
      <c r="N4903">
        <v>49.6080641223827</v>
      </c>
      <c r="O4903">
        <v>47.625182293324897</v>
      </c>
      <c r="P4903">
        <v>-6.9820353672807103E-2</v>
      </c>
      <c r="Q4903">
        <v>0.163743419705489</v>
      </c>
      <c r="R4903">
        <v>0.97951423974755403</v>
      </c>
      <c r="S4903" t="s">
        <v>10764</v>
      </c>
      <c r="T4903" t="s">
        <v>11720</v>
      </c>
      <c r="U4903" t="s">
        <v>11720</v>
      </c>
      <c r="V4903" t="s">
        <v>11720</v>
      </c>
      <c r="W4903" t="s">
        <v>16567</v>
      </c>
      <c r="X4903">
        <v>10</v>
      </c>
      <c r="Y4903" t="s">
        <v>22274</v>
      </c>
      <c r="Z4903" t="s">
        <v>28110</v>
      </c>
      <c r="AA4903">
        <v>0.41593888458488498</v>
      </c>
      <c r="AB4903" t="str">
        <f>HYPERLINK("Melting_Curves/meltCurve_Q9BYM8_RBCK1.pdf", "Melting_Curves/meltCurve_Q9BYM8_RBCK1.pdf")</f>
        <v>Melting_Curves/meltCurve_Q9BYM8_RBCK1.pdf</v>
      </c>
    </row>
    <row r="4904" spans="1:28" x14ac:dyDescent="0.25">
      <c r="A4904" t="s">
        <v>4908</v>
      </c>
      <c r="B4904">
        <v>0.99334974765950101</v>
      </c>
      <c r="C4904">
        <v>0.90246818308551202</v>
      </c>
      <c r="D4904">
        <v>0.76538374084810201</v>
      </c>
      <c r="E4904">
        <v>0.50799399544293999</v>
      </c>
      <c r="F4904">
        <v>0.18509745423975801</v>
      </c>
      <c r="G4904">
        <v>0.12348214900945199</v>
      </c>
      <c r="H4904">
        <v>0.123860227421986</v>
      </c>
      <c r="I4904">
        <v>0.13057076653897601</v>
      </c>
      <c r="J4904">
        <v>0.12195591452730099</v>
      </c>
      <c r="K4904">
        <v>0.112818064262292</v>
      </c>
      <c r="L4904">
        <v>952.64787352960604</v>
      </c>
      <c r="M4904">
        <v>19.5668246001174</v>
      </c>
      <c r="N4904">
        <v>49.2645889687956</v>
      </c>
      <c r="O4904">
        <v>48.186911666879297</v>
      </c>
      <c r="P4904">
        <v>-9.1111737402438706E-2</v>
      </c>
      <c r="Q4904">
        <v>0.102514091520485</v>
      </c>
      <c r="R4904">
        <v>0.98909664819507104</v>
      </c>
      <c r="S4904" t="s">
        <v>10765</v>
      </c>
      <c r="T4904" t="s">
        <v>11720</v>
      </c>
      <c r="U4904" t="s">
        <v>11720</v>
      </c>
      <c r="V4904" t="s">
        <v>11720</v>
      </c>
      <c r="W4904" t="s">
        <v>16568</v>
      </c>
      <c r="X4904">
        <v>3</v>
      </c>
      <c r="Y4904" t="s">
        <v>22275</v>
      </c>
      <c r="Z4904" t="s">
        <v>28111</v>
      </c>
      <c r="AA4904">
        <v>0.37558788270534299</v>
      </c>
      <c r="AB4904" t="str">
        <f>HYPERLINK("Melting_Curves/meltCurve_Q9BYN0_SRXN1.pdf", "Melting_Curves/meltCurve_Q9BYN0_SRXN1.pdf")</f>
        <v>Melting_Curves/meltCurve_Q9BYN0_SRXN1.pdf</v>
      </c>
    </row>
    <row r="4905" spans="1:28" x14ac:dyDescent="0.25">
      <c r="A4905" t="s">
        <v>4909</v>
      </c>
      <c r="B4905">
        <v>0.99334974765950101</v>
      </c>
      <c r="C4905">
        <v>0.955936388974438</v>
      </c>
      <c r="D4905">
        <v>0.92949440325090404</v>
      </c>
      <c r="E4905">
        <v>0.67822182265522601</v>
      </c>
      <c r="F4905">
        <v>0.43747064945598002</v>
      </c>
      <c r="G4905">
        <v>0.222465047585405</v>
      </c>
      <c r="H4905">
        <v>0.13677640303369801</v>
      </c>
      <c r="I4905">
        <v>0.110201682084481</v>
      </c>
      <c r="J4905">
        <v>0.10427484864663</v>
      </c>
      <c r="K4905">
        <v>8.6122630094893099E-2</v>
      </c>
      <c r="L4905">
        <v>960.73446211405201</v>
      </c>
      <c r="M4905">
        <v>18.592723634842201</v>
      </c>
      <c r="N4905">
        <v>52.199072108493098</v>
      </c>
      <c r="O4905">
        <v>51.085977285946598</v>
      </c>
      <c r="P4905">
        <v>-8.3212200379075396E-2</v>
      </c>
      <c r="Q4905">
        <v>8.5493422736976493E-2</v>
      </c>
      <c r="R4905">
        <v>0.99937038354484897</v>
      </c>
      <c r="S4905" t="s">
        <v>10766</v>
      </c>
      <c r="T4905" t="s">
        <v>11720</v>
      </c>
      <c r="U4905" t="s">
        <v>11720</v>
      </c>
      <c r="V4905" t="s">
        <v>11720</v>
      </c>
      <c r="W4905" t="s">
        <v>16569</v>
      </c>
      <c r="X4905">
        <v>37</v>
      </c>
      <c r="Y4905" t="s">
        <v>22276</v>
      </c>
      <c r="Z4905" t="s">
        <v>28112</v>
      </c>
      <c r="AA4905">
        <v>0.45575696046803232</v>
      </c>
      <c r="AB4905" t="str">
        <f>HYPERLINK("Melting_Curves/meltCurve_Q9BYT8_NLN.pdf", "Melting_Curves/meltCurve_Q9BYT8_NLN.pdf")</f>
        <v>Melting_Curves/meltCurve_Q9BYT8_NLN.pdf</v>
      </c>
    </row>
    <row r="4906" spans="1:28" x14ac:dyDescent="0.25">
      <c r="A4906" t="s">
        <v>4910</v>
      </c>
      <c r="B4906">
        <v>0.99334974765950101</v>
      </c>
      <c r="C4906">
        <v>0.97538202214073799</v>
      </c>
      <c r="D4906">
        <v>0.87637251022255003</v>
      </c>
      <c r="E4906">
        <v>0.489151485832025</v>
      </c>
      <c r="F4906">
        <v>0.2000811455058</v>
      </c>
      <c r="G4906">
        <v>0.144503129790372</v>
      </c>
      <c r="H4906">
        <v>0.13145936850121101</v>
      </c>
      <c r="I4906">
        <v>0.105806429984746</v>
      </c>
      <c r="J4906">
        <v>8.6936816556474603E-2</v>
      </c>
      <c r="K4906">
        <v>7.7868359152959102E-2</v>
      </c>
      <c r="L4906">
        <v>1287.7777698003799</v>
      </c>
      <c r="M4906">
        <v>26.090450061572302</v>
      </c>
      <c r="N4906">
        <v>49.777868711470603</v>
      </c>
      <c r="O4906">
        <v>49.070978788335303</v>
      </c>
      <c r="P4906">
        <v>-0.119800888561822</v>
      </c>
      <c r="Q4906">
        <v>9.8723155109612798E-2</v>
      </c>
      <c r="R4906">
        <v>0.99798066949425301</v>
      </c>
      <c r="S4906" t="s">
        <v>10767</v>
      </c>
      <c r="T4906" t="s">
        <v>11720</v>
      </c>
      <c r="U4906" t="s">
        <v>11720</v>
      </c>
      <c r="V4906" t="s">
        <v>11720</v>
      </c>
      <c r="W4906" t="s">
        <v>16570</v>
      </c>
      <c r="X4906">
        <v>6</v>
      </c>
      <c r="Y4906" t="s">
        <v>22277</v>
      </c>
      <c r="Z4906" t="s">
        <v>28113</v>
      </c>
      <c r="AA4906">
        <v>0.38720654573921592</v>
      </c>
      <c r="AB4906" t="str">
        <f>HYPERLINK("Melting_Curves/meltCurve_Q9BYV8_CEP41.pdf", "Melting_Curves/meltCurve_Q9BYV8_CEP41.pdf")</f>
        <v>Melting_Curves/meltCurve_Q9BYV8_CEP41.pdf</v>
      </c>
    </row>
    <row r="4907" spans="1:28" x14ac:dyDescent="0.25">
      <c r="A4907" t="s">
        <v>4911</v>
      </c>
      <c r="B4907">
        <v>0.99334974765950101</v>
      </c>
      <c r="C4907">
        <v>0.98698285287076304</v>
      </c>
      <c r="D4907">
        <v>1.1250628428546501</v>
      </c>
      <c r="E4907">
        <v>0.40210747276487102</v>
      </c>
      <c r="F4907">
        <v>0.26319172669391999</v>
      </c>
      <c r="G4907">
        <v>0.18217588174242899</v>
      </c>
      <c r="H4907">
        <v>0.118371027503308</v>
      </c>
      <c r="I4907">
        <v>9.6143902604249598E-2</v>
      </c>
      <c r="J4907">
        <v>7.9677539931140295E-2</v>
      </c>
      <c r="K4907">
        <v>5.5727659183149203E-2</v>
      </c>
      <c r="L4907">
        <v>3196.9738589899298</v>
      </c>
      <c r="M4907">
        <v>64.661652231648105</v>
      </c>
      <c r="N4907">
        <v>49.671309277049502</v>
      </c>
      <c r="O4907">
        <v>49.394350315622603</v>
      </c>
      <c r="P4907">
        <v>-0.28497603125892901</v>
      </c>
      <c r="Q4907">
        <v>0.12923960900110201</v>
      </c>
      <c r="R4907">
        <v>0.97327857771515403</v>
      </c>
      <c r="S4907" t="s">
        <v>10768</v>
      </c>
      <c r="T4907" t="s">
        <v>11720</v>
      </c>
      <c r="U4907" t="s">
        <v>11720</v>
      </c>
      <c r="V4907" t="s">
        <v>11720</v>
      </c>
      <c r="W4907" t="s">
        <v>16571</v>
      </c>
      <c r="X4907">
        <v>3</v>
      </c>
      <c r="Y4907" t="s">
        <v>22278</v>
      </c>
      <c r="Z4907" t="s">
        <v>28114</v>
      </c>
      <c r="AA4907">
        <v>0.40441748300009212</v>
      </c>
      <c r="AB4907" t="str">
        <f>HYPERLINK("Melting_Curves/meltCurve_Q9BYX2_3_TBC1D2.pdf", "Melting_Curves/meltCurve_Q9BYX2_3_TBC1D2.pdf")</f>
        <v>Melting_Curves/meltCurve_Q9BYX2_3_TBC1D2.pdf</v>
      </c>
    </row>
    <row r="4908" spans="1:28" x14ac:dyDescent="0.25">
      <c r="A4908" t="s">
        <v>4912</v>
      </c>
      <c r="B4908">
        <v>0.99334974765950101</v>
      </c>
      <c r="C4908">
        <v>0.95662143076695705</v>
      </c>
      <c r="D4908">
        <v>0.95530968250511805</v>
      </c>
      <c r="E4908">
        <v>0.80980716520462304</v>
      </c>
      <c r="F4908">
        <v>0.53916591014246196</v>
      </c>
      <c r="G4908">
        <v>0.242563958352049</v>
      </c>
      <c r="H4908">
        <v>0.132806426366296</v>
      </c>
      <c r="I4908">
        <v>0.12938552377901899</v>
      </c>
      <c r="J4908">
        <v>0.13658449685941901</v>
      </c>
      <c r="K4908">
        <v>0.107394137850534</v>
      </c>
      <c r="L4908">
        <v>1217.07672205207</v>
      </c>
      <c r="M4908">
        <v>23.059016747259399</v>
      </c>
      <c r="N4908">
        <v>53.359235011609201</v>
      </c>
      <c r="O4908">
        <v>52.388785761725899</v>
      </c>
      <c r="P4908">
        <v>-9.7873711673356803E-2</v>
      </c>
      <c r="Q4908">
        <v>0.110562121980173</v>
      </c>
      <c r="R4908">
        <v>0.99815646850272599</v>
      </c>
      <c r="S4908" t="s">
        <v>10769</v>
      </c>
      <c r="T4908" t="s">
        <v>11720</v>
      </c>
      <c r="U4908" t="s">
        <v>11720</v>
      </c>
      <c r="V4908" t="s">
        <v>11720</v>
      </c>
      <c r="W4908" t="s">
        <v>16572</v>
      </c>
      <c r="X4908">
        <v>10</v>
      </c>
      <c r="Y4908" t="s">
        <v>22279</v>
      </c>
      <c r="Z4908" t="s">
        <v>28115</v>
      </c>
      <c r="AA4908">
        <v>0.49899619077417717</v>
      </c>
      <c r="AB4908" t="str">
        <f>HYPERLINK("Melting_Curves/meltCurve_Q9BZ23_4_PANK2.pdf", "Melting_Curves/meltCurve_Q9BZ23_4_PANK2.pdf")</f>
        <v>Melting_Curves/meltCurve_Q9BZ23_4_PANK2.pdf</v>
      </c>
    </row>
    <row r="4909" spans="1:28" x14ac:dyDescent="0.25">
      <c r="A4909" t="s">
        <v>4913</v>
      </c>
      <c r="B4909">
        <v>0.99334974765950101</v>
      </c>
      <c r="C4909">
        <v>0.96132069818284005</v>
      </c>
      <c r="D4909">
        <v>0.92754696547648996</v>
      </c>
      <c r="E4909">
        <v>0.76585023233543503</v>
      </c>
      <c r="F4909">
        <v>0.57292508354097305</v>
      </c>
      <c r="G4909">
        <v>0.30329957455928103</v>
      </c>
      <c r="H4909">
        <v>0.21610833043153699</v>
      </c>
      <c r="I4909">
        <v>0.18946459363147</v>
      </c>
      <c r="J4909">
        <v>0.19792286089581301</v>
      </c>
      <c r="K4909">
        <v>0.157716095043549</v>
      </c>
      <c r="L4909">
        <v>951.77148958922703</v>
      </c>
      <c r="M4909">
        <v>18.0805612973001</v>
      </c>
      <c r="N4909">
        <v>53.761013235756401</v>
      </c>
      <c r="O4909">
        <v>52.009323401984403</v>
      </c>
      <c r="P4909">
        <v>-7.3270708976980903E-2</v>
      </c>
      <c r="Q4909">
        <v>0.15697855257263699</v>
      </c>
      <c r="R4909">
        <v>0.99782122273082996</v>
      </c>
      <c r="S4909" t="s">
        <v>10770</v>
      </c>
      <c r="T4909" t="s">
        <v>11720</v>
      </c>
      <c r="U4909" t="s">
        <v>11720</v>
      </c>
      <c r="V4909" t="s">
        <v>11720</v>
      </c>
      <c r="W4909" t="s">
        <v>16573</v>
      </c>
      <c r="X4909">
        <v>11</v>
      </c>
      <c r="Y4909" t="s">
        <v>22280</v>
      </c>
      <c r="Z4909" t="s">
        <v>28116</v>
      </c>
      <c r="AA4909">
        <v>0.52597953494358307</v>
      </c>
      <c r="AB4909" t="str">
        <f>HYPERLINK("Melting_Curves/meltCurve_Q9BZ67_2_FRMD8.pdf", "Melting_Curves/meltCurve_Q9BZ67_2_FRMD8.pdf")</f>
        <v>Melting_Curves/meltCurve_Q9BZ67_2_FRMD8.pdf</v>
      </c>
    </row>
    <row r="4910" spans="1:28" x14ac:dyDescent="0.25">
      <c r="A4910" t="s">
        <v>4914</v>
      </c>
      <c r="B4910">
        <v>0.99334974765950101</v>
      </c>
      <c r="C4910">
        <v>1.06029896022605</v>
      </c>
      <c r="D4910">
        <v>1.0155336892331299</v>
      </c>
      <c r="E4910">
        <v>1.0495440306150099</v>
      </c>
      <c r="F4910">
        <v>1.53952452358211</v>
      </c>
      <c r="G4910">
        <v>1.2243912159616099</v>
      </c>
      <c r="H4910">
        <v>1.2505079732316899</v>
      </c>
      <c r="I4910">
        <v>1.50792859659641</v>
      </c>
      <c r="J4910">
        <v>0.87331725487674805</v>
      </c>
      <c r="K4910">
        <v>0.42414267870814598</v>
      </c>
      <c r="L4910">
        <v>15000</v>
      </c>
      <c r="M4910">
        <v>222.614325329575</v>
      </c>
      <c r="N4910">
        <v>67.956198255478697</v>
      </c>
      <c r="O4910">
        <v>67.375689059412096</v>
      </c>
      <c r="P4910">
        <v>-0.47578486194241798</v>
      </c>
      <c r="Q4910">
        <v>0.42400249372165599</v>
      </c>
      <c r="R4910">
        <v>0.27966861234110701</v>
      </c>
      <c r="S4910" t="s">
        <v>10771</v>
      </c>
      <c r="T4910" t="s">
        <v>11720</v>
      </c>
      <c r="U4910" t="s">
        <v>11720</v>
      </c>
      <c r="V4910" t="s">
        <v>11720</v>
      </c>
      <c r="W4910" t="s">
        <v>16574</v>
      </c>
      <c r="X4910">
        <v>1</v>
      </c>
      <c r="Y4910" t="s">
        <v>22281</v>
      </c>
      <c r="Z4910" t="s">
        <v>28117</v>
      </c>
      <c r="AA4910">
        <v>0.94980187873016175</v>
      </c>
      <c r="AB4910" t="str">
        <f>HYPERLINK("Melting_Curves/meltCurve_Q9BZD2_SLC29A3.pdf", "Melting_Curves/meltCurve_Q9BZD2_SLC29A3.pdf")</f>
        <v>Melting_Curves/meltCurve_Q9BZD2_SLC29A3.pdf</v>
      </c>
    </row>
    <row r="4911" spans="1:28" x14ac:dyDescent="0.25">
      <c r="A4911" t="s">
        <v>4915</v>
      </c>
      <c r="B4911">
        <v>0.99334974765950101</v>
      </c>
      <c r="C4911">
        <v>0.90072596365594704</v>
      </c>
      <c r="D4911">
        <v>1.00812582394499</v>
      </c>
      <c r="E4911">
        <v>0.968961103577622</v>
      </c>
      <c r="F4911">
        <v>0.87090128545578704</v>
      </c>
      <c r="G4911">
        <v>0.42320473032556</v>
      </c>
      <c r="H4911">
        <v>0.33811021679104403</v>
      </c>
      <c r="I4911">
        <v>0.181069402974529</v>
      </c>
      <c r="J4911">
        <v>0.17103994294998101</v>
      </c>
      <c r="K4911">
        <v>9.4310521845659398E-2</v>
      </c>
      <c r="L4911">
        <v>1338.2921361594199</v>
      </c>
      <c r="M4911">
        <v>23.8505932893829</v>
      </c>
      <c r="N4911">
        <v>56.900670737484802</v>
      </c>
      <c r="O4911">
        <v>55.7214878955972</v>
      </c>
      <c r="P4911">
        <v>-9.1940191085490397E-2</v>
      </c>
      <c r="Q4911">
        <v>0.14082457991247899</v>
      </c>
      <c r="R4911">
        <v>0.979764172556158</v>
      </c>
      <c r="S4911" t="s">
        <v>10772</v>
      </c>
      <c r="T4911" t="s">
        <v>11720</v>
      </c>
      <c r="U4911" t="s">
        <v>11720</v>
      </c>
      <c r="V4911" t="s">
        <v>11720</v>
      </c>
      <c r="W4911" t="s">
        <v>16575</v>
      </c>
      <c r="X4911">
        <v>1</v>
      </c>
      <c r="Y4911" t="s">
        <v>22282</v>
      </c>
      <c r="Z4911" t="s">
        <v>28118</v>
      </c>
      <c r="AA4911">
        <v>0.61074431427151021</v>
      </c>
      <c r="AB4911" t="str">
        <f>HYPERLINK("Melting_Curves/meltCurve_Q9BZE2_PUS3.pdf", "Melting_Curves/meltCurve_Q9BZE2_PUS3.pdf")</f>
        <v>Melting_Curves/meltCurve_Q9BZE2_PUS3.pdf</v>
      </c>
    </row>
    <row r="4912" spans="1:28" x14ac:dyDescent="0.25">
      <c r="A4912" t="s">
        <v>4916</v>
      </c>
      <c r="B4912">
        <v>0.99334974765950101</v>
      </c>
      <c r="C4912">
        <v>0.92505680167753301</v>
      </c>
      <c r="D4912">
        <v>0.86948281608579703</v>
      </c>
      <c r="E4912">
        <v>0.74063337119526795</v>
      </c>
      <c r="F4912">
        <v>0.348636636389966</v>
      </c>
      <c r="G4912">
        <v>0.137453460987806</v>
      </c>
      <c r="H4912">
        <v>7.8462394197711796E-2</v>
      </c>
      <c r="I4912">
        <v>0</v>
      </c>
      <c r="J4912">
        <v>3.5449260371082703E-2</v>
      </c>
      <c r="K4912">
        <v>2.6419020430240001E-2</v>
      </c>
      <c r="L4912">
        <v>1072.2935791785001</v>
      </c>
      <c r="M4912">
        <v>20.725382480480899</v>
      </c>
      <c r="N4912">
        <v>51.8093057124998</v>
      </c>
      <c r="O4912">
        <v>51.2637250587103</v>
      </c>
      <c r="P4912">
        <v>-9.9657560156664493E-2</v>
      </c>
      <c r="Q4912">
        <v>1.40257033888404E-2</v>
      </c>
      <c r="R4912">
        <v>0.99047728803778501</v>
      </c>
      <c r="S4912" t="s">
        <v>10773</v>
      </c>
      <c r="T4912" t="s">
        <v>11720</v>
      </c>
      <c r="U4912" t="s">
        <v>11720</v>
      </c>
      <c r="V4912" t="s">
        <v>11720</v>
      </c>
      <c r="W4912" t="s">
        <v>16576</v>
      </c>
      <c r="X4912">
        <v>3</v>
      </c>
      <c r="Y4912" t="s">
        <v>22283</v>
      </c>
      <c r="Z4912" t="s">
        <v>28119</v>
      </c>
      <c r="AA4912">
        <v>0.41260870549818018</v>
      </c>
      <c r="AB4912" t="str">
        <f>HYPERLINK("Melting_Curves/meltCurve_Q9BZE9_ASPSCR1.pdf", "Melting_Curves/meltCurve_Q9BZE9_ASPSCR1.pdf")</f>
        <v>Melting_Curves/meltCurve_Q9BZE9_ASPSCR1.pdf</v>
      </c>
    </row>
    <row r="4913" spans="1:28" x14ac:dyDescent="0.25">
      <c r="A4913" t="s">
        <v>4917</v>
      </c>
      <c r="B4913">
        <v>0.99334974765950101</v>
      </c>
      <c r="C4913">
        <v>0.92272457441294198</v>
      </c>
      <c r="D4913">
        <v>0.58231716174470505</v>
      </c>
      <c r="E4913">
        <v>0.36076044677276597</v>
      </c>
      <c r="F4913">
        <v>0.33325643632683699</v>
      </c>
      <c r="G4913">
        <v>0.23901551757057299</v>
      </c>
      <c r="H4913">
        <v>0.21846990726798901</v>
      </c>
      <c r="I4913">
        <v>0.21599712286162401</v>
      </c>
      <c r="J4913">
        <v>0.284357816359875</v>
      </c>
      <c r="K4913">
        <v>0.25640146492858301</v>
      </c>
      <c r="L4913">
        <v>1141.02827309503</v>
      </c>
      <c r="M4913">
        <v>24.860676133583599</v>
      </c>
      <c r="N4913">
        <v>47.238005735954602</v>
      </c>
      <c r="O4913">
        <v>45.603057521886903</v>
      </c>
      <c r="P4913">
        <v>-0.10178944600357601</v>
      </c>
      <c r="Q4913">
        <v>0.25314277761838599</v>
      </c>
      <c r="R4913">
        <v>0.98707118297388896</v>
      </c>
      <c r="S4913" t="s">
        <v>10774</v>
      </c>
      <c r="T4913" t="s">
        <v>11720</v>
      </c>
      <c r="U4913" t="s">
        <v>11720</v>
      </c>
      <c r="V4913" t="s">
        <v>11720</v>
      </c>
      <c r="W4913" t="s">
        <v>16577</v>
      </c>
      <c r="X4913">
        <v>5</v>
      </c>
      <c r="Y4913" t="s">
        <v>22284</v>
      </c>
      <c r="Z4913" t="s">
        <v>28120</v>
      </c>
      <c r="AA4913">
        <v>0.40697593507453211</v>
      </c>
      <c r="AB4913" t="str">
        <f>HYPERLINK("Melting_Curves/meltCurve_Q9BZF1_3_OSBPL8.pdf", "Melting_Curves/meltCurve_Q9BZF1_3_OSBPL8.pdf")</f>
        <v>Melting_Curves/meltCurve_Q9BZF1_3_OSBPL8.pdf</v>
      </c>
    </row>
    <row r="4914" spans="1:28" x14ac:dyDescent="0.25">
      <c r="A4914" t="s">
        <v>4918</v>
      </c>
      <c r="B4914">
        <v>0.99334974765950101</v>
      </c>
      <c r="C4914">
        <v>1.0463811315979701</v>
      </c>
      <c r="D4914">
        <v>1.0590630711561</v>
      </c>
      <c r="E4914">
        <v>0.97523413088487698</v>
      </c>
      <c r="F4914">
        <v>0.87014441446799895</v>
      </c>
      <c r="G4914">
        <v>0.67214709277325801</v>
      </c>
      <c r="H4914">
        <v>0.52895599995407006</v>
      </c>
      <c r="I4914">
        <v>0.29534727650183501</v>
      </c>
      <c r="J4914">
        <v>0.16955412110384499</v>
      </c>
      <c r="K4914">
        <v>0.131210830545756</v>
      </c>
      <c r="L4914">
        <v>884.45396838230204</v>
      </c>
      <c r="M4914">
        <v>14.6160533007337</v>
      </c>
      <c r="N4914">
        <v>60.512503045361299</v>
      </c>
      <c r="O4914">
        <v>59.413598004836203</v>
      </c>
      <c r="P4914">
        <v>-6.1508173987272499E-2</v>
      </c>
      <c r="Q4914">
        <v>0</v>
      </c>
      <c r="R4914">
        <v>0.98881522621561202</v>
      </c>
      <c r="S4914" t="s">
        <v>10775</v>
      </c>
      <c r="T4914" t="s">
        <v>11720</v>
      </c>
      <c r="U4914" t="s">
        <v>11720</v>
      </c>
      <c r="V4914" t="s">
        <v>11720</v>
      </c>
      <c r="W4914" t="s">
        <v>16578</v>
      </c>
      <c r="X4914">
        <v>10</v>
      </c>
      <c r="Y4914" t="s">
        <v>22285</v>
      </c>
      <c r="Z4914" t="s">
        <v>28121</v>
      </c>
      <c r="AA4914">
        <v>0.68801388274785702</v>
      </c>
      <c r="AB4914" t="str">
        <f>HYPERLINK("Melting_Curves/meltCurve_Q9BZK7_TBL1XR1.pdf", "Melting_Curves/meltCurve_Q9BZK7_TBL1XR1.pdf")</f>
        <v>Melting_Curves/meltCurve_Q9BZK7_TBL1XR1.pdf</v>
      </c>
    </row>
    <row r="4915" spans="1:28" x14ac:dyDescent="0.25">
      <c r="A4915" t="s">
        <v>4919</v>
      </c>
      <c r="B4915">
        <v>0.99334974765950101</v>
      </c>
      <c r="C4915">
        <v>0.94326155125432198</v>
      </c>
      <c r="D4915">
        <v>0.73611743280609299</v>
      </c>
      <c r="E4915">
        <v>0.52615160712208597</v>
      </c>
      <c r="F4915">
        <v>0.25396215025781099</v>
      </c>
      <c r="G4915">
        <v>0.15583883520994801</v>
      </c>
      <c r="H4915">
        <v>0.10622837641340099</v>
      </c>
      <c r="I4915">
        <v>9.4647111604348202E-2</v>
      </c>
      <c r="J4915">
        <v>8.5163180134616795E-2</v>
      </c>
      <c r="K4915">
        <v>6.3499708690777895E-2</v>
      </c>
      <c r="L4915">
        <v>804.02159785216304</v>
      </c>
      <c r="M4915">
        <v>16.318528092600602</v>
      </c>
      <c r="N4915">
        <v>49.694823964871397</v>
      </c>
      <c r="O4915">
        <v>48.548397897050599</v>
      </c>
      <c r="P4915">
        <v>-7.8572811600636894E-2</v>
      </c>
      <c r="Q4915">
        <v>6.5036553865156596E-2</v>
      </c>
      <c r="R4915">
        <v>0.995059074837498</v>
      </c>
      <c r="S4915" t="s">
        <v>10776</v>
      </c>
      <c r="T4915" t="s">
        <v>11720</v>
      </c>
      <c r="U4915" t="s">
        <v>11720</v>
      </c>
      <c r="V4915" t="s">
        <v>11720</v>
      </c>
      <c r="W4915" t="s">
        <v>16579</v>
      </c>
      <c r="X4915">
        <v>5</v>
      </c>
      <c r="Y4915" t="s">
        <v>22286</v>
      </c>
      <c r="Z4915" t="s">
        <v>28122</v>
      </c>
      <c r="AA4915">
        <v>0.37345219308314681</v>
      </c>
      <c r="AB4915" t="str">
        <f>HYPERLINK("Melting_Curves/meltCurve_Q9BZL1_UBL5.pdf", "Melting_Curves/meltCurve_Q9BZL1_UBL5.pdf")</f>
        <v>Melting_Curves/meltCurve_Q9BZL1_UBL5.pdf</v>
      </c>
    </row>
    <row r="4916" spans="1:28" x14ac:dyDescent="0.25">
      <c r="A4916" t="s">
        <v>4920</v>
      </c>
      <c r="B4916">
        <v>0.99334974765950101</v>
      </c>
      <c r="C4916">
        <v>1.08492725247634</v>
      </c>
      <c r="D4916">
        <v>0.93223879263296405</v>
      </c>
      <c r="E4916">
        <v>0.85389647942481695</v>
      </c>
      <c r="F4916">
        <v>1.0765871112091401</v>
      </c>
      <c r="G4916">
        <v>0.74900975563726002</v>
      </c>
      <c r="H4916">
        <v>0.74914739047730206</v>
      </c>
      <c r="I4916">
        <v>0.81637297433209799</v>
      </c>
      <c r="J4916">
        <v>1.21156970148364</v>
      </c>
      <c r="K4916">
        <v>0.93387031442016599</v>
      </c>
      <c r="L4916">
        <v>11442.2694933108</v>
      </c>
      <c r="M4916">
        <v>250</v>
      </c>
      <c r="O4916">
        <v>45.7661490299257</v>
      </c>
      <c r="P4916">
        <v>-0.118917097416238</v>
      </c>
      <c r="Q4916">
        <v>0.91292195841185098</v>
      </c>
      <c r="R4916">
        <v>0.102786375651371</v>
      </c>
      <c r="S4916" t="s">
        <v>10777</v>
      </c>
      <c r="T4916" t="s">
        <v>11720</v>
      </c>
      <c r="U4916" t="s">
        <v>11720</v>
      </c>
      <c r="V4916" t="s">
        <v>11720</v>
      </c>
      <c r="W4916" t="s">
        <v>16580</v>
      </c>
      <c r="X4916">
        <v>3</v>
      </c>
      <c r="Y4916" t="s">
        <v>22287</v>
      </c>
      <c r="Z4916" t="s">
        <v>28123</v>
      </c>
      <c r="AA4916">
        <v>0.92967428659280871</v>
      </c>
      <c r="AB4916" t="str">
        <f>HYPERLINK("Melting_Curves/meltCurve_Q9BZM1_PLA2G12A.pdf", "Melting_Curves/meltCurve_Q9BZM1_PLA2G12A.pdf")</f>
        <v>Melting_Curves/meltCurve_Q9BZM1_PLA2G12A.pdf</v>
      </c>
    </row>
    <row r="4917" spans="1:28" x14ac:dyDescent="0.25">
      <c r="A4917" t="s">
        <v>4921</v>
      </c>
      <c r="B4917">
        <v>0.99334974765950101</v>
      </c>
      <c r="C4917">
        <v>0.90406933468684303</v>
      </c>
      <c r="D4917">
        <v>0.90954554265595999</v>
      </c>
      <c r="E4917">
        <v>0.85239470435360298</v>
      </c>
      <c r="F4917">
        <v>0.76667165073528498</v>
      </c>
      <c r="G4917">
        <v>0.60656182131500203</v>
      </c>
      <c r="H4917">
        <v>0.45529933492491798</v>
      </c>
      <c r="I4917">
        <v>0.32511774108900099</v>
      </c>
      <c r="J4917">
        <v>0.34009619323420898</v>
      </c>
      <c r="K4917">
        <v>0.271646869205458</v>
      </c>
      <c r="L4917">
        <v>527.76775162132799</v>
      </c>
      <c r="M4917">
        <v>9.0427520034423701</v>
      </c>
      <c r="N4917">
        <v>59.795606955151797</v>
      </c>
      <c r="O4917">
        <v>55.721542995204203</v>
      </c>
      <c r="P4917">
        <v>-3.6647440866188499E-2</v>
      </c>
      <c r="Q4917">
        <v>9.7356054394847596E-2</v>
      </c>
      <c r="R4917">
        <v>0.98702724588999902</v>
      </c>
      <c r="S4917" t="s">
        <v>10778</v>
      </c>
      <c r="T4917" t="s">
        <v>11720</v>
      </c>
      <c r="U4917" t="s">
        <v>11720</v>
      </c>
      <c r="V4917" t="s">
        <v>11720</v>
      </c>
      <c r="W4917" t="s">
        <v>16581</v>
      </c>
      <c r="X4917">
        <v>3</v>
      </c>
      <c r="Y4917" t="s">
        <v>22288</v>
      </c>
      <c r="Z4917" t="s">
        <v>28124</v>
      </c>
      <c r="AA4917">
        <v>0.65417126537023029</v>
      </c>
      <c r="AB4917" t="str">
        <f>HYPERLINK("Melting_Curves/meltCurve_Q9BZM4_ULBP3.pdf", "Melting_Curves/meltCurve_Q9BZM4_ULBP3.pdf")</f>
        <v>Melting_Curves/meltCurve_Q9BZM4_ULBP3.pdf</v>
      </c>
    </row>
    <row r="4918" spans="1:28" x14ac:dyDescent="0.25">
      <c r="A4918" t="s">
        <v>4922</v>
      </c>
      <c r="B4918">
        <v>0.99334974765950101</v>
      </c>
      <c r="C4918">
        <v>0.97488414827690395</v>
      </c>
      <c r="D4918">
        <v>1.01710652640545</v>
      </c>
      <c r="E4918">
        <v>0.77374701379326805</v>
      </c>
      <c r="F4918">
        <v>0.58941535904867004</v>
      </c>
      <c r="G4918">
        <v>0.38120444976603501</v>
      </c>
      <c r="H4918">
        <v>0.235672944345129</v>
      </c>
      <c r="I4918">
        <v>0.100753115741507</v>
      </c>
      <c r="J4918">
        <v>0.16097287331134799</v>
      </c>
      <c r="K4918">
        <v>9.8322400825148301E-2</v>
      </c>
      <c r="L4918">
        <v>865.33946022036798</v>
      </c>
      <c r="M4918">
        <v>16.044148333839502</v>
      </c>
      <c r="N4918">
        <v>54.590099736497898</v>
      </c>
      <c r="O4918">
        <v>53.117874293078401</v>
      </c>
      <c r="P4918">
        <v>-6.89039858466058E-2</v>
      </c>
      <c r="Q4918">
        <v>8.7580325953633895E-2</v>
      </c>
      <c r="R4918">
        <v>0.99124177027247995</v>
      </c>
      <c r="S4918" t="s">
        <v>10779</v>
      </c>
      <c r="T4918" t="s">
        <v>11720</v>
      </c>
      <c r="U4918" t="s">
        <v>11720</v>
      </c>
      <c r="V4918" t="s">
        <v>11720</v>
      </c>
      <c r="W4918" t="s">
        <v>16582</v>
      </c>
      <c r="X4918">
        <v>1</v>
      </c>
      <c r="Y4918" t="s">
        <v>22289</v>
      </c>
      <c r="Z4918" t="s">
        <v>28125</v>
      </c>
      <c r="AA4918">
        <v>0.52861245291000503</v>
      </c>
      <c r="AB4918" t="str">
        <f>HYPERLINK("Melting_Curves/meltCurve_Q9BZM5_ULBP2.pdf", "Melting_Curves/meltCurve_Q9BZM5_ULBP2.pdf")</f>
        <v>Melting_Curves/meltCurve_Q9BZM5_ULBP2.pdf</v>
      </c>
    </row>
    <row r="4919" spans="1:28" x14ac:dyDescent="0.25">
      <c r="A4919" t="s">
        <v>4923</v>
      </c>
      <c r="B4919">
        <v>0.99334974765950101</v>
      </c>
      <c r="C4919">
        <v>1.0291376300411501</v>
      </c>
      <c r="D4919">
        <v>0.914230338317783</v>
      </c>
      <c r="E4919">
        <v>0.35223693855779398</v>
      </c>
      <c r="F4919">
        <v>0.14594381746792801</v>
      </c>
      <c r="G4919">
        <v>8.7113009276052006E-2</v>
      </c>
      <c r="H4919">
        <v>6.6200870344092E-2</v>
      </c>
      <c r="I4919">
        <v>5.9201275109173203E-2</v>
      </c>
      <c r="J4919">
        <v>5.7927108139948898E-2</v>
      </c>
      <c r="K4919">
        <v>4.5579470948346398E-2</v>
      </c>
      <c r="L4919">
        <v>1713.8819611526201</v>
      </c>
      <c r="M4919">
        <v>35.038858972895397</v>
      </c>
      <c r="N4919">
        <v>49.107757623852102</v>
      </c>
      <c r="O4919">
        <v>48.755245266355502</v>
      </c>
      <c r="P4919">
        <v>-0.168054637378622</v>
      </c>
      <c r="Q4919">
        <v>6.4636637206980804E-2</v>
      </c>
      <c r="R4919">
        <v>0.99836831040833696</v>
      </c>
      <c r="S4919" t="s">
        <v>10780</v>
      </c>
      <c r="T4919" t="s">
        <v>11720</v>
      </c>
      <c r="U4919" t="s">
        <v>11720</v>
      </c>
      <c r="V4919" t="s">
        <v>11720</v>
      </c>
      <c r="W4919" t="s">
        <v>16583</v>
      </c>
      <c r="X4919">
        <v>36</v>
      </c>
      <c r="Y4919" t="s">
        <v>22290</v>
      </c>
      <c r="Z4919" t="s">
        <v>28126</v>
      </c>
      <c r="AA4919">
        <v>0.346699103387832</v>
      </c>
      <c r="AB4919" t="str">
        <f>HYPERLINK("Melting_Curves/meltCurve_Q9BZQ8_FAM129A.pdf", "Melting_Curves/meltCurve_Q9BZQ8_FAM129A.pdf")</f>
        <v>Melting_Curves/meltCurve_Q9BZQ8_FAM129A.pdf</v>
      </c>
    </row>
    <row r="4920" spans="1:28" x14ac:dyDescent="0.25">
      <c r="A4920" t="s">
        <v>4924</v>
      </c>
      <c r="B4920">
        <v>0.99334974765950101</v>
      </c>
      <c r="C4920">
        <v>0.93861010935406097</v>
      </c>
      <c r="D4920">
        <v>0.81874632268582104</v>
      </c>
      <c r="E4920">
        <v>0.59338196964151302</v>
      </c>
      <c r="F4920">
        <v>0.42091835638993602</v>
      </c>
      <c r="G4920">
        <v>0.34481270197234298</v>
      </c>
      <c r="H4920">
        <v>0.269735327179006</v>
      </c>
      <c r="I4920">
        <v>0.15272707836506599</v>
      </c>
      <c r="J4920">
        <v>8.8062315398955399E-2</v>
      </c>
      <c r="K4920">
        <v>6.8932612904892707E-2</v>
      </c>
      <c r="L4920">
        <v>546.02028935134194</v>
      </c>
      <c r="M4920">
        <v>10.481316928450299</v>
      </c>
      <c r="N4920">
        <v>52.412376095677303</v>
      </c>
      <c r="O4920">
        <v>50.305445490248097</v>
      </c>
      <c r="P4920">
        <v>-5.0505356407515502E-2</v>
      </c>
      <c r="Q4920">
        <v>3.0784869573083101E-2</v>
      </c>
      <c r="R4920">
        <v>0.98859242577069695</v>
      </c>
      <c r="S4920" t="s">
        <v>10781</v>
      </c>
      <c r="T4920" t="s">
        <v>11720</v>
      </c>
      <c r="U4920" t="s">
        <v>11720</v>
      </c>
      <c r="V4920" t="s">
        <v>11720</v>
      </c>
      <c r="W4920" t="s">
        <v>16584</v>
      </c>
      <c r="X4920">
        <v>6</v>
      </c>
      <c r="Y4920" t="s">
        <v>22291</v>
      </c>
      <c r="Z4920" t="s">
        <v>28127</v>
      </c>
      <c r="AA4920">
        <v>0.45616352788647391</v>
      </c>
      <c r="AB4920" t="str">
        <f>HYPERLINK("Melting_Curves/meltCurve_Q9BZX2_UCK2.pdf", "Melting_Curves/meltCurve_Q9BZX2_UCK2.pdf")</f>
        <v>Melting_Curves/meltCurve_Q9BZX2_UCK2.pdf</v>
      </c>
    </row>
    <row r="4921" spans="1:28" x14ac:dyDescent="0.25">
      <c r="A4921" t="s">
        <v>4925</v>
      </c>
      <c r="B4921">
        <v>0.99334974765950101</v>
      </c>
      <c r="C4921">
        <v>1.0379447025835999</v>
      </c>
      <c r="D4921">
        <v>0.99032193733335205</v>
      </c>
      <c r="E4921">
        <v>0.88932644685075901</v>
      </c>
      <c r="F4921">
        <v>0.61206483926544497</v>
      </c>
      <c r="G4921">
        <v>0.19323848292427401</v>
      </c>
      <c r="H4921">
        <v>0.13791278692350001</v>
      </c>
      <c r="I4921">
        <v>0.120305520133067</v>
      </c>
      <c r="J4921">
        <v>0.108507733309137</v>
      </c>
      <c r="K4921">
        <v>8.9270702093970894E-2</v>
      </c>
      <c r="L4921">
        <v>1678.7919853758699</v>
      </c>
      <c r="M4921">
        <v>31.460387897504599</v>
      </c>
      <c r="N4921">
        <v>53.764791236159702</v>
      </c>
      <c r="O4921">
        <v>53.147861171815101</v>
      </c>
      <c r="P4921">
        <v>-0.132452182148804</v>
      </c>
      <c r="Q4921">
        <v>0.104967979004436</v>
      </c>
      <c r="R4921">
        <v>0.99826800221550704</v>
      </c>
      <c r="S4921" t="s">
        <v>10782</v>
      </c>
      <c r="T4921" t="s">
        <v>11720</v>
      </c>
      <c r="U4921" t="s">
        <v>11720</v>
      </c>
      <c r="V4921" t="s">
        <v>11720</v>
      </c>
      <c r="W4921" t="s">
        <v>16585</v>
      </c>
      <c r="X4921">
        <v>13</v>
      </c>
      <c r="Y4921" t="s">
        <v>22292</v>
      </c>
      <c r="Z4921" t="s">
        <v>28128</v>
      </c>
      <c r="AA4921">
        <v>0.50893275528421411</v>
      </c>
      <c r="AB4921" t="str">
        <f>HYPERLINK("Melting_Curves/meltCurve_Q9BZZ5_2_API5.pdf", "Melting_Curves/meltCurve_Q9BZZ5_2_API5.pdf")</f>
        <v>Melting_Curves/meltCurve_Q9BZZ5_2_API5.pdf</v>
      </c>
    </row>
    <row r="4922" spans="1:28" x14ac:dyDescent="0.25">
      <c r="A4922" t="s">
        <v>4926</v>
      </c>
      <c r="B4922">
        <v>0.99334974765950101</v>
      </c>
      <c r="C4922">
        <v>0.866390541755923</v>
      </c>
      <c r="D4922">
        <v>0.75317393880008698</v>
      </c>
      <c r="E4922">
        <v>0.72713112242647904</v>
      </c>
      <c r="F4922">
        <v>0.83607238974224396</v>
      </c>
      <c r="G4922">
        <v>0.53456524212138901</v>
      </c>
      <c r="H4922">
        <v>0.49988780725639098</v>
      </c>
      <c r="I4922">
        <v>0.428029326537124</v>
      </c>
      <c r="J4922">
        <v>0.60949518640911904</v>
      </c>
      <c r="K4922">
        <v>0.48786715062289698</v>
      </c>
      <c r="L4922">
        <v>390.70818357974503</v>
      </c>
      <c r="M4922">
        <v>7.6283831693803901</v>
      </c>
      <c r="N4922">
        <v>67.181176422691806</v>
      </c>
      <c r="O4922">
        <v>48.053757348632203</v>
      </c>
      <c r="P4922">
        <v>-2.3113386803446601E-2</v>
      </c>
      <c r="Q4922">
        <v>0.418389176879983</v>
      </c>
      <c r="R4922">
        <v>0.80225068563603597</v>
      </c>
      <c r="S4922" t="s">
        <v>10783</v>
      </c>
      <c r="T4922" t="s">
        <v>11720</v>
      </c>
      <c r="U4922" t="s">
        <v>11720</v>
      </c>
      <c r="V4922" t="s">
        <v>11720</v>
      </c>
      <c r="W4922" t="s">
        <v>16586</v>
      </c>
      <c r="X4922">
        <v>4</v>
      </c>
      <c r="Y4922" t="s">
        <v>22293</v>
      </c>
      <c r="Z4922" t="s">
        <v>28129</v>
      </c>
      <c r="AA4922">
        <v>0.66752434292005325</v>
      </c>
      <c r="AB4922" t="str">
        <f>HYPERLINK("Melting_Curves/meltCurve_Q9C004_SPRY4.pdf", "Melting_Curves/meltCurve_Q9C004_SPRY4.pdf")</f>
        <v>Melting_Curves/meltCurve_Q9C004_SPRY4.pdf</v>
      </c>
    </row>
    <row r="4923" spans="1:28" x14ac:dyDescent="0.25">
      <c r="A4923" t="s">
        <v>4927</v>
      </c>
      <c r="B4923">
        <v>0.99334974765950101</v>
      </c>
      <c r="C4923">
        <v>1.0145740681714199</v>
      </c>
      <c r="D4923">
        <v>0.959295192434374</v>
      </c>
      <c r="E4923">
        <v>1.0061956870058399</v>
      </c>
      <c r="F4923">
        <v>1.1899115365955799</v>
      </c>
      <c r="G4923">
        <v>1.1434982645649701</v>
      </c>
      <c r="H4923">
        <v>1.21966561200859</v>
      </c>
      <c r="I4923">
        <v>1.29133505425739</v>
      </c>
      <c r="J4923">
        <v>1.8628153593029999</v>
      </c>
      <c r="K4923">
        <v>1.6556174165631601</v>
      </c>
      <c r="L4923">
        <v>2363.6279589014898</v>
      </c>
      <c r="M4923">
        <v>38.605847819473702</v>
      </c>
      <c r="O4923">
        <v>61.061027482496499</v>
      </c>
      <c r="P4923">
        <v>7.9031469043139596E-2</v>
      </c>
      <c r="Q4923">
        <v>1.5</v>
      </c>
      <c r="R4923">
        <v>0.70977581397475098</v>
      </c>
      <c r="S4923" t="s">
        <v>10784</v>
      </c>
      <c r="T4923" t="s">
        <v>11720</v>
      </c>
      <c r="U4923" t="s">
        <v>11720</v>
      </c>
      <c r="V4923" t="s">
        <v>11720</v>
      </c>
      <c r="W4923" t="s">
        <v>16587</v>
      </c>
      <c r="X4923">
        <v>2</v>
      </c>
      <c r="Y4923" t="s">
        <v>22294</v>
      </c>
      <c r="Z4923" t="s">
        <v>28130</v>
      </c>
      <c r="AA4923">
        <v>1.144272752161571</v>
      </c>
      <c r="AB4923" t="str">
        <f>HYPERLINK("Melting_Curves/meltCurve_Q9C005_DPY30.pdf", "Melting_Curves/meltCurve_Q9C005_DPY30.pdf")</f>
        <v>Melting_Curves/meltCurve_Q9C005_DPY30.pdf</v>
      </c>
    </row>
    <row r="4924" spans="1:28" x14ac:dyDescent="0.25">
      <c r="A4924" t="s">
        <v>4928</v>
      </c>
      <c r="B4924">
        <v>0.99334974765950101</v>
      </c>
      <c r="C4924">
        <v>0.91018127202335797</v>
      </c>
      <c r="D4924">
        <v>0.693846067439715</v>
      </c>
      <c r="E4924">
        <v>0.27960877159491998</v>
      </c>
      <c r="F4924">
        <v>0.115064109970257</v>
      </c>
      <c r="G4924">
        <v>0.19228878393124199</v>
      </c>
      <c r="H4924">
        <v>0.190930943677415</v>
      </c>
      <c r="I4924">
        <v>0.17767252666151501</v>
      </c>
      <c r="J4924">
        <v>8.2262322851134398E-2</v>
      </c>
      <c r="K4924">
        <v>6.4879116197536807E-2</v>
      </c>
      <c r="L4924">
        <v>1251.71101379945</v>
      </c>
      <c r="M4924">
        <v>26.6579317496643</v>
      </c>
      <c r="N4924">
        <v>47.492452350232597</v>
      </c>
      <c r="O4924">
        <v>46.692703858159597</v>
      </c>
      <c r="P4924">
        <v>-0.12413395435645</v>
      </c>
      <c r="Q4924">
        <v>0.130301685570783</v>
      </c>
      <c r="R4924">
        <v>0.98325472365609701</v>
      </c>
      <c r="S4924" t="s">
        <v>10785</v>
      </c>
      <c r="T4924" t="s">
        <v>11720</v>
      </c>
      <c r="U4924" t="s">
        <v>11720</v>
      </c>
      <c r="V4924" t="s">
        <v>11720</v>
      </c>
      <c r="W4924" t="s">
        <v>16588</v>
      </c>
      <c r="X4924">
        <v>2</v>
      </c>
      <c r="Y4924" t="s">
        <v>22295</v>
      </c>
      <c r="Z4924" t="s">
        <v>28131</v>
      </c>
      <c r="AA4924">
        <v>0.33866061935061681</v>
      </c>
      <c r="AB4924" t="str">
        <f>HYPERLINK("Melting_Curves/meltCurve_Q9C037_2_TRIM4.pdf", "Melting_Curves/meltCurve_Q9C037_2_TRIM4.pdf")</f>
        <v>Melting_Curves/meltCurve_Q9C037_2_TRIM4.pdf</v>
      </c>
    </row>
    <row r="4925" spans="1:28" x14ac:dyDescent="0.25">
      <c r="A4925" t="s">
        <v>4929</v>
      </c>
      <c r="B4925">
        <v>0.99334974765950101</v>
      </c>
      <c r="C4925">
        <v>0.97946019412320695</v>
      </c>
      <c r="D4925">
        <v>0.90200874228911598</v>
      </c>
      <c r="E4925">
        <v>0.73634134185699396</v>
      </c>
      <c r="F4925">
        <v>0.54553065935582401</v>
      </c>
      <c r="G4925">
        <v>0.45998814193201099</v>
      </c>
      <c r="H4925">
        <v>0.30917355689491599</v>
      </c>
      <c r="I4925">
        <v>0.25628409573215399</v>
      </c>
      <c r="J4925">
        <v>0.187376373833432</v>
      </c>
      <c r="K4925">
        <v>0.208506726470712</v>
      </c>
      <c r="L4925">
        <v>644.90293876273404</v>
      </c>
      <c r="M4925">
        <v>12.104751126452699</v>
      </c>
      <c r="N4925">
        <v>54.938879508586403</v>
      </c>
      <c r="O4925">
        <v>51.885323209226499</v>
      </c>
      <c r="P4925">
        <v>-4.93938969999594E-2</v>
      </c>
      <c r="Q4925">
        <v>0.153317217352649</v>
      </c>
      <c r="R4925">
        <v>0.99401187758786502</v>
      </c>
      <c r="S4925" t="s">
        <v>10786</v>
      </c>
      <c r="T4925" t="s">
        <v>11720</v>
      </c>
      <c r="U4925" t="s">
        <v>11720</v>
      </c>
      <c r="V4925" t="s">
        <v>11720</v>
      </c>
      <c r="W4925" t="s">
        <v>16589</v>
      </c>
      <c r="X4925">
        <v>1</v>
      </c>
      <c r="Y4925" t="s">
        <v>22296</v>
      </c>
      <c r="Z4925" t="s">
        <v>28132</v>
      </c>
      <c r="AA4925">
        <v>0.55138413660131591</v>
      </c>
      <c r="AB4925" t="str">
        <f>HYPERLINK("Melting_Curves/meltCurve_Q9C073_FAM117A.pdf", "Melting_Curves/meltCurve_Q9C073_FAM117A.pdf")</f>
        <v>Melting_Curves/meltCurve_Q9C073_FAM117A.pdf</v>
      </c>
    </row>
    <row r="4926" spans="1:28" x14ac:dyDescent="0.25">
      <c r="A4926" t="s">
        <v>4930</v>
      </c>
      <c r="B4926">
        <v>0.99334974765950101</v>
      </c>
      <c r="C4926">
        <v>1.0800859751385501</v>
      </c>
      <c r="D4926">
        <v>0.90426444365051795</v>
      </c>
      <c r="E4926">
        <v>0.82627837245122004</v>
      </c>
      <c r="F4926">
        <v>0.47694993654183898</v>
      </c>
      <c r="G4926">
        <v>0.281470685367814</v>
      </c>
      <c r="H4926">
        <v>0.28987406264757498</v>
      </c>
      <c r="I4926">
        <v>0.211728370864085</v>
      </c>
      <c r="J4926">
        <v>0.25786125004892901</v>
      </c>
      <c r="K4926">
        <v>0.24479901468526699</v>
      </c>
      <c r="L4926">
        <v>1607.9944054975899</v>
      </c>
      <c r="M4926">
        <v>31.0961741673223</v>
      </c>
      <c r="N4926">
        <v>52.865975980858501</v>
      </c>
      <c r="O4926">
        <v>51.497940947312202</v>
      </c>
      <c r="P4926">
        <v>-0.113728777676199</v>
      </c>
      <c r="Q4926">
        <v>0.24662600804717899</v>
      </c>
      <c r="R4926">
        <v>0.98529451056165795</v>
      </c>
      <c r="S4926" t="s">
        <v>10787</v>
      </c>
      <c r="T4926" t="s">
        <v>11720</v>
      </c>
      <c r="U4926" t="s">
        <v>11720</v>
      </c>
      <c r="V4926" t="s">
        <v>11720</v>
      </c>
      <c r="W4926" t="s">
        <v>16590</v>
      </c>
      <c r="X4926">
        <v>1</v>
      </c>
      <c r="Y4926" t="s">
        <v>22297</v>
      </c>
      <c r="Z4926" t="s">
        <v>28133</v>
      </c>
      <c r="AA4926">
        <v>0.54516313418220974</v>
      </c>
      <c r="AB4926" t="str">
        <f>HYPERLINK("Melting_Curves/meltCurve_Q9C0B0_UNK.pdf", "Melting_Curves/meltCurve_Q9C0B0_UNK.pdf")</f>
        <v>Melting_Curves/meltCurve_Q9C0B0_UNK.pdf</v>
      </c>
    </row>
    <row r="4927" spans="1:28" x14ac:dyDescent="0.25">
      <c r="A4927" t="s">
        <v>4931</v>
      </c>
      <c r="B4927">
        <v>0.99334974765950101</v>
      </c>
      <c r="C4927">
        <v>0.95479572385656997</v>
      </c>
      <c r="D4927">
        <v>0.91187647474017197</v>
      </c>
      <c r="E4927">
        <v>0.65125025646360402</v>
      </c>
      <c r="F4927">
        <v>0.36305254286194599</v>
      </c>
      <c r="G4927">
        <v>0.32308124749159001</v>
      </c>
      <c r="H4927">
        <v>0.26824722774180398</v>
      </c>
      <c r="I4927">
        <v>0.26880944496706599</v>
      </c>
      <c r="J4927">
        <v>0.23193383884940999</v>
      </c>
      <c r="K4927">
        <v>0.21103644143190101</v>
      </c>
      <c r="L4927">
        <v>1170.7137943730199</v>
      </c>
      <c r="M4927">
        <v>23.384041084149199</v>
      </c>
      <c r="N4927">
        <v>51.535306190361297</v>
      </c>
      <c r="O4927">
        <v>49.702822977004999</v>
      </c>
      <c r="P4927">
        <v>-8.8985733601397499E-2</v>
      </c>
      <c r="Q4927">
        <v>0.24345588675327001</v>
      </c>
      <c r="R4927">
        <v>0.99293458972149296</v>
      </c>
      <c r="S4927" t="s">
        <v>10788</v>
      </c>
      <c r="T4927" t="s">
        <v>11720</v>
      </c>
      <c r="U4927" t="s">
        <v>11720</v>
      </c>
      <c r="V4927" t="s">
        <v>11720</v>
      </c>
      <c r="W4927" t="s">
        <v>16591</v>
      </c>
      <c r="X4927">
        <v>19</v>
      </c>
      <c r="Y4927" t="s">
        <v>22298</v>
      </c>
      <c r="Z4927" t="s">
        <v>28134</v>
      </c>
      <c r="AA4927">
        <v>0.50500238969823075</v>
      </c>
      <c r="AB4927" t="str">
        <f>HYPERLINK("Melting_Curves/meltCurve_Q9C0B1_FTO.pdf", "Melting_Curves/meltCurve_Q9C0B1_FTO.pdf")</f>
        <v>Melting_Curves/meltCurve_Q9C0B1_FTO.pdf</v>
      </c>
    </row>
    <row r="4928" spans="1:28" x14ac:dyDescent="0.25">
      <c r="A4928" t="s">
        <v>4932</v>
      </c>
      <c r="B4928">
        <v>0.99334974765950101</v>
      </c>
      <c r="C4928">
        <v>0.96741310360443</v>
      </c>
      <c r="D4928">
        <v>0.85463403213912104</v>
      </c>
      <c r="E4928">
        <v>0.83396987125694</v>
      </c>
      <c r="F4928">
        <v>0.83068391806102404</v>
      </c>
      <c r="G4928">
        <v>0.71476005142204802</v>
      </c>
      <c r="H4928">
        <v>0.63235061315139995</v>
      </c>
      <c r="I4928">
        <v>0.58181835308323804</v>
      </c>
      <c r="J4928">
        <v>0.51722913320313102</v>
      </c>
      <c r="K4928">
        <v>0.397850087861019</v>
      </c>
      <c r="L4928">
        <v>352.50476394887397</v>
      </c>
      <c r="M4928">
        <v>5.2679353430276299</v>
      </c>
      <c r="N4928">
        <v>66.915141591524801</v>
      </c>
      <c r="O4928">
        <v>59.091241247642699</v>
      </c>
      <c r="P4928">
        <v>-2.24013823420449E-2</v>
      </c>
      <c r="Q4928">
        <v>0</v>
      </c>
      <c r="R4928">
        <v>0.97452294742498902</v>
      </c>
      <c r="S4928" t="s">
        <v>10789</v>
      </c>
      <c r="T4928" t="s">
        <v>11720</v>
      </c>
      <c r="U4928" t="s">
        <v>11720</v>
      </c>
      <c r="V4928" t="s">
        <v>11720</v>
      </c>
      <c r="W4928" t="s">
        <v>16592</v>
      </c>
      <c r="X4928">
        <v>13</v>
      </c>
      <c r="Y4928" t="s">
        <v>22299</v>
      </c>
      <c r="Z4928" t="s">
        <v>28135</v>
      </c>
      <c r="AA4928">
        <v>0.74007936493261339</v>
      </c>
      <c r="AB4928" t="str">
        <f>HYPERLINK("Melting_Curves/meltCurve_Q9C0B5_2_ZDHHC5.pdf", "Melting_Curves/meltCurve_Q9C0B5_2_ZDHHC5.pdf")</f>
        <v>Melting_Curves/meltCurve_Q9C0B5_2_ZDHHC5.pdf</v>
      </c>
    </row>
    <row r="4929" spans="1:28" x14ac:dyDescent="0.25">
      <c r="A4929" t="s">
        <v>4933</v>
      </c>
      <c r="B4929">
        <v>0.99334974765950101</v>
      </c>
      <c r="C4929">
        <v>0.962721834870229</v>
      </c>
      <c r="D4929">
        <v>0.93202486119112105</v>
      </c>
      <c r="E4929">
        <v>0.53446499224498001</v>
      </c>
      <c r="F4929">
        <v>0.27769142502230099</v>
      </c>
      <c r="G4929">
        <v>0.15964382847240799</v>
      </c>
      <c r="H4929">
        <v>0.15504074276431601</v>
      </c>
      <c r="I4929">
        <v>6.6722825757845702E-2</v>
      </c>
      <c r="J4929">
        <v>0.159306760282106</v>
      </c>
      <c r="K4929">
        <v>4.0689945917528003E-2</v>
      </c>
      <c r="L4929">
        <v>1250.06336798246</v>
      </c>
      <c r="M4929">
        <v>25.024219196473101</v>
      </c>
      <c r="N4929">
        <v>50.427145706423097</v>
      </c>
      <c r="O4929">
        <v>49.638410045196302</v>
      </c>
      <c r="P4929">
        <v>-0.112850587113018</v>
      </c>
      <c r="Q4929">
        <v>0.10460366636141399</v>
      </c>
      <c r="R4929">
        <v>0.99137252883503002</v>
      </c>
      <c r="S4929" t="s">
        <v>10790</v>
      </c>
      <c r="T4929" t="s">
        <v>11720</v>
      </c>
      <c r="U4929" t="s">
        <v>11720</v>
      </c>
      <c r="V4929" t="s">
        <v>11720</v>
      </c>
      <c r="W4929" t="s">
        <v>16593</v>
      </c>
      <c r="X4929">
        <v>5</v>
      </c>
      <c r="Y4929" t="s">
        <v>22300</v>
      </c>
      <c r="Z4929" t="s">
        <v>28136</v>
      </c>
      <c r="AA4929">
        <v>0.40968391945645433</v>
      </c>
      <c r="AB4929" t="str">
        <f>HYPERLINK("Melting_Curves/meltCurve_Q9C0B7_TANGO6.pdf", "Melting_Curves/meltCurve_Q9C0B7_TANGO6.pdf")</f>
        <v>Melting_Curves/meltCurve_Q9C0B7_TANGO6.pdf</v>
      </c>
    </row>
    <row r="4930" spans="1:28" x14ac:dyDescent="0.25">
      <c r="A4930" t="s">
        <v>4934</v>
      </c>
      <c r="B4930">
        <v>0.99334974765950101</v>
      </c>
      <c r="C4930">
        <v>1.0107739763855501</v>
      </c>
      <c r="D4930">
        <v>1.0447329469359199</v>
      </c>
      <c r="E4930">
        <v>1.06478165721192</v>
      </c>
      <c r="F4930">
        <v>1.3294070270062199</v>
      </c>
      <c r="G4930">
        <v>1.09545614566704</v>
      </c>
      <c r="H4930">
        <v>1.1564859955289599</v>
      </c>
      <c r="I4930">
        <v>1.6989265630694099</v>
      </c>
      <c r="J4930">
        <v>1.8152533665228601</v>
      </c>
      <c r="K4930">
        <v>1.71887244527936</v>
      </c>
      <c r="L4930">
        <v>1049.25493461368</v>
      </c>
      <c r="M4930">
        <v>18.631201256968701</v>
      </c>
      <c r="O4930">
        <v>55.680317852743499</v>
      </c>
      <c r="P4930">
        <v>4.1828074031839101E-2</v>
      </c>
      <c r="Q4930">
        <v>1.5</v>
      </c>
      <c r="R4930">
        <v>0.61427670877817198</v>
      </c>
      <c r="S4930" t="s">
        <v>10791</v>
      </c>
      <c r="T4930" t="s">
        <v>11720</v>
      </c>
      <c r="U4930" t="s">
        <v>11720</v>
      </c>
      <c r="V4930" t="s">
        <v>11720</v>
      </c>
      <c r="W4930" t="s">
        <v>16594</v>
      </c>
      <c r="X4930">
        <v>113</v>
      </c>
      <c r="Y4930" t="s">
        <v>22301</v>
      </c>
      <c r="Z4930" t="s">
        <v>28137</v>
      </c>
      <c r="AA4930">
        <v>1.2211089140257581</v>
      </c>
      <c r="AB4930" t="str">
        <f>HYPERLINK("Melting_Curves/meltCurve_Q9C0C2_TNKS1BP1.pdf", "Melting_Curves/meltCurve_Q9C0C2_TNKS1BP1.pdf")</f>
        <v>Melting_Curves/meltCurve_Q9C0C2_TNKS1BP1.pdf</v>
      </c>
    </row>
    <row r="4931" spans="1:28" x14ac:dyDescent="0.25">
      <c r="A4931" t="s">
        <v>4935</v>
      </c>
      <c r="B4931">
        <v>0.99334974765950101</v>
      </c>
      <c r="C4931">
        <v>1.0491035866341401</v>
      </c>
      <c r="D4931">
        <v>1.1218899400732201</v>
      </c>
      <c r="E4931">
        <v>1.13421001627139</v>
      </c>
      <c r="F4931">
        <v>0.44050661398728003</v>
      </c>
      <c r="G4931">
        <v>0.25603524744015099</v>
      </c>
      <c r="H4931">
        <v>0.190208387447481</v>
      </c>
      <c r="I4931">
        <v>0.16521745861583301</v>
      </c>
      <c r="J4931">
        <v>0.13858054325916699</v>
      </c>
      <c r="K4931">
        <v>0.10475669187401</v>
      </c>
      <c r="L4931">
        <v>13211.2948114192</v>
      </c>
      <c r="M4931">
        <v>250</v>
      </c>
      <c r="N4931">
        <v>52.933758579477299</v>
      </c>
      <c r="O4931">
        <v>52.841803131835697</v>
      </c>
      <c r="P4931">
        <v>-0.98056890751237602</v>
      </c>
      <c r="Q4931">
        <v>0.170959622422277</v>
      </c>
      <c r="R4931">
        <v>0.97393158749564501</v>
      </c>
      <c r="S4931" t="s">
        <v>10792</v>
      </c>
      <c r="T4931" t="s">
        <v>11720</v>
      </c>
      <c r="U4931" t="s">
        <v>11720</v>
      </c>
      <c r="V4931" t="s">
        <v>11720</v>
      </c>
      <c r="W4931" t="s">
        <v>16595</v>
      </c>
      <c r="X4931">
        <v>17</v>
      </c>
      <c r="Y4931" t="s">
        <v>22302</v>
      </c>
      <c r="Z4931" t="s">
        <v>28138</v>
      </c>
      <c r="AA4931">
        <v>0.52600891806855277</v>
      </c>
      <c r="AB4931" t="str">
        <f>HYPERLINK("Melting_Curves/meltCurve_Q9C0C9_UBE2O.pdf", "Melting_Curves/meltCurve_Q9C0C9_UBE2O.pdf")</f>
        <v>Melting_Curves/meltCurve_Q9C0C9_UBE2O.pdf</v>
      </c>
    </row>
    <row r="4932" spans="1:28" x14ac:dyDescent="0.25">
      <c r="A4932" t="s">
        <v>4936</v>
      </c>
      <c r="B4932">
        <v>0.99334974765950101</v>
      </c>
      <c r="C4932">
        <v>0.963926656807928</v>
      </c>
      <c r="D4932">
        <v>0.82113315788209296</v>
      </c>
      <c r="E4932">
        <v>0.50881520088444798</v>
      </c>
      <c r="F4932">
        <v>0.35262433297291201</v>
      </c>
      <c r="G4932">
        <v>0.29432034365440701</v>
      </c>
      <c r="H4932">
        <v>0.23412665932368801</v>
      </c>
      <c r="I4932">
        <v>0.24195599147768901</v>
      </c>
      <c r="J4932">
        <v>0.22494515757973901</v>
      </c>
      <c r="K4932">
        <v>0.14725681720990799</v>
      </c>
      <c r="L4932">
        <v>925.98529964047304</v>
      </c>
      <c r="M4932">
        <v>18.934507511907601</v>
      </c>
      <c r="N4932">
        <v>50.343113557377499</v>
      </c>
      <c r="O4932">
        <v>48.368951584050997</v>
      </c>
      <c r="P4932">
        <v>-7.7421856967816602E-2</v>
      </c>
      <c r="Q4932">
        <v>0.20892331553239599</v>
      </c>
      <c r="R4932">
        <v>0.99304151015286701</v>
      </c>
      <c r="S4932" t="s">
        <v>10793</v>
      </c>
      <c r="T4932" t="s">
        <v>11720</v>
      </c>
      <c r="U4932" t="s">
        <v>11720</v>
      </c>
      <c r="V4932" t="s">
        <v>11720</v>
      </c>
      <c r="W4932" t="s">
        <v>16596</v>
      </c>
      <c r="X4932">
        <v>6</v>
      </c>
      <c r="Y4932" t="s">
        <v>22303</v>
      </c>
      <c r="Z4932" t="s">
        <v>28139</v>
      </c>
      <c r="AA4932">
        <v>0.45612887745668551</v>
      </c>
      <c r="AB4932" t="str">
        <f>HYPERLINK("Melting_Curves/meltCurve_Q9C0D5_2_TANC1.pdf", "Melting_Curves/meltCurve_Q9C0D5_2_TANC1.pdf")</f>
        <v>Melting_Curves/meltCurve_Q9C0D5_2_TANC1.pdf</v>
      </c>
    </row>
    <row r="4933" spans="1:28" x14ac:dyDescent="0.25">
      <c r="A4933" t="s">
        <v>4937</v>
      </c>
      <c r="B4933">
        <v>0.99334974765950101</v>
      </c>
      <c r="C4933">
        <v>0.98564261562748701</v>
      </c>
      <c r="D4933">
        <v>0.99594958290679503</v>
      </c>
      <c r="E4933">
        <v>0.92127905746770899</v>
      </c>
      <c r="F4933">
        <v>0.82454964608724302</v>
      </c>
      <c r="G4933">
        <v>0.775011499431428</v>
      </c>
      <c r="H4933">
        <v>0.65481737039175603</v>
      </c>
      <c r="I4933">
        <v>0.72425687035796105</v>
      </c>
      <c r="J4933">
        <v>0.50194934841943095</v>
      </c>
      <c r="K4933">
        <v>0.330641383276156</v>
      </c>
      <c r="L4933">
        <v>513.95658859939397</v>
      </c>
      <c r="M4933">
        <v>7.6809229477871002</v>
      </c>
      <c r="N4933">
        <v>66.913389336252806</v>
      </c>
      <c r="O4933">
        <v>62.830670068489198</v>
      </c>
      <c r="P4933">
        <v>-3.0602223051883499E-2</v>
      </c>
      <c r="Q4933">
        <v>0</v>
      </c>
      <c r="R4933">
        <v>0.93117807220743598</v>
      </c>
      <c r="S4933" t="s">
        <v>10794</v>
      </c>
      <c r="T4933" t="s">
        <v>11720</v>
      </c>
      <c r="U4933" t="s">
        <v>11720</v>
      </c>
      <c r="V4933" t="s">
        <v>11720</v>
      </c>
      <c r="W4933" t="s">
        <v>16597</v>
      </c>
      <c r="X4933">
        <v>8</v>
      </c>
      <c r="Y4933" t="s">
        <v>22304</v>
      </c>
      <c r="Z4933" t="s">
        <v>28140</v>
      </c>
      <c r="AA4933">
        <v>0.78792707725278022</v>
      </c>
      <c r="AB4933" t="str">
        <f>HYPERLINK("Melting_Curves/meltCurve_Q9C0H2_2_TTYH3.pdf", "Melting_Curves/meltCurve_Q9C0H2_2_TTYH3.pdf")</f>
        <v>Melting_Curves/meltCurve_Q9C0H2_2_TTYH3.pdf</v>
      </c>
    </row>
    <row r="4934" spans="1:28" x14ac:dyDescent="0.25">
      <c r="A4934" t="s">
        <v>4938</v>
      </c>
      <c r="B4934">
        <v>0.99334974765950101</v>
      </c>
      <c r="C4934">
        <v>1.0085192890822401</v>
      </c>
      <c r="D4934">
        <v>1.0249378115059999</v>
      </c>
      <c r="E4934">
        <v>0.96541054806652804</v>
      </c>
      <c r="F4934">
        <v>0.91113419622688596</v>
      </c>
      <c r="G4934">
        <v>0.76870109476985005</v>
      </c>
      <c r="H4934">
        <v>0.38201766194423997</v>
      </c>
      <c r="I4934">
        <v>0.22796519320153899</v>
      </c>
      <c r="J4934">
        <v>0.20049069699892</v>
      </c>
      <c r="K4934">
        <v>0.16499665254641299</v>
      </c>
      <c r="L4934">
        <v>1536.7700920724601</v>
      </c>
      <c r="M4934">
        <v>26.122502233958901</v>
      </c>
      <c r="N4934">
        <v>59.653046672654</v>
      </c>
      <c r="O4934">
        <v>58.487863939747697</v>
      </c>
      <c r="P4934">
        <v>-9.4753302104967005E-2</v>
      </c>
      <c r="Q4934">
        <v>0.151405341026316</v>
      </c>
      <c r="R4934">
        <v>0.99639140826434203</v>
      </c>
      <c r="S4934" t="s">
        <v>10795</v>
      </c>
      <c r="T4934" t="s">
        <v>11720</v>
      </c>
      <c r="U4934" t="s">
        <v>11720</v>
      </c>
      <c r="V4934" t="s">
        <v>11720</v>
      </c>
      <c r="W4934" t="s">
        <v>16598</v>
      </c>
      <c r="X4934">
        <v>11</v>
      </c>
      <c r="Y4934" t="s">
        <v>22305</v>
      </c>
      <c r="Z4934" t="s">
        <v>28141</v>
      </c>
      <c r="AA4934">
        <v>0.69068224287140723</v>
      </c>
      <c r="AB4934" t="str">
        <f>HYPERLINK("Melting_Curves/meltCurve_Q9C0I1_MTMR12.pdf", "Melting_Curves/meltCurve_Q9C0I1_MTMR12.pdf")</f>
        <v>Melting_Curves/meltCurve_Q9C0I1_MTMR12.pdf</v>
      </c>
    </row>
    <row r="4935" spans="1:28" x14ac:dyDescent="0.25">
      <c r="A4935" t="s">
        <v>4939</v>
      </c>
      <c r="B4935">
        <v>0.99334974765950101</v>
      </c>
      <c r="C4935">
        <v>1.0258064567515499</v>
      </c>
      <c r="D4935">
        <v>0.89722891741077304</v>
      </c>
      <c r="E4935">
        <v>1.0250925147135601</v>
      </c>
      <c r="F4935">
        <v>0.72485218708354304</v>
      </c>
      <c r="G4935">
        <v>0.44499951731586501</v>
      </c>
      <c r="H4935">
        <v>0.25545473987786999</v>
      </c>
      <c r="I4935">
        <v>0.13019592751123399</v>
      </c>
      <c r="J4935">
        <v>0.225494739929092</v>
      </c>
      <c r="K4935">
        <v>0.13135575761193</v>
      </c>
      <c r="L4935">
        <v>1306.46521470366</v>
      </c>
      <c r="M4935">
        <v>23.643948406324999</v>
      </c>
      <c r="N4935">
        <v>56.1224170284274</v>
      </c>
      <c r="O4935">
        <v>54.865091330644802</v>
      </c>
      <c r="P4935">
        <v>-9.12614181130669E-2</v>
      </c>
      <c r="Q4935">
        <v>0.15293651838479899</v>
      </c>
      <c r="R4935">
        <v>0.97891018751185699</v>
      </c>
      <c r="S4935" t="s">
        <v>10796</v>
      </c>
      <c r="T4935" t="s">
        <v>11720</v>
      </c>
      <c r="U4935" t="s">
        <v>11720</v>
      </c>
      <c r="V4935" t="s">
        <v>11720</v>
      </c>
      <c r="W4935" t="s">
        <v>16599</v>
      </c>
      <c r="X4935">
        <v>3</v>
      </c>
      <c r="Y4935" t="s">
        <v>22306</v>
      </c>
      <c r="Z4935" t="s">
        <v>28142</v>
      </c>
      <c r="AA4935">
        <v>0.5922978369330415</v>
      </c>
      <c r="AB4935" t="str">
        <f>HYPERLINK("Melting_Curves/meltCurve_Q9C0K7_2_STRADB.pdf", "Melting_Curves/meltCurve_Q9C0K7_2_STRADB.pdf")</f>
        <v>Melting_Curves/meltCurve_Q9C0K7_2_STRADB.pdf</v>
      </c>
    </row>
    <row r="4936" spans="1:28" x14ac:dyDescent="0.25">
      <c r="A4936" t="s">
        <v>4940</v>
      </c>
      <c r="B4936">
        <v>0.99334974765950101</v>
      </c>
      <c r="C4936">
        <v>1.05839798199392</v>
      </c>
      <c r="D4936">
        <v>1.1059447423406501</v>
      </c>
      <c r="E4936">
        <v>0.91398748905041804</v>
      </c>
      <c r="F4936">
        <v>0.95140936533397502</v>
      </c>
      <c r="G4936">
        <v>0.52830469859989004</v>
      </c>
      <c r="H4936">
        <v>0.45570661184348799</v>
      </c>
      <c r="I4936">
        <v>0.43026167269830101</v>
      </c>
      <c r="J4936">
        <v>0.36049692550702001</v>
      </c>
      <c r="K4936">
        <v>0.18289138277755501</v>
      </c>
      <c r="L4936">
        <v>1169.4872016368099</v>
      </c>
      <c r="M4936">
        <v>20.623990670746199</v>
      </c>
      <c r="N4936">
        <v>59.126129611823799</v>
      </c>
      <c r="O4936">
        <v>56.180146216707797</v>
      </c>
      <c r="P4936">
        <v>-6.5612355211966594E-2</v>
      </c>
      <c r="Q4936">
        <v>0.28510347245362799</v>
      </c>
      <c r="R4936">
        <v>0.94329538026512205</v>
      </c>
      <c r="S4936" t="s">
        <v>10797</v>
      </c>
      <c r="T4936" t="s">
        <v>11720</v>
      </c>
      <c r="U4936" t="s">
        <v>11720</v>
      </c>
      <c r="V4936" t="s">
        <v>11720</v>
      </c>
      <c r="W4936" t="s">
        <v>16600</v>
      </c>
      <c r="X4936">
        <v>5</v>
      </c>
      <c r="Y4936" t="s">
        <v>22307</v>
      </c>
      <c r="Z4936" t="s">
        <v>28143</v>
      </c>
      <c r="AA4936">
        <v>0.69174992010846093</v>
      </c>
      <c r="AB4936" t="str">
        <f>HYPERLINK("Melting_Curves/meltCurve_Q9GZL7_WDR12.pdf", "Melting_Curves/meltCurve_Q9GZL7_WDR12.pdf")</f>
        <v>Melting_Curves/meltCurve_Q9GZL7_WDR12.pdf</v>
      </c>
    </row>
    <row r="4937" spans="1:28" x14ac:dyDescent="0.25">
      <c r="A4937" t="s">
        <v>4941</v>
      </c>
      <c r="B4937">
        <v>0.99334974765950101</v>
      </c>
      <c r="C4937">
        <v>1.0239158295835999</v>
      </c>
      <c r="D4937">
        <v>0.89106622538776203</v>
      </c>
      <c r="E4937">
        <v>0.80913740297361803</v>
      </c>
      <c r="F4937">
        <v>0.68324834282763502</v>
      </c>
      <c r="G4937">
        <v>0.34122351750630597</v>
      </c>
      <c r="H4937">
        <v>0.18298456524526999</v>
      </c>
      <c r="I4937">
        <v>0.16583967121427401</v>
      </c>
      <c r="J4937">
        <v>9.98296943837267E-2</v>
      </c>
      <c r="K4937">
        <v>7.0887361263738097E-2</v>
      </c>
      <c r="L4937">
        <v>860.17116947266504</v>
      </c>
      <c r="M4937">
        <v>15.753059378335999</v>
      </c>
      <c r="N4937">
        <v>54.964353944285598</v>
      </c>
      <c r="O4937">
        <v>53.746232400520199</v>
      </c>
      <c r="P4937">
        <v>-6.9680591232436806E-2</v>
      </c>
      <c r="Q4937">
        <v>4.9135241630719001E-2</v>
      </c>
      <c r="R4937">
        <v>0.99282242072457805</v>
      </c>
      <c r="S4937" t="s">
        <v>10798</v>
      </c>
      <c r="T4937" t="s">
        <v>11720</v>
      </c>
      <c r="U4937" t="s">
        <v>11720</v>
      </c>
      <c r="V4937" t="s">
        <v>11720</v>
      </c>
      <c r="W4937" t="s">
        <v>16601</v>
      </c>
      <c r="X4937">
        <v>4</v>
      </c>
      <c r="Y4937" t="s">
        <v>22308</v>
      </c>
      <c r="Z4937" t="s">
        <v>28144</v>
      </c>
      <c r="AA4937">
        <v>0.52977754773361807</v>
      </c>
      <c r="AB4937" t="str">
        <f>HYPERLINK("Melting_Curves/meltCurve_Q9GZN8_C20orf27.pdf", "Melting_Curves/meltCurve_Q9GZN8_C20orf27.pdf")</f>
        <v>Melting_Curves/meltCurve_Q9GZN8_C20orf27.pdf</v>
      </c>
    </row>
    <row r="4938" spans="1:28" x14ac:dyDescent="0.25">
      <c r="A4938" t="s">
        <v>4942</v>
      </c>
      <c r="B4938">
        <v>0.99334974765950101</v>
      </c>
      <c r="C4938">
        <v>0.93734273483380304</v>
      </c>
      <c r="D4938">
        <v>0.82420061351195995</v>
      </c>
      <c r="E4938">
        <v>0.68362201706565795</v>
      </c>
      <c r="F4938">
        <v>0.68778727034468901</v>
      </c>
      <c r="G4938">
        <v>0.66418311906208405</v>
      </c>
      <c r="H4938">
        <v>0.46212033447482398</v>
      </c>
      <c r="I4938">
        <v>0.46410697187636002</v>
      </c>
      <c r="J4938">
        <v>0.425462292947209</v>
      </c>
      <c r="K4938">
        <v>0.37595040654689499</v>
      </c>
      <c r="L4938">
        <v>374.01793417269499</v>
      </c>
      <c r="M4938">
        <v>6.73301170278092</v>
      </c>
      <c r="N4938">
        <v>61.304855168103302</v>
      </c>
      <c r="O4938">
        <v>51.265735899177201</v>
      </c>
      <c r="P4938">
        <v>-2.5196200312664299E-2</v>
      </c>
      <c r="Q4938">
        <v>0.23425220995889501</v>
      </c>
      <c r="R4938">
        <v>0.96036214530526498</v>
      </c>
      <c r="S4938" t="s">
        <v>10799</v>
      </c>
      <c r="T4938" t="s">
        <v>11720</v>
      </c>
      <c r="U4938" t="s">
        <v>11720</v>
      </c>
      <c r="V4938" t="s">
        <v>11720</v>
      </c>
      <c r="W4938" t="s">
        <v>16602</v>
      </c>
      <c r="X4938">
        <v>1</v>
      </c>
      <c r="Y4938" t="s">
        <v>22309</v>
      </c>
      <c r="Z4938" t="s">
        <v>28145</v>
      </c>
      <c r="AA4938">
        <v>0.64773354495825786</v>
      </c>
      <c r="AB4938" t="str">
        <f>HYPERLINK("Melting_Curves/meltCurve_Q9GZP1_NRSN2.pdf", "Melting_Curves/meltCurve_Q9GZP1_NRSN2.pdf")</f>
        <v>Melting_Curves/meltCurve_Q9GZP1_NRSN2.pdf</v>
      </c>
    </row>
    <row r="4939" spans="1:28" x14ac:dyDescent="0.25">
      <c r="A4939" t="s">
        <v>4943</v>
      </c>
      <c r="B4939">
        <v>0.99334974765950101</v>
      </c>
      <c r="C4939">
        <v>1.01279338629647</v>
      </c>
      <c r="D4939">
        <v>0.86152508021511898</v>
      </c>
      <c r="E4939">
        <v>0.746673692557414</v>
      </c>
      <c r="F4939">
        <v>0.57585527858368601</v>
      </c>
      <c r="G4939">
        <v>0.46688544032773599</v>
      </c>
      <c r="H4939">
        <v>0.40941449997276202</v>
      </c>
      <c r="I4939">
        <v>0.41920214298121999</v>
      </c>
      <c r="J4939">
        <v>0.354120970070537</v>
      </c>
      <c r="K4939">
        <v>0.208618217405453</v>
      </c>
      <c r="L4939">
        <v>605.34934338935795</v>
      </c>
      <c r="M4939">
        <v>11.517096592281201</v>
      </c>
      <c r="N4939">
        <v>56.224366399730698</v>
      </c>
      <c r="O4939">
        <v>51.051226346423498</v>
      </c>
      <c r="P4939">
        <v>-4.1526606697889101E-2</v>
      </c>
      <c r="Q4939">
        <v>0.26391684986939601</v>
      </c>
      <c r="R4939">
        <v>0.969216695708082</v>
      </c>
      <c r="S4939" t="s">
        <v>10800</v>
      </c>
      <c r="T4939" t="s">
        <v>11720</v>
      </c>
      <c r="U4939" t="s">
        <v>11720</v>
      </c>
      <c r="V4939" t="s">
        <v>11720</v>
      </c>
      <c r="W4939" t="s">
        <v>16603</v>
      </c>
      <c r="X4939">
        <v>7</v>
      </c>
      <c r="Y4939" t="s">
        <v>22310</v>
      </c>
      <c r="Z4939" t="s">
        <v>28146</v>
      </c>
      <c r="AA4939">
        <v>0.59484050016417356</v>
      </c>
      <c r="AB4939" t="str">
        <f>HYPERLINK("Melting_Curves/meltCurve_Q9GZP4_PITHD1.pdf", "Melting_Curves/meltCurve_Q9GZP4_PITHD1.pdf")</f>
        <v>Melting_Curves/meltCurve_Q9GZP4_PITHD1.pdf</v>
      </c>
    </row>
    <row r="4940" spans="1:28" x14ac:dyDescent="0.25">
      <c r="A4940" t="s">
        <v>4944</v>
      </c>
      <c r="B4940">
        <v>0.99334974765950101</v>
      </c>
      <c r="C4940">
        <v>0.94472951500573599</v>
      </c>
      <c r="D4940">
        <v>0.92183881859550298</v>
      </c>
      <c r="E4940">
        <v>0.80002964901241502</v>
      </c>
      <c r="F4940">
        <v>0.80647620258833896</v>
      </c>
      <c r="G4940">
        <v>0.57567001071329604</v>
      </c>
      <c r="H4940">
        <v>0.29054641713069501</v>
      </c>
      <c r="I4940">
        <v>0.14917551237556001</v>
      </c>
      <c r="J4940">
        <v>7.9238179521708099E-2</v>
      </c>
      <c r="K4940">
        <v>6.1693043259975197E-2</v>
      </c>
      <c r="L4940">
        <v>830.50418087948105</v>
      </c>
      <c r="M4940">
        <v>14.478997687469899</v>
      </c>
      <c r="N4940">
        <v>57.359231585705601</v>
      </c>
      <c r="O4940">
        <v>56.298381842499701</v>
      </c>
      <c r="P4940">
        <v>-6.4303258470042493E-2</v>
      </c>
      <c r="Q4940">
        <v>0</v>
      </c>
      <c r="R4940">
        <v>0.98452206814828602</v>
      </c>
      <c r="S4940" t="s">
        <v>10801</v>
      </c>
      <c r="T4940" t="s">
        <v>11720</v>
      </c>
      <c r="U4940" t="s">
        <v>11720</v>
      </c>
      <c r="V4940" t="s">
        <v>11720</v>
      </c>
      <c r="W4940" t="s">
        <v>16604</v>
      </c>
      <c r="X4940">
        <v>2</v>
      </c>
      <c r="Y4940" t="s">
        <v>22311</v>
      </c>
      <c r="Z4940" t="s">
        <v>28147</v>
      </c>
      <c r="AA4940">
        <v>0.59387395219674666</v>
      </c>
      <c r="AB4940" t="str">
        <f>HYPERLINK("Melting_Curves/meltCurve_Q9GZP9_DERL2.pdf", "Melting_Curves/meltCurve_Q9GZP9_DERL2.pdf")</f>
        <v>Melting_Curves/meltCurve_Q9GZP9_DERL2.pdf</v>
      </c>
    </row>
    <row r="4941" spans="1:28" x14ac:dyDescent="0.25">
      <c r="A4941" t="s">
        <v>4945</v>
      </c>
      <c r="B4941">
        <v>0.99334974765950101</v>
      </c>
      <c r="C4941">
        <v>1.0857827682811101</v>
      </c>
      <c r="D4941">
        <v>1.1202956891256199</v>
      </c>
      <c r="E4941">
        <v>1.1077951814645199</v>
      </c>
      <c r="F4941">
        <v>1.72536808644199</v>
      </c>
      <c r="G4941">
        <v>0.632685867934494</v>
      </c>
      <c r="H4941">
        <v>0.27978385749023998</v>
      </c>
      <c r="I4941">
        <v>0.276860204878288</v>
      </c>
      <c r="J4941">
        <v>0.202586061066689</v>
      </c>
      <c r="K4941">
        <v>0.129253046393763</v>
      </c>
      <c r="L4941">
        <v>14256.345082576099</v>
      </c>
      <c r="M4941">
        <v>250</v>
      </c>
      <c r="N4941">
        <v>57.159687770959103</v>
      </c>
      <c r="O4941">
        <v>57.0217307002534</v>
      </c>
      <c r="P4941">
        <v>-0.85261268875728602</v>
      </c>
      <c r="Q4941">
        <v>0.222120777594424</v>
      </c>
      <c r="R4941">
        <v>0.77290347035914597</v>
      </c>
      <c r="S4941" t="s">
        <v>10802</v>
      </c>
      <c r="T4941" t="s">
        <v>11720</v>
      </c>
      <c r="U4941" t="s">
        <v>11720</v>
      </c>
      <c r="V4941" t="s">
        <v>11720</v>
      </c>
      <c r="W4941" t="s">
        <v>16605</v>
      </c>
      <c r="X4941">
        <v>4</v>
      </c>
      <c r="Y4941" t="s">
        <v>22312</v>
      </c>
      <c r="Z4941" t="s">
        <v>28148</v>
      </c>
      <c r="AA4941">
        <v>0.66365494711727602</v>
      </c>
      <c r="AB4941" t="str">
        <f>HYPERLINK("Melting_Curves/meltCurve_Q9GZQ3_COMMD5.pdf", "Melting_Curves/meltCurve_Q9GZQ3_COMMD5.pdf")</f>
        <v>Melting_Curves/meltCurve_Q9GZQ3_COMMD5.pdf</v>
      </c>
    </row>
    <row r="4942" spans="1:28" x14ac:dyDescent="0.25">
      <c r="A4942" t="s">
        <v>4946</v>
      </c>
      <c r="B4942">
        <v>0.99334974765950101</v>
      </c>
      <c r="C4942">
        <v>0.999608074342487</v>
      </c>
      <c r="D4942">
        <v>1.0244026478941599</v>
      </c>
      <c r="E4942">
        <v>0.97485615446970197</v>
      </c>
      <c r="F4942">
        <v>1.73193400401828</v>
      </c>
      <c r="G4942">
        <v>0.77880329992573205</v>
      </c>
      <c r="H4942">
        <v>0.26893707149805601</v>
      </c>
      <c r="I4942">
        <v>0.20723947282532401</v>
      </c>
      <c r="J4942">
        <v>0.233669954784545</v>
      </c>
      <c r="K4942">
        <v>0.20991072211422701</v>
      </c>
      <c r="L4942">
        <v>7286.70445895587</v>
      </c>
      <c r="M4942">
        <v>126.926621325631</v>
      </c>
      <c r="N4942">
        <v>57.688544355940799</v>
      </c>
      <c r="O4942">
        <v>57.394547806755099</v>
      </c>
      <c r="P4942">
        <v>-0.42581161428497499</v>
      </c>
      <c r="Q4942">
        <v>0.229814385267434</v>
      </c>
      <c r="R4942">
        <v>0.76506096117344502</v>
      </c>
      <c r="S4942" t="s">
        <v>10803</v>
      </c>
      <c r="T4942" t="s">
        <v>11720</v>
      </c>
      <c r="U4942" t="s">
        <v>11720</v>
      </c>
      <c r="V4942" t="s">
        <v>11720</v>
      </c>
      <c r="W4942" t="s">
        <v>16606</v>
      </c>
      <c r="X4942">
        <v>12</v>
      </c>
      <c r="Y4942" t="s">
        <v>22313</v>
      </c>
      <c r="Z4942" t="s">
        <v>28149</v>
      </c>
      <c r="AA4942">
        <v>0.6770490800954424</v>
      </c>
      <c r="AB4942" t="str">
        <f>HYPERLINK("Melting_Curves/meltCurve_Q9GZS3_WDR61.pdf", "Melting_Curves/meltCurve_Q9GZS3_WDR61.pdf")</f>
        <v>Melting_Curves/meltCurve_Q9GZS3_WDR61.pdf</v>
      </c>
    </row>
    <row r="4943" spans="1:28" x14ac:dyDescent="0.25">
      <c r="A4943" t="s">
        <v>4947</v>
      </c>
      <c r="B4943">
        <v>0.99334974765950101</v>
      </c>
      <c r="C4943">
        <v>0.94752393047406203</v>
      </c>
      <c r="D4943">
        <v>0.70075611796773896</v>
      </c>
      <c r="E4943">
        <v>0.58589756511773095</v>
      </c>
      <c r="F4943">
        <v>0.68696833575528604</v>
      </c>
      <c r="G4943">
        <v>0.48425778631525002</v>
      </c>
      <c r="H4943">
        <v>0.41001332205223001</v>
      </c>
      <c r="I4943">
        <v>0.49265131701231701</v>
      </c>
      <c r="J4943">
        <v>0.49900750256750398</v>
      </c>
      <c r="K4943">
        <v>0.588149164671807</v>
      </c>
      <c r="L4943">
        <v>864.01403599740797</v>
      </c>
      <c r="M4943">
        <v>18.7627167292206</v>
      </c>
      <c r="O4943">
        <v>45.535983124654997</v>
      </c>
      <c r="P4943">
        <v>-5.04549568491683E-2</v>
      </c>
      <c r="Q4943">
        <v>0.51021595877105497</v>
      </c>
      <c r="R4943">
        <v>0.87365641478295097</v>
      </c>
      <c r="S4943" t="s">
        <v>10804</v>
      </c>
      <c r="T4943" t="s">
        <v>11720</v>
      </c>
      <c r="U4943" t="s">
        <v>11720</v>
      </c>
      <c r="V4943" t="s">
        <v>11720</v>
      </c>
      <c r="W4943" t="s">
        <v>16607</v>
      </c>
      <c r="X4943">
        <v>8</v>
      </c>
      <c r="Y4943" t="s">
        <v>22314</v>
      </c>
      <c r="Z4943" t="s">
        <v>28150</v>
      </c>
      <c r="AA4943">
        <v>0.61770634129101121</v>
      </c>
      <c r="AB4943" t="str">
        <f>HYPERLINK("Melting_Curves/meltCurve_Q9GZT3_2_SLIRP.pdf", "Melting_Curves/meltCurve_Q9GZT3_2_SLIRP.pdf")</f>
        <v>Melting_Curves/meltCurve_Q9GZT3_2_SLIRP.pdf</v>
      </c>
    </row>
    <row r="4944" spans="1:28" x14ac:dyDescent="0.25">
      <c r="A4944" t="s">
        <v>4948</v>
      </c>
      <c r="B4944">
        <v>0.99334974765950101</v>
      </c>
      <c r="C4944">
        <v>0.96782070323199298</v>
      </c>
      <c r="D4944">
        <v>0.82463434423960202</v>
      </c>
      <c r="E4944">
        <v>0.48985745595755897</v>
      </c>
      <c r="F4944">
        <v>0.194846968833812</v>
      </c>
      <c r="G4944">
        <v>0.16118171302782999</v>
      </c>
      <c r="H4944">
        <v>0.129123349058065</v>
      </c>
      <c r="I4944">
        <v>0.12522512567152999</v>
      </c>
      <c r="J4944">
        <v>8.8087377946100998E-2</v>
      </c>
      <c r="K4944">
        <v>3.1437245654345899E-2</v>
      </c>
      <c r="L4944">
        <v>1082.98005714083</v>
      </c>
      <c r="M4944">
        <v>22.022609773921801</v>
      </c>
      <c r="N4944">
        <v>49.615176949742697</v>
      </c>
      <c r="O4944">
        <v>48.775741341074401</v>
      </c>
      <c r="P4944">
        <v>-0.10287963386585</v>
      </c>
      <c r="Q4944">
        <v>8.8587857648228296E-2</v>
      </c>
      <c r="R4944">
        <v>0.99306500746720106</v>
      </c>
      <c r="S4944" t="s">
        <v>10805</v>
      </c>
      <c r="T4944" t="s">
        <v>11720</v>
      </c>
      <c r="U4944" t="s">
        <v>11720</v>
      </c>
      <c r="V4944" t="s">
        <v>11720</v>
      </c>
      <c r="W4944" t="s">
        <v>16608</v>
      </c>
      <c r="X4944">
        <v>5</v>
      </c>
      <c r="Y4944" t="s">
        <v>22315</v>
      </c>
      <c r="Z4944" t="s">
        <v>28151</v>
      </c>
      <c r="AA4944">
        <v>0.37783604369641483</v>
      </c>
      <c r="AB4944" t="str">
        <f>HYPERLINK("Melting_Curves/meltCurve_Q9GZT4_SRR.pdf", "Melting_Curves/meltCurve_Q9GZT4_SRR.pdf")</f>
        <v>Melting_Curves/meltCurve_Q9GZT4_SRR.pdf</v>
      </c>
    </row>
    <row r="4945" spans="1:28" x14ac:dyDescent="0.25">
      <c r="A4945" t="s">
        <v>4949</v>
      </c>
      <c r="B4945">
        <v>0.99334974765950101</v>
      </c>
      <c r="C4945">
        <v>0.82466564072696902</v>
      </c>
      <c r="D4945">
        <v>0.74454746314779297</v>
      </c>
      <c r="E4945">
        <v>0.74981582425899096</v>
      </c>
      <c r="F4945">
        <v>0.93328722551035403</v>
      </c>
      <c r="G4945">
        <v>0.74682306498983997</v>
      </c>
      <c r="H4945">
        <v>0.55800048836911598</v>
      </c>
      <c r="I4945">
        <v>0.38452299824150799</v>
      </c>
      <c r="J4945">
        <v>0.30263240288043503</v>
      </c>
      <c r="K4945">
        <v>0.26250497727924299</v>
      </c>
      <c r="L4945">
        <v>443.547618926361</v>
      </c>
      <c r="M4945">
        <v>7.19142399856774</v>
      </c>
      <c r="N4945">
        <v>61.677300414248698</v>
      </c>
      <c r="O4945">
        <v>57.442965667065202</v>
      </c>
      <c r="P4945">
        <v>-3.1350656680152598E-2</v>
      </c>
      <c r="Q4945">
        <v>0</v>
      </c>
      <c r="R4945">
        <v>0.82574409585181496</v>
      </c>
      <c r="S4945" t="s">
        <v>10806</v>
      </c>
      <c r="T4945" t="s">
        <v>11720</v>
      </c>
      <c r="U4945" t="s">
        <v>11720</v>
      </c>
      <c r="V4945" t="s">
        <v>11720</v>
      </c>
      <c r="W4945" t="s">
        <v>16609</v>
      </c>
      <c r="X4945">
        <v>8</v>
      </c>
      <c r="Y4945" t="s">
        <v>22316</v>
      </c>
      <c r="Z4945" t="s">
        <v>28152</v>
      </c>
      <c r="AA4945">
        <v>0.68121433666315978</v>
      </c>
      <c r="AB4945" t="str">
        <f>HYPERLINK("Melting_Curves/meltCurve_Q9GZT6_2_CCDC90B.pdf", "Melting_Curves/meltCurve_Q9GZT6_2_CCDC90B.pdf")</f>
        <v>Melting_Curves/meltCurve_Q9GZT6_2_CCDC90B.pdf</v>
      </c>
    </row>
    <row r="4946" spans="1:28" x14ac:dyDescent="0.25">
      <c r="A4946" t="s">
        <v>4950</v>
      </c>
      <c r="B4946">
        <v>0.99334974765950101</v>
      </c>
      <c r="C4946">
        <v>1.11988824531256</v>
      </c>
      <c r="D4946">
        <v>1.1603763142314201</v>
      </c>
      <c r="E4946">
        <v>1.4200017723114899</v>
      </c>
      <c r="F4946">
        <v>1.69504054435039</v>
      </c>
      <c r="G4946">
        <v>1.74824314411542</v>
      </c>
      <c r="H4946">
        <v>1.7124093998636101</v>
      </c>
      <c r="I4946">
        <v>1.7699392669088001</v>
      </c>
      <c r="J4946">
        <v>1.3388032383366699</v>
      </c>
      <c r="K4946">
        <v>0.63460786205292696</v>
      </c>
      <c r="L4946">
        <v>1726.3743095008599</v>
      </c>
      <c r="M4946">
        <v>37.035291980522899</v>
      </c>
      <c r="O4946">
        <v>46.479042748395401</v>
      </c>
      <c r="P4946">
        <v>9.5505679586314299E-2</v>
      </c>
      <c r="Q4946">
        <v>1.4794343578398701</v>
      </c>
      <c r="R4946">
        <v>0.237166127963196</v>
      </c>
      <c r="S4946" t="s">
        <v>10807</v>
      </c>
      <c r="T4946" t="s">
        <v>11720</v>
      </c>
      <c r="U4946" t="s">
        <v>11720</v>
      </c>
      <c r="V4946" t="s">
        <v>11720</v>
      </c>
      <c r="W4946" t="s">
        <v>16610</v>
      </c>
      <c r="X4946">
        <v>8</v>
      </c>
      <c r="Y4946" t="s">
        <v>22317</v>
      </c>
      <c r="Z4946" t="s">
        <v>28153</v>
      </c>
      <c r="AA4946">
        <v>1.3718942279667761</v>
      </c>
      <c r="AB4946" t="str">
        <f>HYPERLINK("Melting_Curves/meltCurve_Q9GZT8_2_NIF3L1.pdf", "Melting_Curves/meltCurve_Q9GZT8_2_NIF3L1.pdf")</f>
        <v>Melting_Curves/meltCurve_Q9GZT8_2_NIF3L1.pdf</v>
      </c>
    </row>
    <row r="4947" spans="1:28" x14ac:dyDescent="0.25">
      <c r="A4947" t="s">
        <v>4951</v>
      </c>
      <c r="B4947">
        <v>0.99334974765950101</v>
      </c>
      <c r="C4947">
        <v>0.81390000114653005</v>
      </c>
      <c r="D4947">
        <v>0.41441576274553599</v>
      </c>
      <c r="E4947">
        <v>0.35988010946597898</v>
      </c>
      <c r="F4947">
        <v>0.34098965172914802</v>
      </c>
      <c r="G4947">
        <v>0.24504193963673601</v>
      </c>
      <c r="H4947">
        <v>0.24111505660207699</v>
      </c>
      <c r="I4947">
        <v>0.299827581493877</v>
      </c>
      <c r="J4947">
        <v>0.28120978997964002</v>
      </c>
      <c r="K4947">
        <v>0.21733667540916299</v>
      </c>
      <c r="L4947">
        <v>1487.9591115344199</v>
      </c>
      <c r="M4947">
        <v>33.664950513233102</v>
      </c>
      <c r="N4947">
        <v>45.299228096117098</v>
      </c>
      <c r="O4947">
        <v>44.043972558299501</v>
      </c>
      <c r="P4947">
        <v>-0.13772520156481699</v>
      </c>
      <c r="Q4947">
        <v>0.27925751584984698</v>
      </c>
      <c r="R4947">
        <v>0.97572941282574699</v>
      </c>
      <c r="S4947" t="s">
        <v>10808</v>
      </c>
      <c r="T4947" t="s">
        <v>11720</v>
      </c>
      <c r="U4947" t="s">
        <v>11720</v>
      </c>
      <c r="V4947" t="s">
        <v>11720</v>
      </c>
      <c r="W4947" t="s">
        <v>16611</v>
      </c>
      <c r="X4947">
        <v>8</v>
      </c>
      <c r="Y4947" t="s">
        <v>22318</v>
      </c>
      <c r="Z4947" t="s">
        <v>28154</v>
      </c>
      <c r="AA4947">
        <v>0.38396551194819539</v>
      </c>
      <c r="AB4947" t="str">
        <f>HYPERLINK("Melting_Curves/meltCurve_Q9GZT9_EGLN1.pdf", "Melting_Curves/meltCurve_Q9GZT9_EGLN1.pdf")</f>
        <v>Melting_Curves/meltCurve_Q9GZT9_EGLN1.pdf</v>
      </c>
    </row>
    <row r="4948" spans="1:28" x14ac:dyDescent="0.25">
      <c r="A4948" t="s">
        <v>4952</v>
      </c>
      <c r="B4948">
        <v>0.99334974765950101</v>
      </c>
      <c r="C4948">
        <v>0.95734434516800604</v>
      </c>
      <c r="D4948">
        <v>0.95040932569848502</v>
      </c>
      <c r="E4948">
        <v>0.56403295022450695</v>
      </c>
      <c r="F4948">
        <v>0.25415708544736298</v>
      </c>
      <c r="G4948">
        <v>0.19706364248459601</v>
      </c>
      <c r="H4948">
        <v>0.131039812237355</v>
      </c>
      <c r="I4948">
        <v>0.17425037325423501</v>
      </c>
      <c r="J4948">
        <v>0.134795545947064</v>
      </c>
      <c r="K4948">
        <v>9.9127432701829901E-2</v>
      </c>
      <c r="L4948">
        <v>1522.3117267955199</v>
      </c>
      <c r="M4948">
        <v>30.482591867959901</v>
      </c>
      <c r="N4948">
        <v>50.486138321707301</v>
      </c>
      <c r="O4948">
        <v>49.726907235822303</v>
      </c>
      <c r="P4948">
        <v>-0.13173931102902001</v>
      </c>
      <c r="Q4948">
        <v>0.14036855259025</v>
      </c>
      <c r="R4948">
        <v>0.99542520368012</v>
      </c>
      <c r="S4948" t="s">
        <v>10809</v>
      </c>
      <c r="T4948" t="s">
        <v>11720</v>
      </c>
      <c r="U4948" t="s">
        <v>11720</v>
      </c>
      <c r="V4948" t="s">
        <v>11720</v>
      </c>
      <c r="W4948" t="s">
        <v>16612</v>
      </c>
      <c r="X4948">
        <v>2</v>
      </c>
      <c r="Y4948" t="s">
        <v>22319</v>
      </c>
      <c r="Z4948" t="s">
        <v>28155</v>
      </c>
      <c r="AA4948">
        <v>0.43034644892846108</v>
      </c>
      <c r="AB4948" t="str">
        <f>HYPERLINK("Melting_Curves/meltCurve_Q9GZU7_CTDSP1.pdf", "Melting_Curves/meltCurve_Q9GZU7_CTDSP1.pdf")</f>
        <v>Melting_Curves/meltCurve_Q9GZU7_CTDSP1.pdf</v>
      </c>
    </row>
    <row r="4949" spans="1:28" x14ac:dyDescent="0.25">
      <c r="A4949" t="s">
        <v>4953</v>
      </c>
      <c r="B4949">
        <v>0.99334974765950101</v>
      </c>
      <c r="C4949">
        <v>0.92580766635487399</v>
      </c>
      <c r="D4949">
        <v>0.83854103745397701</v>
      </c>
      <c r="E4949">
        <v>0.80259352939308304</v>
      </c>
      <c r="F4949">
        <v>0.91326013883698698</v>
      </c>
      <c r="G4949">
        <v>0.73046249000875396</v>
      </c>
      <c r="H4949">
        <v>0.73931233482553105</v>
      </c>
      <c r="I4949">
        <v>0.79986607643126495</v>
      </c>
      <c r="J4949">
        <v>0.99004488331305696</v>
      </c>
      <c r="K4949">
        <v>0.87613437882635703</v>
      </c>
      <c r="L4949">
        <v>2406.1899296695601</v>
      </c>
      <c r="M4949">
        <v>55.905715508088598</v>
      </c>
      <c r="O4949">
        <v>42.985178199537899</v>
      </c>
      <c r="P4949">
        <v>-5.34067040490043E-2</v>
      </c>
      <c r="Q4949">
        <v>0.83574521605884999</v>
      </c>
      <c r="R4949">
        <v>0.32891719973715</v>
      </c>
      <c r="S4949" t="s">
        <v>10810</v>
      </c>
      <c r="T4949" t="s">
        <v>11720</v>
      </c>
      <c r="U4949" t="s">
        <v>11720</v>
      </c>
      <c r="V4949" t="s">
        <v>11720</v>
      </c>
      <c r="W4949" t="s">
        <v>16613</v>
      </c>
      <c r="X4949">
        <v>16</v>
      </c>
      <c r="Y4949" t="s">
        <v>22320</v>
      </c>
      <c r="Z4949" t="s">
        <v>28156</v>
      </c>
      <c r="AA4949">
        <v>0.85268960736635557</v>
      </c>
      <c r="AB4949" t="str">
        <f>HYPERLINK("Melting_Curves/meltCurve_Q9GZU8_FAM192A.pdf", "Melting_Curves/meltCurve_Q9GZU8_FAM192A.pdf")</f>
        <v>Melting_Curves/meltCurve_Q9GZU8_FAM192A.pdf</v>
      </c>
    </row>
    <row r="4950" spans="1:28" x14ac:dyDescent="0.25">
      <c r="A4950" t="s">
        <v>4954</v>
      </c>
      <c r="B4950">
        <v>0.99334974765950101</v>
      </c>
      <c r="C4950">
        <v>0.96533818756379997</v>
      </c>
      <c r="D4950">
        <v>0.90040427180889704</v>
      </c>
      <c r="E4950">
        <v>0.79992270895365503</v>
      </c>
      <c r="F4950">
        <v>0.59989978080876405</v>
      </c>
      <c r="G4950">
        <v>0.42024586940553499</v>
      </c>
      <c r="H4950">
        <v>0.28830621606013501</v>
      </c>
      <c r="I4950">
        <v>0.209596279439279</v>
      </c>
      <c r="J4950">
        <v>0.29226357151848298</v>
      </c>
      <c r="K4950">
        <v>0.27707871437264497</v>
      </c>
      <c r="L4950">
        <v>870.34430268550705</v>
      </c>
      <c r="M4950">
        <v>16.504624769205201</v>
      </c>
      <c r="N4950">
        <v>54.826838478308701</v>
      </c>
      <c r="O4950">
        <v>51.9774227839562</v>
      </c>
      <c r="P4950">
        <v>-6.08312275203481E-2</v>
      </c>
      <c r="Q4950">
        <v>0.23375842708612801</v>
      </c>
      <c r="R4950">
        <v>0.98989711257048896</v>
      </c>
      <c r="S4950" t="s">
        <v>10811</v>
      </c>
      <c r="T4950" t="s">
        <v>11720</v>
      </c>
      <c r="U4950" t="s">
        <v>11720</v>
      </c>
      <c r="V4950" t="s">
        <v>11720</v>
      </c>
      <c r="W4950" t="s">
        <v>16614</v>
      </c>
      <c r="X4950">
        <v>8</v>
      </c>
      <c r="Y4950" t="s">
        <v>22321</v>
      </c>
      <c r="Z4950" t="s">
        <v>28157</v>
      </c>
      <c r="AA4950">
        <v>0.57345082262660796</v>
      </c>
      <c r="AB4950" t="str">
        <f>HYPERLINK("Melting_Curves/meltCurve_Q9GZV5_WWTR1.pdf", "Melting_Curves/meltCurve_Q9GZV5_WWTR1.pdf")</f>
        <v>Melting_Curves/meltCurve_Q9GZV5_WWTR1.pdf</v>
      </c>
    </row>
    <row r="4951" spans="1:28" x14ac:dyDescent="0.25">
      <c r="A4951" t="s">
        <v>4955</v>
      </c>
      <c r="B4951">
        <v>0.99334974765950101</v>
      </c>
      <c r="C4951">
        <v>1.0918441238149199</v>
      </c>
      <c r="D4951">
        <v>0.97360558333712399</v>
      </c>
      <c r="E4951">
        <v>1.0692619461028099</v>
      </c>
      <c r="F4951">
        <v>0.94985998037640995</v>
      </c>
      <c r="G4951">
        <v>0.79225420749870601</v>
      </c>
      <c r="H4951">
        <v>0.78142638085223204</v>
      </c>
      <c r="I4951">
        <v>1.02252443303511</v>
      </c>
      <c r="J4951">
        <v>1.34433837640507</v>
      </c>
      <c r="K4951">
        <v>1.1469734375481999</v>
      </c>
      <c r="L4951">
        <v>15000</v>
      </c>
      <c r="M4951">
        <v>232.09705042264</v>
      </c>
      <c r="O4951">
        <v>64.623338385821</v>
      </c>
      <c r="P4951">
        <v>0.22057514048351501</v>
      </c>
      <c r="Q4951">
        <v>1.24566106262337</v>
      </c>
      <c r="R4951">
        <v>0.48276157100438799</v>
      </c>
      <c r="S4951" t="s">
        <v>10812</v>
      </c>
      <c r="T4951" t="s">
        <v>11720</v>
      </c>
      <c r="U4951" t="s">
        <v>11720</v>
      </c>
      <c r="V4951" t="s">
        <v>11720</v>
      </c>
      <c r="W4951" t="s">
        <v>16615</v>
      </c>
      <c r="X4951">
        <v>6</v>
      </c>
      <c r="Y4951" t="s">
        <v>22322</v>
      </c>
      <c r="Z4951" t="s">
        <v>28158</v>
      </c>
      <c r="AA4951">
        <v>1.0439562561860141</v>
      </c>
      <c r="AB4951" t="str">
        <f>HYPERLINK("Melting_Curves/meltCurve_Q9GZX9_TWSG1.pdf", "Melting_Curves/meltCurve_Q9GZX9_TWSG1.pdf")</f>
        <v>Melting_Curves/meltCurve_Q9GZX9_TWSG1.pdf</v>
      </c>
    </row>
    <row r="4952" spans="1:28" x14ac:dyDescent="0.25">
      <c r="A4952" t="s">
        <v>4956</v>
      </c>
      <c r="B4952">
        <v>0.99334974765950101</v>
      </c>
      <c r="C4952">
        <v>0.94992011296271806</v>
      </c>
      <c r="D4952">
        <v>0.90488285865463003</v>
      </c>
      <c r="E4952">
        <v>0.73994652927647697</v>
      </c>
      <c r="F4952">
        <v>0.71106901104046705</v>
      </c>
      <c r="G4952">
        <v>0.49647879893512098</v>
      </c>
      <c r="H4952">
        <v>0.21173085708087899</v>
      </c>
      <c r="I4952">
        <v>9.7162757267342498E-2</v>
      </c>
      <c r="J4952">
        <v>7.24945705732956E-2</v>
      </c>
      <c r="K4952">
        <v>5.2084968397407901E-2</v>
      </c>
      <c r="L4952">
        <v>739.60892066905103</v>
      </c>
      <c r="M4952">
        <v>13.2831919377753</v>
      </c>
      <c r="N4952">
        <v>55.6800628376674</v>
      </c>
      <c r="O4952">
        <v>54.463492271089997</v>
      </c>
      <c r="P4952">
        <v>-6.0982821909337598E-2</v>
      </c>
      <c r="Q4952">
        <v>0</v>
      </c>
      <c r="R4952">
        <v>0.98455575524051897</v>
      </c>
      <c r="S4952" t="s">
        <v>10813</v>
      </c>
      <c r="T4952" t="s">
        <v>11720</v>
      </c>
      <c r="U4952" t="s">
        <v>11720</v>
      </c>
      <c r="V4952" t="s">
        <v>11720</v>
      </c>
      <c r="W4952" t="s">
        <v>16616</v>
      </c>
      <c r="X4952">
        <v>13</v>
      </c>
      <c r="Y4952" t="s">
        <v>22323</v>
      </c>
      <c r="Z4952" t="s">
        <v>28159</v>
      </c>
      <c r="AA4952">
        <v>0.54282813376996575</v>
      </c>
      <c r="AB4952" t="str">
        <f>HYPERLINK("Melting_Curves/meltCurve_Q9GZZ9_UBA5.pdf", "Melting_Curves/meltCurve_Q9GZZ9_UBA5.pdf")</f>
        <v>Melting_Curves/meltCurve_Q9GZZ9_UBA5.pdf</v>
      </c>
    </row>
    <row r="4953" spans="1:28" x14ac:dyDescent="0.25">
      <c r="A4953" t="s">
        <v>4957</v>
      </c>
      <c r="B4953">
        <v>0.99334974765950101</v>
      </c>
      <c r="C4953">
        <v>0.95322881493857903</v>
      </c>
      <c r="D4953">
        <v>0.887655558579583</v>
      </c>
      <c r="E4953">
        <v>0.79769199047660599</v>
      </c>
      <c r="F4953">
        <v>0.66801639802474599</v>
      </c>
      <c r="G4953">
        <v>0.44249771669146798</v>
      </c>
      <c r="H4953">
        <v>0.123436257707479</v>
      </c>
      <c r="I4953">
        <v>4.4973590590778399E-2</v>
      </c>
      <c r="J4953">
        <v>2.8383094732149599E-2</v>
      </c>
      <c r="K4953">
        <v>2.2730853263938401E-2</v>
      </c>
      <c r="L4953">
        <v>881.61586095957898</v>
      </c>
      <c r="M4953">
        <v>16.013193618466399</v>
      </c>
      <c r="N4953">
        <v>55.055587254046102</v>
      </c>
      <c r="O4953">
        <v>54.218445475006803</v>
      </c>
      <c r="P4953">
        <v>-7.38422375301864E-2</v>
      </c>
      <c r="Q4953">
        <v>0</v>
      </c>
      <c r="R4953">
        <v>0.98699004124872003</v>
      </c>
      <c r="S4953" t="s">
        <v>10814</v>
      </c>
      <c r="T4953" t="s">
        <v>11720</v>
      </c>
      <c r="U4953" t="s">
        <v>11720</v>
      </c>
      <c r="V4953" t="s">
        <v>11720</v>
      </c>
      <c r="W4953" t="s">
        <v>16617</v>
      </c>
      <c r="X4953">
        <v>5</v>
      </c>
      <c r="Y4953" t="s">
        <v>22324</v>
      </c>
      <c r="Z4953" t="s">
        <v>28160</v>
      </c>
      <c r="AA4953">
        <v>0.51971964150545125</v>
      </c>
      <c r="AB4953" t="str">
        <f>HYPERLINK("Melting_Curves/meltCurve_Q9H008_LHPP.pdf", "Melting_Curves/meltCurve_Q9H008_LHPP.pdf")</f>
        <v>Melting_Curves/meltCurve_Q9H008_LHPP.pdf</v>
      </c>
    </row>
    <row r="4954" spans="1:28" x14ac:dyDescent="0.25">
      <c r="A4954" t="s">
        <v>4958</v>
      </c>
      <c r="B4954">
        <v>0.99334974765950101</v>
      </c>
      <c r="C4954">
        <v>0.87100863666130701</v>
      </c>
      <c r="D4954">
        <v>0.67181539506325205</v>
      </c>
      <c r="E4954">
        <v>0.40383337475890901</v>
      </c>
      <c r="F4954">
        <v>0.26519579594771298</v>
      </c>
      <c r="G4954">
        <v>0.22475807518328</v>
      </c>
      <c r="H4954">
        <v>0.19467860839269699</v>
      </c>
      <c r="I4954">
        <v>0.124541146197473</v>
      </c>
      <c r="J4954">
        <v>0.14460172702958099</v>
      </c>
      <c r="K4954">
        <v>0.112134821008379</v>
      </c>
      <c r="L4954">
        <v>760.60709965537296</v>
      </c>
      <c r="M4954">
        <v>15.9980841881633</v>
      </c>
      <c r="N4954">
        <v>48.502466894990398</v>
      </c>
      <c r="O4954">
        <v>46.819397550586103</v>
      </c>
      <c r="P4954">
        <v>-7.3849658684880304E-2</v>
      </c>
      <c r="Q4954">
        <v>0.13556548486339601</v>
      </c>
      <c r="R4954">
        <v>0.99480891899458002</v>
      </c>
      <c r="S4954" t="s">
        <v>10815</v>
      </c>
      <c r="T4954" t="s">
        <v>11720</v>
      </c>
      <c r="U4954" t="s">
        <v>11720</v>
      </c>
      <c r="V4954" t="s">
        <v>11720</v>
      </c>
      <c r="W4954" t="s">
        <v>16618</v>
      </c>
      <c r="X4954">
        <v>2</v>
      </c>
      <c r="Y4954" t="s">
        <v>22325</v>
      </c>
      <c r="Z4954" t="s">
        <v>28161</v>
      </c>
      <c r="AA4954">
        <v>0.37288559542181282</v>
      </c>
      <c r="AB4954" t="str">
        <f>HYPERLINK("Melting_Curves/meltCurve_Q9H019_3_MTFR1L.pdf", "Melting_Curves/meltCurve_Q9H019_3_MTFR1L.pdf")</f>
        <v>Melting_Curves/meltCurve_Q9H019_3_MTFR1L.pdf</v>
      </c>
    </row>
    <row r="4955" spans="1:28" x14ac:dyDescent="0.25">
      <c r="A4955" t="s">
        <v>4959</v>
      </c>
      <c r="B4955">
        <v>0.99334974765950101</v>
      </c>
      <c r="C4955">
        <v>0.89715212644646303</v>
      </c>
      <c r="D4955">
        <v>0.64953480249554996</v>
      </c>
      <c r="E4955">
        <v>0.70235927119991404</v>
      </c>
      <c r="F4955">
        <v>0.48908337936698798</v>
      </c>
      <c r="G4955">
        <v>0.471102605971847</v>
      </c>
      <c r="H4955">
        <v>0.27434807312028098</v>
      </c>
      <c r="I4955">
        <v>0.32510163762891398</v>
      </c>
      <c r="J4955">
        <v>0.29334811111075199</v>
      </c>
      <c r="K4955">
        <v>0.27302075413368698</v>
      </c>
      <c r="L4955">
        <v>462.73496773753601</v>
      </c>
      <c r="M4955">
        <v>9.18139268755559</v>
      </c>
      <c r="N4955">
        <v>53.644909420371498</v>
      </c>
      <c r="O4955">
        <v>48.181157179832198</v>
      </c>
      <c r="P4955">
        <v>-3.7512722587296002E-2</v>
      </c>
      <c r="Q4955">
        <v>0.213108405777761</v>
      </c>
      <c r="R4955">
        <v>0.94471958355579899</v>
      </c>
      <c r="S4955" t="s">
        <v>10816</v>
      </c>
      <c r="T4955" t="s">
        <v>11720</v>
      </c>
      <c r="U4955" t="s">
        <v>11720</v>
      </c>
      <c r="V4955" t="s">
        <v>11720</v>
      </c>
      <c r="W4955" t="s">
        <v>16619</v>
      </c>
      <c r="X4955">
        <v>8</v>
      </c>
      <c r="Y4955" t="s">
        <v>22326</v>
      </c>
      <c r="Z4955" t="s">
        <v>28162</v>
      </c>
      <c r="AA4955">
        <v>0.52425114206955314</v>
      </c>
      <c r="AB4955" t="str">
        <f>HYPERLINK("Melting_Curves/meltCurve_Q9H029_DKFZp434B2017.pdf", "Melting_Curves/meltCurve_Q9H029_DKFZp434B2017.pdf")</f>
        <v>Melting_Curves/meltCurve_Q9H029_DKFZp434B2017.pdf</v>
      </c>
    </row>
    <row r="4956" spans="1:28" x14ac:dyDescent="0.25">
      <c r="A4956" t="s">
        <v>4960</v>
      </c>
      <c r="B4956">
        <v>0.99334974765950101</v>
      </c>
      <c r="C4956">
        <v>0.969816483188643</v>
      </c>
      <c r="D4956">
        <v>1.0274618314534001</v>
      </c>
      <c r="E4956">
        <v>0.91483209965061796</v>
      </c>
      <c r="F4956">
        <v>0.81349266999141401</v>
      </c>
      <c r="G4956">
        <v>0.50890388684445897</v>
      </c>
      <c r="H4956">
        <v>0.34650982025272897</v>
      </c>
      <c r="I4956">
        <v>0.180490500850504</v>
      </c>
      <c r="J4956">
        <v>0.12641424009118399</v>
      </c>
      <c r="K4956">
        <v>9.6288628873927404E-2</v>
      </c>
      <c r="L4956">
        <v>938.91163005574106</v>
      </c>
      <c r="M4956">
        <v>16.398905274845902</v>
      </c>
      <c r="N4956">
        <v>57.635697689387797</v>
      </c>
      <c r="O4956">
        <v>56.4234486682682</v>
      </c>
      <c r="P4956">
        <v>-6.8930952048184793E-2</v>
      </c>
      <c r="Q4956">
        <v>5.1389085095119101E-2</v>
      </c>
      <c r="R4956">
        <v>0.99554136677333305</v>
      </c>
      <c r="S4956" t="s">
        <v>10817</v>
      </c>
      <c r="T4956" t="s">
        <v>11720</v>
      </c>
      <c r="U4956" t="s">
        <v>11720</v>
      </c>
      <c r="V4956" t="s">
        <v>11720</v>
      </c>
      <c r="W4956" t="s">
        <v>16620</v>
      </c>
      <c r="X4956">
        <v>10</v>
      </c>
      <c r="Y4956" t="s">
        <v>22327</v>
      </c>
      <c r="Z4956" t="s">
        <v>28163</v>
      </c>
      <c r="AA4956">
        <v>0.61070925743750193</v>
      </c>
      <c r="AB4956" t="str">
        <f>HYPERLINK("Melting_Curves/meltCurve_Q9H074_PAIP1.pdf", "Melting_Curves/meltCurve_Q9H074_PAIP1.pdf")</f>
        <v>Melting_Curves/meltCurve_Q9H074_PAIP1.pdf</v>
      </c>
    </row>
    <row r="4957" spans="1:28" x14ac:dyDescent="0.25">
      <c r="A4957" t="s">
        <v>4961</v>
      </c>
      <c r="B4957">
        <v>0.99334974765950101</v>
      </c>
      <c r="C4957">
        <v>0.96963206995918005</v>
      </c>
      <c r="D4957">
        <v>1.0010200050846201</v>
      </c>
      <c r="E4957">
        <v>0.85826508115808098</v>
      </c>
      <c r="F4957">
        <v>0.305794555490285</v>
      </c>
      <c r="G4957">
        <v>0.147695006480005</v>
      </c>
      <c r="H4957">
        <v>9.6138827418313796E-2</v>
      </c>
      <c r="I4957">
        <v>8.26383662028745E-2</v>
      </c>
      <c r="J4957">
        <v>8.2268350678736502E-2</v>
      </c>
      <c r="K4957">
        <v>6.9396676279378802E-2</v>
      </c>
      <c r="L4957">
        <v>2466.4515640991199</v>
      </c>
      <c r="M4957">
        <v>47.678750502122398</v>
      </c>
      <c r="N4957">
        <v>51.953235926292798</v>
      </c>
      <c r="O4957">
        <v>51.6398668028137</v>
      </c>
      <c r="P4957">
        <v>-0.20949855790857599</v>
      </c>
      <c r="Q4957">
        <v>9.2386745930761502E-2</v>
      </c>
      <c r="R4957">
        <v>0.99778212849690295</v>
      </c>
      <c r="S4957" t="s">
        <v>10818</v>
      </c>
      <c r="T4957" t="s">
        <v>11720</v>
      </c>
      <c r="U4957" t="s">
        <v>11720</v>
      </c>
      <c r="V4957" t="s">
        <v>11720</v>
      </c>
      <c r="W4957" t="s">
        <v>16621</v>
      </c>
      <c r="X4957">
        <v>12</v>
      </c>
      <c r="Y4957" t="s">
        <v>22328</v>
      </c>
      <c r="Z4957" t="s">
        <v>28164</v>
      </c>
      <c r="AA4957">
        <v>0.44956109963111418</v>
      </c>
      <c r="AB4957" t="str">
        <f>HYPERLINK("Melting_Curves/meltCurve_Q9H078_2_CLPB.pdf", "Melting_Curves/meltCurve_Q9H078_2_CLPB.pdf")</f>
        <v>Melting_Curves/meltCurve_Q9H078_2_CLPB.pdf</v>
      </c>
    </row>
    <row r="4958" spans="1:28" x14ac:dyDescent="0.25">
      <c r="A4958" t="s">
        <v>4962</v>
      </c>
      <c r="B4958">
        <v>0.99334974765950101</v>
      </c>
      <c r="C4958">
        <v>0.83428027220175005</v>
      </c>
      <c r="D4958">
        <v>0.85506142736448199</v>
      </c>
      <c r="E4958">
        <v>0.72214296238431497</v>
      </c>
      <c r="F4958">
        <v>0.56190243260467598</v>
      </c>
      <c r="G4958">
        <v>0.30553089563272701</v>
      </c>
      <c r="H4958">
        <v>0.17227296708619699</v>
      </c>
      <c r="I4958">
        <v>0.124882211262227</v>
      </c>
      <c r="J4958">
        <v>9.7349849650064199E-2</v>
      </c>
      <c r="K4958">
        <v>6.4733936444411694E-2</v>
      </c>
      <c r="L4958">
        <v>607.32763683625205</v>
      </c>
      <c r="M4958">
        <v>11.3586478352582</v>
      </c>
      <c r="N4958">
        <v>53.468303182859401</v>
      </c>
      <c r="O4958">
        <v>51.891476642986198</v>
      </c>
      <c r="P4958">
        <v>-5.4739404465187401E-2</v>
      </c>
      <c r="Q4958">
        <v>0</v>
      </c>
      <c r="R4958">
        <v>0.98628829875055901</v>
      </c>
      <c r="S4958" t="s">
        <v>10819</v>
      </c>
      <c r="T4958" t="s">
        <v>11720</v>
      </c>
      <c r="U4958" t="s">
        <v>11720</v>
      </c>
      <c r="V4958" t="s">
        <v>11720</v>
      </c>
      <c r="W4958" t="s">
        <v>16622</v>
      </c>
      <c r="X4958">
        <v>7</v>
      </c>
      <c r="Y4958" t="s">
        <v>22329</v>
      </c>
      <c r="Z4958" t="s">
        <v>28165</v>
      </c>
      <c r="AA4958">
        <v>0.4778842471997849</v>
      </c>
      <c r="AB4958" t="str">
        <f>HYPERLINK("Melting_Curves/meltCurve_Q9H082_RAB33B.pdf", "Melting_Curves/meltCurve_Q9H082_RAB33B.pdf")</f>
        <v>Melting_Curves/meltCurve_Q9H082_RAB33B.pdf</v>
      </c>
    </row>
    <row r="4959" spans="1:28" x14ac:dyDescent="0.25">
      <c r="A4959" t="s">
        <v>4963</v>
      </c>
      <c r="B4959">
        <v>0.99334974765950101</v>
      </c>
      <c r="C4959">
        <v>1.00170894248092</v>
      </c>
      <c r="D4959">
        <v>0.84510989640842704</v>
      </c>
      <c r="E4959">
        <v>0.83708975809741604</v>
      </c>
      <c r="F4959">
        <v>0.786314460486225</v>
      </c>
      <c r="G4959">
        <v>0.68269118848854304</v>
      </c>
      <c r="H4959">
        <v>0.68364343763521196</v>
      </c>
      <c r="I4959">
        <v>1.10815394147566</v>
      </c>
      <c r="J4959">
        <v>0.97962606359011695</v>
      </c>
      <c r="K4959">
        <v>0.91034999760626101</v>
      </c>
      <c r="L4959">
        <v>11064.289836804001</v>
      </c>
      <c r="M4959">
        <v>250</v>
      </c>
      <c r="O4959">
        <v>44.254329315212502</v>
      </c>
      <c r="P4959">
        <v>-0.206020201056346</v>
      </c>
      <c r="Q4959">
        <v>0.85412343402547697</v>
      </c>
      <c r="R4959">
        <v>0.182932663008498</v>
      </c>
      <c r="S4959" t="s">
        <v>10820</v>
      </c>
      <c r="T4959" t="s">
        <v>11720</v>
      </c>
      <c r="U4959" t="s">
        <v>11720</v>
      </c>
      <c r="V4959" t="s">
        <v>11720</v>
      </c>
      <c r="W4959" t="s">
        <v>16623</v>
      </c>
      <c r="X4959">
        <v>12</v>
      </c>
      <c r="Y4959" t="s">
        <v>22330</v>
      </c>
      <c r="Z4959" t="s">
        <v>28166</v>
      </c>
      <c r="AA4959">
        <v>0.87483542389559721</v>
      </c>
      <c r="AB4959" t="str">
        <f>HYPERLINK("Melting_Curves/meltCurve_Q9H098_FAM107B.pdf", "Melting_Curves/meltCurve_Q9H098_FAM107B.pdf")</f>
        <v>Melting_Curves/meltCurve_Q9H098_FAM107B.pdf</v>
      </c>
    </row>
    <row r="4960" spans="1:28" x14ac:dyDescent="0.25">
      <c r="A4960" t="s">
        <v>4964</v>
      </c>
      <c r="B4960">
        <v>0.99334974765950101</v>
      </c>
      <c r="C4960">
        <v>1.0112833392221701</v>
      </c>
      <c r="D4960">
        <v>0.97375402460806004</v>
      </c>
      <c r="E4960">
        <v>0.80195219651914895</v>
      </c>
      <c r="F4960">
        <v>0.50662910369576797</v>
      </c>
      <c r="G4960">
        <v>0.396992383504227</v>
      </c>
      <c r="H4960">
        <v>0.33307858627760401</v>
      </c>
      <c r="I4960">
        <v>0.39310708720667698</v>
      </c>
      <c r="J4960">
        <v>0.37484990534114099</v>
      </c>
      <c r="K4960">
        <v>0.300511507472141</v>
      </c>
      <c r="L4960">
        <v>1648.74766522914</v>
      </c>
      <c r="M4960">
        <v>32.198291958546697</v>
      </c>
      <c r="N4960">
        <v>53.227398224129402</v>
      </c>
      <c r="O4960">
        <v>51.0097547018228</v>
      </c>
      <c r="P4960">
        <v>-0.102133221855777</v>
      </c>
      <c r="Q4960">
        <v>0.35278991168717999</v>
      </c>
      <c r="R4960">
        <v>0.99239925186828004</v>
      </c>
      <c r="S4960" t="s">
        <v>10821</v>
      </c>
      <c r="T4960" t="s">
        <v>11720</v>
      </c>
      <c r="U4960" t="s">
        <v>11720</v>
      </c>
      <c r="V4960" t="s">
        <v>11720</v>
      </c>
      <c r="W4960" t="s">
        <v>16624</v>
      </c>
      <c r="X4960">
        <v>8</v>
      </c>
      <c r="Y4960" t="s">
        <v>22331</v>
      </c>
      <c r="Z4960" t="s">
        <v>28167</v>
      </c>
      <c r="AA4960">
        <v>0.59808954745154841</v>
      </c>
      <c r="AB4960" t="str">
        <f>HYPERLINK("Melting_Curves/meltCurve_Q9H0B6_2_KLC2.pdf", "Melting_Curves/meltCurve_Q9H0B6_2_KLC2.pdf")</f>
        <v>Melting_Curves/meltCurve_Q9H0B6_2_KLC2.pdf</v>
      </c>
    </row>
    <row r="4961" spans="1:28" x14ac:dyDescent="0.25">
      <c r="A4961" t="s">
        <v>4965</v>
      </c>
      <c r="B4961">
        <v>0.99334974765950101</v>
      </c>
      <c r="C4961">
        <v>0.97343544495588996</v>
      </c>
      <c r="D4961">
        <v>0.80906624501012503</v>
      </c>
      <c r="E4961">
        <v>0.44093622135753502</v>
      </c>
      <c r="F4961">
        <v>0.31142451359260098</v>
      </c>
      <c r="G4961">
        <v>0.20815317359618399</v>
      </c>
      <c r="H4961">
        <v>0.20974871693655101</v>
      </c>
      <c r="I4961">
        <v>0.15936800929294001</v>
      </c>
      <c r="J4961">
        <v>0.16229718066615401</v>
      </c>
      <c r="K4961">
        <v>0.120175054395306</v>
      </c>
      <c r="L4961">
        <v>1010.91572149527</v>
      </c>
      <c r="M4961">
        <v>20.781391255008302</v>
      </c>
      <c r="N4961">
        <v>49.570515330578999</v>
      </c>
      <c r="O4961">
        <v>48.2015239474864</v>
      </c>
      <c r="P4961">
        <v>-9.0459010505966303E-2</v>
      </c>
      <c r="Q4961">
        <v>0.160760859210621</v>
      </c>
      <c r="R4961">
        <v>0.99562824950029105</v>
      </c>
      <c r="S4961" t="s">
        <v>10822</v>
      </c>
      <c r="T4961" t="s">
        <v>11720</v>
      </c>
      <c r="U4961" t="s">
        <v>11720</v>
      </c>
      <c r="V4961" t="s">
        <v>11720</v>
      </c>
      <c r="W4961" t="s">
        <v>16625</v>
      </c>
      <c r="X4961">
        <v>6</v>
      </c>
      <c r="Y4961" t="s">
        <v>22332</v>
      </c>
      <c r="Z4961" t="s">
        <v>28168</v>
      </c>
      <c r="AA4961">
        <v>0.41351054766579493</v>
      </c>
      <c r="AB4961" t="str">
        <f>HYPERLINK("Melting_Curves/meltCurve_Q9H0C8_ILKAP.pdf", "Melting_Curves/meltCurve_Q9H0C8_ILKAP.pdf")</f>
        <v>Melting_Curves/meltCurve_Q9H0C8_ILKAP.pdf</v>
      </c>
    </row>
    <row r="4962" spans="1:28" x14ac:dyDescent="0.25">
      <c r="A4962" t="s">
        <v>4966</v>
      </c>
      <c r="B4962">
        <v>0.99334974765950101</v>
      </c>
      <c r="C4962">
        <v>1.02203992793648</v>
      </c>
      <c r="D4962">
        <v>1.05577794365628</v>
      </c>
      <c r="E4962">
        <v>1.06501475709801</v>
      </c>
      <c r="F4962">
        <v>1.0934508256697399</v>
      </c>
      <c r="G4962">
        <v>0.97946179423804602</v>
      </c>
      <c r="H4962">
        <v>0.88386533494891695</v>
      </c>
      <c r="I4962">
        <v>0.87894481118248002</v>
      </c>
      <c r="J4962">
        <v>0.46887915312510497</v>
      </c>
      <c r="K4962">
        <v>0.221070209500978</v>
      </c>
      <c r="L4962">
        <v>2605.6106135226901</v>
      </c>
      <c r="M4962">
        <v>39.198935133621902</v>
      </c>
      <c r="N4962">
        <v>66.882244000632198</v>
      </c>
      <c r="O4962">
        <v>66.299171658480006</v>
      </c>
      <c r="P4962">
        <v>-0.13199796131650299</v>
      </c>
      <c r="Q4962">
        <v>0.10698229378374099</v>
      </c>
      <c r="R4962">
        <v>0.96418832412151301</v>
      </c>
      <c r="S4962" t="s">
        <v>10823</v>
      </c>
      <c r="T4962" t="s">
        <v>11720</v>
      </c>
      <c r="U4962" t="s">
        <v>11720</v>
      </c>
      <c r="V4962" t="s">
        <v>11720</v>
      </c>
      <c r="W4962" t="s">
        <v>16626</v>
      </c>
      <c r="X4962">
        <v>17</v>
      </c>
      <c r="Y4962" t="s">
        <v>22333</v>
      </c>
      <c r="Z4962" t="s">
        <v>28169</v>
      </c>
      <c r="AA4962">
        <v>0.89153232005496941</v>
      </c>
      <c r="AB4962" t="str">
        <f>HYPERLINK("Melting_Curves/meltCurve_Q9H0D6_XRN2.pdf", "Melting_Curves/meltCurve_Q9H0D6_XRN2.pdf")</f>
        <v>Melting_Curves/meltCurve_Q9H0D6_XRN2.pdf</v>
      </c>
    </row>
    <row r="4963" spans="1:28" x14ac:dyDescent="0.25">
      <c r="A4963" t="s">
        <v>4967</v>
      </c>
      <c r="B4963">
        <v>0.99334974765950101</v>
      </c>
      <c r="C4963">
        <v>0.94075302262071003</v>
      </c>
      <c r="D4963">
        <v>0.86810892669584205</v>
      </c>
      <c r="E4963">
        <v>0.72888914933635296</v>
      </c>
      <c r="F4963">
        <v>0.31265214150438803</v>
      </c>
      <c r="G4963">
        <v>0.129979232219605</v>
      </c>
      <c r="H4963">
        <v>9.10681918209435E-2</v>
      </c>
      <c r="I4963">
        <v>7.8370868265183996E-2</v>
      </c>
      <c r="J4963">
        <v>7.9346007343238101E-2</v>
      </c>
      <c r="K4963">
        <v>7.3701759010804099E-2</v>
      </c>
      <c r="L4963">
        <v>1320.1926915766201</v>
      </c>
      <c r="M4963">
        <v>25.7732810064884</v>
      </c>
      <c r="N4963">
        <v>51.529929429441701</v>
      </c>
      <c r="O4963">
        <v>50.917915373691201</v>
      </c>
      <c r="P4963">
        <v>-0.11754874576385101</v>
      </c>
      <c r="Q4963">
        <v>7.1089823805319599E-2</v>
      </c>
      <c r="R4963">
        <v>0.990415544171657</v>
      </c>
      <c r="S4963" t="s">
        <v>10824</v>
      </c>
      <c r="T4963" t="s">
        <v>11720</v>
      </c>
      <c r="U4963" t="s">
        <v>11720</v>
      </c>
      <c r="V4963" t="s">
        <v>11720</v>
      </c>
      <c r="W4963" t="s">
        <v>16627</v>
      </c>
      <c r="X4963">
        <v>12</v>
      </c>
      <c r="Y4963" t="s">
        <v>22334</v>
      </c>
      <c r="Z4963" t="s">
        <v>28170</v>
      </c>
      <c r="AA4963">
        <v>0.42652850023644079</v>
      </c>
      <c r="AB4963" t="str">
        <f>HYPERLINK("Melting_Curves/meltCurve_Q9H0E2_TOLLIP.pdf", "Melting_Curves/meltCurve_Q9H0E2_TOLLIP.pdf")</f>
        <v>Melting_Curves/meltCurve_Q9H0E2_TOLLIP.pdf</v>
      </c>
    </row>
    <row r="4964" spans="1:28" x14ac:dyDescent="0.25">
      <c r="A4964" t="s">
        <v>4968</v>
      </c>
      <c r="B4964">
        <v>0.99334974765950101</v>
      </c>
      <c r="C4964">
        <v>0.88009342336496499</v>
      </c>
      <c r="D4964">
        <v>0.75749259236334598</v>
      </c>
      <c r="E4964">
        <v>0.45861386981541002</v>
      </c>
      <c r="F4964">
        <v>0.22739632872232199</v>
      </c>
      <c r="G4964">
        <v>0.179249781158548</v>
      </c>
      <c r="H4964">
        <v>0.11902583376350299</v>
      </c>
      <c r="I4964">
        <v>9.8003944346275698E-2</v>
      </c>
      <c r="J4964">
        <v>0.10901894514113</v>
      </c>
      <c r="K4964">
        <v>4.8650720736773102E-2</v>
      </c>
      <c r="L4964">
        <v>801.11541514490102</v>
      </c>
      <c r="M4964">
        <v>16.4530568852907</v>
      </c>
      <c r="N4964">
        <v>49.194039849800198</v>
      </c>
      <c r="O4964">
        <v>47.9887341655471</v>
      </c>
      <c r="P4964">
        <v>-7.9082005444143205E-2</v>
      </c>
      <c r="Q4964">
        <v>7.7428929116606898E-2</v>
      </c>
      <c r="R4964">
        <v>0.99500765410266001</v>
      </c>
      <c r="S4964" t="s">
        <v>10825</v>
      </c>
      <c r="T4964" t="s">
        <v>11720</v>
      </c>
      <c r="U4964" t="s">
        <v>11720</v>
      </c>
      <c r="V4964" t="s">
        <v>11720</v>
      </c>
      <c r="W4964" t="s">
        <v>16628</v>
      </c>
      <c r="X4964">
        <v>3</v>
      </c>
      <c r="Y4964" t="s">
        <v>22335</v>
      </c>
      <c r="Z4964" t="s">
        <v>28171</v>
      </c>
      <c r="AA4964">
        <v>0.36394485662669818</v>
      </c>
      <c r="AB4964" t="str">
        <f>HYPERLINK("Melting_Curves/meltCurve_Q9H0F6_SHARPIN.pdf", "Melting_Curves/meltCurve_Q9H0F6_SHARPIN.pdf")</f>
        <v>Melting_Curves/meltCurve_Q9H0F6_SHARPIN.pdf</v>
      </c>
    </row>
    <row r="4965" spans="1:28" x14ac:dyDescent="0.25">
      <c r="A4965" t="s">
        <v>4969</v>
      </c>
      <c r="B4965">
        <v>0.99334974765950101</v>
      </c>
      <c r="C4965">
        <v>1.0025118425761399</v>
      </c>
      <c r="D4965">
        <v>0.86697582026527997</v>
      </c>
      <c r="E4965">
        <v>0.99471066732316105</v>
      </c>
      <c r="F4965">
        <v>0.86616275422393396</v>
      </c>
      <c r="G4965">
        <v>0.48380243964554398</v>
      </c>
      <c r="H4965">
        <v>0.35733007032186997</v>
      </c>
      <c r="I4965">
        <v>0.30362608029430199</v>
      </c>
      <c r="J4965">
        <v>0.30402283291656501</v>
      </c>
      <c r="K4965">
        <v>0.33398935271199598</v>
      </c>
      <c r="L4965">
        <v>1895.26176858849</v>
      </c>
      <c r="M4965">
        <v>34.346103425420097</v>
      </c>
      <c r="N4965">
        <v>56.833871048044102</v>
      </c>
      <c r="O4965">
        <v>54.995215411804303</v>
      </c>
      <c r="P4965">
        <v>-0.10682267104785501</v>
      </c>
      <c r="Q4965">
        <v>0.31582183884783399</v>
      </c>
      <c r="R4965">
        <v>0.97922960255117497</v>
      </c>
      <c r="S4965" t="s">
        <v>10826</v>
      </c>
      <c r="T4965" t="s">
        <v>11720</v>
      </c>
      <c r="U4965" t="s">
        <v>11720</v>
      </c>
      <c r="V4965" t="s">
        <v>11720</v>
      </c>
      <c r="W4965" t="s">
        <v>16629</v>
      </c>
      <c r="X4965">
        <v>4</v>
      </c>
      <c r="Y4965" t="s">
        <v>22336</v>
      </c>
      <c r="Z4965" t="s">
        <v>28172</v>
      </c>
      <c r="AA4965">
        <v>0.6655525813274259</v>
      </c>
      <c r="AB4965" t="str">
        <f>HYPERLINK("Melting_Curves/meltCurve_Q9H0G5_NSRP1.pdf", "Melting_Curves/meltCurve_Q9H0G5_NSRP1.pdf")</f>
        <v>Melting_Curves/meltCurve_Q9H0G5_NSRP1.pdf</v>
      </c>
    </row>
    <row r="4966" spans="1:28" x14ac:dyDescent="0.25">
      <c r="A4966" t="s">
        <v>4970</v>
      </c>
      <c r="B4966">
        <v>0.99334974765950101</v>
      </c>
      <c r="C4966">
        <v>0.96224727297274903</v>
      </c>
      <c r="D4966">
        <v>0.94487408668728801</v>
      </c>
      <c r="E4966">
        <v>0.72975053898022602</v>
      </c>
      <c r="F4966">
        <v>0.41257579175069897</v>
      </c>
      <c r="G4966">
        <v>0.14525939637457699</v>
      </c>
      <c r="H4966">
        <v>9.6718415821366296E-2</v>
      </c>
      <c r="I4966">
        <v>7.9355499630204093E-2</v>
      </c>
      <c r="J4966">
        <v>8.2799967765630103E-2</v>
      </c>
      <c r="K4966">
        <v>4.2954733188282503E-2</v>
      </c>
      <c r="L4966">
        <v>1230.7328386445599</v>
      </c>
      <c r="M4966">
        <v>23.744574715350101</v>
      </c>
      <c r="N4966">
        <v>52.123394562229102</v>
      </c>
      <c r="O4966">
        <v>51.468741168028799</v>
      </c>
      <c r="P4966">
        <v>-0.10817207627943901</v>
      </c>
      <c r="Q4966">
        <v>6.2120509484727401E-2</v>
      </c>
      <c r="R4966">
        <v>0.99855377410691304</v>
      </c>
      <c r="S4966" t="s">
        <v>10827</v>
      </c>
      <c r="T4966" t="s">
        <v>11720</v>
      </c>
      <c r="U4966" t="s">
        <v>11720</v>
      </c>
      <c r="V4966" t="s">
        <v>11720</v>
      </c>
      <c r="W4966" t="s">
        <v>16630</v>
      </c>
      <c r="X4966">
        <v>2</v>
      </c>
      <c r="Y4966" t="s">
        <v>22337</v>
      </c>
      <c r="Z4966" t="s">
        <v>28173</v>
      </c>
      <c r="AA4966">
        <v>0.44146242849281492</v>
      </c>
      <c r="AB4966" t="str">
        <f>HYPERLINK("Melting_Curves/meltCurve_Q9H0K1_SIK2.pdf", "Melting_Curves/meltCurve_Q9H0K1_SIK2.pdf")</f>
        <v>Melting_Curves/meltCurve_Q9H0K1_SIK2.pdf</v>
      </c>
    </row>
    <row r="4967" spans="1:28" x14ac:dyDescent="0.25">
      <c r="A4967" t="s">
        <v>4971</v>
      </c>
      <c r="B4967">
        <v>0.99334974765950101</v>
      </c>
      <c r="C4967">
        <v>1.0177044597831999</v>
      </c>
      <c r="D4967">
        <v>0.78541402828761098</v>
      </c>
      <c r="E4967">
        <v>0.83351389590234204</v>
      </c>
      <c r="F4967">
        <v>0.70824158580062102</v>
      </c>
      <c r="G4967">
        <v>0.38380048968233799</v>
      </c>
      <c r="H4967">
        <v>0.34076064062789801</v>
      </c>
      <c r="I4967">
        <v>0.39971714991490498</v>
      </c>
      <c r="J4967">
        <v>0.45845918017418902</v>
      </c>
      <c r="K4967">
        <v>0.34351437252725597</v>
      </c>
      <c r="L4967">
        <v>851.55488799240698</v>
      </c>
      <c r="M4967">
        <v>16.338299339247499</v>
      </c>
      <c r="N4967">
        <v>56.284428916020197</v>
      </c>
      <c r="O4967">
        <v>51.358132905096198</v>
      </c>
      <c r="P4967">
        <v>-5.1641509177971598E-2</v>
      </c>
      <c r="Q4967">
        <v>0.35072323781551501</v>
      </c>
      <c r="R4967">
        <v>0.91855714346219397</v>
      </c>
      <c r="S4967" t="s">
        <v>10828</v>
      </c>
      <c r="T4967" t="s">
        <v>11720</v>
      </c>
      <c r="U4967" t="s">
        <v>11720</v>
      </c>
      <c r="V4967" t="s">
        <v>11720</v>
      </c>
      <c r="W4967" t="s">
        <v>16631</v>
      </c>
      <c r="X4967">
        <v>15</v>
      </c>
      <c r="Y4967" t="s">
        <v>22338</v>
      </c>
      <c r="Z4967" t="s">
        <v>28174</v>
      </c>
      <c r="AA4967">
        <v>0.62568793144361434</v>
      </c>
      <c r="AB4967" t="str">
        <f>HYPERLINK("Melting_Curves/meltCurve_Q9H0L4_CSTF2T.pdf", "Melting_Curves/meltCurve_Q9H0L4_CSTF2T.pdf")</f>
        <v>Melting_Curves/meltCurve_Q9H0L4_CSTF2T.pdf</v>
      </c>
    </row>
    <row r="4968" spans="1:28" x14ac:dyDescent="0.25">
      <c r="A4968" t="s">
        <v>4972</v>
      </c>
      <c r="B4968">
        <v>0.99334974765950101</v>
      </c>
      <c r="C4968">
        <v>1.07327789574358</v>
      </c>
      <c r="D4968">
        <v>1.2569598177588299</v>
      </c>
      <c r="E4968">
        <v>1.51583803884625</v>
      </c>
      <c r="F4968">
        <v>1.89055354112367</v>
      </c>
      <c r="G4968">
        <v>1.68867991927994</v>
      </c>
      <c r="H4968">
        <v>1.3037042331159301</v>
      </c>
      <c r="I4968">
        <v>1.05829104889409</v>
      </c>
      <c r="J4968">
        <v>0.56268123452817898</v>
      </c>
      <c r="K4968">
        <v>0.249677909753965</v>
      </c>
      <c r="L4968">
        <v>15000</v>
      </c>
      <c r="M4968">
        <v>224.21486784250001</v>
      </c>
      <c r="N4968">
        <v>67.107133624194802</v>
      </c>
      <c r="O4968">
        <v>66.894768387625504</v>
      </c>
      <c r="P4968">
        <v>-0.62875700453029604</v>
      </c>
      <c r="Q4968">
        <v>0.249638195720955</v>
      </c>
      <c r="R4968">
        <v>0.227378494941434</v>
      </c>
      <c r="S4968" t="s">
        <v>10829</v>
      </c>
      <c r="T4968" t="s">
        <v>11720</v>
      </c>
      <c r="U4968" t="s">
        <v>11720</v>
      </c>
      <c r="V4968" t="s">
        <v>11720</v>
      </c>
      <c r="W4968" t="s">
        <v>16632</v>
      </c>
      <c r="X4968">
        <v>3</v>
      </c>
      <c r="Y4968" t="s">
        <v>22339</v>
      </c>
      <c r="Z4968" t="s">
        <v>28175</v>
      </c>
      <c r="AA4968">
        <v>0.92257457165594692</v>
      </c>
      <c r="AB4968" t="str">
        <f>HYPERLINK("Melting_Curves/meltCurve_Q9H0N0_RAB6C.pdf", "Melting_Curves/meltCurve_Q9H0N0_RAB6C.pdf")</f>
        <v>Melting_Curves/meltCurve_Q9H0N0_RAB6C.pdf</v>
      </c>
    </row>
    <row r="4969" spans="1:28" x14ac:dyDescent="0.25">
      <c r="A4969" t="s">
        <v>4973</v>
      </c>
      <c r="B4969">
        <v>0.99334974765950101</v>
      </c>
      <c r="C4969">
        <v>0.98147705296282595</v>
      </c>
      <c r="D4969">
        <v>0.75615331663265795</v>
      </c>
      <c r="E4969">
        <v>0.39983783965615199</v>
      </c>
      <c r="F4969">
        <v>0.15743363355064699</v>
      </c>
      <c r="G4969">
        <v>0.123019533549239</v>
      </c>
      <c r="H4969">
        <v>9.0027171401301703E-2</v>
      </c>
      <c r="I4969">
        <v>9.1974712537984199E-2</v>
      </c>
      <c r="J4969">
        <v>7.2171676795434195E-2</v>
      </c>
      <c r="K4969">
        <v>5.5761074155030801E-2</v>
      </c>
      <c r="L4969">
        <v>1087.7067121313401</v>
      </c>
      <c r="M4969">
        <v>22.483725249728302</v>
      </c>
      <c r="N4969">
        <v>48.727014524021499</v>
      </c>
      <c r="O4969">
        <v>47.9996944961336</v>
      </c>
      <c r="P4969">
        <v>-0.108385261262953</v>
      </c>
      <c r="Q4969">
        <v>7.4467890878458398E-2</v>
      </c>
      <c r="R4969">
        <v>0.99701690219898398</v>
      </c>
      <c r="S4969" t="s">
        <v>10830</v>
      </c>
      <c r="T4969" t="s">
        <v>11720</v>
      </c>
      <c r="U4969" t="s">
        <v>11720</v>
      </c>
      <c r="V4969" t="s">
        <v>11720</v>
      </c>
      <c r="W4969" t="s">
        <v>16633</v>
      </c>
      <c r="X4969">
        <v>9</v>
      </c>
      <c r="Y4969" t="s">
        <v>22340</v>
      </c>
      <c r="Z4969" t="s">
        <v>28176</v>
      </c>
      <c r="AA4969">
        <v>0.34314477848097991</v>
      </c>
      <c r="AB4969" t="str">
        <f>HYPERLINK("Melting_Curves/meltCurve_Q9H0P0_2_NT5C3A.pdf", "Melting_Curves/meltCurve_Q9H0P0_2_NT5C3A.pdf")</f>
        <v>Melting_Curves/meltCurve_Q9H0P0_2_NT5C3A.pdf</v>
      </c>
    </row>
    <row r="4970" spans="1:28" x14ac:dyDescent="0.25">
      <c r="A4970" t="s">
        <v>4974</v>
      </c>
      <c r="B4970">
        <v>0.99334974765950101</v>
      </c>
      <c r="C4970">
        <v>1.18477289175274</v>
      </c>
      <c r="D4970">
        <v>0.96755947918580298</v>
      </c>
      <c r="E4970">
        <v>0.54500269906724097</v>
      </c>
      <c r="F4970">
        <v>0.17903619260731199</v>
      </c>
      <c r="G4970">
        <v>0.15981790672437299</v>
      </c>
      <c r="H4970">
        <v>0.111406508900196</v>
      </c>
      <c r="I4970">
        <v>0.109872984040364</v>
      </c>
      <c r="J4970">
        <v>0.114750033197293</v>
      </c>
      <c r="K4970">
        <v>8.4599949328996102E-2</v>
      </c>
      <c r="L4970">
        <v>2129.4167014654699</v>
      </c>
      <c r="M4970">
        <v>42.646656350116601</v>
      </c>
      <c r="N4970">
        <v>50.237403755231597</v>
      </c>
      <c r="O4970">
        <v>49.8222094363393</v>
      </c>
      <c r="P4970">
        <v>-0.189532771503472</v>
      </c>
      <c r="Q4970">
        <v>0.114310334919154</v>
      </c>
      <c r="R4970">
        <v>0.97868695275261197</v>
      </c>
      <c r="S4970" t="s">
        <v>10831</v>
      </c>
      <c r="T4970" t="s">
        <v>11720</v>
      </c>
      <c r="U4970" t="s">
        <v>11720</v>
      </c>
      <c r="V4970" t="s">
        <v>11720</v>
      </c>
      <c r="W4970" t="s">
        <v>16634</v>
      </c>
      <c r="X4970">
        <v>4</v>
      </c>
      <c r="Y4970" t="s">
        <v>22341</v>
      </c>
      <c r="Z4970" t="s">
        <v>28177</v>
      </c>
      <c r="AA4970">
        <v>0.41020880163947548</v>
      </c>
      <c r="AB4970" t="str">
        <f>HYPERLINK("Melting_Curves/meltCurve_Q9H0Q0_FAM49A.pdf", "Melting_Curves/meltCurve_Q9H0Q0_FAM49A.pdf")</f>
        <v>Melting_Curves/meltCurve_Q9H0Q0_FAM49A.pdf</v>
      </c>
    </row>
    <row r="4971" spans="1:28" x14ac:dyDescent="0.25">
      <c r="A4971" t="s">
        <v>4975</v>
      </c>
      <c r="B4971">
        <v>0.99334974765950101</v>
      </c>
      <c r="C4971">
        <v>0.94574083129908704</v>
      </c>
      <c r="D4971">
        <v>0.85360970564949701</v>
      </c>
      <c r="E4971">
        <v>0.69632924671921803</v>
      </c>
      <c r="F4971">
        <v>0.47825692728279001</v>
      </c>
      <c r="G4971">
        <v>0.46649876150365599</v>
      </c>
      <c r="H4971">
        <v>0.38930238104477999</v>
      </c>
      <c r="I4971">
        <v>0.52484343173135695</v>
      </c>
      <c r="J4971">
        <v>0.37283060867826001</v>
      </c>
      <c r="K4971">
        <v>0.170730915392974</v>
      </c>
      <c r="L4971">
        <v>626.77049246001104</v>
      </c>
      <c r="M4971">
        <v>12.4145021082534</v>
      </c>
      <c r="N4971">
        <v>54.858375764628398</v>
      </c>
      <c r="O4971">
        <v>49.230650538698399</v>
      </c>
      <c r="P4971">
        <v>-4.3251725178627402E-2</v>
      </c>
      <c r="Q4971">
        <v>0.31407323788360297</v>
      </c>
      <c r="R4971">
        <v>0.90583944993489096</v>
      </c>
      <c r="S4971" t="s">
        <v>10832</v>
      </c>
      <c r="T4971" t="s">
        <v>11720</v>
      </c>
      <c r="U4971" t="s">
        <v>11720</v>
      </c>
      <c r="V4971" t="s">
        <v>11720</v>
      </c>
      <c r="W4971" t="s">
        <v>16635</v>
      </c>
      <c r="X4971">
        <v>9</v>
      </c>
      <c r="Y4971" t="s">
        <v>22342</v>
      </c>
      <c r="Z4971" t="s">
        <v>28178</v>
      </c>
      <c r="AA4971">
        <v>0.57576194724147745</v>
      </c>
      <c r="AB4971" t="str">
        <f>HYPERLINK("Melting_Curves/meltCurve_Q9H0R4_HDHD2.pdf", "Melting_Curves/meltCurve_Q9H0R4_HDHD2.pdf")</f>
        <v>Melting_Curves/meltCurve_Q9H0R4_HDHD2.pdf</v>
      </c>
    </row>
    <row r="4972" spans="1:28" x14ac:dyDescent="0.25">
      <c r="A4972" t="s">
        <v>4976</v>
      </c>
      <c r="B4972">
        <v>0.99334974765950101</v>
      </c>
      <c r="C4972">
        <v>1.45404494971036</v>
      </c>
      <c r="D4972">
        <v>1.44868374133966</v>
      </c>
      <c r="E4972">
        <v>0.94631710234995403</v>
      </c>
      <c r="F4972">
        <v>0.82880976609004897</v>
      </c>
      <c r="G4972">
        <v>0.70067533645914404</v>
      </c>
      <c r="H4972">
        <v>0.32490249267911903</v>
      </c>
      <c r="I4972">
        <v>0</v>
      </c>
      <c r="J4972">
        <v>0.235040710761243</v>
      </c>
      <c r="K4972">
        <v>0</v>
      </c>
      <c r="L4972">
        <v>1364.17725248498</v>
      </c>
      <c r="M4972">
        <v>23.3303231231829</v>
      </c>
      <c r="N4972">
        <v>58.630648159350798</v>
      </c>
      <c r="O4972">
        <v>58.047769589740497</v>
      </c>
      <c r="P4972">
        <v>-9.7412882320837002E-2</v>
      </c>
      <c r="Q4972">
        <v>3.05319834656399E-2</v>
      </c>
      <c r="R4972">
        <v>0.82133833481652097</v>
      </c>
      <c r="S4972" t="s">
        <v>10833</v>
      </c>
      <c r="T4972" t="s">
        <v>11720</v>
      </c>
      <c r="U4972" t="s">
        <v>11720</v>
      </c>
      <c r="V4972" t="s">
        <v>11720</v>
      </c>
      <c r="W4972" t="s">
        <v>16636</v>
      </c>
      <c r="X4972">
        <v>8</v>
      </c>
      <c r="Y4972" t="s">
        <v>22343</v>
      </c>
      <c r="Z4972" t="s">
        <v>28179</v>
      </c>
      <c r="AA4972">
        <v>0.63643726938580891</v>
      </c>
      <c r="AB4972" t="str">
        <f>HYPERLINK("Melting_Curves/meltCurve_Q9H0R5_GBP3.pdf", "Melting_Curves/meltCurve_Q9H0R5_GBP3.pdf")</f>
        <v>Melting_Curves/meltCurve_Q9H0R5_GBP3.pdf</v>
      </c>
    </row>
    <row r="4973" spans="1:28" x14ac:dyDescent="0.25">
      <c r="A4973" t="s">
        <v>4977</v>
      </c>
      <c r="B4973">
        <v>0.99334974765950101</v>
      </c>
      <c r="C4973">
        <v>1.04230609791457</v>
      </c>
      <c r="D4973">
        <v>1.0100633966013599</v>
      </c>
      <c r="E4973">
        <v>0.42474869543816601</v>
      </c>
      <c r="F4973">
        <v>0.36599419391964699</v>
      </c>
      <c r="G4973">
        <v>0.24879682629698299</v>
      </c>
      <c r="H4973">
        <v>0.18426927527898901</v>
      </c>
      <c r="I4973">
        <v>0.14134792561991399</v>
      </c>
      <c r="J4973">
        <v>0.126266479310122</v>
      </c>
      <c r="K4973">
        <v>7.9732036826618002E-2</v>
      </c>
      <c r="L4973">
        <v>1487.0158182175401</v>
      </c>
      <c r="M4973">
        <v>30.087097159494899</v>
      </c>
      <c r="N4973">
        <v>50.078790798121197</v>
      </c>
      <c r="O4973">
        <v>49.206908885117699</v>
      </c>
      <c r="P4973">
        <v>-0.12799402019214101</v>
      </c>
      <c r="Q4973">
        <v>0.16267767448438999</v>
      </c>
      <c r="R4973">
        <v>0.96929463429871698</v>
      </c>
      <c r="S4973" t="s">
        <v>10834</v>
      </c>
      <c r="T4973" t="s">
        <v>11720</v>
      </c>
      <c r="U4973" t="s">
        <v>11720</v>
      </c>
      <c r="V4973" t="s">
        <v>11720</v>
      </c>
      <c r="W4973" t="s">
        <v>16637</v>
      </c>
      <c r="X4973">
        <v>5</v>
      </c>
      <c r="Y4973" t="s">
        <v>22344</v>
      </c>
      <c r="Z4973" t="s">
        <v>28180</v>
      </c>
      <c r="AA4973">
        <v>0.43080203038332798</v>
      </c>
      <c r="AB4973" t="str">
        <f>HYPERLINK("Melting_Curves/meltCurve_Q9H0R6_QRSL1.pdf", "Melting_Curves/meltCurve_Q9H0R6_QRSL1.pdf")</f>
        <v>Melting_Curves/meltCurve_Q9H0R6_QRSL1.pdf</v>
      </c>
    </row>
    <row r="4974" spans="1:28" x14ac:dyDescent="0.25">
      <c r="A4974" t="s">
        <v>4978</v>
      </c>
      <c r="B4974">
        <v>0.99334974765950101</v>
      </c>
      <c r="C4974">
        <v>1.14254037114574</v>
      </c>
      <c r="D4974">
        <v>1.12708795556437</v>
      </c>
      <c r="E4974">
        <v>1.3867420313438199</v>
      </c>
      <c r="F4974">
        <v>0.91212596146198299</v>
      </c>
      <c r="G4974">
        <v>0.799942089267074</v>
      </c>
      <c r="H4974">
        <v>0.66448260477038001</v>
      </c>
      <c r="I4974">
        <v>0.76100804499125796</v>
      </c>
      <c r="J4974">
        <v>0.59793184186662596</v>
      </c>
      <c r="K4974">
        <v>0.47921844922888701</v>
      </c>
      <c r="L4974">
        <v>1197.12997574724</v>
      </c>
      <c r="M4974">
        <v>20.176004733104499</v>
      </c>
      <c r="O4974">
        <v>58.760672552230197</v>
      </c>
      <c r="P4974">
        <v>-3.9296479358772798E-2</v>
      </c>
      <c r="Q4974">
        <v>0.54222549139456699</v>
      </c>
      <c r="R4974">
        <v>0.67810515204016797</v>
      </c>
      <c r="S4974" t="s">
        <v>10835</v>
      </c>
      <c r="T4974" t="s">
        <v>11720</v>
      </c>
      <c r="U4974" t="s">
        <v>11720</v>
      </c>
      <c r="V4974" t="s">
        <v>11720</v>
      </c>
      <c r="W4974" t="s">
        <v>16638</v>
      </c>
      <c r="X4974">
        <v>2</v>
      </c>
      <c r="Y4974" t="s">
        <v>22345</v>
      </c>
      <c r="Z4974" t="s">
        <v>28181</v>
      </c>
      <c r="AA4974">
        <v>0.84160459011239552</v>
      </c>
      <c r="AB4974" t="str">
        <f>HYPERLINK("Melting_Curves/meltCurve_Q9H0U3_MAGT1.pdf", "Melting_Curves/meltCurve_Q9H0U3_MAGT1.pdf")</f>
        <v>Melting_Curves/meltCurve_Q9H0U3_MAGT1.pdf</v>
      </c>
    </row>
    <row r="4975" spans="1:28" x14ac:dyDescent="0.25">
      <c r="A4975" t="s">
        <v>4979</v>
      </c>
      <c r="B4975">
        <v>0.99334974765950101</v>
      </c>
      <c r="C4975">
        <v>0.92565111165828096</v>
      </c>
      <c r="D4975">
        <v>0.80080578769468103</v>
      </c>
      <c r="E4975">
        <v>0.71579206862174405</v>
      </c>
      <c r="F4975">
        <v>0.71057750294218702</v>
      </c>
      <c r="G4975">
        <v>0.42641370090408198</v>
      </c>
      <c r="H4975">
        <v>0.34976208270067599</v>
      </c>
      <c r="I4975">
        <v>0.33789796103749098</v>
      </c>
      <c r="J4975">
        <v>0.26595982436329701</v>
      </c>
      <c r="K4975">
        <v>0.12659390114966201</v>
      </c>
      <c r="L4975">
        <v>434.96587122951598</v>
      </c>
      <c r="M4975">
        <v>7.68901559504729</v>
      </c>
      <c r="N4975">
        <v>56.569773574625103</v>
      </c>
      <c r="O4975">
        <v>53.124720758983401</v>
      </c>
      <c r="P4975">
        <v>-3.6231235424697798E-2</v>
      </c>
      <c r="Q4975">
        <v>0</v>
      </c>
      <c r="R4975">
        <v>0.97298792088261998</v>
      </c>
      <c r="S4975" t="s">
        <v>10836</v>
      </c>
      <c r="T4975" t="s">
        <v>11720</v>
      </c>
      <c r="U4975" t="s">
        <v>11720</v>
      </c>
      <c r="V4975" t="s">
        <v>11720</v>
      </c>
      <c r="W4975" t="s">
        <v>16639</v>
      </c>
      <c r="X4975">
        <v>24</v>
      </c>
      <c r="Y4975" t="s">
        <v>22346</v>
      </c>
      <c r="Z4975" t="s">
        <v>28182</v>
      </c>
      <c r="AA4975">
        <v>0.56698660666136114</v>
      </c>
      <c r="AB4975" t="str">
        <f>HYPERLINK("Melting_Curves/meltCurve_Q9H0U4_RAB1B.pdf", "Melting_Curves/meltCurve_Q9H0U4_RAB1B.pdf")</f>
        <v>Melting_Curves/meltCurve_Q9H0U4_RAB1B.pdf</v>
      </c>
    </row>
    <row r="4976" spans="1:28" x14ac:dyDescent="0.25">
      <c r="A4976" t="s">
        <v>4980</v>
      </c>
      <c r="B4976">
        <v>0.99334974765950101</v>
      </c>
      <c r="C4976">
        <v>1.0347335287133399</v>
      </c>
      <c r="D4976">
        <v>0.81871937934509398</v>
      </c>
      <c r="E4976">
        <v>0.79084966278466595</v>
      </c>
      <c r="F4976">
        <v>1.0068748948311099</v>
      </c>
      <c r="G4976">
        <v>0.63598172507636297</v>
      </c>
      <c r="H4976">
        <v>0.739025780903383</v>
      </c>
      <c r="I4976">
        <v>0.79413097041520797</v>
      </c>
      <c r="J4976">
        <v>1.2185026208908001</v>
      </c>
      <c r="K4976">
        <v>1.10625169201119</v>
      </c>
      <c r="L4976">
        <v>11084.955044423999</v>
      </c>
      <c r="M4976">
        <v>250</v>
      </c>
      <c r="O4976">
        <v>44.337001447553398</v>
      </c>
      <c r="P4976">
        <v>-0.156764646872012</v>
      </c>
      <c r="Q4976">
        <v>0.88879245678085905</v>
      </c>
      <c r="R4976">
        <v>8.0803448498768304E-2</v>
      </c>
      <c r="S4976" t="s">
        <v>10837</v>
      </c>
      <c r="T4976" t="s">
        <v>11720</v>
      </c>
      <c r="U4976" t="s">
        <v>11720</v>
      </c>
      <c r="V4976" t="s">
        <v>11720</v>
      </c>
      <c r="W4976" t="s">
        <v>16640</v>
      </c>
      <c r="X4976">
        <v>2</v>
      </c>
      <c r="Y4976" t="s">
        <v>22347</v>
      </c>
      <c r="Z4976" t="s">
        <v>28183</v>
      </c>
      <c r="AA4976">
        <v>0.90488846847219806</v>
      </c>
      <c r="AB4976" t="str">
        <f>HYPERLINK("Melting_Curves/meltCurve_Q9H0U9_TSPYL1.pdf", "Melting_Curves/meltCurve_Q9H0U9_TSPYL1.pdf")</f>
        <v>Melting_Curves/meltCurve_Q9H0U9_TSPYL1.pdf</v>
      </c>
    </row>
    <row r="4977" spans="1:28" x14ac:dyDescent="0.25">
      <c r="A4977" t="s">
        <v>4981</v>
      </c>
      <c r="B4977">
        <v>0.99334974765950101</v>
      </c>
      <c r="C4977">
        <v>0.94689802876468598</v>
      </c>
      <c r="D4977">
        <v>0.89227793445729797</v>
      </c>
      <c r="E4977">
        <v>0.69488604149654398</v>
      </c>
      <c r="F4977">
        <v>0.43076241177934799</v>
      </c>
      <c r="G4977">
        <v>0.28726623406486601</v>
      </c>
      <c r="H4977">
        <v>0.20998202298782401</v>
      </c>
      <c r="I4977">
        <v>0.28275288845957902</v>
      </c>
      <c r="J4977">
        <v>0.19648258535736099</v>
      </c>
      <c r="K4977">
        <v>0.193232995854351</v>
      </c>
      <c r="L4977">
        <v>983.54557719962099</v>
      </c>
      <c r="M4977">
        <v>19.353412857867902</v>
      </c>
      <c r="N4977">
        <v>52.2401846316533</v>
      </c>
      <c r="O4977">
        <v>50.287023936438402</v>
      </c>
      <c r="P4977">
        <v>-7.6538912468398806E-2</v>
      </c>
      <c r="Q4977">
        <v>0.20452894275738401</v>
      </c>
      <c r="R4977">
        <v>0.99227799822103402</v>
      </c>
      <c r="S4977" t="s">
        <v>10838</v>
      </c>
      <c r="T4977" t="s">
        <v>11720</v>
      </c>
      <c r="U4977" t="s">
        <v>11720</v>
      </c>
      <c r="V4977" t="s">
        <v>11720</v>
      </c>
      <c r="W4977" t="s">
        <v>16641</v>
      </c>
      <c r="X4977">
        <v>7</v>
      </c>
      <c r="Y4977" t="s">
        <v>22348</v>
      </c>
      <c r="Z4977" t="s">
        <v>28184</v>
      </c>
      <c r="AA4977">
        <v>0.50318590187396972</v>
      </c>
      <c r="AB4977" t="str">
        <f>HYPERLINK("Melting_Curves/meltCurve_Q9H0V9_LMAN2L.pdf", "Melting_Curves/meltCurve_Q9H0V9_LMAN2L.pdf")</f>
        <v>Melting_Curves/meltCurve_Q9H0V9_LMAN2L.pdf</v>
      </c>
    </row>
    <row r="4978" spans="1:28" x14ac:dyDescent="0.25">
      <c r="A4978" t="s">
        <v>4982</v>
      </c>
      <c r="B4978">
        <v>0.99334974765950101</v>
      </c>
      <c r="C4978">
        <v>0.87119773127642297</v>
      </c>
      <c r="D4978">
        <v>0.62506945107673095</v>
      </c>
      <c r="E4978">
        <v>0.331067307582116</v>
      </c>
      <c r="F4978">
        <v>0.24192112511734201</v>
      </c>
      <c r="G4978">
        <v>0.19998503022408801</v>
      </c>
      <c r="H4978">
        <v>0.179516994052206</v>
      </c>
      <c r="I4978">
        <v>0.16609642782912701</v>
      </c>
      <c r="J4978">
        <v>0.20192269302142199</v>
      </c>
      <c r="K4978">
        <v>0.16925635581469201</v>
      </c>
      <c r="L4978">
        <v>969.44982443459401</v>
      </c>
      <c r="M4978">
        <v>20.883778208992702</v>
      </c>
      <c r="N4978">
        <v>47.427733204551501</v>
      </c>
      <c r="O4978">
        <v>46.00182082856</v>
      </c>
      <c r="P4978">
        <v>-9.3179797690144603E-2</v>
      </c>
      <c r="Q4978">
        <v>0.179013734972015</v>
      </c>
      <c r="R4978">
        <v>0.99846443209383295</v>
      </c>
      <c r="S4978" t="s">
        <v>10839</v>
      </c>
      <c r="T4978" t="s">
        <v>11720</v>
      </c>
      <c r="U4978" t="s">
        <v>11720</v>
      </c>
      <c r="V4978" t="s">
        <v>11720</v>
      </c>
      <c r="W4978" t="s">
        <v>16642</v>
      </c>
      <c r="X4978">
        <v>10</v>
      </c>
      <c r="Y4978" t="s">
        <v>22349</v>
      </c>
      <c r="Z4978" t="s">
        <v>28185</v>
      </c>
      <c r="AA4978">
        <v>0.36594229372080112</v>
      </c>
      <c r="AB4978" t="str">
        <f>HYPERLINK("Melting_Curves/meltCurve_Q9H0W8_SMG9.pdf", "Melting_Curves/meltCurve_Q9H0W8_SMG9.pdf")</f>
        <v>Melting_Curves/meltCurve_Q9H0W8_SMG9.pdf</v>
      </c>
    </row>
    <row r="4979" spans="1:28" x14ac:dyDescent="0.25">
      <c r="A4979" t="s">
        <v>4983</v>
      </c>
      <c r="B4979">
        <v>0.99334974765950101</v>
      </c>
      <c r="C4979">
        <v>1.07057045095697</v>
      </c>
      <c r="D4979">
        <v>0.99762569326950001</v>
      </c>
      <c r="E4979">
        <v>0.78856944162887499</v>
      </c>
      <c r="F4979">
        <v>0.60822823512592294</v>
      </c>
      <c r="G4979">
        <v>0.34960099450396398</v>
      </c>
      <c r="H4979">
        <v>0.183612706001584</v>
      </c>
      <c r="I4979">
        <v>9.1692854267777193E-2</v>
      </c>
      <c r="J4979">
        <v>7.7979335708304703E-2</v>
      </c>
      <c r="K4979">
        <v>5.9792474706705102E-2</v>
      </c>
      <c r="L4979">
        <v>915.74934544751102</v>
      </c>
      <c r="M4979">
        <v>16.872762321158401</v>
      </c>
      <c r="N4979">
        <v>54.542530672523299</v>
      </c>
      <c r="O4979">
        <v>53.528646708954398</v>
      </c>
      <c r="P4979">
        <v>-7.5664551403535396E-2</v>
      </c>
      <c r="Q4979">
        <v>3.9881397477732998E-2</v>
      </c>
      <c r="R4979">
        <v>0.99369064612596902</v>
      </c>
      <c r="S4979" t="s">
        <v>10840</v>
      </c>
      <c r="T4979" t="s">
        <v>11720</v>
      </c>
      <c r="U4979" t="s">
        <v>11720</v>
      </c>
      <c r="V4979" t="s">
        <v>11720</v>
      </c>
      <c r="W4979" t="s">
        <v>16643</v>
      </c>
      <c r="X4979">
        <v>14</v>
      </c>
      <c r="Y4979" t="s">
        <v>22350</v>
      </c>
      <c r="Z4979" t="s">
        <v>28186</v>
      </c>
      <c r="AA4979">
        <v>0.5133902647860602</v>
      </c>
      <c r="AB4979" t="str">
        <f>HYPERLINK("Melting_Curves/meltCurve_Q9H0W9_C11orf54.pdf", "Melting_Curves/meltCurve_Q9H0W9_C11orf54.pdf")</f>
        <v>Melting_Curves/meltCurve_Q9H0W9_C11orf54.pdf</v>
      </c>
    </row>
    <row r="4980" spans="1:28" x14ac:dyDescent="0.25">
      <c r="A4980" t="s">
        <v>4984</v>
      </c>
      <c r="B4980">
        <v>0.99334974765950101</v>
      </c>
      <c r="C4980">
        <v>0.90390829294221497</v>
      </c>
      <c r="D4980">
        <v>0.87774521195975397</v>
      </c>
      <c r="E4980">
        <v>0.93426389322621395</v>
      </c>
      <c r="F4980">
        <v>1.17060007011683</v>
      </c>
      <c r="G4980">
        <v>0.79327787980317699</v>
      </c>
      <c r="H4980">
        <v>0.62756203316704795</v>
      </c>
      <c r="I4980">
        <v>0.73133906027383599</v>
      </c>
      <c r="J4980">
        <v>0.70238600735253998</v>
      </c>
      <c r="K4980">
        <v>0.82650261431181304</v>
      </c>
      <c r="L4980">
        <v>14189.349035145</v>
      </c>
      <c r="M4980">
        <v>250</v>
      </c>
      <c r="O4980">
        <v>56.753764065379301</v>
      </c>
      <c r="P4980">
        <v>-0.30620499140423402</v>
      </c>
      <c r="Q4980">
        <v>0.72194742702741699</v>
      </c>
      <c r="R4980">
        <v>0.65017510668124501</v>
      </c>
      <c r="S4980" t="s">
        <v>10841</v>
      </c>
      <c r="T4980" t="s">
        <v>11720</v>
      </c>
      <c r="U4980" t="s">
        <v>11720</v>
      </c>
      <c r="V4980" t="s">
        <v>11720</v>
      </c>
      <c r="W4980" t="s">
        <v>16644</v>
      </c>
      <c r="X4980">
        <v>3</v>
      </c>
      <c r="Y4980" t="s">
        <v>22351</v>
      </c>
      <c r="Z4980" t="s">
        <v>28187</v>
      </c>
      <c r="AA4980">
        <v>0.87728969382486188</v>
      </c>
      <c r="AB4980" t="str">
        <f>HYPERLINK("Melting_Curves/meltCurve_Q9H0X4_ITFG3.pdf", "Melting_Curves/meltCurve_Q9H0X4_ITFG3.pdf")</f>
        <v>Melting_Curves/meltCurve_Q9H0X4_ITFG3.pdf</v>
      </c>
    </row>
    <row r="4981" spans="1:28" x14ac:dyDescent="0.25">
      <c r="A4981" t="s">
        <v>4985</v>
      </c>
      <c r="B4981">
        <v>0.99334974765950101</v>
      </c>
      <c r="C4981">
        <v>0.90910128551913005</v>
      </c>
      <c r="D4981">
        <v>0.72948314640386502</v>
      </c>
      <c r="E4981">
        <v>0.50250533050593005</v>
      </c>
      <c r="F4981">
        <v>0.30309578123744102</v>
      </c>
      <c r="G4981">
        <v>0.177572294243631</v>
      </c>
      <c r="H4981">
        <v>0.14303856179094299</v>
      </c>
      <c r="I4981">
        <v>0.16657221164321701</v>
      </c>
      <c r="J4981">
        <v>0.229395943754203</v>
      </c>
      <c r="K4981">
        <v>0.159393401174415</v>
      </c>
      <c r="L4981">
        <v>831.25247755416797</v>
      </c>
      <c r="M4981">
        <v>17.187848515059098</v>
      </c>
      <c r="N4981">
        <v>49.4489228066506</v>
      </c>
      <c r="O4981">
        <v>47.7223799291353</v>
      </c>
      <c r="P4981">
        <v>-7.5888980231507405E-2</v>
      </c>
      <c r="Q4981">
        <v>0.15722135023442599</v>
      </c>
      <c r="R4981">
        <v>0.99031788227872197</v>
      </c>
      <c r="S4981" t="s">
        <v>10842</v>
      </c>
      <c r="T4981" t="s">
        <v>11720</v>
      </c>
      <c r="U4981" t="s">
        <v>11720</v>
      </c>
      <c r="V4981" t="s">
        <v>11720</v>
      </c>
      <c r="W4981" t="s">
        <v>16645</v>
      </c>
      <c r="X4981">
        <v>3</v>
      </c>
      <c r="Y4981" t="s">
        <v>22352</v>
      </c>
      <c r="Z4981" t="s">
        <v>28188</v>
      </c>
      <c r="AA4981">
        <v>0.40842230608972052</v>
      </c>
      <c r="AB4981" t="str">
        <f>HYPERLINK("Melting_Curves/meltCurve_Q9H115_NAPB.pdf", "Melting_Curves/meltCurve_Q9H115_NAPB.pdf")</f>
        <v>Melting_Curves/meltCurve_Q9H115_NAPB.pdf</v>
      </c>
    </row>
    <row r="4982" spans="1:28" x14ac:dyDescent="0.25">
      <c r="A4982" t="s">
        <v>4986</v>
      </c>
      <c r="B4982">
        <v>0.99334974765950101</v>
      </c>
      <c r="C4982">
        <v>0.95981954441269901</v>
      </c>
      <c r="D4982">
        <v>0.81144713173330996</v>
      </c>
      <c r="E4982">
        <v>0.55645285638234399</v>
      </c>
      <c r="F4982">
        <v>0.32473438060113202</v>
      </c>
      <c r="G4982">
        <v>0.14655287427121999</v>
      </c>
      <c r="H4982">
        <v>0.114161257699572</v>
      </c>
      <c r="I4982">
        <v>0.12310506006883699</v>
      </c>
      <c r="J4982">
        <v>9.9814647133864898E-2</v>
      </c>
      <c r="K4982">
        <v>8.8373229354696506E-2</v>
      </c>
      <c r="L4982">
        <v>890.20258749702202</v>
      </c>
      <c r="M4982">
        <v>17.835373608966901</v>
      </c>
      <c r="N4982">
        <v>50.438965175323403</v>
      </c>
      <c r="O4982">
        <v>49.2974020959931</v>
      </c>
      <c r="P4982">
        <v>-8.2766292175146999E-2</v>
      </c>
      <c r="Q4982">
        <v>8.4974606608411801E-2</v>
      </c>
      <c r="R4982">
        <v>0.99814298854507899</v>
      </c>
      <c r="S4982" t="s">
        <v>10843</v>
      </c>
      <c r="T4982" t="s">
        <v>11720</v>
      </c>
      <c r="U4982" t="s">
        <v>11720</v>
      </c>
      <c r="V4982" t="s">
        <v>11720</v>
      </c>
      <c r="W4982" t="s">
        <v>16646</v>
      </c>
      <c r="X4982">
        <v>16</v>
      </c>
      <c r="Y4982" t="s">
        <v>22353</v>
      </c>
      <c r="Z4982" t="s">
        <v>28189</v>
      </c>
      <c r="AA4982">
        <v>0.40320319798832721</v>
      </c>
      <c r="AB4982" t="str">
        <f>HYPERLINK("Melting_Curves/meltCurve_Q9H173_SIL1.pdf", "Melting_Curves/meltCurve_Q9H173_SIL1.pdf")</f>
        <v>Melting_Curves/meltCurve_Q9H173_SIL1.pdf</v>
      </c>
    </row>
    <row r="4983" spans="1:28" x14ac:dyDescent="0.25">
      <c r="A4983" t="s">
        <v>4987</v>
      </c>
      <c r="B4983">
        <v>0.99334974765950101</v>
      </c>
      <c r="C4983">
        <v>0.78194065212347397</v>
      </c>
      <c r="D4983">
        <v>0.57953878898556099</v>
      </c>
      <c r="E4983">
        <v>0.286636636864599</v>
      </c>
      <c r="F4983">
        <v>0.149094967485319</v>
      </c>
      <c r="G4983">
        <v>9.18802480204889E-2</v>
      </c>
      <c r="H4983">
        <v>6.2730486134020699E-2</v>
      </c>
      <c r="I4983">
        <v>8.48839892982335E-2</v>
      </c>
      <c r="J4983">
        <v>7.4240738597532205E-2</v>
      </c>
      <c r="K4983">
        <v>6.9796759957380106E-2</v>
      </c>
      <c r="L4983">
        <v>806.76998607279302</v>
      </c>
      <c r="M4983">
        <v>17.3759987046218</v>
      </c>
      <c r="N4983">
        <v>46.796448691209399</v>
      </c>
      <c r="O4983">
        <v>45.8282845207668</v>
      </c>
      <c r="P4983">
        <v>-8.8766514127255502E-2</v>
      </c>
      <c r="Q4983">
        <v>6.35854836600631E-2</v>
      </c>
      <c r="R4983">
        <v>0.99570282983266001</v>
      </c>
      <c r="S4983" t="s">
        <v>10844</v>
      </c>
      <c r="T4983" t="s">
        <v>11720</v>
      </c>
      <c r="U4983" t="s">
        <v>11720</v>
      </c>
      <c r="V4983" t="s">
        <v>11720</v>
      </c>
      <c r="W4983" t="s">
        <v>16647</v>
      </c>
      <c r="X4983">
        <v>2</v>
      </c>
      <c r="Y4983" t="s">
        <v>22354</v>
      </c>
      <c r="Z4983" t="s">
        <v>28190</v>
      </c>
      <c r="AA4983">
        <v>0.28357863533262512</v>
      </c>
      <c r="AB4983" t="str">
        <f>HYPERLINK("Melting_Curves/meltCurve_Q9H1A3_2_METTL9.pdf", "Melting_Curves/meltCurve_Q9H1A3_2_METTL9.pdf")</f>
        <v>Melting_Curves/meltCurve_Q9H1A3_2_METTL9.pdf</v>
      </c>
    </row>
    <row r="4984" spans="1:28" x14ac:dyDescent="0.25">
      <c r="A4984" t="s">
        <v>4988</v>
      </c>
      <c r="B4984">
        <v>0.99334974765950101</v>
      </c>
      <c r="C4984">
        <v>0.91426320425275398</v>
      </c>
      <c r="D4984">
        <v>0.78604325018235199</v>
      </c>
      <c r="E4984">
        <v>0.38181988302766101</v>
      </c>
      <c r="F4984">
        <v>0.21489052146027099</v>
      </c>
      <c r="G4984">
        <v>0.13118392854857799</v>
      </c>
      <c r="H4984">
        <v>9.6682255472746295E-2</v>
      </c>
      <c r="I4984">
        <v>9.7393901648394093E-2</v>
      </c>
      <c r="J4984">
        <v>8.4687364281112301E-2</v>
      </c>
      <c r="K4984">
        <v>8.3945336621552E-2</v>
      </c>
      <c r="L4984">
        <v>1012.5130634967001</v>
      </c>
      <c r="M4984">
        <v>20.934740360664001</v>
      </c>
      <c r="N4984">
        <v>48.808559572245699</v>
      </c>
      <c r="O4984">
        <v>47.930378861682001</v>
      </c>
      <c r="P4984">
        <v>-9.9741479531263402E-2</v>
      </c>
      <c r="Q4984">
        <v>8.6586768214951704E-2</v>
      </c>
      <c r="R4984">
        <v>0.99895494794758899</v>
      </c>
      <c r="S4984" t="s">
        <v>10845</v>
      </c>
      <c r="T4984" t="s">
        <v>11720</v>
      </c>
      <c r="U4984" t="s">
        <v>11720</v>
      </c>
      <c r="V4984" t="s">
        <v>11720</v>
      </c>
      <c r="W4984" t="s">
        <v>16648</v>
      </c>
      <c r="X4984">
        <v>13</v>
      </c>
      <c r="Y4984" t="s">
        <v>22355</v>
      </c>
      <c r="Z4984" t="s">
        <v>28191</v>
      </c>
      <c r="AA4984">
        <v>0.35300302422879037</v>
      </c>
      <c r="AB4984" t="str">
        <f>HYPERLINK("Melting_Curves/meltCurve_Q9H1B7_IRF2BPL.pdf", "Melting_Curves/meltCurve_Q9H1B7_IRF2BPL.pdf")</f>
        <v>Melting_Curves/meltCurve_Q9H1B7_IRF2BPL.pdf</v>
      </c>
    </row>
    <row r="4985" spans="1:28" x14ac:dyDescent="0.25">
      <c r="A4985" t="s">
        <v>4989</v>
      </c>
      <c r="B4985">
        <v>0.99334974765950101</v>
      </c>
      <c r="C4985">
        <v>0.78999632990046398</v>
      </c>
      <c r="D4985">
        <v>0.61583270812537105</v>
      </c>
      <c r="E4985">
        <v>0.441695846742236</v>
      </c>
      <c r="F4985">
        <v>0.29743709059485102</v>
      </c>
      <c r="G4985">
        <v>0.19530807180616</v>
      </c>
      <c r="H4985">
        <v>0.153183158768642</v>
      </c>
      <c r="I4985">
        <v>0.101320971145897</v>
      </c>
      <c r="J4985">
        <v>8.5634152952763803E-2</v>
      </c>
      <c r="K4985">
        <v>4.4818506827630798E-2</v>
      </c>
      <c r="L4985">
        <v>549.38923208366305</v>
      </c>
      <c r="M4985">
        <v>11.397449615316001</v>
      </c>
      <c r="N4985">
        <v>48.6292521795773</v>
      </c>
      <c r="O4985">
        <v>46.790463880818301</v>
      </c>
      <c r="P4985">
        <v>-5.8017316304548303E-2</v>
      </c>
      <c r="Q4985">
        <v>4.7555571133010899E-2</v>
      </c>
      <c r="R4985">
        <v>0.99023971141627698</v>
      </c>
      <c r="S4985" t="s">
        <v>10846</v>
      </c>
      <c r="T4985" t="s">
        <v>11720</v>
      </c>
      <c r="U4985" t="s">
        <v>11720</v>
      </c>
      <c r="V4985" t="s">
        <v>11720</v>
      </c>
      <c r="W4985" t="s">
        <v>16649</v>
      </c>
      <c r="X4985">
        <v>3</v>
      </c>
      <c r="Y4985" t="s">
        <v>22356</v>
      </c>
      <c r="Z4985" t="s">
        <v>28192</v>
      </c>
      <c r="AA4985">
        <v>0.34816867366383342</v>
      </c>
      <c r="AB4985" t="str">
        <f>HYPERLINK("Melting_Curves/meltCurve_Q9H1C3_GLT8D2.pdf", "Melting_Curves/meltCurve_Q9H1C3_GLT8D2.pdf")</f>
        <v>Melting_Curves/meltCurve_Q9H1C3_GLT8D2.pdf</v>
      </c>
    </row>
    <row r="4986" spans="1:28" x14ac:dyDescent="0.25">
      <c r="A4986" t="s">
        <v>4990</v>
      </c>
      <c r="B4986">
        <v>0.99334974765950101</v>
      </c>
      <c r="C4986">
        <v>1.10443614895815</v>
      </c>
      <c r="D4986">
        <v>0.91783041724924896</v>
      </c>
      <c r="E4986">
        <v>0.83292567455950905</v>
      </c>
      <c r="F4986">
        <v>1.34978028730998</v>
      </c>
      <c r="G4986">
        <v>0.765169367667897</v>
      </c>
      <c r="H4986">
        <v>0.985053215069573</v>
      </c>
      <c r="I4986">
        <v>1.14412884507551</v>
      </c>
      <c r="J4986">
        <v>1.59657936761998</v>
      </c>
      <c r="K4986">
        <v>0.91625125513269301</v>
      </c>
      <c r="L4986">
        <v>15000</v>
      </c>
      <c r="M4986">
        <v>234.625195829728</v>
      </c>
      <c r="O4986">
        <v>63.927109664600003</v>
      </c>
      <c r="P4986">
        <v>0.23526539107984701</v>
      </c>
      <c r="Q4986">
        <v>1.2564061535655999</v>
      </c>
      <c r="R4986">
        <v>0.202684063425707</v>
      </c>
      <c r="S4986" t="s">
        <v>10847</v>
      </c>
      <c r="T4986" t="s">
        <v>11720</v>
      </c>
      <c r="U4986" t="s">
        <v>11720</v>
      </c>
      <c r="V4986" t="s">
        <v>11720</v>
      </c>
      <c r="W4986" t="s">
        <v>16650</v>
      </c>
      <c r="X4986">
        <v>11</v>
      </c>
      <c r="Y4986" t="s">
        <v>22357</v>
      </c>
      <c r="Z4986" t="s">
        <v>28193</v>
      </c>
      <c r="AA4986">
        <v>1.051831868080064</v>
      </c>
      <c r="AB4986" t="str">
        <f>HYPERLINK("Melting_Curves/meltCurve_Q9H1E3_NUCKS1.pdf", "Melting_Curves/meltCurve_Q9H1E3_NUCKS1.pdf")</f>
        <v>Melting_Curves/meltCurve_Q9H1E3_NUCKS1.pdf</v>
      </c>
    </row>
    <row r="4987" spans="1:28" x14ac:dyDescent="0.25">
      <c r="A4987" t="s">
        <v>4991</v>
      </c>
      <c r="B4987">
        <v>0.99334974765950101</v>
      </c>
      <c r="C4987">
        <v>1.0407254043098499</v>
      </c>
      <c r="D4987">
        <v>0.94222948613975899</v>
      </c>
      <c r="E4987">
        <v>0.64291326800672699</v>
      </c>
      <c r="F4987">
        <v>0.312655789525559</v>
      </c>
      <c r="G4987">
        <v>0.26834442716033502</v>
      </c>
      <c r="H4987">
        <v>0.21020840793055401</v>
      </c>
      <c r="I4987">
        <v>0.19251464695781101</v>
      </c>
      <c r="J4987">
        <v>0.12334551295685101</v>
      </c>
      <c r="K4987">
        <v>9.3687429939700403E-2</v>
      </c>
      <c r="L4987">
        <v>1325.5426022785</v>
      </c>
      <c r="M4987">
        <v>26.255617850110799</v>
      </c>
      <c r="N4987">
        <v>51.246963880129002</v>
      </c>
      <c r="O4987">
        <v>50.195912616978099</v>
      </c>
      <c r="P4987">
        <v>-0.109659091008197</v>
      </c>
      <c r="Q4987">
        <v>0.16141722452496199</v>
      </c>
      <c r="R4987">
        <v>0.98723323695465004</v>
      </c>
      <c r="S4987" t="s">
        <v>10848</v>
      </c>
      <c r="T4987" t="s">
        <v>11720</v>
      </c>
      <c r="U4987" t="s">
        <v>11720</v>
      </c>
      <c r="V4987" t="s">
        <v>11720</v>
      </c>
      <c r="W4987" t="s">
        <v>16651</v>
      </c>
      <c r="X4987">
        <v>3</v>
      </c>
      <c r="Y4987" t="s">
        <v>22358</v>
      </c>
      <c r="Z4987" t="s">
        <v>28194</v>
      </c>
      <c r="AA4987">
        <v>0.46136349908068902</v>
      </c>
      <c r="AB4987" t="str">
        <f>HYPERLINK("Melting_Curves/meltCurve_Q9H1E5_TMX4.pdf", "Melting_Curves/meltCurve_Q9H1E5_TMX4.pdf")</f>
        <v>Melting_Curves/meltCurve_Q9H1E5_TMX4.pdf</v>
      </c>
    </row>
    <row r="4988" spans="1:28" x14ac:dyDescent="0.25">
      <c r="A4988" t="s">
        <v>4992</v>
      </c>
      <c r="B4988">
        <v>0.99334974765950101</v>
      </c>
      <c r="C4988">
        <v>1.2234594828223</v>
      </c>
      <c r="D4988">
        <v>0.86848816082889202</v>
      </c>
      <c r="E4988">
        <v>0.55373129876622695</v>
      </c>
      <c r="F4988">
        <v>0.49201517699536201</v>
      </c>
      <c r="G4988">
        <v>0.458742949215725</v>
      </c>
      <c r="H4988">
        <v>0.391015352933055</v>
      </c>
      <c r="I4988">
        <v>0.27308883929398398</v>
      </c>
      <c r="J4988">
        <v>0.20786983519807301</v>
      </c>
      <c r="K4988">
        <v>8.5043996552947601E-2</v>
      </c>
      <c r="L4988">
        <v>684.36119463628097</v>
      </c>
      <c r="M4988">
        <v>13.2227164635863</v>
      </c>
      <c r="N4988">
        <v>53.623821121817599</v>
      </c>
      <c r="O4988">
        <v>50.6156435585944</v>
      </c>
      <c r="P4988">
        <v>-5.3268491353020003E-2</v>
      </c>
      <c r="Q4988">
        <v>0.18450245405803101</v>
      </c>
      <c r="R4988">
        <v>0.89162710730089501</v>
      </c>
      <c r="S4988" t="s">
        <v>10849</v>
      </c>
      <c r="T4988" t="s">
        <v>11720</v>
      </c>
      <c r="U4988" t="s">
        <v>11720</v>
      </c>
      <c r="V4988" t="s">
        <v>11720</v>
      </c>
      <c r="W4988" t="s">
        <v>16652</v>
      </c>
      <c r="X4988">
        <v>2</v>
      </c>
      <c r="Y4988" t="s">
        <v>22359</v>
      </c>
      <c r="Z4988" t="s">
        <v>28195</v>
      </c>
      <c r="AA4988">
        <v>0.52627790671349073</v>
      </c>
      <c r="AB4988" t="str">
        <f>HYPERLINK("Melting_Curves/meltCurve_Q9H1I8_3_ASCC2.pdf", "Melting_Curves/meltCurve_Q9H1I8_3_ASCC2.pdf")</f>
        <v>Melting_Curves/meltCurve_Q9H1I8_3_ASCC2.pdf</v>
      </c>
    </row>
    <row r="4989" spans="1:28" x14ac:dyDescent="0.25">
      <c r="A4989" t="s">
        <v>4993</v>
      </c>
      <c r="B4989">
        <v>0.99334974765950101</v>
      </c>
      <c r="C4989">
        <v>0.86337099385124705</v>
      </c>
      <c r="D4989">
        <v>1.02443772898268</v>
      </c>
      <c r="E4989">
        <v>1.0010542705584899</v>
      </c>
      <c r="F4989">
        <v>1.00009247398629</v>
      </c>
      <c r="G4989">
        <v>0.57782112521370399</v>
      </c>
      <c r="H4989">
        <v>0.65200845471804902</v>
      </c>
      <c r="I4989">
        <v>0.87049632656634002</v>
      </c>
      <c r="J4989">
        <v>2.1496174464440401</v>
      </c>
      <c r="K4989">
        <v>1.4091310751096999</v>
      </c>
      <c r="L4989">
        <v>9746.9690452509203</v>
      </c>
      <c r="M4989">
        <v>149.63268310033999</v>
      </c>
      <c r="O4989">
        <v>65.127673367954003</v>
      </c>
      <c r="P4989">
        <v>0.28719106818748003</v>
      </c>
      <c r="Q4989">
        <v>1.5</v>
      </c>
      <c r="R4989">
        <v>0.56255140940737502</v>
      </c>
      <c r="S4989" t="s">
        <v>10850</v>
      </c>
      <c r="T4989" t="s">
        <v>11720</v>
      </c>
      <c r="U4989" t="s">
        <v>11720</v>
      </c>
      <c r="V4989" t="s">
        <v>11720</v>
      </c>
      <c r="W4989" t="s">
        <v>16653</v>
      </c>
      <c r="X4989">
        <v>1</v>
      </c>
      <c r="Y4989" t="s">
        <v>22360</v>
      </c>
      <c r="Z4989" t="s">
        <v>28196</v>
      </c>
      <c r="AA4989">
        <v>1.08085221816552</v>
      </c>
      <c r="AB4989" t="str">
        <f>HYPERLINK("Melting_Curves/meltCurve_Q9H1J1_3_UPF3A.pdf", "Melting_Curves/meltCurve_Q9H1J1_3_UPF3A.pdf")</f>
        <v>Melting_Curves/meltCurve_Q9H1J1_3_UPF3A.pdf</v>
      </c>
    </row>
    <row r="4990" spans="1:28" x14ac:dyDescent="0.25">
      <c r="A4990" t="s">
        <v>4994</v>
      </c>
      <c r="B4990">
        <v>0.99334974765950101</v>
      </c>
      <c r="C4990">
        <v>1.0091680779165599</v>
      </c>
      <c r="D4990">
        <v>0.97089149478512105</v>
      </c>
      <c r="E4990">
        <v>1.0091902691558301</v>
      </c>
      <c r="F4990">
        <v>0.83353980091564694</v>
      </c>
      <c r="G4990">
        <v>0.58924231110146796</v>
      </c>
      <c r="H4990">
        <v>0.36707404983248998</v>
      </c>
      <c r="I4990">
        <v>0.33207158879869902</v>
      </c>
      <c r="J4990">
        <v>0.37623652965501297</v>
      </c>
      <c r="K4990">
        <v>0.30276348457361302</v>
      </c>
      <c r="L4990">
        <v>1446.2101974391301</v>
      </c>
      <c r="M4990">
        <v>25.9259159518855</v>
      </c>
      <c r="N4990">
        <v>58.092814747609303</v>
      </c>
      <c r="O4990">
        <v>55.453712091530903</v>
      </c>
      <c r="P4990">
        <v>-7.9282266046201602E-2</v>
      </c>
      <c r="Q4990">
        <v>0.32169116958815602</v>
      </c>
      <c r="R4990">
        <v>0.99214206775939895</v>
      </c>
      <c r="S4990" t="s">
        <v>10851</v>
      </c>
      <c r="T4990" t="s">
        <v>11720</v>
      </c>
      <c r="U4990" t="s">
        <v>11720</v>
      </c>
      <c r="V4990" t="s">
        <v>11720</v>
      </c>
      <c r="W4990" t="s">
        <v>16654</v>
      </c>
      <c r="X4990">
        <v>9</v>
      </c>
      <c r="Y4990" t="s">
        <v>22361</v>
      </c>
      <c r="Z4990" t="s">
        <v>28197</v>
      </c>
      <c r="AA4990">
        <v>0.68440373496670803</v>
      </c>
      <c r="AB4990" t="str">
        <f>HYPERLINK("Melting_Curves/meltCurve_Q9H1J7_WNT5B.pdf", "Melting_Curves/meltCurve_Q9H1J7_WNT5B.pdf")</f>
        <v>Melting_Curves/meltCurve_Q9H1J7_WNT5B.pdf</v>
      </c>
    </row>
    <row r="4991" spans="1:28" x14ac:dyDescent="0.25">
      <c r="A4991" t="s">
        <v>4995</v>
      </c>
      <c r="B4991">
        <v>0.99334974765950101</v>
      </c>
      <c r="C4991">
        <v>1.013475894563</v>
      </c>
      <c r="D4991">
        <v>1.0543660709561</v>
      </c>
      <c r="E4991">
        <v>0.65686626795286496</v>
      </c>
      <c r="F4991">
        <v>0.27001907125112601</v>
      </c>
      <c r="G4991">
        <v>0.193596140589857</v>
      </c>
      <c r="H4991">
        <v>0.131054731642887</v>
      </c>
      <c r="I4991">
        <v>0.16040228611837901</v>
      </c>
      <c r="J4991">
        <v>0.16947619831604799</v>
      </c>
      <c r="K4991">
        <v>0.14151765957843801</v>
      </c>
      <c r="L4991">
        <v>2146.6463959564899</v>
      </c>
      <c r="M4991">
        <v>42.511062267019398</v>
      </c>
      <c r="N4991">
        <v>50.955430250759598</v>
      </c>
      <c r="O4991">
        <v>50.384850229226899</v>
      </c>
      <c r="P4991">
        <v>-0.177364176559241</v>
      </c>
      <c r="Q4991">
        <v>0.15914133380964701</v>
      </c>
      <c r="R4991">
        <v>0.99522262435348996</v>
      </c>
      <c r="S4991" t="s">
        <v>10852</v>
      </c>
      <c r="T4991" t="s">
        <v>11720</v>
      </c>
      <c r="U4991" t="s">
        <v>11720</v>
      </c>
      <c r="V4991" t="s">
        <v>11720</v>
      </c>
      <c r="W4991" t="s">
        <v>16655</v>
      </c>
      <c r="X4991">
        <v>7</v>
      </c>
      <c r="Y4991" t="s">
        <v>22362</v>
      </c>
      <c r="Z4991" t="s">
        <v>28198</v>
      </c>
      <c r="AA4991">
        <v>0.45593126745209023</v>
      </c>
      <c r="AB4991" t="str">
        <f>HYPERLINK("Melting_Curves/meltCurve_Q9H1K0_ZFYVE20.pdf", "Melting_Curves/meltCurve_Q9H1K0_ZFYVE20.pdf")</f>
        <v>Melting_Curves/meltCurve_Q9H1K0_ZFYVE20.pdf</v>
      </c>
    </row>
    <row r="4992" spans="1:28" x14ac:dyDescent="0.25">
      <c r="A4992" t="s">
        <v>4996</v>
      </c>
      <c r="B4992">
        <v>0.99334974765950101</v>
      </c>
      <c r="C4992">
        <v>0.99732924454095595</v>
      </c>
      <c r="D4992">
        <v>0.85540600075739004</v>
      </c>
      <c r="E4992">
        <v>0.708290078581572</v>
      </c>
      <c r="F4992">
        <v>0.53638767103880003</v>
      </c>
      <c r="G4992">
        <v>0.41640350595273401</v>
      </c>
      <c r="H4992">
        <v>0.33694335633429001</v>
      </c>
      <c r="I4992">
        <v>0.37106393729703102</v>
      </c>
      <c r="J4992">
        <v>0.34556856187281798</v>
      </c>
      <c r="K4992">
        <v>0.29820368854743001</v>
      </c>
      <c r="L4992">
        <v>805.13465211544496</v>
      </c>
      <c r="M4992">
        <v>15.897355390416401</v>
      </c>
      <c r="N4992">
        <v>54.042942433367401</v>
      </c>
      <c r="O4992">
        <v>49.8647568137796</v>
      </c>
      <c r="P4992">
        <v>-5.4526265567881801E-2</v>
      </c>
      <c r="Q4992">
        <v>0.31593148205546101</v>
      </c>
      <c r="R4992">
        <v>0.99325517201152802</v>
      </c>
      <c r="S4992" t="s">
        <v>10853</v>
      </c>
      <c r="T4992" t="s">
        <v>11720</v>
      </c>
      <c r="U4992" t="s">
        <v>11720</v>
      </c>
      <c r="V4992" t="s">
        <v>11720</v>
      </c>
      <c r="W4992" t="s">
        <v>16656</v>
      </c>
      <c r="X4992">
        <v>12</v>
      </c>
      <c r="Y4992" t="s">
        <v>22363</v>
      </c>
      <c r="Z4992" t="s">
        <v>28199</v>
      </c>
      <c r="AA4992">
        <v>0.57314189602774301</v>
      </c>
      <c r="AB4992" t="str">
        <f>HYPERLINK("Melting_Curves/meltCurve_Q9H1K1_ISCU.pdf", "Melting_Curves/meltCurve_Q9H1K1_ISCU.pdf")</f>
        <v>Melting_Curves/meltCurve_Q9H1K1_ISCU.pdf</v>
      </c>
    </row>
    <row r="4993" spans="1:28" x14ac:dyDescent="0.25">
      <c r="A4993" t="s">
        <v>4997</v>
      </c>
      <c r="B4993">
        <v>0.99334974765950101</v>
      </c>
      <c r="C4993">
        <v>0.88043454914604502</v>
      </c>
      <c r="D4993">
        <v>0.58385036783914301</v>
      </c>
      <c r="E4993">
        <v>0.19317904627361801</v>
      </c>
      <c r="F4993">
        <v>8.8979297492556397E-2</v>
      </c>
      <c r="G4993">
        <v>5.5543821418066699E-2</v>
      </c>
      <c r="H4993">
        <v>3.6482778610093101E-2</v>
      </c>
      <c r="I4993">
        <v>4.0240471065610198E-2</v>
      </c>
      <c r="J4993">
        <v>3.5323097270902402E-2</v>
      </c>
      <c r="K4993">
        <v>2.16018292795696E-2</v>
      </c>
      <c r="L4993">
        <v>1087.8253982475401</v>
      </c>
      <c r="M4993">
        <v>23.3699347131341</v>
      </c>
      <c r="N4993">
        <v>46.688782788874803</v>
      </c>
      <c r="O4993">
        <v>46.211241758552198</v>
      </c>
      <c r="P4993">
        <v>-0.122132822485224</v>
      </c>
      <c r="Q4993">
        <v>3.40045830928297E-2</v>
      </c>
      <c r="R4993">
        <v>0.99963986385100601</v>
      </c>
      <c r="S4993" t="s">
        <v>10854</v>
      </c>
      <c r="T4993" t="s">
        <v>11720</v>
      </c>
      <c r="U4993" t="s">
        <v>11720</v>
      </c>
      <c r="V4993" t="s">
        <v>11720</v>
      </c>
      <c r="W4993" t="s">
        <v>16657</v>
      </c>
      <c r="X4993">
        <v>6</v>
      </c>
      <c r="Y4993" t="s">
        <v>22364</v>
      </c>
      <c r="Z4993" t="s">
        <v>28200</v>
      </c>
      <c r="AA4993">
        <v>0.25500936993464562</v>
      </c>
      <c r="AB4993" t="str">
        <f>HYPERLINK("Melting_Curves/meltCurve_Q9H1P3_2_OSBPL2.pdf", "Melting_Curves/meltCurve_Q9H1P3_2_OSBPL2.pdf")</f>
        <v>Melting_Curves/meltCurve_Q9H1P3_2_OSBPL2.pdf</v>
      </c>
    </row>
    <row r="4994" spans="1:28" x14ac:dyDescent="0.25">
      <c r="A4994" t="s">
        <v>4998</v>
      </c>
      <c r="B4994">
        <v>0.99334974765950101</v>
      </c>
      <c r="C4994">
        <v>0.95883035973603004</v>
      </c>
      <c r="D4994">
        <v>0.93142596165857505</v>
      </c>
      <c r="E4994">
        <v>0.98589993943395204</v>
      </c>
      <c r="F4994">
        <v>0.796284708188706</v>
      </c>
      <c r="G4994">
        <v>0.215349153295986</v>
      </c>
      <c r="H4994">
        <v>0.146390062037799</v>
      </c>
      <c r="I4994">
        <v>0.12971540184647001</v>
      </c>
      <c r="J4994">
        <v>0.138590315685962</v>
      </c>
      <c r="K4994">
        <v>0.13286960432941999</v>
      </c>
      <c r="L4994">
        <v>2601.5720985394</v>
      </c>
      <c r="M4994">
        <v>47.9118824644436</v>
      </c>
      <c r="N4994">
        <v>54.659340639221099</v>
      </c>
      <c r="O4994">
        <v>54.204757578377901</v>
      </c>
      <c r="P4994">
        <v>-0.19105933486156801</v>
      </c>
      <c r="Q4994">
        <v>0.135386550992735</v>
      </c>
      <c r="R4994">
        <v>0.99580470519118203</v>
      </c>
      <c r="S4994" t="s">
        <v>10855</v>
      </c>
      <c r="T4994" t="s">
        <v>11720</v>
      </c>
      <c r="U4994" t="s">
        <v>11720</v>
      </c>
      <c r="V4994" t="s">
        <v>11720</v>
      </c>
      <c r="W4994" t="s">
        <v>16658</v>
      </c>
      <c r="X4994">
        <v>5</v>
      </c>
      <c r="Y4994" t="s">
        <v>22365</v>
      </c>
      <c r="Z4994" t="s">
        <v>28201</v>
      </c>
      <c r="AA4994">
        <v>0.54974824952453694</v>
      </c>
      <c r="AB4994" t="str">
        <f>HYPERLINK("Melting_Curves/meltCurve_Q9H1Y0_ATG5.pdf", "Melting_Curves/meltCurve_Q9H1Y0_ATG5.pdf")</f>
        <v>Melting_Curves/meltCurve_Q9H1Y0_ATG5.pdf</v>
      </c>
    </row>
    <row r="4995" spans="1:28" x14ac:dyDescent="0.25">
      <c r="A4995" t="s">
        <v>4999</v>
      </c>
      <c r="B4995">
        <v>0.99334974765950101</v>
      </c>
      <c r="C4995">
        <v>0.99986930145574804</v>
      </c>
      <c r="D4995">
        <v>1.03901135451045</v>
      </c>
      <c r="E4995">
        <v>1.0748871060615399</v>
      </c>
      <c r="F4995">
        <v>0.63970354383053496</v>
      </c>
      <c r="G4995">
        <v>0.47751535518208998</v>
      </c>
      <c r="H4995">
        <v>0.36734323703822402</v>
      </c>
      <c r="I4995">
        <v>0.25502218798419302</v>
      </c>
      <c r="J4995">
        <v>0.21719571796617901</v>
      </c>
      <c r="K4995">
        <v>0.16767695201916</v>
      </c>
      <c r="L4995">
        <v>1180.352732345</v>
      </c>
      <c r="M4995">
        <v>21.461430280418</v>
      </c>
      <c r="N4995">
        <v>56.440918800907497</v>
      </c>
      <c r="O4995">
        <v>54.527957386340098</v>
      </c>
      <c r="P4995">
        <v>-7.7631618965255E-2</v>
      </c>
      <c r="Q4995">
        <v>0.21105177249071999</v>
      </c>
      <c r="R4995">
        <v>0.960649736328411</v>
      </c>
      <c r="S4995" t="s">
        <v>10856</v>
      </c>
      <c r="T4995" t="s">
        <v>11720</v>
      </c>
      <c r="U4995" t="s">
        <v>11720</v>
      </c>
      <c r="V4995" t="s">
        <v>11720</v>
      </c>
      <c r="W4995" t="s">
        <v>16659</v>
      </c>
      <c r="X4995">
        <v>7</v>
      </c>
      <c r="Y4995" t="s">
        <v>22366</v>
      </c>
      <c r="Z4995" t="s">
        <v>28202</v>
      </c>
      <c r="AA4995">
        <v>0.61491604409720502</v>
      </c>
      <c r="AB4995" t="str">
        <f>HYPERLINK("Melting_Curves/meltCurve_Q9H1Z4_WDR13.pdf", "Melting_Curves/meltCurve_Q9H1Z4_WDR13.pdf")</f>
        <v>Melting_Curves/meltCurve_Q9H1Z4_WDR13.pdf</v>
      </c>
    </row>
    <row r="4996" spans="1:28" x14ac:dyDescent="0.25">
      <c r="A4996" t="s">
        <v>5000</v>
      </c>
      <c r="B4996">
        <v>0.99334974765950101</v>
      </c>
      <c r="C4996">
        <v>1.0453386423481901</v>
      </c>
      <c r="D4996">
        <v>0.96990260645049597</v>
      </c>
      <c r="E4996">
        <v>0.77820202337446498</v>
      </c>
      <c r="F4996">
        <v>0.73344635863738095</v>
      </c>
      <c r="G4996">
        <v>0.60104172381790399</v>
      </c>
      <c r="H4996">
        <v>0.59212290284897295</v>
      </c>
      <c r="I4996">
        <v>0.73112822985807102</v>
      </c>
      <c r="J4996">
        <v>0.77681568584688898</v>
      </c>
      <c r="K4996">
        <v>0.55534055068619903</v>
      </c>
      <c r="L4996">
        <v>1526.2516812297399</v>
      </c>
      <c r="M4996">
        <v>30.934483310693899</v>
      </c>
      <c r="O4996">
        <v>49.133408831803202</v>
      </c>
      <c r="P4996">
        <v>-5.4164080341541798E-2</v>
      </c>
      <c r="Q4996">
        <v>0.65588568887463805</v>
      </c>
      <c r="R4996">
        <v>0.84514280083733995</v>
      </c>
      <c r="S4996" t="s">
        <v>10857</v>
      </c>
      <c r="T4996" t="s">
        <v>11720</v>
      </c>
      <c r="U4996" t="s">
        <v>11720</v>
      </c>
      <c r="V4996" t="s">
        <v>11720</v>
      </c>
      <c r="W4996" t="s">
        <v>16660</v>
      </c>
      <c r="X4996">
        <v>4</v>
      </c>
      <c r="Y4996" t="s">
        <v>22367</v>
      </c>
      <c r="Z4996" t="s">
        <v>28203</v>
      </c>
      <c r="AA4996">
        <v>0.76497790709356117</v>
      </c>
      <c r="AB4996" t="str">
        <f>HYPERLINK("Melting_Curves/meltCurve_Q9H1Z9_TSPAN10.pdf", "Melting_Curves/meltCurve_Q9H1Z9_TSPAN10.pdf")</f>
        <v>Melting_Curves/meltCurve_Q9H1Z9_TSPAN10.pdf</v>
      </c>
    </row>
    <row r="4997" spans="1:28" x14ac:dyDescent="0.25">
      <c r="A4997" t="s">
        <v>5001</v>
      </c>
      <c r="B4997">
        <v>0.99334974765950101</v>
      </c>
      <c r="C4997">
        <v>0.93538494123306604</v>
      </c>
      <c r="D4997">
        <v>0.85124461679533603</v>
      </c>
      <c r="E4997">
        <v>0.74730416587013004</v>
      </c>
      <c r="F4997">
        <v>0.76263413614884201</v>
      </c>
      <c r="G4997">
        <v>0.58343730811666294</v>
      </c>
      <c r="H4997">
        <v>0.389161577667481</v>
      </c>
      <c r="I4997">
        <v>0.451894304370907</v>
      </c>
      <c r="J4997">
        <v>0.30567874471046402</v>
      </c>
      <c r="K4997">
        <v>0.29248283386247997</v>
      </c>
      <c r="L4997">
        <v>412.81560078902999</v>
      </c>
      <c r="M4997">
        <v>7.0380830417390001</v>
      </c>
      <c r="N4997">
        <v>59.612956048009998</v>
      </c>
      <c r="O4997">
        <v>54.470712306580197</v>
      </c>
      <c r="P4997">
        <v>-3.0629813599070702E-2</v>
      </c>
      <c r="Q4997">
        <v>5.3491751128702497E-2</v>
      </c>
      <c r="R4997">
        <v>0.97194282531248999</v>
      </c>
      <c r="S4997" t="s">
        <v>10858</v>
      </c>
      <c r="T4997" t="s">
        <v>11720</v>
      </c>
      <c r="U4997" t="s">
        <v>11720</v>
      </c>
      <c r="V4997" t="s">
        <v>11720</v>
      </c>
      <c r="W4997" t="s">
        <v>16661</v>
      </c>
      <c r="X4997">
        <v>1</v>
      </c>
      <c r="Y4997" t="s">
        <v>22368</v>
      </c>
      <c r="Z4997" t="s">
        <v>28204</v>
      </c>
      <c r="AA4997">
        <v>0.63432026487652093</v>
      </c>
      <c r="AB4997" t="str">
        <f>HYPERLINK("Melting_Curves/meltCurve_Q9H204_MED28.pdf", "Melting_Curves/meltCurve_Q9H204_MED28.pdf")</f>
        <v>Melting_Curves/meltCurve_Q9H204_MED28.pdf</v>
      </c>
    </row>
    <row r="4998" spans="1:28" x14ac:dyDescent="0.25">
      <c r="A4998" t="s">
        <v>5002</v>
      </c>
      <c r="B4998">
        <v>0.99334974765950101</v>
      </c>
      <c r="C4998">
        <v>0.88547758505860297</v>
      </c>
      <c r="D4998">
        <v>0.91266723991223397</v>
      </c>
      <c r="E4998">
        <v>0.52954563734856896</v>
      </c>
      <c r="F4998">
        <v>0.13013837511443499</v>
      </c>
      <c r="G4998">
        <v>8.5768653647484594E-2</v>
      </c>
      <c r="H4998">
        <v>6.0869344202294597E-2</v>
      </c>
      <c r="I4998">
        <v>4.97561416197159E-2</v>
      </c>
      <c r="J4998">
        <v>4.5862510101310303E-2</v>
      </c>
      <c r="K4998">
        <v>3.90980644908967E-2</v>
      </c>
      <c r="L4998">
        <v>1566.5257913232699</v>
      </c>
      <c r="M4998">
        <v>31.4193686201444</v>
      </c>
      <c r="N4998">
        <v>50.013580720398799</v>
      </c>
      <c r="O4998">
        <v>49.657932227494797</v>
      </c>
      <c r="P4998">
        <v>-0.15084293581225999</v>
      </c>
      <c r="Q4998">
        <v>4.6383453803267097E-2</v>
      </c>
      <c r="R4998">
        <v>0.98964956961619699</v>
      </c>
      <c r="S4998" t="s">
        <v>10859</v>
      </c>
      <c r="T4998" t="s">
        <v>11720</v>
      </c>
      <c r="U4998" t="s">
        <v>11720</v>
      </c>
      <c r="V4998" t="s">
        <v>11720</v>
      </c>
      <c r="W4998" t="s">
        <v>16662</v>
      </c>
      <c r="X4998">
        <v>29</v>
      </c>
      <c r="Y4998" t="s">
        <v>22369</v>
      </c>
      <c r="Z4998" t="s">
        <v>28205</v>
      </c>
      <c r="AA4998">
        <v>0.36511951684994609</v>
      </c>
      <c r="AB4998" t="str">
        <f>HYPERLINK("Melting_Curves/meltCurve_Q9H223_EHD4.pdf", "Melting_Curves/meltCurve_Q9H223_EHD4.pdf")</f>
        <v>Melting_Curves/meltCurve_Q9H223_EHD4.pdf</v>
      </c>
    </row>
    <row r="4999" spans="1:28" x14ac:dyDescent="0.25">
      <c r="A4999" t="s">
        <v>5003</v>
      </c>
      <c r="B4999">
        <v>0.99334974765950101</v>
      </c>
      <c r="C4999">
        <v>1.0057378016973599</v>
      </c>
      <c r="D4999">
        <v>0.84690610436409097</v>
      </c>
      <c r="E4999">
        <v>0.87678529011706197</v>
      </c>
      <c r="F4999">
        <v>0.99090491390511404</v>
      </c>
      <c r="G4999">
        <v>0.92568225600883303</v>
      </c>
      <c r="H4999">
        <v>0.81990554968506402</v>
      </c>
      <c r="I4999">
        <v>0.81953649307532495</v>
      </c>
      <c r="J4999">
        <v>0.92206471725126804</v>
      </c>
      <c r="K4999">
        <v>0.72864549410642299</v>
      </c>
      <c r="L4999">
        <v>208.587282601102</v>
      </c>
      <c r="M4999">
        <v>1.59871119665707</v>
      </c>
      <c r="O4999">
        <v>66.8733700242894</v>
      </c>
      <c r="P4999">
        <v>-6.8664585961874898E-3</v>
      </c>
      <c r="Q4999">
        <v>0</v>
      </c>
      <c r="R4999">
        <v>0.45239595819922301</v>
      </c>
      <c r="S4999" t="s">
        <v>10860</v>
      </c>
      <c r="T4999" t="s">
        <v>11720</v>
      </c>
      <c r="U4999" t="s">
        <v>11720</v>
      </c>
      <c r="V4999" t="s">
        <v>11720</v>
      </c>
      <c r="W4999" t="s">
        <v>16663</v>
      </c>
      <c r="X4999">
        <v>3</v>
      </c>
      <c r="Y4999" t="s">
        <v>22370</v>
      </c>
      <c r="Z4999" t="s">
        <v>28206</v>
      </c>
      <c r="AA4999">
        <v>0.89529269255034871</v>
      </c>
      <c r="AB4999" t="str">
        <f>HYPERLINK("Melting_Curves/meltCurve_Q9H246_C1orf21.pdf", "Melting_Curves/meltCurve_Q9H246_C1orf21.pdf")</f>
        <v>Melting_Curves/meltCurve_Q9H246_C1orf21.pdf</v>
      </c>
    </row>
    <row r="5000" spans="1:28" x14ac:dyDescent="0.25">
      <c r="A5000" t="s">
        <v>5004</v>
      </c>
      <c r="B5000">
        <v>0.99334974765950101</v>
      </c>
      <c r="C5000">
        <v>0.96400048561930096</v>
      </c>
      <c r="D5000">
        <v>1.00934786171359</v>
      </c>
      <c r="E5000">
        <v>0.64314112360459197</v>
      </c>
      <c r="F5000">
        <v>0.36350516276043199</v>
      </c>
      <c r="G5000">
        <v>0.28105068348821699</v>
      </c>
      <c r="H5000">
        <v>0.27023006472237698</v>
      </c>
      <c r="I5000">
        <v>0.20619092992217999</v>
      </c>
      <c r="J5000">
        <v>0.15442449603272601</v>
      </c>
      <c r="K5000">
        <v>0.15530585961152499</v>
      </c>
      <c r="L5000">
        <v>1442.82529863523</v>
      </c>
      <c r="M5000">
        <v>28.564811665735899</v>
      </c>
      <c r="N5000">
        <v>51.453045329181798</v>
      </c>
      <c r="O5000">
        <v>50.264972967137702</v>
      </c>
      <c r="P5000">
        <v>-0.113132998938272</v>
      </c>
      <c r="Q5000">
        <v>0.20369411745298799</v>
      </c>
      <c r="R5000">
        <v>0.98719251076798498</v>
      </c>
      <c r="S5000" t="s">
        <v>10861</v>
      </c>
      <c r="T5000" t="s">
        <v>11720</v>
      </c>
      <c r="U5000" t="s">
        <v>11720</v>
      </c>
      <c r="V5000" t="s">
        <v>11720</v>
      </c>
      <c r="W5000" t="s">
        <v>16664</v>
      </c>
      <c r="X5000">
        <v>3</v>
      </c>
      <c r="Y5000" t="s">
        <v>22371</v>
      </c>
      <c r="Z5000" t="s">
        <v>28207</v>
      </c>
      <c r="AA5000">
        <v>0.48816319685881199</v>
      </c>
      <c r="AB5000" t="str">
        <f>HYPERLINK("Melting_Curves/meltCurve_Q9H267_VPS33B.pdf", "Melting_Curves/meltCurve_Q9H267_VPS33B.pdf")</f>
        <v>Melting_Curves/meltCurve_Q9H267_VPS33B.pdf</v>
      </c>
    </row>
    <row r="5001" spans="1:28" x14ac:dyDescent="0.25">
      <c r="A5001" t="s">
        <v>5005</v>
      </c>
      <c r="B5001">
        <v>0.99334974765950101</v>
      </c>
      <c r="C5001">
        <v>1.0319236327908701</v>
      </c>
      <c r="D5001">
        <v>1.1774987779692101</v>
      </c>
      <c r="E5001">
        <v>1.13977983917564</v>
      </c>
      <c r="F5001">
        <v>0.38846991176373002</v>
      </c>
      <c r="G5001">
        <v>0.24902635116692701</v>
      </c>
      <c r="H5001">
        <v>0.189041356110976</v>
      </c>
      <c r="I5001">
        <v>0.26874615869666502</v>
      </c>
      <c r="J5001">
        <v>0.15432974252520601</v>
      </c>
      <c r="K5001">
        <v>9.7825494615132402E-2</v>
      </c>
      <c r="L5001">
        <v>13189.876801475801</v>
      </c>
      <c r="M5001">
        <v>250</v>
      </c>
      <c r="N5001">
        <v>52.861821603476798</v>
      </c>
      <c r="O5001">
        <v>52.756130941855901</v>
      </c>
      <c r="P5001">
        <v>-0.95747909222107697</v>
      </c>
      <c r="Q5001">
        <v>0.19179372304970499</v>
      </c>
      <c r="R5001">
        <v>0.96140739109471196</v>
      </c>
      <c r="S5001" t="s">
        <v>10862</v>
      </c>
      <c r="T5001" t="s">
        <v>11720</v>
      </c>
      <c r="U5001" t="s">
        <v>11720</v>
      </c>
      <c r="V5001" t="s">
        <v>11720</v>
      </c>
      <c r="W5001" t="s">
        <v>16665</v>
      </c>
      <c r="X5001">
        <v>1</v>
      </c>
      <c r="Y5001" t="s">
        <v>22372</v>
      </c>
      <c r="Z5001" t="s">
        <v>28208</v>
      </c>
      <c r="AA5001">
        <v>0.53561235039757404</v>
      </c>
      <c r="AB5001" t="str">
        <f>HYPERLINK("Melting_Curves/meltCurve_Q9H269_2_VPS16.pdf", "Melting_Curves/meltCurve_Q9H269_2_VPS16.pdf")</f>
        <v>Melting_Curves/meltCurve_Q9H269_2_VPS16.pdf</v>
      </c>
    </row>
    <row r="5002" spans="1:28" x14ac:dyDescent="0.25">
      <c r="A5002" t="s">
        <v>5006</v>
      </c>
      <c r="B5002">
        <v>0.99334974765950101</v>
      </c>
      <c r="C5002">
        <v>0.99109529513984695</v>
      </c>
      <c r="D5002">
        <v>0.983295737525404</v>
      </c>
      <c r="E5002">
        <v>0.71086455934854398</v>
      </c>
      <c r="F5002">
        <v>0.22980266599746799</v>
      </c>
      <c r="G5002">
        <v>0.176632119177865</v>
      </c>
      <c r="H5002">
        <v>0.12901279856769701</v>
      </c>
      <c r="I5002">
        <v>0.117344072991808</v>
      </c>
      <c r="J5002">
        <v>9.9347196725473902E-2</v>
      </c>
      <c r="K5002">
        <v>9.4602610761186007E-2</v>
      </c>
      <c r="L5002">
        <v>2269.8881787625701</v>
      </c>
      <c r="M5002">
        <v>44.699168684252101</v>
      </c>
      <c r="N5002">
        <v>51.097042109835797</v>
      </c>
      <c r="O5002">
        <v>50.680131511782797</v>
      </c>
      <c r="P5002">
        <v>-0.19389882944782499</v>
      </c>
      <c r="Q5002">
        <v>0.120627774394384</v>
      </c>
      <c r="R5002">
        <v>0.99744252714130199</v>
      </c>
      <c r="S5002" t="s">
        <v>10863</v>
      </c>
      <c r="T5002" t="s">
        <v>11720</v>
      </c>
      <c r="U5002" t="s">
        <v>11720</v>
      </c>
      <c r="V5002" t="s">
        <v>11720</v>
      </c>
      <c r="W5002" t="s">
        <v>16666</v>
      </c>
      <c r="X5002">
        <v>12</v>
      </c>
      <c r="Y5002" t="s">
        <v>22373</v>
      </c>
      <c r="Z5002" t="s">
        <v>28209</v>
      </c>
      <c r="AA5002">
        <v>0.43912573695852047</v>
      </c>
      <c r="AB5002" t="str">
        <f>HYPERLINK("Melting_Curves/meltCurve_Q9H270_VPS11.pdf", "Melting_Curves/meltCurve_Q9H270_VPS11.pdf")</f>
        <v>Melting_Curves/meltCurve_Q9H270_VPS11.pdf</v>
      </c>
    </row>
    <row r="5003" spans="1:28" x14ac:dyDescent="0.25">
      <c r="A5003" t="s">
        <v>5007</v>
      </c>
      <c r="B5003">
        <v>0.99334974765950101</v>
      </c>
      <c r="C5003">
        <v>0.97399736636515999</v>
      </c>
      <c r="D5003">
        <v>0.91038295540835801</v>
      </c>
      <c r="E5003">
        <v>0.90362194801993601</v>
      </c>
      <c r="F5003">
        <v>0.78617617933462502</v>
      </c>
      <c r="G5003">
        <v>0.90335873667805999</v>
      </c>
      <c r="H5003">
        <v>0.53507064810254701</v>
      </c>
      <c r="I5003">
        <v>0.22986962032070399</v>
      </c>
      <c r="J5003">
        <v>0.15671485522742301</v>
      </c>
      <c r="K5003">
        <v>0.148050972438556</v>
      </c>
      <c r="L5003">
        <v>1573.63882307517</v>
      </c>
      <c r="M5003">
        <v>25.943224548153101</v>
      </c>
      <c r="N5003">
        <v>61.130666745512798</v>
      </c>
      <c r="O5003">
        <v>60.300083920863401</v>
      </c>
      <c r="P5003">
        <v>-9.7767336618238707E-2</v>
      </c>
      <c r="Q5003">
        <v>9.1044620233911494E-2</v>
      </c>
      <c r="R5003">
        <v>0.94609775596539103</v>
      </c>
      <c r="S5003" t="s">
        <v>10864</v>
      </c>
      <c r="T5003" t="s">
        <v>11720</v>
      </c>
      <c r="U5003" t="s">
        <v>11720</v>
      </c>
      <c r="V5003" t="s">
        <v>11720</v>
      </c>
      <c r="W5003" t="s">
        <v>16667</v>
      </c>
      <c r="X5003">
        <v>2</v>
      </c>
      <c r="Y5003" t="s">
        <v>22374</v>
      </c>
      <c r="Z5003" t="s">
        <v>28210</v>
      </c>
      <c r="AA5003">
        <v>0.72288275471924957</v>
      </c>
      <c r="AB5003" t="str">
        <f>HYPERLINK("Melting_Curves/meltCurve_Q9H2D1_SLC25A32.pdf", "Melting_Curves/meltCurve_Q9H2D1_SLC25A32.pdf")</f>
        <v>Melting_Curves/meltCurve_Q9H2D1_SLC25A32.pdf</v>
      </c>
    </row>
    <row r="5004" spans="1:28" x14ac:dyDescent="0.25">
      <c r="A5004" t="s">
        <v>5008</v>
      </c>
      <c r="B5004">
        <v>0.99334974765950101</v>
      </c>
      <c r="C5004">
        <v>0.92368590946171403</v>
      </c>
      <c r="D5004">
        <v>0.83288330269856103</v>
      </c>
      <c r="E5004">
        <v>0.60937998627022005</v>
      </c>
      <c r="F5004">
        <v>0.381073327998738</v>
      </c>
      <c r="G5004">
        <v>0.26364149294285399</v>
      </c>
      <c r="H5004">
        <v>0.20720243343275899</v>
      </c>
      <c r="I5004">
        <v>0.21022696959791901</v>
      </c>
      <c r="J5004">
        <v>0.20654748010381199</v>
      </c>
      <c r="K5004">
        <v>0.175921030719005</v>
      </c>
      <c r="L5004">
        <v>831.36152155633397</v>
      </c>
      <c r="M5004">
        <v>16.6672684095129</v>
      </c>
      <c r="N5004">
        <v>51.2391306576529</v>
      </c>
      <c r="O5004">
        <v>49.178421687785203</v>
      </c>
      <c r="P5004">
        <v>-6.9594887574212796E-2</v>
      </c>
      <c r="Q5004">
        <v>0.178668114166363</v>
      </c>
      <c r="R5004">
        <v>0.99735397677929405</v>
      </c>
      <c r="S5004" t="s">
        <v>10865</v>
      </c>
      <c r="T5004" t="s">
        <v>11720</v>
      </c>
      <c r="U5004" t="s">
        <v>11720</v>
      </c>
      <c r="V5004" t="s">
        <v>11720</v>
      </c>
      <c r="W5004" t="s">
        <v>16668</v>
      </c>
      <c r="X5004">
        <v>34</v>
      </c>
      <c r="Y5004" t="s">
        <v>22375</v>
      </c>
      <c r="Z5004" t="s">
        <v>28211</v>
      </c>
      <c r="AA5004">
        <v>0.46537824738604089</v>
      </c>
      <c r="AB5004" t="str">
        <f>HYPERLINK("Melting_Curves/meltCurve_Q9H2D6_5_TRIOBP.pdf", "Melting_Curves/meltCurve_Q9H2D6_5_TRIOBP.pdf")</f>
        <v>Melting_Curves/meltCurve_Q9H2D6_5_TRIOBP.pdf</v>
      </c>
    </row>
    <row r="5005" spans="1:28" x14ac:dyDescent="0.25">
      <c r="A5005" t="s">
        <v>5009</v>
      </c>
      <c r="B5005">
        <v>0.99334974765950101</v>
      </c>
      <c r="C5005">
        <v>0.96851616337884305</v>
      </c>
      <c r="D5005">
        <v>0.88472721201160498</v>
      </c>
      <c r="E5005">
        <v>0.76838461897003996</v>
      </c>
      <c r="F5005">
        <v>0.47572603079974701</v>
      </c>
      <c r="G5005">
        <v>0.38573684823975202</v>
      </c>
      <c r="H5005">
        <v>0.26742449305362798</v>
      </c>
      <c r="I5005">
        <v>0.235829978214253</v>
      </c>
      <c r="J5005">
        <v>0.30130559678702501</v>
      </c>
      <c r="K5005">
        <v>0.102167814996887</v>
      </c>
      <c r="L5005">
        <v>763.45456438056704</v>
      </c>
      <c r="M5005">
        <v>14.635861751914399</v>
      </c>
      <c r="N5005">
        <v>53.784374550315398</v>
      </c>
      <c r="O5005">
        <v>51.218505128531199</v>
      </c>
      <c r="P5005">
        <v>-5.8704110091514702E-2</v>
      </c>
      <c r="Q5005">
        <v>0.178346689384656</v>
      </c>
      <c r="R5005">
        <v>0.97450410174914504</v>
      </c>
      <c r="S5005" t="s">
        <v>10866</v>
      </c>
      <c r="T5005" t="s">
        <v>11720</v>
      </c>
      <c r="U5005" t="s">
        <v>11720</v>
      </c>
      <c r="V5005" t="s">
        <v>11720</v>
      </c>
      <c r="W5005" t="s">
        <v>16669</v>
      </c>
      <c r="X5005">
        <v>1</v>
      </c>
      <c r="Y5005" t="s">
        <v>22376</v>
      </c>
      <c r="Z5005" t="s">
        <v>28212</v>
      </c>
      <c r="AA5005">
        <v>0.53042643374755138</v>
      </c>
      <c r="AB5005" t="str">
        <f>HYPERLINK("Melting_Curves/meltCurve_Q9H2G9_BLZF1.pdf", "Melting_Curves/meltCurve_Q9H2G9_BLZF1.pdf")</f>
        <v>Melting_Curves/meltCurve_Q9H2G9_BLZF1.pdf</v>
      </c>
    </row>
    <row r="5006" spans="1:28" x14ac:dyDescent="0.25">
      <c r="A5006" t="s">
        <v>5010</v>
      </c>
      <c r="B5006">
        <v>0.99334974765950101</v>
      </c>
      <c r="C5006">
        <v>0.97504923050787295</v>
      </c>
      <c r="D5006">
        <v>0.81164869222629898</v>
      </c>
      <c r="E5006">
        <v>0.41649625416161701</v>
      </c>
      <c r="F5006">
        <v>0.183545859935348</v>
      </c>
      <c r="G5006">
        <v>0.11684451231302601</v>
      </c>
      <c r="H5006">
        <v>9.15636622347301E-2</v>
      </c>
      <c r="I5006">
        <v>8.5894154583877294E-2</v>
      </c>
      <c r="J5006">
        <v>9.8677942972080296E-2</v>
      </c>
      <c r="K5006">
        <v>7.0619416002459107E-2</v>
      </c>
      <c r="L5006">
        <v>1166.4376286710899</v>
      </c>
      <c r="M5006">
        <v>23.943077322986799</v>
      </c>
      <c r="N5006">
        <v>49.090463337975301</v>
      </c>
      <c r="O5006">
        <v>48.381071704510099</v>
      </c>
      <c r="P5006">
        <v>-0.11342465518519899</v>
      </c>
      <c r="Q5006">
        <v>8.3238815263728005E-2</v>
      </c>
      <c r="R5006">
        <v>0.99930329149041497</v>
      </c>
      <c r="S5006" t="s">
        <v>10867</v>
      </c>
      <c r="T5006" t="s">
        <v>11720</v>
      </c>
      <c r="U5006" t="s">
        <v>11720</v>
      </c>
      <c r="V5006" t="s">
        <v>11720</v>
      </c>
      <c r="W5006" t="s">
        <v>16670</v>
      </c>
      <c r="X5006">
        <v>10</v>
      </c>
      <c r="Y5006" t="s">
        <v>22377</v>
      </c>
      <c r="Z5006" t="s">
        <v>28213</v>
      </c>
      <c r="AA5006">
        <v>0.35849520298730297</v>
      </c>
      <c r="AB5006" t="str">
        <f>HYPERLINK("Melting_Curves/meltCurve_Q9H2H8_PPIL3.pdf", "Melting_Curves/meltCurve_Q9H2H8_PPIL3.pdf")</f>
        <v>Melting_Curves/meltCurve_Q9H2H8_PPIL3.pdf</v>
      </c>
    </row>
    <row r="5007" spans="1:28" x14ac:dyDescent="0.25">
      <c r="A5007" t="s">
        <v>5011</v>
      </c>
      <c r="B5007">
        <v>0.99334974765950101</v>
      </c>
      <c r="C5007">
        <v>0.85575579491433296</v>
      </c>
      <c r="D5007">
        <v>0.60827467169529703</v>
      </c>
      <c r="E5007">
        <v>0.56211029939754797</v>
      </c>
      <c r="F5007">
        <v>0.555255857532018</v>
      </c>
      <c r="G5007">
        <v>0.65158913828545595</v>
      </c>
      <c r="H5007">
        <v>0.45272163412653799</v>
      </c>
      <c r="I5007">
        <v>0.29230285338727102</v>
      </c>
      <c r="J5007">
        <v>0.215072101062282</v>
      </c>
      <c r="K5007">
        <v>0.17163223115411799</v>
      </c>
      <c r="L5007">
        <v>303.58630912458102</v>
      </c>
      <c r="M5007">
        <v>5.4842007637471797</v>
      </c>
      <c r="N5007">
        <v>55.356527259595502</v>
      </c>
      <c r="O5007">
        <v>49.298328984872199</v>
      </c>
      <c r="P5007">
        <v>-2.7935044804269601E-2</v>
      </c>
      <c r="Q5007">
        <v>0</v>
      </c>
      <c r="R5007">
        <v>0.85677363121372896</v>
      </c>
      <c r="S5007" t="s">
        <v>10868</v>
      </c>
      <c r="T5007" t="s">
        <v>11720</v>
      </c>
      <c r="U5007" t="s">
        <v>11720</v>
      </c>
      <c r="V5007" t="s">
        <v>11720</v>
      </c>
      <c r="W5007" t="s">
        <v>16671</v>
      </c>
      <c r="X5007">
        <v>3</v>
      </c>
      <c r="Y5007" t="s">
        <v>22378</v>
      </c>
      <c r="Z5007" t="s">
        <v>28214</v>
      </c>
      <c r="AA5007">
        <v>0.5328197262765425</v>
      </c>
      <c r="AB5007" t="str">
        <f>HYPERLINK("Melting_Curves/meltCurve_Q9H2J4_PDCL3.pdf", "Melting_Curves/meltCurve_Q9H2J4_PDCL3.pdf")</f>
        <v>Melting_Curves/meltCurve_Q9H2J4_PDCL3.pdf</v>
      </c>
    </row>
    <row r="5008" spans="1:28" x14ac:dyDescent="0.25">
      <c r="A5008" t="s">
        <v>5012</v>
      </c>
      <c r="B5008">
        <v>0.99334974765950101</v>
      </c>
      <c r="C5008">
        <v>1.06647364142609</v>
      </c>
      <c r="D5008">
        <v>0.99563627209374805</v>
      </c>
      <c r="E5008">
        <v>0.77700847266153095</v>
      </c>
      <c r="F5008">
        <v>0.25081238992500399</v>
      </c>
      <c r="G5008">
        <v>0.15370537953299299</v>
      </c>
      <c r="H5008">
        <v>0.109905917684345</v>
      </c>
      <c r="I5008">
        <v>9.5797320005429495E-2</v>
      </c>
      <c r="J5008">
        <v>9.3227427424503698E-2</v>
      </c>
      <c r="K5008">
        <v>7.8340282410029202E-2</v>
      </c>
      <c r="L5008">
        <v>2363.2063633831899</v>
      </c>
      <c r="M5008">
        <v>46.171444670377497</v>
      </c>
      <c r="N5008">
        <v>51.441917875696603</v>
      </c>
      <c r="O5008">
        <v>51.087573760075898</v>
      </c>
      <c r="P5008">
        <v>-0.20253892106732199</v>
      </c>
      <c r="Q5008">
        <v>0.103584023863787</v>
      </c>
      <c r="R5008">
        <v>0.99583662864137101</v>
      </c>
      <c r="S5008" t="s">
        <v>10869</v>
      </c>
      <c r="T5008" t="s">
        <v>11720</v>
      </c>
      <c r="U5008" t="s">
        <v>11720</v>
      </c>
      <c r="V5008" t="s">
        <v>11720</v>
      </c>
      <c r="W5008" t="s">
        <v>16672</v>
      </c>
      <c r="X5008">
        <v>16</v>
      </c>
      <c r="Y5008" t="s">
        <v>22379</v>
      </c>
      <c r="Z5008" t="s">
        <v>28215</v>
      </c>
      <c r="AA5008">
        <v>0.44012213737239397</v>
      </c>
      <c r="AB5008" t="str">
        <f>HYPERLINK("Melting_Curves/meltCurve_Q9H2K8_TAOK3.pdf", "Melting_Curves/meltCurve_Q9H2K8_TAOK3.pdf")</f>
        <v>Melting_Curves/meltCurve_Q9H2K8_TAOK3.pdf</v>
      </c>
    </row>
    <row r="5009" spans="1:28" x14ac:dyDescent="0.25">
      <c r="A5009" t="s">
        <v>5013</v>
      </c>
      <c r="B5009">
        <v>0.99334974765950101</v>
      </c>
      <c r="C5009">
        <v>1.0001509238742601</v>
      </c>
      <c r="D5009">
        <v>1.08957169926776</v>
      </c>
      <c r="E5009">
        <v>0.34254001356629599</v>
      </c>
      <c r="F5009">
        <v>0.258363286698922</v>
      </c>
      <c r="G5009">
        <v>0.133286950919416</v>
      </c>
      <c r="H5009">
        <v>0.10555304074076401</v>
      </c>
      <c r="I5009">
        <v>9.0799352435711703E-2</v>
      </c>
      <c r="J5009">
        <v>9.0104342969501899E-2</v>
      </c>
      <c r="K5009">
        <v>6.9655438834189801E-2</v>
      </c>
      <c r="L5009">
        <v>3656.37459002271</v>
      </c>
      <c r="M5009">
        <v>74.187295290055104</v>
      </c>
      <c r="N5009">
        <v>49.474035349885703</v>
      </c>
      <c r="O5009">
        <v>49.249948095783203</v>
      </c>
      <c r="P5009">
        <v>-0.330260630089378</v>
      </c>
      <c r="Q5009">
        <v>0.123013397718201</v>
      </c>
      <c r="R5009">
        <v>0.98120734349180105</v>
      </c>
      <c r="S5009" t="s">
        <v>10870</v>
      </c>
      <c r="T5009" t="s">
        <v>11720</v>
      </c>
      <c r="U5009" t="s">
        <v>11720</v>
      </c>
      <c r="V5009" t="s">
        <v>11720</v>
      </c>
      <c r="W5009" t="s">
        <v>16673</v>
      </c>
      <c r="X5009">
        <v>19</v>
      </c>
      <c r="Y5009" t="s">
        <v>22380</v>
      </c>
      <c r="Z5009" t="s">
        <v>28216</v>
      </c>
      <c r="AA5009">
        <v>0.39532531884132621</v>
      </c>
      <c r="AB5009" t="str">
        <f>HYPERLINK("Melting_Curves/meltCurve_Q9H2M9_RAB3GAP2.pdf", "Melting_Curves/meltCurve_Q9H2M9_RAB3GAP2.pdf")</f>
        <v>Melting_Curves/meltCurve_Q9H2M9_RAB3GAP2.pdf</v>
      </c>
    </row>
    <row r="5010" spans="1:28" x14ac:dyDescent="0.25">
      <c r="A5010" t="s">
        <v>5014</v>
      </c>
      <c r="B5010">
        <v>0.99334974765950101</v>
      </c>
      <c r="C5010">
        <v>0.98962174380638301</v>
      </c>
      <c r="D5010">
        <v>1.02347780429354</v>
      </c>
      <c r="E5010">
        <v>0.75646531724817601</v>
      </c>
      <c r="F5010">
        <v>0.57530531182963396</v>
      </c>
      <c r="G5010">
        <v>0.224059436586481</v>
      </c>
      <c r="H5010">
        <v>0.15166161725900901</v>
      </c>
      <c r="I5010">
        <v>0.14620401615180501</v>
      </c>
      <c r="J5010">
        <v>0.12809939268517001</v>
      </c>
      <c r="K5010">
        <v>0.123663008629881</v>
      </c>
      <c r="L5010">
        <v>1211.10134033135</v>
      </c>
      <c r="M5010">
        <v>22.966825897996301</v>
      </c>
      <c r="N5010">
        <v>53.363917017959203</v>
      </c>
      <c r="O5010">
        <v>52.337733341668503</v>
      </c>
      <c r="P5010">
        <v>-9.6656997563659502E-2</v>
      </c>
      <c r="Q5010">
        <v>0.11895305617081101</v>
      </c>
      <c r="R5010">
        <v>0.99446886085498898</v>
      </c>
      <c r="S5010" t="s">
        <v>10871</v>
      </c>
      <c r="T5010" t="s">
        <v>11720</v>
      </c>
      <c r="U5010" t="s">
        <v>11720</v>
      </c>
      <c r="V5010" t="s">
        <v>11720</v>
      </c>
      <c r="W5010" t="s">
        <v>16674</v>
      </c>
      <c r="X5010">
        <v>6</v>
      </c>
      <c r="Y5010" t="s">
        <v>22381</v>
      </c>
      <c r="Z5010" t="s">
        <v>28217</v>
      </c>
      <c r="AA5010">
        <v>0.5023720794421267</v>
      </c>
      <c r="AB5010" t="str">
        <f>HYPERLINK("Melting_Curves/meltCurve_Q9H2P9_3_DPH5.pdf", "Melting_Curves/meltCurve_Q9H2P9_3_DPH5.pdf")</f>
        <v>Melting_Curves/meltCurve_Q9H2P9_3_DPH5.pdf</v>
      </c>
    </row>
    <row r="5011" spans="1:28" x14ac:dyDescent="0.25">
      <c r="A5011" t="s">
        <v>5015</v>
      </c>
      <c r="B5011">
        <v>0.99334974765950101</v>
      </c>
      <c r="C5011">
        <v>0.99635923342605304</v>
      </c>
      <c r="D5011">
        <v>1.0094115923531399</v>
      </c>
      <c r="E5011">
        <v>0.87742658393223905</v>
      </c>
      <c r="F5011">
        <v>0.73331614541499901</v>
      </c>
      <c r="G5011">
        <v>0.417777322213846</v>
      </c>
      <c r="H5011">
        <v>0.21919231316212301</v>
      </c>
      <c r="I5011">
        <v>0.147701971935285</v>
      </c>
      <c r="J5011">
        <v>6.9296552135091394E-2</v>
      </c>
      <c r="K5011">
        <v>4.9637252162414297E-2</v>
      </c>
      <c r="L5011">
        <v>965.82863436206503</v>
      </c>
      <c r="M5011">
        <v>17.2882111321765</v>
      </c>
      <c r="N5011">
        <v>56.058569596835397</v>
      </c>
      <c r="O5011">
        <v>55.134900651011399</v>
      </c>
      <c r="P5011">
        <v>-7.6138571169531002E-2</v>
      </c>
      <c r="Q5011">
        <v>2.87832570152965E-2</v>
      </c>
      <c r="R5011">
        <v>0.99858285567565996</v>
      </c>
      <c r="S5011" t="s">
        <v>10872</v>
      </c>
      <c r="T5011" t="s">
        <v>11720</v>
      </c>
      <c r="U5011" t="s">
        <v>11720</v>
      </c>
      <c r="V5011" t="s">
        <v>11720</v>
      </c>
      <c r="W5011" t="s">
        <v>16675</v>
      </c>
      <c r="X5011">
        <v>14</v>
      </c>
      <c r="Y5011" t="s">
        <v>22382</v>
      </c>
      <c r="Z5011" t="s">
        <v>28218</v>
      </c>
      <c r="AA5011">
        <v>0.557554241959201</v>
      </c>
      <c r="AB5011" t="str">
        <f>HYPERLINK("Melting_Curves/meltCurve_Q9H2U2_PPA2.pdf", "Melting_Curves/meltCurve_Q9H2U2_PPA2.pdf")</f>
        <v>Melting_Curves/meltCurve_Q9H2U2_PPA2.pdf</v>
      </c>
    </row>
    <row r="5012" spans="1:28" x14ac:dyDescent="0.25">
      <c r="A5012" t="s">
        <v>5016</v>
      </c>
      <c r="B5012">
        <v>0.99334974765950101</v>
      </c>
      <c r="C5012">
        <v>0.99751511393079695</v>
      </c>
      <c r="D5012">
        <v>1.1931789539022399</v>
      </c>
      <c r="E5012">
        <v>1.3014701500813</v>
      </c>
      <c r="F5012">
        <v>0.51903778735902795</v>
      </c>
      <c r="G5012">
        <v>0.305553911848506</v>
      </c>
      <c r="H5012">
        <v>0.26081621014265</v>
      </c>
      <c r="I5012">
        <v>0.19746311988293799</v>
      </c>
      <c r="J5012">
        <v>0.19428804323194299</v>
      </c>
      <c r="K5012">
        <v>0.194059774792849</v>
      </c>
      <c r="L5012">
        <v>13222.9307974193</v>
      </c>
      <c r="M5012">
        <v>250</v>
      </c>
      <c r="N5012">
        <v>53.0227557584914</v>
      </c>
      <c r="O5012">
        <v>52.888329876030902</v>
      </c>
      <c r="P5012">
        <v>-0.90942052781628702</v>
      </c>
      <c r="Q5012">
        <v>0.230436149593165</v>
      </c>
      <c r="R5012">
        <v>0.92527462016602102</v>
      </c>
      <c r="S5012" t="s">
        <v>10873</v>
      </c>
      <c r="T5012" t="s">
        <v>11720</v>
      </c>
      <c r="U5012" t="s">
        <v>11720</v>
      </c>
      <c r="V5012" t="s">
        <v>11720</v>
      </c>
      <c r="W5012" t="s">
        <v>16676</v>
      </c>
      <c r="X5012">
        <v>2</v>
      </c>
      <c r="Y5012" t="s">
        <v>22383</v>
      </c>
      <c r="Z5012" t="s">
        <v>28219</v>
      </c>
      <c r="AA5012">
        <v>0.56120772157847143</v>
      </c>
      <c r="AB5012" t="str">
        <f>HYPERLINK("Melting_Curves/meltCurve_Q9H2W6_MRPL46.pdf", "Melting_Curves/meltCurve_Q9H2W6_MRPL46.pdf")</f>
        <v>Melting_Curves/meltCurve_Q9H2W6_MRPL46.pdf</v>
      </c>
    </row>
    <row r="5013" spans="1:28" x14ac:dyDescent="0.25">
      <c r="A5013" t="s">
        <v>5017</v>
      </c>
      <c r="B5013">
        <v>0.99334974765950101</v>
      </c>
      <c r="C5013">
        <v>1.07764160505831</v>
      </c>
      <c r="D5013">
        <v>1.0864868904965499</v>
      </c>
      <c r="E5013">
        <v>1.0366249127912801</v>
      </c>
      <c r="F5013">
        <v>1.1633530703818999</v>
      </c>
      <c r="G5013">
        <v>1.02407501307027</v>
      </c>
      <c r="H5013">
        <v>1.0534518341184</v>
      </c>
      <c r="I5013">
        <v>0.81948552379597095</v>
      </c>
      <c r="J5013">
        <v>1.1689778195426901</v>
      </c>
      <c r="K5013">
        <v>1.1515314480490699</v>
      </c>
      <c r="L5013">
        <v>10337.465283506701</v>
      </c>
      <c r="M5013">
        <v>250</v>
      </c>
      <c r="O5013">
        <v>41.347215027504902</v>
      </c>
      <c r="P5013">
        <v>9.7687761680080698E-2</v>
      </c>
      <c r="Q5013">
        <v>1.0646258701119899</v>
      </c>
      <c r="R5013">
        <v>4.7134984639509499E-2</v>
      </c>
      <c r="S5013" t="s">
        <v>10874</v>
      </c>
      <c r="T5013" t="s">
        <v>11720</v>
      </c>
      <c r="U5013" t="s">
        <v>11720</v>
      </c>
      <c r="V5013" t="s">
        <v>11720</v>
      </c>
      <c r="W5013" t="s">
        <v>16677</v>
      </c>
      <c r="X5013">
        <v>4</v>
      </c>
      <c r="Y5013" t="s">
        <v>22384</v>
      </c>
      <c r="Z5013" t="s">
        <v>28220</v>
      </c>
      <c r="AA5013">
        <v>1.0617132435902401</v>
      </c>
      <c r="AB5013" t="str">
        <f>HYPERLINK("Melting_Curves/meltCurve_Q9H307_PNN.pdf", "Melting_Curves/meltCurve_Q9H307_PNN.pdf")</f>
        <v>Melting_Curves/meltCurve_Q9H307_PNN.pdf</v>
      </c>
    </row>
    <row r="5014" spans="1:28" x14ac:dyDescent="0.25">
      <c r="A5014" t="s">
        <v>5018</v>
      </c>
      <c r="B5014">
        <v>0.99334974765950101</v>
      </c>
      <c r="C5014">
        <v>0.99236433737579699</v>
      </c>
      <c r="D5014">
        <v>0.67069465405945305</v>
      </c>
      <c r="E5014">
        <v>0.61695412141476402</v>
      </c>
      <c r="F5014">
        <v>0.68431021717930396</v>
      </c>
      <c r="G5014">
        <v>1.14161359455351</v>
      </c>
      <c r="H5014">
        <v>1.4322683095062201</v>
      </c>
      <c r="I5014">
        <v>1.3964872832125399</v>
      </c>
      <c r="J5014">
        <v>1.05068184017502</v>
      </c>
      <c r="K5014">
        <v>0.88891416944305601</v>
      </c>
      <c r="L5014">
        <v>14191.196645583101</v>
      </c>
      <c r="M5014">
        <v>250</v>
      </c>
      <c r="O5014">
        <v>56.761154031106798</v>
      </c>
      <c r="P5014">
        <v>0.21150897799666299</v>
      </c>
      <c r="Q5014">
        <v>1.1920878985763801</v>
      </c>
      <c r="R5014">
        <v>0.226569182672512</v>
      </c>
      <c r="S5014" t="s">
        <v>10875</v>
      </c>
      <c r="T5014" t="s">
        <v>11720</v>
      </c>
      <c r="U5014" t="s">
        <v>11720</v>
      </c>
      <c r="V5014" t="s">
        <v>11720</v>
      </c>
      <c r="W5014" t="s">
        <v>16678</v>
      </c>
      <c r="X5014">
        <v>1</v>
      </c>
      <c r="Y5014" t="s">
        <v>22385</v>
      </c>
      <c r="Z5014" t="s">
        <v>28221</v>
      </c>
      <c r="AA5014">
        <v>1.084725008370887</v>
      </c>
      <c r="AB5014" t="str">
        <f>HYPERLINK("Melting_Curves/meltCurve_Q9H329_2_EPB41L4B.pdf", "Melting_Curves/meltCurve_Q9H329_2_EPB41L4B.pdf")</f>
        <v>Melting_Curves/meltCurve_Q9H329_2_EPB41L4B.pdf</v>
      </c>
    </row>
    <row r="5015" spans="1:28" x14ac:dyDescent="0.25">
      <c r="A5015" t="s">
        <v>5019</v>
      </c>
      <c r="B5015">
        <v>0.99334974765950101</v>
      </c>
      <c r="C5015">
        <v>0.95309925232590598</v>
      </c>
      <c r="D5015">
        <v>1.02527771028934</v>
      </c>
      <c r="E5015">
        <v>1.0109225448249799</v>
      </c>
      <c r="F5015">
        <v>1.04641612304864</v>
      </c>
      <c r="G5015">
        <v>0.98832225083014102</v>
      </c>
      <c r="H5015">
        <v>0.88579600381375001</v>
      </c>
      <c r="I5015">
        <v>0.63494178351848496</v>
      </c>
      <c r="J5015">
        <v>0.379763841663396</v>
      </c>
      <c r="K5015">
        <v>0.233764731081227</v>
      </c>
      <c r="L5015">
        <v>1990.00763635717</v>
      </c>
      <c r="M5015">
        <v>30.8157764216141</v>
      </c>
      <c r="N5015">
        <v>65.4410339800515</v>
      </c>
      <c r="O5015">
        <v>64.307442837396906</v>
      </c>
      <c r="P5015">
        <v>-9.9787307659094701E-2</v>
      </c>
      <c r="Q5015">
        <v>0.16704633754145601</v>
      </c>
      <c r="R5015">
        <v>0.99314021288642895</v>
      </c>
      <c r="S5015" t="s">
        <v>10876</v>
      </c>
      <c r="T5015" t="s">
        <v>11720</v>
      </c>
      <c r="U5015" t="s">
        <v>11720</v>
      </c>
      <c r="V5015" t="s">
        <v>11720</v>
      </c>
      <c r="W5015" t="s">
        <v>16679</v>
      </c>
      <c r="X5015">
        <v>8</v>
      </c>
      <c r="Y5015" t="s">
        <v>22386</v>
      </c>
      <c r="Z5015" t="s">
        <v>28222</v>
      </c>
      <c r="AA5015">
        <v>0.84925375846179207</v>
      </c>
      <c r="AB5015" t="str">
        <f>HYPERLINK("Melting_Curves/meltCurve_Q9H330_2_TMEM245.pdf", "Melting_Curves/meltCurve_Q9H330_2_TMEM245.pdf")</f>
        <v>Melting_Curves/meltCurve_Q9H330_2_TMEM245.pdf</v>
      </c>
    </row>
    <row r="5016" spans="1:28" x14ac:dyDescent="0.25">
      <c r="A5016" t="s">
        <v>5020</v>
      </c>
      <c r="B5016">
        <v>0.99334974765950101</v>
      </c>
      <c r="C5016">
        <v>0.92875514745641297</v>
      </c>
      <c r="D5016">
        <v>0.94980868305771804</v>
      </c>
      <c r="E5016">
        <v>0.80059975865709898</v>
      </c>
      <c r="F5016">
        <v>0.96924229412464002</v>
      </c>
      <c r="G5016">
        <v>0.63473687907944498</v>
      </c>
      <c r="H5016">
        <v>0.43369619865270798</v>
      </c>
      <c r="I5016">
        <v>0.382275100396686</v>
      </c>
      <c r="J5016">
        <v>0.203550983954008</v>
      </c>
      <c r="K5016">
        <v>0.12738345693986999</v>
      </c>
      <c r="L5016">
        <v>735.99338241914802</v>
      </c>
      <c r="M5016">
        <v>12.227282709775301</v>
      </c>
      <c r="N5016">
        <v>60.192718258448998</v>
      </c>
      <c r="O5016">
        <v>58.650594420777303</v>
      </c>
      <c r="P5016">
        <v>-5.2130859560509703E-2</v>
      </c>
      <c r="Q5016">
        <v>0</v>
      </c>
      <c r="R5016">
        <v>0.95750152396814703</v>
      </c>
      <c r="S5016" t="s">
        <v>10877</v>
      </c>
      <c r="T5016" t="s">
        <v>11720</v>
      </c>
      <c r="U5016" t="s">
        <v>11720</v>
      </c>
      <c r="V5016" t="s">
        <v>11720</v>
      </c>
      <c r="W5016" t="s">
        <v>16680</v>
      </c>
      <c r="X5016">
        <v>5</v>
      </c>
      <c r="Y5016" t="s">
        <v>22387</v>
      </c>
      <c r="Z5016" t="s">
        <v>28223</v>
      </c>
      <c r="AA5016">
        <v>0.67484595002914483</v>
      </c>
      <c r="AB5016" t="str">
        <f>HYPERLINK("Melting_Curves/meltCurve_Q9H3F6_KCTD10.pdf", "Melting_Curves/meltCurve_Q9H3F6_KCTD10.pdf")</f>
        <v>Melting_Curves/meltCurve_Q9H3F6_KCTD10.pdf</v>
      </c>
    </row>
    <row r="5017" spans="1:28" x14ac:dyDescent="0.25">
      <c r="A5017" t="s">
        <v>5021</v>
      </c>
      <c r="B5017">
        <v>0.99334974765950101</v>
      </c>
      <c r="C5017">
        <v>1.0309941902450399</v>
      </c>
      <c r="D5017">
        <v>1.10457937755432</v>
      </c>
      <c r="E5017">
        <v>1.13970417815354</v>
      </c>
      <c r="F5017">
        <v>0.610259958610057</v>
      </c>
      <c r="G5017">
        <v>0.19001102764886299</v>
      </c>
      <c r="H5017">
        <v>0.105326143030863</v>
      </c>
      <c r="I5017">
        <v>7.4963963326037206E-2</v>
      </c>
      <c r="J5017">
        <v>5.7857333844242298E-2</v>
      </c>
      <c r="K5017">
        <v>4.1441789232770102E-2</v>
      </c>
      <c r="L5017">
        <v>13264.9081588314</v>
      </c>
      <c r="M5017">
        <v>250</v>
      </c>
      <c r="N5017">
        <v>53.103834508746402</v>
      </c>
      <c r="O5017">
        <v>53.056237050151303</v>
      </c>
      <c r="P5017">
        <v>-1.0673579678199201</v>
      </c>
      <c r="Q5017">
        <v>9.3920041273665503E-2</v>
      </c>
      <c r="R5017">
        <v>0.97884548685128103</v>
      </c>
      <c r="S5017" t="s">
        <v>10878</v>
      </c>
      <c r="T5017" t="s">
        <v>11720</v>
      </c>
      <c r="U5017" t="s">
        <v>11720</v>
      </c>
      <c r="V5017" t="s">
        <v>11720</v>
      </c>
      <c r="W5017" t="s">
        <v>16681</v>
      </c>
      <c r="X5017">
        <v>7</v>
      </c>
      <c r="Y5017" t="s">
        <v>22388</v>
      </c>
      <c r="Z5017" t="s">
        <v>28224</v>
      </c>
      <c r="AA5017">
        <v>0.48844012768540501</v>
      </c>
      <c r="AB5017" t="str">
        <f>HYPERLINK("Melting_Curves/meltCurve_Q9H3H3_2_C11orf68.pdf", "Melting_Curves/meltCurve_Q9H3H3_2_C11orf68.pdf")</f>
        <v>Melting_Curves/meltCurve_Q9H3H3_2_C11orf68.pdf</v>
      </c>
    </row>
    <row r="5018" spans="1:28" x14ac:dyDescent="0.25">
      <c r="A5018" t="s">
        <v>5022</v>
      </c>
      <c r="B5018">
        <v>0.99334974765950101</v>
      </c>
      <c r="C5018">
        <v>1.04443155049349</v>
      </c>
      <c r="D5018">
        <v>1.06734146705507</v>
      </c>
      <c r="E5018">
        <v>1.21775377792371</v>
      </c>
      <c r="F5018">
        <v>1.3876714235104199</v>
      </c>
      <c r="G5018">
        <v>1.1065668079027799</v>
      </c>
      <c r="H5018">
        <v>1.0026135420931199</v>
      </c>
      <c r="I5018">
        <v>1.1575656354147801</v>
      </c>
      <c r="J5018">
        <v>0.52158583638368405</v>
      </c>
      <c r="K5018">
        <v>0.16537373927516399</v>
      </c>
      <c r="L5018">
        <v>15000</v>
      </c>
      <c r="M5018">
        <v>224.175289327191</v>
      </c>
      <c r="N5018">
        <v>67.031976483087305</v>
      </c>
      <c r="O5018">
        <v>66.906609425475594</v>
      </c>
      <c r="P5018">
        <v>-0.69916060652004797</v>
      </c>
      <c r="Q5018">
        <v>0.165323554750715</v>
      </c>
      <c r="R5018">
        <v>0.79174859405666798</v>
      </c>
      <c r="S5018" t="s">
        <v>10879</v>
      </c>
      <c r="T5018" t="s">
        <v>11720</v>
      </c>
      <c r="U5018" t="s">
        <v>11720</v>
      </c>
      <c r="V5018" t="s">
        <v>11720</v>
      </c>
      <c r="W5018" t="s">
        <v>16682</v>
      </c>
      <c r="X5018">
        <v>3</v>
      </c>
      <c r="Y5018" t="s">
        <v>22389</v>
      </c>
      <c r="Z5018" t="s">
        <v>28225</v>
      </c>
      <c r="AA5018">
        <v>0.91420330662192884</v>
      </c>
      <c r="AB5018" t="str">
        <f>HYPERLINK("Melting_Curves/meltCurve_Q9H3H5_2_DPAGT1.pdf", "Melting_Curves/meltCurve_Q9H3H5_2_DPAGT1.pdf")</f>
        <v>Melting_Curves/meltCurve_Q9H3H5_2_DPAGT1.pdf</v>
      </c>
    </row>
    <row r="5019" spans="1:28" x14ac:dyDescent="0.25">
      <c r="A5019" t="s">
        <v>5023</v>
      </c>
      <c r="B5019">
        <v>0.99334974765950101</v>
      </c>
      <c r="C5019">
        <v>1.00092855230333</v>
      </c>
      <c r="D5019">
        <v>0.85972963813886005</v>
      </c>
      <c r="E5019">
        <v>0.76101194381274595</v>
      </c>
      <c r="F5019">
        <v>0.49302330561353103</v>
      </c>
      <c r="G5019">
        <v>0.27762793498433602</v>
      </c>
      <c r="H5019">
        <v>0.19199333790776199</v>
      </c>
      <c r="I5019">
        <v>0.16988840011638101</v>
      </c>
      <c r="J5019">
        <v>0.17168910234315399</v>
      </c>
      <c r="K5019">
        <v>0.13976754040552</v>
      </c>
      <c r="L5019">
        <v>914.51239060203898</v>
      </c>
      <c r="M5019">
        <v>17.559851386983102</v>
      </c>
      <c r="N5019">
        <v>53.040547997213601</v>
      </c>
      <c r="O5019">
        <v>51.4183921220827</v>
      </c>
      <c r="P5019">
        <v>-7.3749995387338702E-2</v>
      </c>
      <c r="Q5019">
        <v>0.13623419564956499</v>
      </c>
      <c r="R5019">
        <v>0.99419304502269401</v>
      </c>
      <c r="S5019" t="s">
        <v>10880</v>
      </c>
      <c r="T5019" t="s">
        <v>11720</v>
      </c>
      <c r="U5019" t="s">
        <v>11720</v>
      </c>
      <c r="V5019" t="s">
        <v>11720</v>
      </c>
      <c r="W5019" t="s">
        <v>16683</v>
      </c>
      <c r="X5019">
        <v>8</v>
      </c>
      <c r="Y5019" t="s">
        <v>22390</v>
      </c>
      <c r="Z5019" t="s">
        <v>28226</v>
      </c>
      <c r="AA5019">
        <v>0.49900624387852421</v>
      </c>
      <c r="AB5019" t="str">
        <f>HYPERLINK("Melting_Curves/meltCurve_Q9H3K6_BOLA2.pdf", "Melting_Curves/meltCurve_Q9H3K6_BOLA2.pdf")</f>
        <v>Melting_Curves/meltCurve_Q9H3K6_BOLA2.pdf</v>
      </c>
    </row>
    <row r="5020" spans="1:28" x14ac:dyDescent="0.25">
      <c r="A5020" t="s">
        <v>5024</v>
      </c>
      <c r="B5020">
        <v>0.99334974765950101</v>
      </c>
      <c r="C5020">
        <v>0.79232285879081599</v>
      </c>
      <c r="D5020">
        <v>0.68636070381458603</v>
      </c>
      <c r="E5020">
        <v>0.142000950079432</v>
      </c>
      <c r="F5020">
        <v>0.234472999821944</v>
      </c>
      <c r="G5020">
        <v>9.8119364844950804E-2</v>
      </c>
      <c r="H5020">
        <v>0</v>
      </c>
      <c r="I5020">
        <v>0</v>
      </c>
      <c r="J5020">
        <v>0</v>
      </c>
      <c r="K5020">
        <v>0</v>
      </c>
      <c r="L5020">
        <v>829.1210229134</v>
      </c>
      <c r="M5020">
        <v>17.596944053427599</v>
      </c>
      <c r="N5020">
        <v>47.156097334865102</v>
      </c>
      <c r="O5020">
        <v>46.5214694996003</v>
      </c>
      <c r="P5020">
        <v>-9.3889901863636896E-2</v>
      </c>
      <c r="Q5020">
        <v>7.1774801132593897E-3</v>
      </c>
      <c r="R5020">
        <v>0.968083925182187</v>
      </c>
      <c r="S5020" t="s">
        <v>10881</v>
      </c>
      <c r="T5020" t="s">
        <v>11720</v>
      </c>
      <c r="U5020" t="s">
        <v>11720</v>
      </c>
      <c r="V5020" t="s">
        <v>11720</v>
      </c>
      <c r="W5020" t="s">
        <v>16684</v>
      </c>
      <c r="X5020">
        <v>1</v>
      </c>
      <c r="Y5020" t="s">
        <v>22391</v>
      </c>
      <c r="Z5020" t="s">
        <v>28227</v>
      </c>
      <c r="AA5020">
        <v>0.26184737308274447</v>
      </c>
      <c r="AB5020" t="str">
        <f>HYPERLINK("Melting_Curves/meltCurve_Q9H3M7_TXNIP.pdf", "Melting_Curves/meltCurve_Q9H3M7_TXNIP.pdf")</f>
        <v>Melting_Curves/meltCurve_Q9H3M7_TXNIP.pdf</v>
      </c>
    </row>
    <row r="5021" spans="1:28" x14ac:dyDescent="0.25">
      <c r="A5021" t="s">
        <v>5025</v>
      </c>
      <c r="B5021">
        <v>0.99334974765950101</v>
      </c>
      <c r="C5021">
        <v>1.13126625099977</v>
      </c>
      <c r="D5021">
        <v>1.12981126515652</v>
      </c>
      <c r="E5021">
        <v>1.0328699253923801</v>
      </c>
      <c r="F5021">
        <v>0.61530323059215497</v>
      </c>
      <c r="G5021">
        <v>0.39325444046400498</v>
      </c>
      <c r="H5021">
        <v>0.222567827073651</v>
      </c>
      <c r="I5021">
        <v>0.215835743339268</v>
      </c>
      <c r="J5021">
        <v>0.17736760793363701</v>
      </c>
      <c r="K5021">
        <v>0.16958296386660099</v>
      </c>
      <c r="L5021">
        <v>1622.7333082432101</v>
      </c>
      <c r="M5021">
        <v>30.134587506835398</v>
      </c>
      <c r="N5021">
        <v>54.763309959193499</v>
      </c>
      <c r="O5021">
        <v>53.6140545022051</v>
      </c>
      <c r="P5021">
        <v>-0.11275227913667001</v>
      </c>
      <c r="Q5021">
        <v>0.197590693720998</v>
      </c>
      <c r="R5021">
        <v>0.96335469722577205</v>
      </c>
      <c r="S5021" t="s">
        <v>10882</v>
      </c>
      <c r="T5021" t="s">
        <v>11720</v>
      </c>
      <c r="U5021" t="s">
        <v>11720</v>
      </c>
      <c r="V5021" t="s">
        <v>11720</v>
      </c>
      <c r="W5021" t="s">
        <v>16685</v>
      </c>
      <c r="X5021">
        <v>10</v>
      </c>
      <c r="Y5021" t="s">
        <v>22392</v>
      </c>
      <c r="Z5021" t="s">
        <v>28228</v>
      </c>
      <c r="AA5021">
        <v>0.57323986166331753</v>
      </c>
      <c r="AB5021" t="str">
        <f>HYPERLINK("Melting_Curves/meltCurve_Q9H3N1_TMX1.pdf", "Melting_Curves/meltCurve_Q9H3N1_TMX1.pdf")</f>
        <v>Melting_Curves/meltCurve_Q9H3N1_TMX1.pdf</v>
      </c>
    </row>
    <row r="5022" spans="1:28" x14ac:dyDescent="0.25">
      <c r="A5022" t="s">
        <v>5026</v>
      </c>
      <c r="B5022">
        <v>0.99334974765950101</v>
      </c>
      <c r="C5022">
        <v>0.94376975540734198</v>
      </c>
      <c r="D5022">
        <v>0.82339512842954199</v>
      </c>
      <c r="E5022">
        <v>0.51603738270539101</v>
      </c>
      <c r="F5022">
        <v>0.150068014900233</v>
      </c>
      <c r="G5022">
        <v>0.103456671516917</v>
      </c>
      <c r="H5022">
        <v>7.5101788025521199E-2</v>
      </c>
      <c r="I5022">
        <v>7.4098655643186198E-2</v>
      </c>
      <c r="J5022">
        <v>6.4983228935122803E-2</v>
      </c>
      <c r="K5022">
        <v>5.5817621065673902E-2</v>
      </c>
      <c r="L5022">
        <v>1140.3246391249099</v>
      </c>
      <c r="M5022">
        <v>23.100294768045</v>
      </c>
      <c r="N5022">
        <v>49.6230772957176</v>
      </c>
      <c r="O5022">
        <v>48.998616486160003</v>
      </c>
      <c r="P5022">
        <v>-0.111170378510695</v>
      </c>
      <c r="Q5022">
        <v>5.6792497948497403E-2</v>
      </c>
      <c r="R5022">
        <v>0.99325071467105797</v>
      </c>
      <c r="S5022" t="s">
        <v>10883</v>
      </c>
      <c r="T5022" t="s">
        <v>11720</v>
      </c>
      <c r="U5022" t="s">
        <v>11720</v>
      </c>
      <c r="V5022" t="s">
        <v>11720</v>
      </c>
      <c r="W5022" t="s">
        <v>16686</v>
      </c>
      <c r="X5022">
        <v>16</v>
      </c>
      <c r="Y5022" t="s">
        <v>22393</v>
      </c>
      <c r="Z5022" t="s">
        <v>28229</v>
      </c>
      <c r="AA5022">
        <v>0.36104674519181129</v>
      </c>
      <c r="AB5022" t="str">
        <f>HYPERLINK("Melting_Curves/meltCurve_Q9H3P7_ACBD3.pdf", "Melting_Curves/meltCurve_Q9H3P7_ACBD3.pdf")</f>
        <v>Melting_Curves/meltCurve_Q9H3P7_ACBD3.pdf</v>
      </c>
    </row>
    <row r="5023" spans="1:28" x14ac:dyDescent="0.25">
      <c r="A5023" t="s">
        <v>5027</v>
      </c>
      <c r="B5023">
        <v>0.99334974765950101</v>
      </c>
      <c r="C5023">
        <v>0.95889922081131096</v>
      </c>
      <c r="D5023">
        <v>0.83604029335151597</v>
      </c>
      <c r="E5023">
        <v>0.71605455803134899</v>
      </c>
      <c r="F5023">
        <v>0.55632467886024495</v>
      </c>
      <c r="G5023">
        <v>0.4342837265799</v>
      </c>
      <c r="H5023">
        <v>0.44358833522179097</v>
      </c>
      <c r="I5023">
        <v>0.42563340874159999</v>
      </c>
      <c r="J5023">
        <v>0.50670370301140399</v>
      </c>
      <c r="K5023">
        <v>0.46291352438742001</v>
      </c>
      <c r="L5023">
        <v>873.61039361495796</v>
      </c>
      <c r="M5023">
        <v>17.820182522881499</v>
      </c>
      <c r="N5023">
        <v>55.8595967563868</v>
      </c>
      <c r="O5023">
        <v>48.418812878395499</v>
      </c>
      <c r="P5023">
        <v>-5.1204371916201703E-2</v>
      </c>
      <c r="Q5023">
        <v>0.44352375128368898</v>
      </c>
      <c r="R5023">
        <v>0.97753196989519497</v>
      </c>
      <c r="S5023" t="s">
        <v>10884</v>
      </c>
      <c r="T5023" t="s">
        <v>11720</v>
      </c>
      <c r="U5023" t="s">
        <v>11720</v>
      </c>
      <c r="V5023" t="s">
        <v>11720</v>
      </c>
      <c r="W5023" t="s">
        <v>16687</v>
      </c>
      <c r="X5023">
        <v>12</v>
      </c>
      <c r="Y5023" t="s">
        <v>22394</v>
      </c>
      <c r="Z5023" t="s">
        <v>28230</v>
      </c>
      <c r="AA5023">
        <v>0.62073401904953562</v>
      </c>
      <c r="AB5023" t="str">
        <f>HYPERLINK("Melting_Curves/meltCurve_Q9H3Q1_CDC42EP4.pdf", "Melting_Curves/meltCurve_Q9H3Q1_CDC42EP4.pdf")</f>
        <v>Melting_Curves/meltCurve_Q9H3Q1_CDC42EP4.pdf</v>
      </c>
    </row>
    <row r="5024" spans="1:28" x14ac:dyDescent="0.25">
      <c r="A5024" t="s">
        <v>5028</v>
      </c>
      <c r="B5024">
        <v>0.99334974765950101</v>
      </c>
      <c r="C5024">
        <v>0.97445433163959005</v>
      </c>
      <c r="D5024">
        <v>0.94327212091446999</v>
      </c>
      <c r="E5024">
        <v>0.46762081458545801</v>
      </c>
      <c r="F5024">
        <v>0.18263863888062101</v>
      </c>
      <c r="G5024">
        <v>0.119814374902546</v>
      </c>
      <c r="H5024">
        <v>9.0106018946581198E-2</v>
      </c>
      <c r="I5024">
        <v>8.0313238596700004E-2</v>
      </c>
      <c r="J5024">
        <v>8.2840829718027795E-2</v>
      </c>
      <c r="K5024">
        <v>7.1195176610432107E-2</v>
      </c>
      <c r="L5024">
        <v>1630.5135079148299</v>
      </c>
      <c r="M5024">
        <v>32.922234819708002</v>
      </c>
      <c r="N5024">
        <v>49.811210336299602</v>
      </c>
      <c r="O5024">
        <v>49.344551440271402</v>
      </c>
      <c r="P5024">
        <v>-0.15247925198314899</v>
      </c>
      <c r="Q5024">
        <v>8.5847429029931796E-2</v>
      </c>
      <c r="R5024">
        <v>0.99911827082433402</v>
      </c>
      <c r="S5024" t="s">
        <v>10885</v>
      </c>
      <c r="T5024" t="s">
        <v>11720</v>
      </c>
      <c r="U5024" t="s">
        <v>11720</v>
      </c>
      <c r="V5024" t="s">
        <v>11720</v>
      </c>
      <c r="W5024" t="s">
        <v>16688</v>
      </c>
      <c r="X5024">
        <v>41</v>
      </c>
      <c r="Y5024" t="s">
        <v>22395</v>
      </c>
      <c r="Z5024" t="s">
        <v>28231</v>
      </c>
      <c r="AA5024">
        <v>0.38077321541079118</v>
      </c>
      <c r="AB5024" t="str">
        <f>HYPERLINK("Melting_Curves/meltCurve_Q9H3S7_PTPN23.pdf", "Melting_Curves/meltCurve_Q9H3S7_PTPN23.pdf")</f>
        <v>Melting_Curves/meltCurve_Q9H3S7_PTPN23.pdf</v>
      </c>
    </row>
    <row r="5025" spans="1:28" x14ac:dyDescent="0.25">
      <c r="A5025" t="s">
        <v>5029</v>
      </c>
      <c r="B5025">
        <v>0.99334974765950101</v>
      </c>
      <c r="C5025">
        <v>0.97813761288174705</v>
      </c>
      <c r="D5025">
        <v>0.78494309847117505</v>
      </c>
      <c r="E5025">
        <v>0.23027009756121999</v>
      </c>
      <c r="F5025">
        <v>0.168857782629313</v>
      </c>
      <c r="G5025">
        <v>0.11776176781469599</v>
      </c>
      <c r="H5025">
        <v>0.10712165312776201</v>
      </c>
      <c r="I5025">
        <v>0.10261561091330999</v>
      </c>
      <c r="J5025">
        <v>9.23051033318954E-2</v>
      </c>
      <c r="K5025">
        <v>7.7302602595839098E-2</v>
      </c>
      <c r="L5025">
        <v>1614.6448937173</v>
      </c>
      <c r="M5025">
        <v>33.973531574531897</v>
      </c>
      <c r="N5025">
        <v>47.854907298914597</v>
      </c>
      <c r="O5025">
        <v>47.362816257677601</v>
      </c>
      <c r="P5025">
        <v>-0.16068299537247999</v>
      </c>
      <c r="Q5025">
        <v>0.10396539822626299</v>
      </c>
      <c r="R5025">
        <v>0.99798783755782805</v>
      </c>
      <c r="S5025" t="s">
        <v>10886</v>
      </c>
      <c r="T5025" t="s">
        <v>11720</v>
      </c>
      <c r="U5025" t="s">
        <v>11720</v>
      </c>
      <c r="V5025" t="s">
        <v>11720</v>
      </c>
      <c r="W5025" t="s">
        <v>16689</v>
      </c>
      <c r="X5025">
        <v>31</v>
      </c>
      <c r="Y5025" t="s">
        <v>22396</v>
      </c>
      <c r="Z5025" t="s">
        <v>28232</v>
      </c>
      <c r="AA5025">
        <v>0.33290847513078181</v>
      </c>
      <c r="AB5025" t="str">
        <f>HYPERLINK("Melting_Curves/meltCurve_Q9H3U1_2_UNC45A.pdf", "Melting_Curves/meltCurve_Q9H3U1_2_UNC45A.pdf")</f>
        <v>Melting_Curves/meltCurve_Q9H3U1_2_UNC45A.pdf</v>
      </c>
    </row>
    <row r="5026" spans="1:28" x14ac:dyDescent="0.25">
      <c r="A5026" t="s">
        <v>5030</v>
      </c>
      <c r="B5026">
        <v>0.99334974765950101</v>
      </c>
      <c r="C5026">
        <v>0.98068946685895997</v>
      </c>
      <c r="D5026">
        <v>0.87457272375700101</v>
      </c>
      <c r="E5026">
        <v>0.83049404574607599</v>
      </c>
      <c r="F5026">
        <v>1.0184023716393</v>
      </c>
      <c r="G5026">
        <v>0.79287687945587404</v>
      </c>
      <c r="H5026">
        <v>0.80517009821421603</v>
      </c>
      <c r="I5026">
        <v>0.96600077455288802</v>
      </c>
      <c r="J5026">
        <v>0.93256520145532096</v>
      </c>
      <c r="K5026">
        <v>0.681263756168485</v>
      </c>
      <c r="L5026">
        <v>163.22741979789299</v>
      </c>
      <c r="M5026">
        <v>0.88323013490595204</v>
      </c>
      <c r="O5026">
        <v>59.568274275612602</v>
      </c>
      <c r="P5026">
        <v>-5.3737194747327599E-3</v>
      </c>
      <c r="Q5026">
        <v>0</v>
      </c>
      <c r="R5026">
        <v>0.24574544067649001</v>
      </c>
      <c r="S5026" t="s">
        <v>10887</v>
      </c>
      <c r="T5026" t="s">
        <v>11720</v>
      </c>
      <c r="U5026" t="s">
        <v>11720</v>
      </c>
      <c r="V5026" t="s">
        <v>11720</v>
      </c>
      <c r="W5026" t="s">
        <v>16690</v>
      </c>
      <c r="X5026">
        <v>4</v>
      </c>
      <c r="Y5026" t="s">
        <v>22397</v>
      </c>
      <c r="Z5026" t="s">
        <v>28233</v>
      </c>
      <c r="AA5026">
        <v>0.88811053768240522</v>
      </c>
      <c r="AB5026" t="str">
        <f>HYPERLINK("Melting_Curves/meltCurve_Q9H3U5_3_MFSD1.pdf", "Melting_Curves/meltCurve_Q9H3U5_3_MFSD1.pdf")</f>
        <v>Melting_Curves/meltCurve_Q9H3U5_3_MFSD1.pdf</v>
      </c>
    </row>
    <row r="5027" spans="1:28" x14ac:dyDescent="0.25">
      <c r="A5027" t="s">
        <v>5031</v>
      </c>
      <c r="B5027">
        <v>0.99334974765950101</v>
      </c>
      <c r="C5027">
        <v>0.80965885688609696</v>
      </c>
      <c r="D5027">
        <v>0.89367353924394799</v>
      </c>
      <c r="E5027">
        <v>0.78515694375214795</v>
      </c>
      <c r="F5027">
        <v>0.83005467094364305</v>
      </c>
      <c r="G5027">
        <v>0.71795915031952895</v>
      </c>
      <c r="H5027">
        <v>1.098851296084</v>
      </c>
      <c r="I5027">
        <v>0.91731759580893402</v>
      </c>
      <c r="J5027">
        <v>1.7558104276208799</v>
      </c>
      <c r="K5027">
        <v>1.21949371020539</v>
      </c>
      <c r="L5027">
        <v>9735.1667005010004</v>
      </c>
      <c r="M5027">
        <v>149.20035870376799</v>
      </c>
      <c r="O5027">
        <v>65.237228749329404</v>
      </c>
      <c r="P5027">
        <v>0.27844177203244702</v>
      </c>
      <c r="Q5027">
        <v>1.4869899652102201</v>
      </c>
      <c r="R5027">
        <v>0.55538641584179504</v>
      </c>
      <c r="S5027" t="s">
        <v>10888</v>
      </c>
      <c r="T5027" t="s">
        <v>11720</v>
      </c>
      <c r="U5027" t="s">
        <v>11720</v>
      </c>
      <c r="V5027" t="s">
        <v>11720</v>
      </c>
      <c r="W5027" t="s">
        <v>16691</v>
      </c>
      <c r="X5027">
        <v>1</v>
      </c>
      <c r="Y5027" t="s">
        <v>22398</v>
      </c>
      <c r="Z5027" t="s">
        <v>28234</v>
      </c>
      <c r="AA5027">
        <v>1.076967493485584</v>
      </c>
      <c r="AB5027" t="str">
        <f>HYPERLINK("Melting_Curves/meltCurve_Q9H3Y8_PPDPF.pdf", "Melting_Curves/meltCurve_Q9H3Y8_PPDPF.pdf")</f>
        <v>Melting_Curves/meltCurve_Q9H3Y8_PPDPF.pdf</v>
      </c>
    </row>
    <row r="5028" spans="1:28" x14ac:dyDescent="0.25">
      <c r="A5028" t="s">
        <v>5032</v>
      </c>
      <c r="B5028">
        <v>0.99334974765950101</v>
      </c>
      <c r="C5028">
        <v>1.0182212053306099</v>
      </c>
      <c r="D5028">
        <v>0.80205349765905598</v>
      </c>
      <c r="E5028">
        <v>0.80359710250631</v>
      </c>
      <c r="F5028">
        <v>0.54004848508371806</v>
      </c>
      <c r="G5028">
        <v>0.42032718838038502</v>
      </c>
      <c r="H5028">
        <v>0.39131938321467202</v>
      </c>
      <c r="I5028">
        <v>1.11450141383196</v>
      </c>
      <c r="J5028">
        <v>0.54414682238813805</v>
      </c>
      <c r="K5028">
        <v>0.450924534560326</v>
      </c>
      <c r="L5028">
        <v>1093.89155491262</v>
      </c>
      <c r="M5028">
        <v>22.948732906218002</v>
      </c>
      <c r="O5028">
        <v>47.3092228878279</v>
      </c>
      <c r="P5028">
        <v>-5.0773394978331401E-2</v>
      </c>
      <c r="Q5028">
        <v>0.58132682092118504</v>
      </c>
      <c r="R5028">
        <v>0.406502330160047</v>
      </c>
      <c r="S5028" t="s">
        <v>10889</v>
      </c>
      <c r="T5028" t="s">
        <v>11720</v>
      </c>
      <c r="U5028" t="s">
        <v>11720</v>
      </c>
      <c r="V5028" t="s">
        <v>11720</v>
      </c>
      <c r="W5028" t="s">
        <v>16692</v>
      </c>
      <c r="X5028">
        <v>5</v>
      </c>
      <c r="Y5028" t="s">
        <v>22399</v>
      </c>
      <c r="Z5028" t="s">
        <v>28235</v>
      </c>
      <c r="AA5028">
        <v>0.69277907559328067</v>
      </c>
      <c r="AB5028" t="str">
        <f>HYPERLINK("Melting_Curves/meltCurve_Q9H3Z4_2_DNAJC5.pdf", "Melting_Curves/meltCurve_Q9H3Z4_2_DNAJC5.pdf")</f>
        <v>Melting_Curves/meltCurve_Q9H3Z4_2_DNAJC5.pdf</v>
      </c>
    </row>
    <row r="5029" spans="1:28" x14ac:dyDescent="0.25">
      <c r="A5029" t="s">
        <v>5033</v>
      </c>
      <c r="B5029">
        <v>0.99334974765950101</v>
      </c>
      <c r="C5029">
        <v>0.95811878067216305</v>
      </c>
      <c r="D5029">
        <v>0.85168924631356102</v>
      </c>
      <c r="E5029">
        <v>0.707089224420823</v>
      </c>
      <c r="F5029">
        <v>0.64127181742612205</v>
      </c>
      <c r="G5029">
        <v>0.51907220232512796</v>
      </c>
      <c r="H5029">
        <v>0.48217022438818502</v>
      </c>
      <c r="I5029">
        <v>0.62357813576961996</v>
      </c>
      <c r="J5029">
        <v>0.66703257142781203</v>
      </c>
      <c r="K5029">
        <v>0.650020198016379</v>
      </c>
      <c r="L5029">
        <v>1050.5702943643</v>
      </c>
      <c r="M5029">
        <v>22.182247671518599</v>
      </c>
      <c r="O5029">
        <v>46.980986693331602</v>
      </c>
      <c r="P5029">
        <v>-4.8281255376334598E-2</v>
      </c>
      <c r="Q5029">
        <v>0.59097885782399295</v>
      </c>
      <c r="R5029">
        <v>0.88843009274931195</v>
      </c>
      <c r="S5029" t="s">
        <v>10890</v>
      </c>
      <c r="T5029" t="s">
        <v>11720</v>
      </c>
      <c r="U5029" t="s">
        <v>11720</v>
      </c>
      <c r="V5029" t="s">
        <v>11720</v>
      </c>
      <c r="W5029" t="s">
        <v>16693</v>
      </c>
      <c r="X5029">
        <v>25</v>
      </c>
      <c r="Y5029" t="s">
        <v>22400</v>
      </c>
      <c r="Z5029" t="s">
        <v>28236</v>
      </c>
      <c r="AA5029">
        <v>0.69605090019771365</v>
      </c>
      <c r="AB5029" t="str">
        <f>HYPERLINK("Melting_Curves/meltCurve_Q9H425_C1orf198.pdf", "Melting_Curves/meltCurve_Q9H425_C1orf198.pdf")</f>
        <v>Melting_Curves/meltCurve_Q9H425_C1orf198.pdf</v>
      </c>
    </row>
    <row r="5030" spans="1:28" x14ac:dyDescent="0.25">
      <c r="A5030" t="s">
        <v>5034</v>
      </c>
      <c r="B5030">
        <v>0.99334974765950101</v>
      </c>
      <c r="C5030">
        <v>1.0732993591060001</v>
      </c>
      <c r="D5030">
        <v>0.95660713464140801</v>
      </c>
      <c r="E5030">
        <v>0.85762053266244098</v>
      </c>
      <c r="F5030">
        <v>1.0017309129788901</v>
      </c>
      <c r="G5030">
        <v>0.77657744046036803</v>
      </c>
      <c r="H5030">
        <v>0.919590263759823</v>
      </c>
      <c r="I5030">
        <v>0.86463350870094302</v>
      </c>
      <c r="J5030">
        <v>1.4532521189362999</v>
      </c>
      <c r="K5030">
        <v>1.1816130957819599</v>
      </c>
      <c r="L5030">
        <v>6946.6110753968396</v>
      </c>
      <c r="M5030">
        <v>106.09529757767</v>
      </c>
      <c r="O5030">
        <v>65.451949689365804</v>
      </c>
      <c r="P5030">
        <v>0.13014968547217201</v>
      </c>
      <c r="Q5030">
        <v>1.3211659855395801</v>
      </c>
      <c r="R5030">
        <v>0.54605680910679899</v>
      </c>
      <c r="S5030" t="s">
        <v>10891</v>
      </c>
      <c r="T5030" t="s">
        <v>11720</v>
      </c>
      <c r="U5030" t="s">
        <v>11720</v>
      </c>
      <c r="V5030" t="s">
        <v>11720</v>
      </c>
      <c r="W5030" t="s">
        <v>16694</v>
      </c>
      <c r="X5030">
        <v>16</v>
      </c>
      <c r="Y5030" t="s">
        <v>22401</v>
      </c>
      <c r="Z5030" t="s">
        <v>28237</v>
      </c>
      <c r="AA5030">
        <v>1.0482433487114731</v>
      </c>
      <c r="AB5030" t="str">
        <f>HYPERLINK("Melting_Curves/meltCurve_Q9H444_CHMP4B.pdf", "Melting_Curves/meltCurve_Q9H444_CHMP4B.pdf")</f>
        <v>Melting_Curves/meltCurve_Q9H444_CHMP4B.pdf</v>
      </c>
    </row>
    <row r="5031" spans="1:28" x14ac:dyDescent="0.25">
      <c r="A5031" t="s">
        <v>5035</v>
      </c>
      <c r="B5031">
        <v>0.99334974765950101</v>
      </c>
      <c r="C5031">
        <v>1.0064269032616699</v>
      </c>
      <c r="D5031">
        <v>1.1285454056608</v>
      </c>
      <c r="E5031">
        <v>0.91513737511085602</v>
      </c>
      <c r="F5031">
        <v>0.77502877728192998</v>
      </c>
      <c r="G5031">
        <v>0.53929304270022205</v>
      </c>
      <c r="H5031">
        <v>0.448016417681386</v>
      </c>
      <c r="I5031">
        <v>0.320383496923629</v>
      </c>
      <c r="J5031">
        <v>0.28664675469914103</v>
      </c>
      <c r="K5031">
        <v>0.24094868312669099</v>
      </c>
      <c r="L5031">
        <v>974.66882473444196</v>
      </c>
      <c r="M5031">
        <v>17.395944159913299</v>
      </c>
      <c r="N5031">
        <v>58.279655717128598</v>
      </c>
      <c r="O5031">
        <v>55.303821263072997</v>
      </c>
      <c r="P5031">
        <v>-5.9403149487055301E-2</v>
      </c>
      <c r="Q5031">
        <v>0.24464304993070199</v>
      </c>
      <c r="R5031">
        <v>0.974215678617255</v>
      </c>
      <c r="S5031" t="s">
        <v>10892</v>
      </c>
      <c r="T5031" t="s">
        <v>11720</v>
      </c>
      <c r="U5031" t="s">
        <v>11720</v>
      </c>
      <c r="V5031" t="s">
        <v>11720</v>
      </c>
      <c r="W5031" t="s">
        <v>16695</v>
      </c>
      <c r="X5031">
        <v>3</v>
      </c>
      <c r="Y5031" t="s">
        <v>22402</v>
      </c>
      <c r="Z5031" t="s">
        <v>28238</v>
      </c>
      <c r="AA5031">
        <v>0.65977137470903702</v>
      </c>
      <c r="AB5031" t="str">
        <f>HYPERLINK("Melting_Curves/meltCurve_Q9H446_2_RWDD1.pdf", "Melting_Curves/meltCurve_Q9H446_2_RWDD1.pdf")</f>
        <v>Melting_Curves/meltCurve_Q9H446_2_RWDD1.pdf</v>
      </c>
    </row>
    <row r="5032" spans="1:28" x14ac:dyDescent="0.25">
      <c r="A5032" t="s">
        <v>5036</v>
      </c>
      <c r="B5032">
        <v>0.99334974765950101</v>
      </c>
      <c r="C5032">
        <v>0.98798381041820005</v>
      </c>
      <c r="D5032">
        <v>0.81403533365972802</v>
      </c>
      <c r="E5032">
        <v>0.78856766490808305</v>
      </c>
      <c r="F5032">
        <v>0.60171664051892304</v>
      </c>
      <c r="G5032">
        <v>0.38228323637126499</v>
      </c>
      <c r="H5032">
        <v>0.29945570135057398</v>
      </c>
      <c r="I5032">
        <v>0.32224343898844099</v>
      </c>
      <c r="J5032">
        <v>0.28912581924416297</v>
      </c>
      <c r="K5032">
        <v>0.27222821397792102</v>
      </c>
      <c r="L5032">
        <v>733.55561246112802</v>
      </c>
      <c r="M5032">
        <v>14.0574647304884</v>
      </c>
      <c r="N5032">
        <v>54.812976362935601</v>
      </c>
      <c r="O5032">
        <v>51.160680908506997</v>
      </c>
      <c r="P5032">
        <v>-5.1848083015340801E-2</v>
      </c>
      <c r="Q5032">
        <v>0.24531545915303599</v>
      </c>
      <c r="R5032">
        <v>0.98153333924805597</v>
      </c>
      <c r="S5032" t="s">
        <v>10893</v>
      </c>
      <c r="T5032" t="s">
        <v>11720</v>
      </c>
      <c r="U5032" t="s">
        <v>11720</v>
      </c>
      <c r="V5032" t="s">
        <v>11720</v>
      </c>
      <c r="W5032" t="s">
        <v>16696</v>
      </c>
      <c r="X5032">
        <v>8</v>
      </c>
      <c r="Y5032" t="s">
        <v>22403</v>
      </c>
      <c r="Z5032" t="s">
        <v>28239</v>
      </c>
      <c r="AA5032">
        <v>0.57022376702681432</v>
      </c>
      <c r="AB5032" t="str">
        <f>HYPERLINK("Melting_Curves/meltCurve_Q9H467_CUEDC2.pdf", "Melting_Curves/meltCurve_Q9H467_CUEDC2.pdf")</f>
        <v>Melting_Curves/meltCurve_Q9H467_CUEDC2.pdf</v>
      </c>
    </row>
    <row r="5033" spans="1:28" x14ac:dyDescent="0.25">
      <c r="A5033" t="s">
        <v>5037</v>
      </c>
      <c r="B5033">
        <v>0.99334974765950101</v>
      </c>
      <c r="C5033">
        <v>0.96022322197948395</v>
      </c>
      <c r="D5033">
        <v>0.55808834729387202</v>
      </c>
      <c r="E5033">
        <v>0.389262782383547</v>
      </c>
      <c r="F5033">
        <v>0.28276476134853301</v>
      </c>
      <c r="G5033">
        <v>0.27077436311125502</v>
      </c>
      <c r="H5033">
        <v>0.20722941161980199</v>
      </c>
      <c r="I5033">
        <v>0.17559328399583701</v>
      </c>
      <c r="J5033">
        <v>0.189500839912526</v>
      </c>
      <c r="K5033">
        <v>0.12827902494490601</v>
      </c>
      <c r="L5033">
        <v>934.11868570032198</v>
      </c>
      <c r="M5033">
        <v>20.079024445315898</v>
      </c>
      <c r="N5033">
        <v>47.682995395002003</v>
      </c>
      <c r="O5033">
        <v>46.068038420035201</v>
      </c>
      <c r="P5033">
        <v>-8.7900647963203099E-2</v>
      </c>
      <c r="Q5033">
        <v>0.19333119511913699</v>
      </c>
      <c r="R5033">
        <v>0.97287573861420895</v>
      </c>
      <c r="S5033" t="s">
        <v>10894</v>
      </c>
      <c r="T5033" t="s">
        <v>11720</v>
      </c>
      <c r="U5033" t="s">
        <v>11720</v>
      </c>
      <c r="V5033" t="s">
        <v>11720</v>
      </c>
      <c r="W5033" t="s">
        <v>16697</v>
      </c>
      <c r="X5033">
        <v>3</v>
      </c>
      <c r="Y5033" t="s">
        <v>22404</v>
      </c>
      <c r="Z5033" t="s">
        <v>28240</v>
      </c>
      <c r="AA5033">
        <v>0.38067225178292458</v>
      </c>
      <c r="AB5033" t="str">
        <f>HYPERLINK("Melting_Curves/meltCurve_Q9H469_FBXL15.pdf", "Melting_Curves/meltCurve_Q9H469_FBXL15.pdf")</f>
        <v>Melting_Curves/meltCurve_Q9H469_FBXL15.pdf</v>
      </c>
    </row>
    <row r="5034" spans="1:28" x14ac:dyDescent="0.25">
      <c r="A5034" t="s">
        <v>5038</v>
      </c>
      <c r="B5034">
        <v>0.99334974765950101</v>
      </c>
      <c r="C5034">
        <v>0.98909282935877296</v>
      </c>
      <c r="D5034">
        <v>0.94854520276459497</v>
      </c>
      <c r="E5034">
        <v>0.81342816933099304</v>
      </c>
      <c r="F5034">
        <v>0.74043480696270003</v>
      </c>
      <c r="G5034">
        <v>0.54445279321076101</v>
      </c>
      <c r="H5034">
        <v>0.41638869423305502</v>
      </c>
      <c r="I5034">
        <v>0.29066956965493701</v>
      </c>
      <c r="J5034">
        <v>0.15145139667618401</v>
      </c>
      <c r="K5034">
        <v>8.5802840473800795E-2</v>
      </c>
      <c r="L5034">
        <v>634.91646349889595</v>
      </c>
      <c r="M5034">
        <v>10.943710140843301</v>
      </c>
      <c r="N5034">
        <v>58.016558387192902</v>
      </c>
      <c r="O5034">
        <v>56.180286287045597</v>
      </c>
      <c r="P5034">
        <v>-4.8715841652828003E-2</v>
      </c>
      <c r="Q5034">
        <v>0</v>
      </c>
      <c r="R5034">
        <v>0.992581284179479</v>
      </c>
      <c r="S5034" t="s">
        <v>10895</v>
      </c>
      <c r="T5034" t="s">
        <v>11720</v>
      </c>
      <c r="U5034" t="s">
        <v>11720</v>
      </c>
      <c r="V5034" t="s">
        <v>11720</v>
      </c>
      <c r="W5034" t="s">
        <v>16698</v>
      </c>
      <c r="X5034">
        <v>7</v>
      </c>
      <c r="Y5034" t="s">
        <v>22405</v>
      </c>
      <c r="Z5034" t="s">
        <v>28241</v>
      </c>
      <c r="AA5034">
        <v>0.61202435620566908</v>
      </c>
      <c r="AB5034" t="str">
        <f>HYPERLINK("Melting_Curves/meltCurve_Q9H479_FN3K.pdf", "Melting_Curves/meltCurve_Q9H479_FN3K.pdf")</f>
        <v>Melting_Curves/meltCurve_Q9H479_FN3K.pdf</v>
      </c>
    </row>
    <row r="5035" spans="1:28" x14ac:dyDescent="0.25">
      <c r="A5035" t="s">
        <v>5039</v>
      </c>
      <c r="B5035">
        <v>0.99334974765950101</v>
      </c>
      <c r="C5035">
        <v>0.99108840147712796</v>
      </c>
      <c r="D5035">
        <v>0.94878097725672395</v>
      </c>
      <c r="E5035">
        <v>0.78832201583582695</v>
      </c>
      <c r="F5035">
        <v>0.65901143206922197</v>
      </c>
      <c r="G5035">
        <v>0.37071297043116502</v>
      </c>
      <c r="H5035">
        <v>0.152035317689559</v>
      </c>
      <c r="I5035">
        <v>0.13416203617950401</v>
      </c>
      <c r="J5035">
        <v>0.124032511315846</v>
      </c>
      <c r="K5035">
        <v>0.113218816562296</v>
      </c>
      <c r="L5035">
        <v>918.11302772337001</v>
      </c>
      <c r="M5035">
        <v>16.9296170565624</v>
      </c>
      <c r="N5035">
        <v>54.759394472180503</v>
      </c>
      <c r="O5035">
        <v>53.491462675141499</v>
      </c>
      <c r="P5035">
        <v>-7.3167038307931795E-2</v>
      </c>
      <c r="Q5035">
        <v>7.5332643644621902E-2</v>
      </c>
      <c r="R5035">
        <v>0.99627347095571595</v>
      </c>
      <c r="S5035" t="s">
        <v>10896</v>
      </c>
      <c r="T5035" t="s">
        <v>11720</v>
      </c>
      <c r="U5035" t="s">
        <v>11720</v>
      </c>
      <c r="V5035" t="s">
        <v>11720</v>
      </c>
      <c r="W5035" t="s">
        <v>11893</v>
      </c>
      <c r="X5035">
        <v>16</v>
      </c>
      <c r="Y5035" t="s">
        <v>17689</v>
      </c>
      <c r="Z5035" t="s">
        <v>28242</v>
      </c>
      <c r="AA5035">
        <v>0.52999613598705297</v>
      </c>
      <c r="AB5035" t="str">
        <f>HYPERLINK("Melting_Curves/meltCurve_Q9H488_POFUT1.pdf", "Melting_Curves/meltCurve_Q9H488_POFUT1.pdf")</f>
        <v>Melting_Curves/meltCurve_Q9H488_POFUT1.pdf</v>
      </c>
    </row>
    <row r="5036" spans="1:28" x14ac:dyDescent="0.25">
      <c r="A5036" t="s">
        <v>5040</v>
      </c>
      <c r="B5036">
        <v>0.99334974765950101</v>
      </c>
      <c r="C5036">
        <v>1.0195337646392799</v>
      </c>
      <c r="D5036">
        <v>0.94033265659200105</v>
      </c>
      <c r="E5036">
        <v>0.74467544588933199</v>
      </c>
      <c r="F5036">
        <v>0.43486110754242702</v>
      </c>
      <c r="G5036">
        <v>0.19743207668506699</v>
      </c>
      <c r="H5036">
        <v>0.14990444515256801</v>
      </c>
      <c r="I5036">
        <v>0.119541032187092</v>
      </c>
      <c r="J5036">
        <v>9.2227949267027695E-2</v>
      </c>
      <c r="K5036">
        <v>9.3126429603946306E-2</v>
      </c>
      <c r="L5036">
        <v>1202.70874995179</v>
      </c>
      <c r="M5036">
        <v>23.1819946157269</v>
      </c>
      <c r="N5036">
        <v>52.3905091895464</v>
      </c>
      <c r="O5036">
        <v>51.499721541246203</v>
      </c>
      <c r="P5036">
        <v>-0.101182196314392</v>
      </c>
      <c r="Q5036">
        <v>0.100895247622346</v>
      </c>
      <c r="R5036">
        <v>0.998660035463662</v>
      </c>
      <c r="S5036" t="s">
        <v>10897</v>
      </c>
      <c r="T5036" t="s">
        <v>11720</v>
      </c>
      <c r="U5036" t="s">
        <v>11720</v>
      </c>
      <c r="V5036" t="s">
        <v>11720</v>
      </c>
      <c r="W5036" t="s">
        <v>16699</v>
      </c>
      <c r="X5036">
        <v>3</v>
      </c>
      <c r="Y5036" t="s">
        <v>22406</v>
      </c>
      <c r="Z5036" t="s">
        <v>28243</v>
      </c>
      <c r="AA5036">
        <v>0.46644758137742359</v>
      </c>
      <c r="AB5036" t="str">
        <f>HYPERLINK("Melting_Curves/meltCurve_Q9H492_MAP1LC3A.pdf", "Melting_Curves/meltCurve_Q9H492_MAP1LC3A.pdf")</f>
        <v>Melting_Curves/meltCurve_Q9H492_MAP1LC3A.pdf</v>
      </c>
    </row>
    <row r="5037" spans="1:28" x14ac:dyDescent="0.25">
      <c r="A5037" t="s">
        <v>5041</v>
      </c>
      <c r="B5037">
        <v>0.99334974765950101</v>
      </c>
      <c r="C5037">
        <v>1.0257316723602401</v>
      </c>
      <c r="D5037">
        <v>0.80256729205552901</v>
      </c>
      <c r="E5037">
        <v>0.58805188733866298</v>
      </c>
      <c r="F5037">
        <v>0.499391715537155</v>
      </c>
      <c r="G5037">
        <v>0.364992687792909</v>
      </c>
      <c r="H5037">
        <v>0.17617992262596499</v>
      </c>
      <c r="I5037">
        <v>0.10613932419520999</v>
      </c>
      <c r="J5037">
        <v>0.11756719695835</v>
      </c>
      <c r="K5037">
        <v>3.54580014462684E-2</v>
      </c>
      <c r="L5037">
        <v>578.78585222352297</v>
      </c>
      <c r="M5037">
        <v>10.960540099427901</v>
      </c>
      <c r="N5037">
        <v>52.806322891135899</v>
      </c>
      <c r="O5037">
        <v>51.139802947571503</v>
      </c>
      <c r="P5037">
        <v>-5.3599588356000101E-2</v>
      </c>
      <c r="Q5037">
        <v>0</v>
      </c>
      <c r="R5037">
        <v>0.98352150701825802</v>
      </c>
      <c r="S5037" t="s">
        <v>10898</v>
      </c>
      <c r="T5037" t="s">
        <v>11720</v>
      </c>
      <c r="U5037" t="s">
        <v>11720</v>
      </c>
      <c r="V5037" t="s">
        <v>11720</v>
      </c>
      <c r="W5037" t="s">
        <v>16700</v>
      </c>
      <c r="X5037">
        <v>2</v>
      </c>
      <c r="Y5037" t="s">
        <v>22407</v>
      </c>
      <c r="Z5037" t="s">
        <v>28244</v>
      </c>
      <c r="AA5037">
        <v>0.45879514323796161</v>
      </c>
      <c r="AB5037" t="str">
        <f>HYPERLINK("Melting_Curves/meltCurve_Q9H496_IFRG15.pdf", "Melting_Curves/meltCurve_Q9H496_IFRG15.pdf")</f>
        <v>Melting_Curves/meltCurve_Q9H496_IFRG15.pdf</v>
      </c>
    </row>
    <row r="5038" spans="1:28" x14ac:dyDescent="0.25">
      <c r="A5038" t="s">
        <v>5042</v>
      </c>
      <c r="B5038">
        <v>0.99334974765950101</v>
      </c>
      <c r="C5038">
        <v>1.0543060274296301</v>
      </c>
      <c r="D5038">
        <v>0.93233465315150699</v>
      </c>
      <c r="E5038">
        <v>0.81458172752402302</v>
      </c>
      <c r="F5038">
        <v>0.477466209360844</v>
      </c>
      <c r="G5038">
        <v>0.724297507191343</v>
      </c>
      <c r="H5038">
        <v>0.47763610110786098</v>
      </c>
      <c r="I5038">
        <v>0.24506904013156</v>
      </c>
      <c r="J5038">
        <v>0.140460084365326</v>
      </c>
      <c r="K5038">
        <v>7.6962553629026098E-2</v>
      </c>
      <c r="L5038">
        <v>563.71777366788695</v>
      </c>
      <c r="M5038">
        <v>9.7600540577596195</v>
      </c>
      <c r="N5038">
        <v>57.757648682343898</v>
      </c>
      <c r="O5038">
        <v>55.489485943221602</v>
      </c>
      <c r="P5038">
        <v>-4.39960057538075E-2</v>
      </c>
      <c r="Q5038">
        <v>0</v>
      </c>
      <c r="R5038">
        <v>0.89851846378891098</v>
      </c>
      <c r="S5038" t="s">
        <v>10899</v>
      </c>
      <c r="T5038" t="s">
        <v>11720</v>
      </c>
      <c r="U5038" t="s">
        <v>11720</v>
      </c>
      <c r="V5038" t="s">
        <v>11720</v>
      </c>
      <c r="W5038" t="s">
        <v>16701</v>
      </c>
      <c r="X5038">
        <v>1</v>
      </c>
      <c r="Y5038" t="s">
        <v>22408</v>
      </c>
      <c r="Z5038" t="s">
        <v>28245</v>
      </c>
      <c r="AA5038">
        <v>0.60285004408107412</v>
      </c>
      <c r="AB5038" t="str">
        <f>HYPERLINK("Melting_Curves/meltCurve_Q9H497_TOR3A.pdf", "Melting_Curves/meltCurve_Q9H497_TOR3A.pdf")</f>
        <v>Melting_Curves/meltCurve_Q9H497_TOR3A.pdf</v>
      </c>
    </row>
    <row r="5039" spans="1:28" x14ac:dyDescent="0.25">
      <c r="A5039" t="s">
        <v>5043</v>
      </c>
      <c r="B5039">
        <v>0.99334974765950101</v>
      </c>
      <c r="C5039">
        <v>1.0189235628994699</v>
      </c>
      <c r="D5039">
        <v>0.97167645249732204</v>
      </c>
      <c r="E5039">
        <v>0.78415625077540196</v>
      </c>
      <c r="F5039">
        <v>0.39636666630277501</v>
      </c>
      <c r="G5039">
        <v>0.143280441585869</v>
      </c>
      <c r="H5039">
        <v>9.4460038785215306E-2</v>
      </c>
      <c r="I5039">
        <v>7.9261800294210399E-2</v>
      </c>
      <c r="J5039">
        <v>7.1553052916037502E-2</v>
      </c>
      <c r="K5039">
        <v>5.7792693328796503E-2</v>
      </c>
      <c r="L5039">
        <v>1540.0684358503499</v>
      </c>
      <c r="M5039">
        <v>29.646975467328701</v>
      </c>
      <c r="N5039">
        <v>52.2237751255267</v>
      </c>
      <c r="O5039">
        <v>51.712270335651603</v>
      </c>
      <c r="P5039">
        <v>-0.13290457673248299</v>
      </c>
      <c r="Q5039">
        <v>7.27215376344586E-2</v>
      </c>
      <c r="R5039">
        <v>0.99935678767576497</v>
      </c>
      <c r="S5039" t="s">
        <v>10900</v>
      </c>
      <c r="T5039" t="s">
        <v>11720</v>
      </c>
      <c r="U5039" t="s">
        <v>11720</v>
      </c>
      <c r="V5039" t="s">
        <v>11720</v>
      </c>
      <c r="W5039" t="s">
        <v>16702</v>
      </c>
      <c r="X5039">
        <v>37</v>
      </c>
      <c r="Y5039" t="s">
        <v>22409</v>
      </c>
      <c r="Z5039" t="s">
        <v>28246</v>
      </c>
      <c r="AA5039">
        <v>0.44805194122170761</v>
      </c>
      <c r="AB5039" t="str">
        <f>HYPERLINK("Melting_Curves/meltCurve_Q9H4A4_RNPEP.pdf", "Melting_Curves/meltCurve_Q9H4A4_RNPEP.pdf")</f>
        <v>Melting_Curves/meltCurve_Q9H4A4_RNPEP.pdf</v>
      </c>
    </row>
    <row r="5040" spans="1:28" x14ac:dyDescent="0.25">
      <c r="A5040" t="s">
        <v>5044</v>
      </c>
      <c r="B5040">
        <v>0.99334974765950101</v>
      </c>
      <c r="C5040">
        <v>1.0443311002286599</v>
      </c>
      <c r="D5040">
        <v>0.85765783353025904</v>
      </c>
      <c r="E5040">
        <v>0.37093287411797299</v>
      </c>
      <c r="F5040">
        <v>0.16259603179298501</v>
      </c>
      <c r="G5040">
        <v>0.103596990637925</v>
      </c>
      <c r="H5040">
        <v>7.6563684562435397E-2</v>
      </c>
      <c r="I5040">
        <v>6.1358398484891698E-2</v>
      </c>
      <c r="J5040">
        <v>6.11065448072576E-2</v>
      </c>
      <c r="K5040">
        <v>4.9578344639814802E-2</v>
      </c>
      <c r="L5040">
        <v>1426.4106238224699</v>
      </c>
      <c r="M5040">
        <v>29.230260734940799</v>
      </c>
      <c r="N5040">
        <v>49.0444602846066</v>
      </c>
      <c r="O5040">
        <v>48.572428573551903</v>
      </c>
      <c r="P5040">
        <v>-0.14021449931041</v>
      </c>
      <c r="Q5040">
        <v>6.8019568900682198E-2</v>
      </c>
      <c r="R5040">
        <v>0.99688527118471304</v>
      </c>
      <c r="S5040" t="s">
        <v>10901</v>
      </c>
      <c r="T5040" t="s">
        <v>11720</v>
      </c>
      <c r="U5040" t="s">
        <v>11720</v>
      </c>
      <c r="V5040" t="s">
        <v>11720</v>
      </c>
      <c r="W5040" t="s">
        <v>16703</v>
      </c>
      <c r="X5040">
        <v>7</v>
      </c>
      <c r="Y5040" t="s">
        <v>22410</v>
      </c>
      <c r="Z5040" t="s">
        <v>28247</v>
      </c>
      <c r="AA5040">
        <v>0.34734434351768029</v>
      </c>
      <c r="AB5040" t="str">
        <f>HYPERLINK("Melting_Curves/meltCurve_Q9H4A5_GOLPH3L.pdf", "Melting_Curves/meltCurve_Q9H4A5_GOLPH3L.pdf")</f>
        <v>Melting_Curves/meltCurve_Q9H4A5_GOLPH3L.pdf</v>
      </c>
    </row>
    <row r="5041" spans="1:28" x14ac:dyDescent="0.25">
      <c r="A5041" t="s">
        <v>5045</v>
      </c>
      <c r="B5041">
        <v>0.99334974765950101</v>
      </c>
      <c r="C5041">
        <v>0.97029257702829697</v>
      </c>
      <c r="D5041">
        <v>0.94405054785726705</v>
      </c>
      <c r="E5041">
        <v>0.73322896293207696</v>
      </c>
      <c r="F5041">
        <v>0.37110240825220903</v>
      </c>
      <c r="G5041">
        <v>0.14882264692317701</v>
      </c>
      <c r="H5041">
        <v>0.102855989108082</v>
      </c>
      <c r="I5041">
        <v>8.3224722751855496E-2</v>
      </c>
      <c r="J5041">
        <v>7.8879820254475097E-2</v>
      </c>
      <c r="K5041">
        <v>6.1479419015952899E-2</v>
      </c>
      <c r="L5041">
        <v>1347.81461790143</v>
      </c>
      <c r="M5041">
        <v>26.1266225630972</v>
      </c>
      <c r="N5041">
        <v>51.909762432719504</v>
      </c>
      <c r="O5041">
        <v>51.2884173096989</v>
      </c>
      <c r="P5041">
        <v>-0.11782621550929</v>
      </c>
      <c r="Q5041">
        <v>7.4805731428516195E-2</v>
      </c>
      <c r="R5041">
        <v>0.99887872843880998</v>
      </c>
      <c r="S5041" t="s">
        <v>10902</v>
      </c>
      <c r="T5041" t="s">
        <v>11720</v>
      </c>
      <c r="U5041" t="s">
        <v>11720</v>
      </c>
      <c r="V5041" t="s">
        <v>11720</v>
      </c>
      <c r="W5041" t="s">
        <v>16704</v>
      </c>
      <c r="X5041">
        <v>11</v>
      </c>
      <c r="Y5041" t="s">
        <v>22411</v>
      </c>
      <c r="Z5041" t="s">
        <v>28248</v>
      </c>
      <c r="AA5041">
        <v>0.43988889061087227</v>
      </c>
      <c r="AB5041" t="str">
        <f>HYPERLINK("Melting_Curves/meltCurve_Q9H4A6_GOLPH3.pdf", "Melting_Curves/meltCurve_Q9H4A6_GOLPH3.pdf")</f>
        <v>Melting_Curves/meltCurve_Q9H4A6_GOLPH3.pdf</v>
      </c>
    </row>
    <row r="5042" spans="1:28" x14ac:dyDescent="0.25">
      <c r="A5042" t="s">
        <v>5046</v>
      </c>
      <c r="B5042">
        <v>0.99334974765950101</v>
      </c>
      <c r="C5042">
        <v>0.93658173328409799</v>
      </c>
      <c r="D5042">
        <v>0.86060951673185204</v>
      </c>
      <c r="E5042">
        <v>0.60371570949781195</v>
      </c>
      <c r="F5042">
        <v>0.29264527543866697</v>
      </c>
      <c r="G5042">
        <v>0.21720874604343199</v>
      </c>
      <c r="H5042">
        <v>0.17891270618597099</v>
      </c>
      <c r="I5042">
        <v>0.14840876232806499</v>
      </c>
      <c r="J5042">
        <v>0.147049201401208</v>
      </c>
      <c r="K5042">
        <v>0.136090185524081</v>
      </c>
      <c r="L5042">
        <v>1024.3732898250601</v>
      </c>
      <c r="M5042">
        <v>20.5218159610246</v>
      </c>
      <c r="N5042">
        <v>50.739675641590601</v>
      </c>
      <c r="O5042">
        <v>49.449560647996698</v>
      </c>
      <c r="P5042">
        <v>-8.9060876283865206E-2</v>
      </c>
      <c r="Q5042">
        <v>0.14161723776274099</v>
      </c>
      <c r="R5042">
        <v>0.99493634826202104</v>
      </c>
      <c r="S5042" t="s">
        <v>10903</v>
      </c>
      <c r="T5042" t="s">
        <v>11720</v>
      </c>
      <c r="U5042" t="s">
        <v>11720</v>
      </c>
      <c r="V5042" t="s">
        <v>11720</v>
      </c>
      <c r="W5042" t="s">
        <v>16705</v>
      </c>
      <c r="X5042">
        <v>14</v>
      </c>
      <c r="Y5042" t="s">
        <v>22412</v>
      </c>
      <c r="Z5042" t="s">
        <v>28249</v>
      </c>
      <c r="AA5042">
        <v>0.43671478343271958</v>
      </c>
      <c r="AB5042" t="str">
        <f>HYPERLINK("Melting_Curves/meltCurve_Q9H4G0_2_EPB41L1.pdf", "Melting_Curves/meltCurve_Q9H4G0_2_EPB41L1.pdf")</f>
        <v>Melting_Curves/meltCurve_Q9H4G0_2_EPB41L1.pdf</v>
      </c>
    </row>
    <row r="5043" spans="1:28" x14ac:dyDescent="0.25">
      <c r="A5043" t="s">
        <v>5047</v>
      </c>
      <c r="B5043">
        <v>0.99334974765950101</v>
      </c>
      <c r="C5043">
        <v>1.0383312492235599</v>
      </c>
      <c r="D5043">
        <v>0.83121670194939901</v>
      </c>
      <c r="E5043">
        <v>0.85064785476250004</v>
      </c>
      <c r="F5043">
        <v>0.409015273600216</v>
      </c>
      <c r="G5043">
        <v>0.21467885441270099</v>
      </c>
      <c r="H5043">
        <v>0.17354799750196301</v>
      </c>
      <c r="I5043">
        <v>0.18381631678374399</v>
      </c>
      <c r="J5043">
        <v>0.19838557748910099</v>
      </c>
      <c r="K5043">
        <v>0.24106453814787601</v>
      </c>
      <c r="L5043">
        <v>2052.3335201946702</v>
      </c>
      <c r="M5043">
        <v>39.703187079305003</v>
      </c>
      <c r="N5043">
        <v>52.353875115144</v>
      </c>
      <c r="O5043">
        <v>51.561291536451897</v>
      </c>
      <c r="P5043">
        <v>-0.154514877220751</v>
      </c>
      <c r="Q5043">
        <v>0.197347092747367</v>
      </c>
      <c r="R5043">
        <v>0.97440863487043605</v>
      </c>
      <c r="S5043" t="s">
        <v>10904</v>
      </c>
      <c r="T5043" t="s">
        <v>11720</v>
      </c>
      <c r="U5043" t="s">
        <v>11720</v>
      </c>
      <c r="V5043" t="s">
        <v>11720</v>
      </c>
      <c r="W5043" t="s">
        <v>16706</v>
      </c>
      <c r="X5043">
        <v>7</v>
      </c>
      <c r="Y5043" t="s">
        <v>22413</v>
      </c>
      <c r="Z5043" t="s">
        <v>28250</v>
      </c>
      <c r="AA5043">
        <v>0.51307552266441681</v>
      </c>
      <c r="AB5043" t="str">
        <f>HYPERLINK("Melting_Curves/meltCurve_Q9H4G4_GLIPR2.pdf", "Melting_Curves/meltCurve_Q9H4G4_GLIPR2.pdf")</f>
        <v>Melting_Curves/meltCurve_Q9H4G4_GLIPR2.pdf</v>
      </c>
    </row>
    <row r="5044" spans="1:28" x14ac:dyDescent="0.25">
      <c r="A5044" t="s">
        <v>5048</v>
      </c>
      <c r="B5044">
        <v>0.99334974765950101</v>
      </c>
      <c r="C5044">
        <v>0.94104944830123705</v>
      </c>
      <c r="D5044">
        <v>0.66000170344071396</v>
      </c>
      <c r="E5044">
        <v>0.40700559414669901</v>
      </c>
      <c r="F5044">
        <v>0.41899057230720699</v>
      </c>
      <c r="G5044">
        <v>0.271896037022548</v>
      </c>
      <c r="H5044">
        <v>0.23048470865353299</v>
      </c>
      <c r="I5044">
        <v>0.259153101295377</v>
      </c>
      <c r="J5044">
        <v>0.27710009277218201</v>
      </c>
      <c r="K5044">
        <v>0.28622089582374199</v>
      </c>
      <c r="L5044">
        <v>944.50084815352204</v>
      </c>
      <c r="M5044">
        <v>20.2013892428193</v>
      </c>
      <c r="N5044">
        <v>48.627361618559902</v>
      </c>
      <c r="O5044">
        <v>46.303333246372503</v>
      </c>
      <c r="P5044">
        <v>-7.9583630962505605E-2</v>
      </c>
      <c r="Q5044">
        <v>0.270372535269015</v>
      </c>
      <c r="R5044">
        <v>0.98113607679232795</v>
      </c>
      <c r="S5044" t="s">
        <v>10905</v>
      </c>
      <c r="T5044" t="s">
        <v>11720</v>
      </c>
      <c r="U5044" t="s">
        <v>11720</v>
      </c>
      <c r="V5044" t="s">
        <v>11720</v>
      </c>
      <c r="W5044" t="s">
        <v>16707</v>
      </c>
      <c r="X5044">
        <v>8</v>
      </c>
      <c r="Y5044" t="s">
        <v>22414</v>
      </c>
      <c r="Z5044" t="s">
        <v>28251</v>
      </c>
      <c r="AA5044">
        <v>0.44519914118310761</v>
      </c>
      <c r="AB5044" t="str">
        <f>HYPERLINK("Melting_Curves/meltCurve_Q9H4I2_ZHX3.pdf", "Melting_Curves/meltCurve_Q9H4I2_ZHX3.pdf")</f>
        <v>Melting_Curves/meltCurve_Q9H4I2_ZHX3.pdf</v>
      </c>
    </row>
    <row r="5045" spans="1:28" x14ac:dyDescent="0.25">
      <c r="A5045" t="s">
        <v>5049</v>
      </c>
      <c r="B5045">
        <v>0.99334974765950101</v>
      </c>
      <c r="C5045">
        <v>0.96123840310821895</v>
      </c>
      <c r="D5045">
        <v>0.99978938352789404</v>
      </c>
      <c r="E5045">
        <v>0.66331882034657896</v>
      </c>
      <c r="F5045">
        <v>0.18327313420514399</v>
      </c>
      <c r="G5045">
        <v>0.12765997351946401</v>
      </c>
      <c r="H5045">
        <v>0.101600869587836</v>
      </c>
      <c r="I5045">
        <v>8.3187170819687198E-2</v>
      </c>
      <c r="J5045">
        <v>8.1755740597396695E-2</v>
      </c>
      <c r="K5045">
        <v>7.1206906866931E-2</v>
      </c>
      <c r="L5045">
        <v>2370.4510341864998</v>
      </c>
      <c r="M5045">
        <v>46.880011561035801</v>
      </c>
      <c r="N5045">
        <v>50.783431205469803</v>
      </c>
      <c r="O5045">
        <v>50.472455534938</v>
      </c>
      <c r="P5045">
        <v>-0.210935127335449</v>
      </c>
      <c r="Q5045">
        <v>9.1603974592870105E-2</v>
      </c>
      <c r="R5045">
        <v>0.99796131972501601</v>
      </c>
      <c r="S5045" t="s">
        <v>10906</v>
      </c>
      <c r="T5045" t="s">
        <v>11720</v>
      </c>
      <c r="U5045" t="s">
        <v>11720</v>
      </c>
      <c r="V5045" t="s">
        <v>11720</v>
      </c>
      <c r="W5045" t="s">
        <v>16708</v>
      </c>
      <c r="X5045">
        <v>31</v>
      </c>
      <c r="Y5045" t="s">
        <v>22415</v>
      </c>
      <c r="Z5045" t="s">
        <v>28252</v>
      </c>
      <c r="AA5045">
        <v>0.41379351691857269</v>
      </c>
      <c r="AB5045" t="str">
        <f>HYPERLINK("Melting_Curves/meltCurve_Q9H4M9_EHD1.pdf", "Melting_Curves/meltCurve_Q9H4M9_EHD1.pdf")</f>
        <v>Melting_Curves/meltCurve_Q9H4M9_EHD1.pdf</v>
      </c>
    </row>
    <row r="5046" spans="1:28" x14ac:dyDescent="0.25">
      <c r="A5046" t="s">
        <v>5050</v>
      </c>
      <c r="B5046">
        <v>0.99334974765950101</v>
      </c>
      <c r="C5046">
        <v>0.96785641913444598</v>
      </c>
      <c r="D5046">
        <v>0.84759841029582605</v>
      </c>
      <c r="E5046">
        <v>0.502314838170282</v>
      </c>
      <c r="F5046">
        <v>0.22484275917436999</v>
      </c>
      <c r="G5046">
        <v>9.6795081381854303E-2</v>
      </c>
      <c r="H5046">
        <v>9.85646715618059E-2</v>
      </c>
      <c r="I5046">
        <v>8.5159090446299796E-2</v>
      </c>
      <c r="J5046">
        <v>0.119789718383799</v>
      </c>
      <c r="K5046">
        <v>0.113992289896917</v>
      </c>
      <c r="L5046">
        <v>1187.2470323447101</v>
      </c>
      <c r="M5046">
        <v>24.0463917952085</v>
      </c>
      <c r="N5046">
        <v>49.797989809065001</v>
      </c>
      <c r="O5046">
        <v>49.035525257680298</v>
      </c>
      <c r="P5046">
        <v>-0.11123045368230899</v>
      </c>
      <c r="Q5046">
        <v>9.2727360758834504E-2</v>
      </c>
      <c r="R5046">
        <v>0.99748838381365901</v>
      </c>
      <c r="S5046" t="s">
        <v>10907</v>
      </c>
      <c r="T5046" t="s">
        <v>11720</v>
      </c>
      <c r="U5046" t="s">
        <v>11720</v>
      </c>
      <c r="V5046" t="s">
        <v>11720</v>
      </c>
      <c r="W5046" t="s">
        <v>16709</v>
      </c>
      <c r="X5046">
        <v>2</v>
      </c>
      <c r="Y5046" t="s">
        <v>22416</v>
      </c>
      <c r="Z5046" t="s">
        <v>28253</v>
      </c>
      <c r="AA5046">
        <v>0.38492268470563978</v>
      </c>
      <c r="AB5046" t="str">
        <f>HYPERLINK("Melting_Curves/meltCurve_Q9H4P4_2_RNF41.pdf", "Melting_Curves/meltCurve_Q9H4P4_2_RNF41.pdf")</f>
        <v>Melting_Curves/meltCurve_Q9H4P4_2_RNF41.pdf</v>
      </c>
    </row>
    <row r="5047" spans="1:28" x14ac:dyDescent="0.25">
      <c r="A5047" t="s">
        <v>5051</v>
      </c>
      <c r="B5047">
        <v>0.99334974765950101</v>
      </c>
      <c r="C5047">
        <v>0.960352656147068</v>
      </c>
      <c r="D5047">
        <v>0.82915237148703902</v>
      </c>
      <c r="E5047">
        <v>0.54298183739314398</v>
      </c>
      <c r="F5047">
        <v>0.73054797726508802</v>
      </c>
      <c r="G5047">
        <v>0.95963028034773101</v>
      </c>
      <c r="H5047">
        <v>1.00808862948889</v>
      </c>
      <c r="I5047">
        <v>1.3772620291342399</v>
      </c>
      <c r="J5047">
        <v>1.27837623490181</v>
      </c>
      <c r="K5047">
        <v>1.14678904469299</v>
      </c>
      <c r="L5047">
        <v>15000</v>
      </c>
      <c r="M5047">
        <v>242.54833064081799</v>
      </c>
      <c r="O5047">
        <v>61.839151384376201</v>
      </c>
      <c r="P5047">
        <v>0.26228050518476098</v>
      </c>
      <c r="Q5047">
        <v>1.2674799017639899</v>
      </c>
      <c r="R5047">
        <v>0.38322999672831698</v>
      </c>
      <c r="S5047" t="s">
        <v>10908</v>
      </c>
      <c r="T5047" t="s">
        <v>11720</v>
      </c>
      <c r="U5047" t="s">
        <v>11720</v>
      </c>
      <c r="V5047" t="s">
        <v>11720</v>
      </c>
      <c r="W5047" t="s">
        <v>16710</v>
      </c>
      <c r="X5047">
        <v>7</v>
      </c>
      <c r="Y5047" t="s">
        <v>22417</v>
      </c>
      <c r="Z5047" t="s">
        <v>28254</v>
      </c>
      <c r="AA5047">
        <v>1.0726938703107809</v>
      </c>
      <c r="AB5047" t="str">
        <f>HYPERLINK("Melting_Curves/meltCurve_Q9H4X1_2_RGCC.pdf", "Melting_Curves/meltCurve_Q9H4X1_2_RGCC.pdf")</f>
        <v>Melting_Curves/meltCurve_Q9H4X1_2_RGCC.pdf</v>
      </c>
    </row>
    <row r="5048" spans="1:28" x14ac:dyDescent="0.25">
      <c r="A5048" t="s">
        <v>5052</v>
      </c>
      <c r="B5048">
        <v>0.99334974765950101</v>
      </c>
      <c r="C5048">
        <v>1.0618051521405201</v>
      </c>
      <c r="D5048">
        <v>0.99758228852209496</v>
      </c>
      <c r="E5048">
        <v>0.571663807680027</v>
      </c>
      <c r="F5048">
        <v>0.15547005482902301</v>
      </c>
      <c r="G5048">
        <v>0.11482267920031899</v>
      </c>
      <c r="H5048">
        <v>8.7492566625442497E-2</v>
      </c>
      <c r="I5048">
        <v>7.2181843144239699E-2</v>
      </c>
      <c r="J5048">
        <v>5.8634637327008098E-2</v>
      </c>
      <c r="K5048">
        <v>5.2290074552416903E-2</v>
      </c>
      <c r="L5048">
        <v>2238.4225000351598</v>
      </c>
      <c r="M5048">
        <v>44.613906382681897</v>
      </c>
      <c r="N5048">
        <v>50.359672332389998</v>
      </c>
      <c r="O5048">
        <v>50.072707675985697</v>
      </c>
      <c r="P5048">
        <v>-0.205785235531177</v>
      </c>
      <c r="Q5048">
        <v>7.6143661594768194E-2</v>
      </c>
      <c r="R5048">
        <v>0.99641647551267698</v>
      </c>
      <c r="S5048" t="s">
        <v>10909</v>
      </c>
      <c r="T5048" t="s">
        <v>11720</v>
      </c>
      <c r="U5048" t="s">
        <v>11720</v>
      </c>
      <c r="V5048" t="s">
        <v>11720</v>
      </c>
      <c r="W5048" t="s">
        <v>16711</v>
      </c>
      <c r="X5048">
        <v>14</v>
      </c>
      <c r="Y5048" t="s">
        <v>22418</v>
      </c>
      <c r="Z5048" t="s">
        <v>28255</v>
      </c>
      <c r="AA5048">
        <v>0.39200140895563468</v>
      </c>
      <c r="AB5048" t="str">
        <f>HYPERLINK("Melting_Curves/meltCurve_Q9H553_ALG2.pdf", "Melting_Curves/meltCurve_Q9H553_ALG2.pdf")</f>
        <v>Melting_Curves/meltCurve_Q9H553_ALG2.pdf</v>
      </c>
    </row>
    <row r="5049" spans="1:28" x14ac:dyDescent="0.25">
      <c r="A5049" t="s">
        <v>5053</v>
      </c>
      <c r="B5049">
        <v>0.99334974765950101</v>
      </c>
      <c r="C5049">
        <v>0.91739643778618896</v>
      </c>
      <c r="D5049">
        <v>0.72790028229680603</v>
      </c>
      <c r="E5049">
        <v>0.32728889454621601</v>
      </c>
      <c r="F5049">
        <v>0.26534203068569301</v>
      </c>
      <c r="G5049">
        <v>8.9626000947437098E-2</v>
      </c>
      <c r="H5049">
        <v>7.2189952549454303E-2</v>
      </c>
      <c r="I5049">
        <v>6.7011600888453995E-2</v>
      </c>
      <c r="J5049">
        <v>4.5361157159698497E-2</v>
      </c>
      <c r="K5049">
        <v>6.9696741804802204E-2</v>
      </c>
      <c r="L5049">
        <v>891.84211833664301</v>
      </c>
      <c r="M5049">
        <v>18.529476010102801</v>
      </c>
      <c r="N5049">
        <v>48.4488090104675</v>
      </c>
      <c r="O5049">
        <v>47.580908918164297</v>
      </c>
      <c r="P5049">
        <v>-9.1790729426804399E-2</v>
      </c>
      <c r="Q5049">
        <v>5.7222314203152297E-2</v>
      </c>
      <c r="R5049">
        <v>0.99459231804341497</v>
      </c>
      <c r="S5049" t="s">
        <v>10910</v>
      </c>
      <c r="T5049" t="s">
        <v>11720</v>
      </c>
      <c r="U5049" t="s">
        <v>11720</v>
      </c>
      <c r="V5049" t="s">
        <v>11720</v>
      </c>
      <c r="W5049" t="s">
        <v>16712</v>
      </c>
      <c r="X5049">
        <v>1</v>
      </c>
      <c r="Y5049" t="s">
        <v>22419</v>
      </c>
      <c r="Z5049" t="s">
        <v>28256</v>
      </c>
      <c r="AA5049">
        <v>0.3284333512776762</v>
      </c>
      <c r="AB5049" t="str">
        <f>HYPERLINK("Melting_Curves/meltCurve_Q9H5K3_SGK196.pdf", "Melting_Curves/meltCurve_Q9H5K3_SGK196.pdf")</f>
        <v>Melting_Curves/meltCurve_Q9H5K3_SGK196.pdf</v>
      </c>
    </row>
    <row r="5050" spans="1:28" x14ac:dyDescent="0.25">
      <c r="A5050" t="s">
        <v>5054</v>
      </c>
      <c r="B5050">
        <v>0.99334974765950101</v>
      </c>
      <c r="C5050">
        <v>0.96848281024325999</v>
      </c>
      <c r="D5050">
        <v>0.82887877873337501</v>
      </c>
      <c r="E5050">
        <v>0.40564230451724598</v>
      </c>
      <c r="F5050">
        <v>0.26061428337742099</v>
      </c>
      <c r="G5050">
        <v>0.20266281048953799</v>
      </c>
      <c r="H5050">
        <v>0.17513780971440501</v>
      </c>
      <c r="I5050">
        <v>0.17189120820359499</v>
      </c>
      <c r="J5050">
        <v>0.17937013053311199</v>
      </c>
      <c r="K5050">
        <v>0.16449792573542199</v>
      </c>
      <c r="L5050">
        <v>1258.06940695808</v>
      </c>
      <c r="M5050">
        <v>26.051507442412099</v>
      </c>
      <c r="N5050">
        <v>49.105684421959303</v>
      </c>
      <c r="O5050">
        <v>48.009760719115</v>
      </c>
      <c r="P5050">
        <v>-0.111870318311214</v>
      </c>
      <c r="Q5050">
        <v>0.175355836782214</v>
      </c>
      <c r="R5050">
        <v>0.99947461776639002</v>
      </c>
      <c r="S5050" t="s">
        <v>10911</v>
      </c>
      <c r="T5050" t="s">
        <v>11720</v>
      </c>
      <c r="U5050" t="s">
        <v>11720</v>
      </c>
      <c r="V5050" t="s">
        <v>11720</v>
      </c>
      <c r="W5050" t="s">
        <v>16713</v>
      </c>
      <c r="X5050">
        <v>27</v>
      </c>
      <c r="Y5050" t="s">
        <v>22420</v>
      </c>
      <c r="Z5050" t="s">
        <v>28257</v>
      </c>
      <c r="AA5050">
        <v>0.40995992892463601</v>
      </c>
      <c r="AB5050" t="str">
        <f>HYPERLINK("Melting_Curves/meltCurve_Q9H5N1_RABEP2.pdf", "Melting_Curves/meltCurve_Q9H5N1_RABEP2.pdf")</f>
        <v>Melting_Curves/meltCurve_Q9H5N1_RABEP2.pdf</v>
      </c>
    </row>
    <row r="5051" spans="1:28" x14ac:dyDescent="0.25">
      <c r="A5051" t="s">
        <v>5055</v>
      </c>
      <c r="B5051">
        <v>0.99334974765950101</v>
      </c>
      <c r="C5051">
        <v>0.90480477368744705</v>
      </c>
      <c r="D5051">
        <v>0.972063689499715</v>
      </c>
      <c r="E5051">
        <v>0.99518185988068697</v>
      </c>
      <c r="F5051">
        <v>0.931089599483226</v>
      </c>
      <c r="G5051">
        <v>0.75755851702600496</v>
      </c>
      <c r="H5051">
        <v>0.60692723744156596</v>
      </c>
      <c r="I5051">
        <v>0.74595011782284604</v>
      </c>
      <c r="J5051">
        <v>0.67859929786092599</v>
      </c>
      <c r="K5051">
        <v>0.60839676959560196</v>
      </c>
      <c r="L5051">
        <v>1942.2132592379801</v>
      </c>
      <c r="M5051">
        <v>35.1519864483028</v>
      </c>
      <c r="O5051">
        <v>55.073960671613001</v>
      </c>
      <c r="P5051">
        <v>-5.4498141706481103E-2</v>
      </c>
      <c r="Q5051">
        <v>0.65846378247489101</v>
      </c>
      <c r="R5051">
        <v>0.89149195340207399</v>
      </c>
      <c r="S5051" t="s">
        <v>10912</v>
      </c>
      <c r="T5051" t="s">
        <v>11720</v>
      </c>
      <c r="U5051" t="s">
        <v>11720</v>
      </c>
      <c r="V5051" t="s">
        <v>11720</v>
      </c>
      <c r="W5051" t="s">
        <v>16714</v>
      </c>
      <c r="X5051">
        <v>9</v>
      </c>
      <c r="Y5051" t="s">
        <v>22421</v>
      </c>
      <c r="Z5051" t="s">
        <v>28258</v>
      </c>
      <c r="AA5051">
        <v>0.83377449545204874</v>
      </c>
      <c r="AB5051" t="str">
        <f>HYPERLINK("Melting_Curves/meltCurve_Q9H5V8_CDCP1.pdf", "Melting_Curves/meltCurve_Q9H5V8_CDCP1.pdf")</f>
        <v>Melting_Curves/meltCurve_Q9H5V8_CDCP1.pdf</v>
      </c>
    </row>
    <row r="5052" spans="1:28" x14ac:dyDescent="0.25">
      <c r="A5052" t="s">
        <v>5056</v>
      </c>
      <c r="B5052">
        <v>0.99334974765950101</v>
      </c>
      <c r="C5052">
        <v>1.0083582819177901</v>
      </c>
      <c r="D5052">
        <v>0.88024956462845405</v>
      </c>
      <c r="E5052">
        <v>0.60410749124194996</v>
      </c>
      <c r="F5052">
        <v>0.34136237412373799</v>
      </c>
      <c r="G5052">
        <v>0.15716465155463899</v>
      </c>
      <c r="H5052">
        <v>9.3379244206098999E-2</v>
      </c>
      <c r="I5052">
        <v>8.2187848054429996E-2</v>
      </c>
      <c r="J5052">
        <v>5.4678143693255001E-2</v>
      </c>
      <c r="K5052">
        <v>7.2720211562303502E-2</v>
      </c>
      <c r="L5052">
        <v>1015.83621874548</v>
      </c>
      <c r="M5052">
        <v>20.016224667903501</v>
      </c>
      <c r="N5052">
        <v>51.086666744387301</v>
      </c>
      <c r="O5052">
        <v>50.252216342197002</v>
      </c>
      <c r="P5052">
        <v>-9.3439677726695494E-2</v>
      </c>
      <c r="Q5052">
        <v>6.1681248963314603E-2</v>
      </c>
      <c r="R5052">
        <v>0.99895951821527296</v>
      </c>
      <c r="S5052" t="s">
        <v>10913</v>
      </c>
      <c r="T5052" t="s">
        <v>11720</v>
      </c>
      <c r="U5052" t="s">
        <v>11720</v>
      </c>
      <c r="V5052" t="s">
        <v>11720</v>
      </c>
      <c r="W5052" t="s">
        <v>16715</v>
      </c>
      <c r="X5052">
        <v>1</v>
      </c>
      <c r="Y5052" t="s">
        <v>22422</v>
      </c>
      <c r="Z5052" t="s">
        <v>28259</v>
      </c>
      <c r="AA5052">
        <v>0.41094549181028611</v>
      </c>
      <c r="AB5052" t="str">
        <f>HYPERLINK("Melting_Curves/meltCurve_Q9H5V9_2_CXorf56.pdf", "Melting_Curves/meltCurve_Q9H5V9_2_CXorf56.pdf")</f>
        <v>Melting_Curves/meltCurve_Q9H5V9_2_CXorf56.pdf</v>
      </c>
    </row>
    <row r="5053" spans="1:28" x14ac:dyDescent="0.25">
      <c r="A5053" t="s">
        <v>5057</v>
      </c>
      <c r="B5053">
        <v>0.99334974765950101</v>
      </c>
      <c r="C5053">
        <v>0.96033742114801302</v>
      </c>
      <c r="D5053">
        <v>0.92464777068277404</v>
      </c>
      <c r="E5053">
        <v>0.80502197602811099</v>
      </c>
      <c r="F5053">
        <v>0.55078121241496503</v>
      </c>
      <c r="G5053">
        <v>0.47536747357069398</v>
      </c>
      <c r="H5053">
        <v>0.31597295535650499</v>
      </c>
      <c r="I5053">
        <v>0.219767930874186</v>
      </c>
      <c r="J5053">
        <v>0.126420705476465</v>
      </c>
      <c r="K5053">
        <v>8.7615382561273394E-2</v>
      </c>
      <c r="L5053">
        <v>585.894168014755</v>
      </c>
      <c r="M5053">
        <v>10.504257931637801</v>
      </c>
      <c r="N5053">
        <v>55.7768261044205</v>
      </c>
      <c r="O5053">
        <v>53.869068852566201</v>
      </c>
      <c r="P5053">
        <v>-4.8768659778767799E-2</v>
      </c>
      <c r="Q5053">
        <v>0</v>
      </c>
      <c r="R5053">
        <v>0.99000917917914699</v>
      </c>
      <c r="S5053" t="s">
        <v>10914</v>
      </c>
      <c r="T5053" t="s">
        <v>11720</v>
      </c>
      <c r="U5053" t="s">
        <v>11720</v>
      </c>
      <c r="V5053" t="s">
        <v>11720</v>
      </c>
      <c r="W5053" t="s">
        <v>16716</v>
      </c>
      <c r="X5053">
        <v>3</v>
      </c>
      <c r="Y5053" t="s">
        <v>22423</v>
      </c>
      <c r="Z5053" t="s">
        <v>28260</v>
      </c>
      <c r="AA5053">
        <v>0.54794666368174016</v>
      </c>
      <c r="AB5053" t="str">
        <f>HYPERLINK("Melting_Curves/meltCurve_Q9H5X1_FAM96A.pdf", "Melting_Curves/meltCurve_Q9H5X1_FAM96A.pdf")</f>
        <v>Melting_Curves/meltCurve_Q9H5X1_FAM96A.pdf</v>
      </c>
    </row>
    <row r="5054" spans="1:28" x14ac:dyDescent="0.25">
      <c r="A5054" t="s">
        <v>5058</v>
      </c>
      <c r="B5054">
        <v>0.99334974765950101</v>
      </c>
      <c r="C5054">
        <v>0.98327781598061204</v>
      </c>
      <c r="D5054">
        <v>0.82505736368470906</v>
      </c>
      <c r="E5054">
        <v>0.45794435979592102</v>
      </c>
      <c r="F5054">
        <v>0.49083074894158202</v>
      </c>
      <c r="G5054">
        <v>0.35097037539463199</v>
      </c>
      <c r="H5054">
        <v>0.17059370708641799</v>
      </c>
      <c r="I5054">
        <v>0.12076318343950999</v>
      </c>
      <c r="J5054">
        <v>0.119492995885637</v>
      </c>
      <c r="K5054">
        <v>8.4527629450486794E-2</v>
      </c>
      <c r="L5054">
        <v>603.11744665172205</v>
      </c>
      <c r="M5054">
        <v>11.792455055829301</v>
      </c>
      <c r="N5054">
        <v>51.728364418049402</v>
      </c>
      <c r="O5054">
        <v>49.740076622355097</v>
      </c>
      <c r="P5054">
        <v>-5.5590556112324697E-2</v>
      </c>
      <c r="Q5054">
        <v>6.2327435505230698E-2</v>
      </c>
      <c r="R5054">
        <v>0.97050692403251404</v>
      </c>
      <c r="S5054" t="s">
        <v>10915</v>
      </c>
      <c r="T5054" t="s">
        <v>11720</v>
      </c>
      <c r="U5054" t="s">
        <v>11720</v>
      </c>
      <c r="V5054" t="s">
        <v>11720</v>
      </c>
      <c r="W5054" t="s">
        <v>16717</v>
      </c>
      <c r="X5054">
        <v>5</v>
      </c>
      <c r="Y5054" t="s">
        <v>22424</v>
      </c>
      <c r="Z5054" t="s">
        <v>28261</v>
      </c>
      <c r="AA5054">
        <v>0.44171551177187562</v>
      </c>
      <c r="AB5054" t="str">
        <f>HYPERLINK("Melting_Curves/meltCurve_Q9H668_OBFC1.pdf", "Melting_Curves/meltCurve_Q9H668_OBFC1.pdf")</f>
        <v>Melting_Curves/meltCurve_Q9H668_OBFC1.pdf</v>
      </c>
    </row>
    <row r="5055" spans="1:28" x14ac:dyDescent="0.25">
      <c r="A5055" t="s">
        <v>5059</v>
      </c>
      <c r="B5055">
        <v>0.99334974765950101</v>
      </c>
      <c r="C5055">
        <v>0.92798892144536405</v>
      </c>
      <c r="D5055">
        <v>0.79666335676726996</v>
      </c>
      <c r="E5055">
        <v>0.63438806945502701</v>
      </c>
      <c r="F5055">
        <v>0.33314172225455002</v>
      </c>
      <c r="G5055">
        <v>0.24477953261810501</v>
      </c>
      <c r="H5055">
        <v>0.16656850435849599</v>
      </c>
      <c r="I5055">
        <v>0.18124447706705199</v>
      </c>
      <c r="J5055">
        <v>0.14710403290285501</v>
      </c>
      <c r="K5055">
        <v>0.13522170812808099</v>
      </c>
      <c r="L5055">
        <v>791.75369461918501</v>
      </c>
      <c r="M5055">
        <v>15.813439482505499</v>
      </c>
      <c r="N5055">
        <v>51.041345943338399</v>
      </c>
      <c r="O5055">
        <v>49.288218609358402</v>
      </c>
      <c r="P5055">
        <v>-6.9777861087203602E-2</v>
      </c>
      <c r="Q5055">
        <v>0.13012088748865799</v>
      </c>
      <c r="R5055">
        <v>0.99164657719313498</v>
      </c>
      <c r="S5055" t="s">
        <v>10916</v>
      </c>
      <c r="T5055" t="s">
        <v>11720</v>
      </c>
      <c r="U5055" t="s">
        <v>11720</v>
      </c>
      <c r="V5055" t="s">
        <v>11720</v>
      </c>
      <c r="W5055" t="s">
        <v>16718</v>
      </c>
      <c r="X5055">
        <v>4</v>
      </c>
      <c r="Y5055" t="s">
        <v>22425</v>
      </c>
      <c r="Z5055" t="s">
        <v>28262</v>
      </c>
      <c r="AA5055">
        <v>0.44090017769678258</v>
      </c>
      <c r="AB5055" t="str">
        <f>HYPERLINK("Melting_Curves/meltCurve_Q9H694_BICC1.pdf", "Melting_Curves/meltCurve_Q9H694_BICC1.pdf")</f>
        <v>Melting_Curves/meltCurve_Q9H694_BICC1.pdf</v>
      </c>
    </row>
    <row r="5056" spans="1:28" x14ac:dyDescent="0.25">
      <c r="A5056" t="s">
        <v>5060</v>
      </c>
      <c r="B5056">
        <v>0.99334974765950101</v>
      </c>
      <c r="C5056">
        <v>0.93489793442167801</v>
      </c>
      <c r="D5056">
        <v>0.89820621937981604</v>
      </c>
      <c r="E5056">
        <v>0.83632283052421297</v>
      </c>
      <c r="F5056">
        <v>0.928118611236466</v>
      </c>
      <c r="G5056">
        <v>0.64161620993652602</v>
      </c>
      <c r="H5056">
        <v>0.51425523751082003</v>
      </c>
      <c r="I5056">
        <v>0.47926550575973798</v>
      </c>
      <c r="J5056">
        <v>0.47000949165633799</v>
      </c>
      <c r="K5056">
        <v>0.323647620303327</v>
      </c>
      <c r="L5056">
        <v>470.22846038920602</v>
      </c>
      <c r="M5056">
        <v>7.5973431520780901</v>
      </c>
      <c r="N5056">
        <v>63.327364131108602</v>
      </c>
      <c r="O5056">
        <v>58.042196180906402</v>
      </c>
      <c r="P5056">
        <v>-3.0179412659349002E-2</v>
      </c>
      <c r="Q5056">
        <v>7.9003429742661294E-2</v>
      </c>
      <c r="R5056">
        <v>0.94481760912451995</v>
      </c>
      <c r="S5056" t="s">
        <v>10917</v>
      </c>
      <c r="T5056" t="s">
        <v>11720</v>
      </c>
      <c r="U5056" t="s">
        <v>11720</v>
      </c>
      <c r="V5056" t="s">
        <v>11720</v>
      </c>
      <c r="W5056" t="s">
        <v>16719</v>
      </c>
      <c r="X5056">
        <v>5</v>
      </c>
      <c r="Y5056" t="s">
        <v>22426</v>
      </c>
      <c r="Z5056" t="s">
        <v>28263</v>
      </c>
      <c r="AA5056">
        <v>0.71468727512990449</v>
      </c>
      <c r="AB5056" t="str">
        <f>HYPERLINK("Melting_Curves/meltCurve_Q9H6B4_CLMP.pdf", "Melting_Curves/meltCurve_Q9H6B4_CLMP.pdf")</f>
        <v>Melting_Curves/meltCurve_Q9H6B4_CLMP.pdf</v>
      </c>
    </row>
    <row r="5057" spans="1:28" x14ac:dyDescent="0.25">
      <c r="A5057" t="s">
        <v>5061</v>
      </c>
      <c r="B5057">
        <v>0.99334974765950101</v>
      </c>
      <c r="C5057">
        <v>1.0312225939308699</v>
      </c>
      <c r="D5057">
        <v>0.89376138871827404</v>
      </c>
      <c r="E5057">
        <v>0.64899529429140801</v>
      </c>
      <c r="F5057">
        <v>0.181636178899863</v>
      </c>
      <c r="G5057">
        <v>0.15100598429530299</v>
      </c>
      <c r="H5057">
        <v>0.12714119746979699</v>
      </c>
      <c r="I5057">
        <v>0.100749163521747</v>
      </c>
      <c r="J5057">
        <v>7.7016638374044002E-2</v>
      </c>
      <c r="K5057">
        <v>5.1483167239423699E-2</v>
      </c>
      <c r="L5057">
        <v>1950.9533038193099</v>
      </c>
      <c r="M5057">
        <v>38.664850177974401</v>
      </c>
      <c r="N5057">
        <v>50.732319210592102</v>
      </c>
      <c r="O5057">
        <v>50.3236526858609</v>
      </c>
      <c r="P5057">
        <v>-0.173964383051776</v>
      </c>
      <c r="Q5057">
        <v>9.4319303816349301E-2</v>
      </c>
      <c r="R5057">
        <v>0.990043520403739</v>
      </c>
      <c r="S5057" t="s">
        <v>10918</v>
      </c>
      <c r="T5057" t="s">
        <v>11720</v>
      </c>
      <c r="U5057" t="s">
        <v>11720</v>
      </c>
      <c r="V5057" t="s">
        <v>11720</v>
      </c>
      <c r="W5057" t="s">
        <v>16720</v>
      </c>
      <c r="X5057">
        <v>2</v>
      </c>
      <c r="Y5057" t="s">
        <v>22427</v>
      </c>
      <c r="Z5057" t="s">
        <v>28264</v>
      </c>
      <c r="AA5057">
        <v>0.41342453121493278</v>
      </c>
      <c r="AB5057" t="str">
        <f>HYPERLINK("Melting_Curves/meltCurve_Q9H6D3_XKR8.pdf", "Melting_Curves/meltCurve_Q9H6D3_XKR8.pdf")</f>
        <v>Melting_Curves/meltCurve_Q9H6D3_XKR8.pdf</v>
      </c>
    </row>
    <row r="5058" spans="1:28" x14ac:dyDescent="0.25">
      <c r="A5058" t="s">
        <v>5062</v>
      </c>
      <c r="B5058">
        <v>0.99334974765950101</v>
      </c>
      <c r="C5058">
        <v>1.03027448076214</v>
      </c>
      <c r="D5058">
        <v>1.0020552250865</v>
      </c>
      <c r="E5058">
        <v>0.71553357019203001</v>
      </c>
      <c r="F5058">
        <v>0.33080823982850999</v>
      </c>
      <c r="G5058">
        <v>0.17271962203087199</v>
      </c>
      <c r="H5058">
        <v>0.12986587242084899</v>
      </c>
      <c r="I5058">
        <v>0.13025731758745601</v>
      </c>
      <c r="J5058">
        <v>0.106278821974718</v>
      </c>
      <c r="K5058">
        <v>9.9342663311006496E-2</v>
      </c>
      <c r="L5058">
        <v>1668.2498864071999</v>
      </c>
      <c r="M5058">
        <v>32.6069658264949</v>
      </c>
      <c r="N5058">
        <v>51.594882253342398</v>
      </c>
      <c r="O5058">
        <v>50.971094658675902</v>
      </c>
      <c r="P5058">
        <v>-0.14080468698507401</v>
      </c>
      <c r="Q5058">
        <v>0.119582562844358</v>
      </c>
      <c r="R5058">
        <v>0.99810100814564096</v>
      </c>
      <c r="S5058" t="s">
        <v>10919</v>
      </c>
      <c r="T5058" t="s">
        <v>11720</v>
      </c>
      <c r="U5058" t="s">
        <v>11720</v>
      </c>
      <c r="V5058" t="s">
        <v>11720</v>
      </c>
      <c r="W5058" t="s">
        <v>16721</v>
      </c>
      <c r="X5058">
        <v>5</v>
      </c>
      <c r="Y5058" t="s">
        <v>22428</v>
      </c>
      <c r="Z5058" t="s">
        <v>28265</v>
      </c>
      <c r="AA5058">
        <v>0.45186422550190553</v>
      </c>
      <c r="AB5058" t="str">
        <f>HYPERLINK("Melting_Curves/meltCurve_Q9H6E4_CCDC134.pdf", "Melting_Curves/meltCurve_Q9H6E4_CCDC134.pdf")</f>
        <v>Melting_Curves/meltCurve_Q9H6E4_CCDC134.pdf</v>
      </c>
    </row>
    <row r="5059" spans="1:28" x14ac:dyDescent="0.25">
      <c r="A5059" t="s">
        <v>5063</v>
      </c>
      <c r="B5059">
        <v>0.99334974765950101</v>
      </c>
      <c r="C5059">
        <v>0.967066104829027</v>
      </c>
      <c r="D5059">
        <v>0.825519652336832</v>
      </c>
      <c r="E5059">
        <v>0.59347113410763597</v>
      </c>
      <c r="F5059">
        <v>0.285266288833671</v>
      </c>
      <c r="G5059">
        <v>0.14652509992177701</v>
      </c>
      <c r="H5059">
        <v>0.111139747809476</v>
      </c>
      <c r="I5059">
        <v>0.101827332468856</v>
      </c>
      <c r="J5059">
        <v>0.10086363448398999</v>
      </c>
      <c r="K5059">
        <v>8.3812451850561007E-2</v>
      </c>
      <c r="L5059">
        <v>979.66635440033804</v>
      </c>
      <c r="M5059">
        <v>19.561518015522999</v>
      </c>
      <c r="N5059">
        <v>50.545895569107699</v>
      </c>
      <c r="O5059">
        <v>49.566720762651997</v>
      </c>
      <c r="P5059">
        <v>-9.05477352711343E-2</v>
      </c>
      <c r="Q5059">
        <v>8.2280691678402698E-2</v>
      </c>
      <c r="R5059">
        <v>0.99646395998498905</v>
      </c>
      <c r="S5059" t="s">
        <v>10920</v>
      </c>
      <c r="T5059" t="s">
        <v>11720</v>
      </c>
      <c r="U5059" t="s">
        <v>11720</v>
      </c>
      <c r="V5059" t="s">
        <v>11720</v>
      </c>
      <c r="W5059" t="s">
        <v>16722</v>
      </c>
      <c r="X5059">
        <v>4</v>
      </c>
      <c r="Y5059" t="s">
        <v>22429</v>
      </c>
      <c r="Z5059" t="s">
        <v>28266</v>
      </c>
      <c r="AA5059">
        <v>0.40400737121809382</v>
      </c>
      <c r="AB5059" t="str">
        <f>HYPERLINK("Melting_Curves/meltCurve_Q9H6K1_C6orf106.pdf", "Melting_Curves/meltCurve_Q9H6K1_C6orf106.pdf")</f>
        <v>Melting_Curves/meltCurve_Q9H6K1_C6orf106.pdf</v>
      </c>
    </row>
    <row r="5060" spans="1:28" x14ac:dyDescent="0.25">
      <c r="A5060" t="s">
        <v>5064</v>
      </c>
      <c r="B5060">
        <v>0.99334974765950101</v>
      </c>
      <c r="C5060">
        <v>0.98615309717767696</v>
      </c>
      <c r="D5060">
        <v>0.967309837049254</v>
      </c>
      <c r="E5060">
        <v>0.89986052244083503</v>
      </c>
      <c r="F5060">
        <v>0.58039140691121804</v>
      </c>
      <c r="G5060">
        <v>0.28003788764327803</v>
      </c>
      <c r="H5060">
        <v>0.17083236126210499</v>
      </c>
      <c r="I5060">
        <v>0.119169520936069</v>
      </c>
      <c r="J5060">
        <v>0.133300493924116</v>
      </c>
      <c r="K5060">
        <v>9.7231408274963002E-2</v>
      </c>
      <c r="L5060">
        <v>1352.1737321978501</v>
      </c>
      <c r="M5060">
        <v>25.301675903347501</v>
      </c>
      <c r="N5060">
        <v>54.008495189994001</v>
      </c>
      <c r="O5060">
        <v>53.111576621936003</v>
      </c>
      <c r="P5060">
        <v>-0.105218839016927</v>
      </c>
      <c r="Q5060">
        <v>0.116538083456886</v>
      </c>
      <c r="R5060">
        <v>0.99774963085294799</v>
      </c>
      <c r="S5060" t="s">
        <v>10921</v>
      </c>
      <c r="T5060" t="s">
        <v>11720</v>
      </c>
      <c r="U5060" t="s">
        <v>11720</v>
      </c>
      <c r="V5060" t="s">
        <v>11720</v>
      </c>
      <c r="W5060" t="s">
        <v>16723</v>
      </c>
      <c r="X5060">
        <v>7</v>
      </c>
      <c r="Y5060" t="s">
        <v>22430</v>
      </c>
      <c r="Z5060" t="s">
        <v>28267</v>
      </c>
      <c r="AA5060">
        <v>0.52036663028632668</v>
      </c>
      <c r="AB5060" t="str">
        <f>HYPERLINK("Melting_Curves/meltCurve_Q9H6Q4_NARFL.pdf", "Melting_Curves/meltCurve_Q9H6Q4_NARFL.pdf")</f>
        <v>Melting_Curves/meltCurve_Q9H6Q4_NARFL.pdf</v>
      </c>
    </row>
    <row r="5061" spans="1:28" x14ac:dyDescent="0.25">
      <c r="A5061" t="s">
        <v>5065</v>
      </c>
      <c r="B5061">
        <v>0.99334974765950101</v>
      </c>
      <c r="C5061">
        <v>1.04594820647847</v>
      </c>
      <c r="D5061">
        <v>0.92629874776863896</v>
      </c>
      <c r="E5061">
        <v>0.92298800609055798</v>
      </c>
      <c r="F5061">
        <v>0.59725452944199597</v>
      </c>
      <c r="G5061">
        <v>0.239172875552291</v>
      </c>
      <c r="H5061">
        <v>0.200271260545209</v>
      </c>
      <c r="I5061">
        <v>0.191365929199866</v>
      </c>
      <c r="J5061">
        <v>0.13528150365709901</v>
      </c>
      <c r="K5061">
        <v>9.1840005847680997E-2</v>
      </c>
      <c r="L5061">
        <v>1652.9135270592601</v>
      </c>
      <c r="M5061">
        <v>31.035772890342098</v>
      </c>
      <c r="N5061">
        <v>53.862291854104001</v>
      </c>
      <c r="O5061">
        <v>53.038683669593603</v>
      </c>
      <c r="P5061">
        <v>-0.124791690275769</v>
      </c>
      <c r="Q5061">
        <v>0.146952218744794</v>
      </c>
      <c r="R5061">
        <v>0.99064960739125896</v>
      </c>
      <c r="S5061" t="s">
        <v>10922</v>
      </c>
      <c r="T5061" t="s">
        <v>11720</v>
      </c>
      <c r="U5061" t="s">
        <v>11720</v>
      </c>
      <c r="V5061" t="s">
        <v>11720</v>
      </c>
      <c r="W5061" t="s">
        <v>16724</v>
      </c>
      <c r="X5061">
        <v>7</v>
      </c>
      <c r="Y5061" t="s">
        <v>22431</v>
      </c>
      <c r="Z5061" t="s">
        <v>28268</v>
      </c>
      <c r="AA5061">
        <v>0.52914672511927141</v>
      </c>
      <c r="AB5061" t="str">
        <f>HYPERLINK("Melting_Curves/meltCurve_Q9H6R3_ACSS3.pdf", "Melting_Curves/meltCurve_Q9H6R3_ACSS3.pdf")</f>
        <v>Melting_Curves/meltCurve_Q9H6R3_ACSS3.pdf</v>
      </c>
    </row>
    <row r="5062" spans="1:28" x14ac:dyDescent="0.25">
      <c r="A5062" t="s">
        <v>5066</v>
      </c>
      <c r="B5062">
        <v>0.99334974765950101</v>
      </c>
      <c r="C5062">
        <v>0.976327879557221</v>
      </c>
      <c r="D5062">
        <v>0.68210681368830695</v>
      </c>
      <c r="E5062">
        <v>0.51272930581024001</v>
      </c>
      <c r="F5062">
        <v>0.17805922826364501</v>
      </c>
      <c r="G5062">
        <v>9.3144694274777701E-2</v>
      </c>
      <c r="H5062">
        <v>8.0558502104485799E-2</v>
      </c>
      <c r="I5062">
        <v>0.111338638050901</v>
      </c>
      <c r="J5062">
        <v>0.118282670755352</v>
      </c>
      <c r="K5062">
        <v>0.10460747685197</v>
      </c>
      <c r="L5062">
        <v>919.64057916301601</v>
      </c>
      <c r="M5062">
        <v>18.9530571416553</v>
      </c>
      <c r="N5062">
        <v>48.995303127819398</v>
      </c>
      <c r="O5062">
        <v>47.991528901134799</v>
      </c>
      <c r="P5062">
        <v>-9.0475994088377906E-2</v>
      </c>
      <c r="Q5062">
        <v>8.3650410884795495E-2</v>
      </c>
      <c r="R5062">
        <v>0.98033218615093798</v>
      </c>
      <c r="S5062" t="s">
        <v>10923</v>
      </c>
      <c r="T5062" t="s">
        <v>11720</v>
      </c>
      <c r="U5062" t="s">
        <v>11720</v>
      </c>
      <c r="V5062" t="s">
        <v>11720</v>
      </c>
      <c r="W5062" t="s">
        <v>16725</v>
      </c>
      <c r="X5062">
        <v>3</v>
      </c>
      <c r="Y5062" t="s">
        <v>22432</v>
      </c>
      <c r="Z5062" t="s">
        <v>28269</v>
      </c>
      <c r="AA5062">
        <v>0.35837915972001261</v>
      </c>
      <c r="AB5062" t="str">
        <f>HYPERLINK("Melting_Curves/meltCurve_Q9H6S1_AZI2.pdf", "Melting_Curves/meltCurve_Q9H6S1_AZI2.pdf")</f>
        <v>Melting_Curves/meltCurve_Q9H6S1_AZI2.pdf</v>
      </c>
    </row>
    <row r="5063" spans="1:28" x14ac:dyDescent="0.25">
      <c r="A5063" t="s">
        <v>5067</v>
      </c>
      <c r="B5063">
        <v>0.99334974765950101</v>
      </c>
      <c r="C5063">
        <v>0.94951103499434997</v>
      </c>
      <c r="D5063">
        <v>0.85567613667908204</v>
      </c>
      <c r="E5063">
        <v>0.55995687216523304</v>
      </c>
      <c r="F5063">
        <v>0.21214082935328801</v>
      </c>
      <c r="G5063">
        <v>0.14329996795026301</v>
      </c>
      <c r="H5063">
        <v>0.10583516933945999</v>
      </c>
      <c r="I5063">
        <v>9.3877240253013194E-2</v>
      </c>
      <c r="J5063">
        <v>9.1981000053849904E-2</v>
      </c>
      <c r="K5063">
        <v>8.0072273959302498E-2</v>
      </c>
      <c r="L5063">
        <v>1153.0890599796501</v>
      </c>
      <c r="M5063">
        <v>23.174572556091899</v>
      </c>
      <c r="N5063">
        <v>50.159903147666</v>
      </c>
      <c r="O5063">
        <v>49.390599339131199</v>
      </c>
      <c r="P5063">
        <v>-0.107334846215858</v>
      </c>
      <c r="Q5063">
        <v>8.4990925347816298E-2</v>
      </c>
      <c r="R5063">
        <v>0.995446893465467</v>
      </c>
      <c r="S5063" t="s">
        <v>10924</v>
      </c>
      <c r="T5063" t="s">
        <v>11720</v>
      </c>
      <c r="U5063" t="s">
        <v>11720</v>
      </c>
      <c r="V5063" t="s">
        <v>11720</v>
      </c>
      <c r="W5063" t="s">
        <v>16726</v>
      </c>
      <c r="X5063">
        <v>24</v>
      </c>
      <c r="Y5063" t="s">
        <v>22433</v>
      </c>
      <c r="Z5063" t="s">
        <v>28270</v>
      </c>
      <c r="AA5063">
        <v>0.39207842357295319</v>
      </c>
      <c r="AB5063" t="str">
        <f>HYPERLINK("Melting_Curves/meltCurve_Q9H6S3_EPS8L2.pdf", "Melting_Curves/meltCurve_Q9H6S3_EPS8L2.pdf")</f>
        <v>Melting_Curves/meltCurve_Q9H6S3_EPS8L2.pdf</v>
      </c>
    </row>
    <row r="5064" spans="1:28" x14ac:dyDescent="0.25">
      <c r="A5064" t="s">
        <v>5068</v>
      </c>
      <c r="B5064">
        <v>0.99334974765950101</v>
      </c>
      <c r="C5064">
        <v>1.0328915270738199</v>
      </c>
      <c r="D5064">
        <v>1.02348082660997</v>
      </c>
      <c r="E5064">
        <v>0.75458796968104302</v>
      </c>
      <c r="F5064">
        <v>0.47062381578232998</v>
      </c>
      <c r="G5064">
        <v>0.321382447230872</v>
      </c>
      <c r="H5064">
        <v>0.29497121285214001</v>
      </c>
      <c r="I5064">
        <v>0.28810772358237802</v>
      </c>
      <c r="J5064">
        <v>0.28438184270485001</v>
      </c>
      <c r="K5064">
        <v>0.282329255024378</v>
      </c>
      <c r="L5064">
        <v>1633.1381908972901</v>
      </c>
      <c r="M5064">
        <v>31.937973911573401</v>
      </c>
      <c r="N5064">
        <v>52.550003461025902</v>
      </c>
      <c r="O5064">
        <v>50.935464288697602</v>
      </c>
      <c r="P5064">
        <v>-0.111539953972177</v>
      </c>
      <c r="Q5064">
        <v>0.28845701297429799</v>
      </c>
      <c r="R5064">
        <v>0.99664460747996197</v>
      </c>
      <c r="S5064" t="s">
        <v>10925</v>
      </c>
      <c r="T5064" t="s">
        <v>11720</v>
      </c>
      <c r="U5064" t="s">
        <v>11720</v>
      </c>
      <c r="V5064" t="s">
        <v>11720</v>
      </c>
      <c r="W5064" t="s">
        <v>16727</v>
      </c>
      <c r="X5064">
        <v>3</v>
      </c>
      <c r="Y5064" t="s">
        <v>22434</v>
      </c>
      <c r="Z5064" t="s">
        <v>28271</v>
      </c>
      <c r="AA5064">
        <v>0.55650565870560675</v>
      </c>
      <c r="AB5064" t="str">
        <f>HYPERLINK("Melting_Curves/meltCurve_Q9H6T3_RPAP3.pdf", "Melting_Curves/meltCurve_Q9H6T3_RPAP3.pdf")</f>
        <v>Melting_Curves/meltCurve_Q9H6T3_RPAP3.pdf</v>
      </c>
    </row>
    <row r="5065" spans="1:28" x14ac:dyDescent="0.25">
      <c r="A5065" t="s">
        <v>5069</v>
      </c>
      <c r="B5065">
        <v>0.99334974765950101</v>
      </c>
      <c r="C5065">
        <v>0.86174649562794503</v>
      </c>
      <c r="D5065">
        <v>0.78550698050426504</v>
      </c>
      <c r="E5065">
        <v>0.78760726625456701</v>
      </c>
      <c r="F5065">
        <v>0.49967266765249402</v>
      </c>
      <c r="G5065">
        <v>0.14339046794256799</v>
      </c>
      <c r="H5065">
        <v>9.6923543792311703E-2</v>
      </c>
      <c r="I5065">
        <v>0.100151217048872</v>
      </c>
      <c r="J5065">
        <v>5.6937084629785403E-2</v>
      </c>
      <c r="K5065">
        <v>4.4997066694875201E-2</v>
      </c>
      <c r="L5065">
        <v>783.04166818949398</v>
      </c>
      <c r="M5065">
        <v>14.9082166823158</v>
      </c>
      <c r="N5065">
        <v>52.562754532984002</v>
      </c>
      <c r="O5065">
        <v>51.606281223897398</v>
      </c>
      <c r="P5065">
        <v>-7.1835518454842304E-2</v>
      </c>
      <c r="Q5065">
        <v>5.4396329315344197E-3</v>
      </c>
      <c r="R5065">
        <v>0.966069101746176</v>
      </c>
      <c r="S5065" t="s">
        <v>10926</v>
      </c>
      <c r="T5065" t="s">
        <v>11720</v>
      </c>
      <c r="U5065" t="s">
        <v>11720</v>
      </c>
      <c r="V5065" t="s">
        <v>11720</v>
      </c>
      <c r="W5065" t="s">
        <v>16728</v>
      </c>
      <c r="X5065">
        <v>6</v>
      </c>
      <c r="Y5065" t="s">
        <v>22435</v>
      </c>
      <c r="Z5065" t="s">
        <v>28272</v>
      </c>
      <c r="AA5065">
        <v>0.44265071521838978</v>
      </c>
      <c r="AB5065" t="str">
        <f>HYPERLINK("Melting_Curves/meltCurve_Q9H6U8_ALG9.pdf", "Melting_Curves/meltCurve_Q9H6U8_ALG9.pdf")</f>
        <v>Melting_Curves/meltCurve_Q9H6U8_ALG9.pdf</v>
      </c>
    </row>
    <row r="5066" spans="1:28" x14ac:dyDescent="0.25">
      <c r="A5066" t="s">
        <v>5070</v>
      </c>
      <c r="B5066">
        <v>0.99334974765950101</v>
      </c>
      <c r="C5066">
        <v>0.92954851799151605</v>
      </c>
      <c r="D5066">
        <v>0.90150504609832705</v>
      </c>
      <c r="E5066">
        <v>0.77994022591975698</v>
      </c>
      <c r="F5066">
        <v>0.74076140963537895</v>
      </c>
      <c r="G5066">
        <v>0.495705763188101</v>
      </c>
      <c r="H5066">
        <v>0.368348220325033</v>
      </c>
      <c r="I5066">
        <v>0.47762461809620199</v>
      </c>
      <c r="J5066">
        <v>0.36524612620249097</v>
      </c>
      <c r="K5066">
        <v>0.29753726993260499</v>
      </c>
      <c r="L5066">
        <v>587.694566055579</v>
      </c>
      <c r="M5066">
        <v>10.8524708047806</v>
      </c>
      <c r="N5066">
        <v>58.364689899996002</v>
      </c>
      <c r="O5066">
        <v>52.411638656470899</v>
      </c>
      <c r="P5066">
        <v>-3.7724017877266203E-2</v>
      </c>
      <c r="Q5066">
        <v>0.27151145332256299</v>
      </c>
      <c r="R5066">
        <v>0.96596588384557502</v>
      </c>
      <c r="S5066" t="s">
        <v>10927</v>
      </c>
      <c r="T5066" t="s">
        <v>11720</v>
      </c>
      <c r="U5066" t="s">
        <v>11720</v>
      </c>
      <c r="V5066" t="s">
        <v>11720</v>
      </c>
      <c r="W5066" t="s">
        <v>16729</v>
      </c>
      <c r="X5066">
        <v>8</v>
      </c>
      <c r="Y5066" t="s">
        <v>22436</v>
      </c>
      <c r="Z5066" t="s">
        <v>28273</v>
      </c>
      <c r="AA5066">
        <v>0.63554421747865375</v>
      </c>
      <c r="AB5066" t="str">
        <f>HYPERLINK("Melting_Curves/meltCurve_Q9H6X2_ANTXR1.pdf", "Melting_Curves/meltCurve_Q9H6X2_ANTXR1.pdf")</f>
        <v>Melting_Curves/meltCurve_Q9H6X2_ANTXR1.pdf</v>
      </c>
    </row>
    <row r="5067" spans="1:28" x14ac:dyDescent="0.25">
      <c r="A5067" t="s">
        <v>5071</v>
      </c>
      <c r="B5067">
        <v>0.99334974765950101</v>
      </c>
      <c r="C5067">
        <v>1.0609557605465501</v>
      </c>
      <c r="D5067">
        <v>0.92160109123696399</v>
      </c>
      <c r="E5067">
        <v>1.0346513169559599</v>
      </c>
      <c r="F5067">
        <v>1.3138702861667699</v>
      </c>
      <c r="G5067">
        <v>0.91828877241240403</v>
      </c>
      <c r="H5067">
        <v>0.92752299699917595</v>
      </c>
      <c r="I5067">
        <v>0.91639601327509301</v>
      </c>
      <c r="J5067">
        <v>1.4551893004966101</v>
      </c>
      <c r="K5067">
        <v>1.1105175378291701</v>
      </c>
      <c r="L5067">
        <v>15000</v>
      </c>
      <c r="M5067">
        <v>229.484099665901</v>
      </c>
      <c r="O5067">
        <v>65.359042838347406</v>
      </c>
      <c r="P5067">
        <v>0.24817928173630499</v>
      </c>
      <c r="Q5067">
        <v>1.2827343593573901</v>
      </c>
      <c r="R5067">
        <v>0.38225917114588698</v>
      </c>
      <c r="S5067" t="s">
        <v>10928</v>
      </c>
      <c r="T5067" t="s">
        <v>11720</v>
      </c>
      <c r="U5067" t="s">
        <v>11720</v>
      </c>
      <c r="V5067" t="s">
        <v>11720</v>
      </c>
      <c r="W5067" t="s">
        <v>16730</v>
      </c>
      <c r="X5067">
        <v>4</v>
      </c>
      <c r="Y5067" t="s">
        <v>22437</v>
      </c>
      <c r="Z5067" t="s">
        <v>28274</v>
      </c>
      <c r="AA5067">
        <v>1.043653336867574</v>
      </c>
      <c r="AB5067" t="str">
        <f>HYPERLINK("Melting_Curves/meltCurve_Q9H6X4_2_TMEM134.pdf", "Melting_Curves/meltCurve_Q9H6X4_2_TMEM134.pdf")</f>
        <v>Melting_Curves/meltCurve_Q9H6X4_2_TMEM134.pdf</v>
      </c>
    </row>
    <row r="5068" spans="1:28" x14ac:dyDescent="0.25">
      <c r="A5068" t="s">
        <v>5072</v>
      </c>
      <c r="B5068">
        <v>0.99334974765950101</v>
      </c>
      <c r="C5068">
        <v>0.97559596725375597</v>
      </c>
      <c r="D5068">
        <v>0.99288605451103196</v>
      </c>
      <c r="E5068">
        <v>0.92429139775898095</v>
      </c>
      <c r="F5068">
        <v>0.60422702161046704</v>
      </c>
      <c r="G5068">
        <v>0.41116964546173601</v>
      </c>
      <c r="H5068">
        <v>0.26662644667221802</v>
      </c>
      <c r="I5068">
        <v>0.26640260921846098</v>
      </c>
      <c r="J5068">
        <v>0.22834516418186801</v>
      </c>
      <c r="K5068">
        <v>0.17701341012164601</v>
      </c>
      <c r="L5068">
        <v>1208.3437743879199</v>
      </c>
      <c r="M5068">
        <v>22.542015802725199</v>
      </c>
      <c r="N5068">
        <v>54.9934907308647</v>
      </c>
      <c r="O5068">
        <v>53.187579686863899</v>
      </c>
      <c r="P5068">
        <v>-8.2953664989832004E-2</v>
      </c>
      <c r="Q5068">
        <v>0.21710395559627199</v>
      </c>
      <c r="R5068">
        <v>0.99090153975170303</v>
      </c>
      <c r="S5068" t="s">
        <v>10929</v>
      </c>
      <c r="T5068" t="s">
        <v>11720</v>
      </c>
      <c r="U5068" t="s">
        <v>11720</v>
      </c>
      <c r="V5068" t="s">
        <v>11720</v>
      </c>
      <c r="W5068" t="s">
        <v>16731</v>
      </c>
      <c r="X5068">
        <v>2</v>
      </c>
      <c r="Y5068" t="s">
        <v>22438</v>
      </c>
      <c r="Z5068" t="s">
        <v>28275</v>
      </c>
      <c r="AA5068">
        <v>0.58084403666516948</v>
      </c>
      <c r="AB5068" t="str">
        <f>HYPERLINK("Melting_Curves/meltCurve_Q9H6Y2_WDR55.pdf", "Melting_Curves/meltCurve_Q9H6Y2_WDR55.pdf")</f>
        <v>Melting_Curves/meltCurve_Q9H6Y2_WDR55.pdf</v>
      </c>
    </row>
    <row r="5069" spans="1:28" x14ac:dyDescent="0.25">
      <c r="A5069" t="s">
        <v>5073</v>
      </c>
      <c r="B5069">
        <v>0.99334974765950101</v>
      </c>
      <c r="C5069">
        <v>0.99008398128761499</v>
      </c>
      <c r="D5069">
        <v>0.92543248816512902</v>
      </c>
      <c r="E5069">
        <v>0.79099950518358897</v>
      </c>
      <c r="F5069">
        <v>0.691788581526391</v>
      </c>
      <c r="G5069">
        <v>0.52519063705415203</v>
      </c>
      <c r="H5069">
        <v>0.43926296757441102</v>
      </c>
      <c r="I5069">
        <v>0.49815833072871701</v>
      </c>
      <c r="J5069">
        <v>0.39294556665930402</v>
      </c>
      <c r="K5069">
        <v>0.26792380852909198</v>
      </c>
      <c r="L5069">
        <v>579.40525978068797</v>
      </c>
      <c r="M5069">
        <v>10.628172231766801</v>
      </c>
      <c r="N5069">
        <v>59.076939791783502</v>
      </c>
      <c r="O5069">
        <v>52.6922048790071</v>
      </c>
      <c r="P5069">
        <v>-3.6325424500657302E-2</v>
      </c>
      <c r="Q5069">
        <v>0.27990250139932898</v>
      </c>
      <c r="R5069">
        <v>0.97169556612306496</v>
      </c>
      <c r="S5069" t="s">
        <v>10930</v>
      </c>
      <c r="T5069" t="s">
        <v>11720</v>
      </c>
      <c r="U5069" t="s">
        <v>11720</v>
      </c>
      <c r="V5069" t="s">
        <v>11720</v>
      </c>
      <c r="W5069" t="s">
        <v>16732</v>
      </c>
      <c r="X5069">
        <v>11</v>
      </c>
      <c r="Y5069" t="s">
        <v>22439</v>
      </c>
      <c r="Z5069" t="s">
        <v>28276</v>
      </c>
      <c r="AA5069">
        <v>0.64780644752499084</v>
      </c>
      <c r="AB5069" t="str">
        <f>HYPERLINK("Melting_Curves/meltCurve_Q9H773_DCTPP1.pdf", "Melting_Curves/meltCurve_Q9H773_DCTPP1.pdf")</f>
        <v>Melting_Curves/meltCurve_Q9H773_DCTPP1.pdf</v>
      </c>
    </row>
    <row r="5070" spans="1:28" x14ac:dyDescent="0.25">
      <c r="A5070" t="s">
        <v>5074</v>
      </c>
      <c r="B5070">
        <v>0.99334974765950101</v>
      </c>
      <c r="C5070">
        <v>0.94767941723057103</v>
      </c>
      <c r="D5070">
        <v>0.81830911293406405</v>
      </c>
      <c r="E5070">
        <v>0.73103548771539595</v>
      </c>
      <c r="F5070">
        <v>0.61504110733655104</v>
      </c>
      <c r="G5070">
        <v>0.61213388343264996</v>
      </c>
      <c r="H5070">
        <v>0.51289291264125803</v>
      </c>
      <c r="I5070">
        <v>1.1500186283273901</v>
      </c>
      <c r="J5070">
        <v>0.46028366692181399</v>
      </c>
      <c r="K5070">
        <v>0.42490070084153098</v>
      </c>
      <c r="L5070">
        <v>938.52450849230399</v>
      </c>
      <c r="M5070">
        <v>20.197827153772899</v>
      </c>
      <c r="O5070">
        <v>46.018307244367399</v>
      </c>
      <c r="P5070">
        <v>-4.1028415578223398E-2</v>
      </c>
      <c r="Q5070">
        <v>0.62609856767966499</v>
      </c>
      <c r="R5070">
        <v>0.33761071672755899</v>
      </c>
      <c r="S5070" t="s">
        <v>10931</v>
      </c>
      <c r="T5070" t="s">
        <v>11720</v>
      </c>
      <c r="U5070" t="s">
        <v>11720</v>
      </c>
      <c r="V5070" t="s">
        <v>11720</v>
      </c>
      <c r="W5070" t="s">
        <v>16733</v>
      </c>
      <c r="X5070">
        <v>2</v>
      </c>
      <c r="Y5070" t="s">
        <v>22440</v>
      </c>
      <c r="Z5070" t="s">
        <v>28277</v>
      </c>
      <c r="AA5070">
        <v>0.71218475763702505</v>
      </c>
      <c r="AB5070" t="str">
        <f>HYPERLINK("Melting_Curves/meltCurve_Q9H777_ELAC1.pdf", "Melting_Curves/meltCurve_Q9H777_ELAC1.pdf")</f>
        <v>Melting_Curves/meltCurve_Q9H777_ELAC1.pdf</v>
      </c>
    </row>
    <row r="5071" spans="1:28" x14ac:dyDescent="0.25">
      <c r="A5071" t="s">
        <v>5075</v>
      </c>
      <c r="B5071">
        <v>0.99334974765950101</v>
      </c>
      <c r="C5071">
        <v>0.91534439330355299</v>
      </c>
      <c r="D5071">
        <v>0.79606872704502396</v>
      </c>
      <c r="E5071">
        <v>0.358283363112888</v>
      </c>
      <c r="F5071">
        <v>0.17795580649894599</v>
      </c>
      <c r="G5071">
        <v>0.10268782608973</v>
      </c>
      <c r="H5071">
        <v>8.4497863610846102E-2</v>
      </c>
      <c r="I5071">
        <v>7.9944515037566097E-2</v>
      </c>
      <c r="J5071">
        <v>0.114954113752126</v>
      </c>
      <c r="K5071">
        <v>8.2773270377032193E-2</v>
      </c>
      <c r="L5071">
        <v>1143.9460631491199</v>
      </c>
      <c r="M5071">
        <v>23.7205099890204</v>
      </c>
      <c r="N5071">
        <v>48.6104701621666</v>
      </c>
      <c r="O5071">
        <v>47.887197906750501</v>
      </c>
      <c r="P5071">
        <v>-0.113246223994527</v>
      </c>
      <c r="Q5071">
        <v>8.5524810194247305E-2</v>
      </c>
      <c r="R5071">
        <v>0.99784775010466098</v>
      </c>
      <c r="S5071" t="s">
        <v>10932</v>
      </c>
      <c r="T5071" t="s">
        <v>11720</v>
      </c>
      <c r="U5071" t="s">
        <v>11720</v>
      </c>
      <c r="V5071" t="s">
        <v>11720</v>
      </c>
      <c r="W5071" t="s">
        <v>16734</v>
      </c>
      <c r="X5071">
        <v>8</v>
      </c>
      <c r="Y5071" t="s">
        <v>22441</v>
      </c>
      <c r="Z5071" t="s">
        <v>28278</v>
      </c>
      <c r="AA5071">
        <v>0.34530312239740429</v>
      </c>
      <c r="AB5071" t="str">
        <f>HYPERLINK("Melting_Curves/meltCurve_Q9H788_2_SH2D4A.pdf", "Melting_Curves/meltCurve_Q9H788_2_SH2D4A.pdf")</f>
        <v>Melting_Curves/meltCurve_Q9H788_2_SH2D4A.pdf</v>
      </c>
    </row>
    <row r="5072" spans="1:28" x14ac:dyDescent="0.25">
      <c r="A5072" t="s">
        <v>5076</v>
      </c>
      <c r="B5072">
        <v>0.99334974765950101</v>
      </c>
      <c r="C5072">
        <v>0.94153341328602902</v>
      </c>
      <c r="D5072">
        <v>0.70247096383825702</v>
      </c>
      <c r="E5072">
        <v>0.54393666289832099</v>
      </c>
      <c r="F5072">
        <v>0.45347340793431801</v>
      </c>
      <c r="G5072">
        <v>0.335261396067633</v>
      </c>
      <c r="H5072">
        <v>0.31800992330289002</v>
      </c>
      <c r="I5072">
        <v>0.37184700252122099</v>
      </c>
      <c r="J5072">
        <v>0.387414434769424</v>
      </c>
      <c r="K5072">
        <v>0.36619917170454203</v>
      </c>
      <c r="L5072">
        <v>873.85909873871401</v>
      </c>
      <c r="M5072">
        <v>18.564405657061702</v>
      </c>
      <c r="N5072">
        <v>50.418406373803897</v>
      </c>
      <c r="O5072">
        <v>46.5357562009291</v>
      </c>
      <c r="P5072">
        <v>-6.4411319917696094E-2</v>
      </c>
      <c r="Q5072">
        <v>0.35418378550422103</v>
      </c>
      <c r="R5072">
        <v>0.98280006211585702</v>
      </c>
      <c r="S5072" t="s">
        <v>10933</v>
      </c>
      <c r="T5072" t="s">
        <v>11720</v>
      </c>
      <c r="U5072" t="s">
        <v>11720</v>
      </c>
      <c r="V5072" t="s">
        <v>11720</v>
      </c>
      <c r="W5072" t="s">
        <v>16735</v>
      </c>
      <c r="X5072">
        <v>17</v>
      </c>
      <c r="Y5072" t="s">
        <v>22442</v>
      </c>
      <c r="Z5072" t="s">
        <v>28279</v>
      </c>
      <c r="AA5072">
        <v>0.51752078971435078</v>
      </c>
      <c r="AB5072" t="str">
        <f>HYPERLINK("Melting_Curves/meltCurve_Q9H792_PEAK1.pdf", "Melting_Curves/meltCurve_Q9H792_PEAK1.pdf")</f>
        <v>Melting_Curves/meltCurve_Q9H792_PEAK1.pdf</v>
      </c>
    </row>
    <row r="5073" spans="1:28" x14ac:dyDescent="0.25">
      <c r="A5073" t="s">
        <v>5077</v>
      </c>
      <c r="B5073">
        <v>0.99334974765950101</v>
      </c>
      <c r="C5073">
        <v>0.83230147642904295</v>
      </c>
      <c r="D5073">
        <v>0.41228068398940598</v>
      </c>
      <c r="E5073">
        <v>0.19994933052444999</v>
      </c>
      <c r="F5073">
        <v>0.12591470095912999</v>
      </c>
      <c r="G5073">
        <v>7.2295959592796805E-2</v>
      </c>
      <c r="H5073">
        <v>4.22786185838269E-2</v>
      </c>
      <c r="I5073">
        <v>4.7118961286714403E-2</v>
      </c>
      <c r="J5073">
        <v>4.7230291128705602E-2</v>
      </c>
      <c r="K5073">
        <v>3.2489016249276997E-2</v>
      </c>
      <c r="L5073">
        <v>1061.392983766</v>
      </c>
      <c r="M5073">
        <v>23.3834155167911</v>
      </c>
      <c r="N5073">
        <v>45.628129253935697</v>
      </c>
      <c r="O5073">
        <v>45.062781130092901</v>
      </c>
      <c r="P5073">
        <v>-0.12230214414210699</v>
      </c>
      <c r="Q5073">
        <v>5.7250115804342902E-2</v>
      </c>
      <c r="R5073">
        <v>0.992768689383417</v>
      </c>
      <c r="S5073" t="s">
        <v>10934</v>
      </c>
      <c r="T5073" t="s">
        <v>11720</v>
      </c>
      <c r="U5073" t="s">
        <v>11720</v>
      </c>
      <c r="V5073" t="s">
        <v>11720</v>
      </c>
      <c r="W5073" t="s">
        <v>16736</v>
      </c>
      <c r="X5073">
        <v>2</v>
      </c>
      <c r="Y5073" t="s">
        <v>22443</v>
      </c>
      <c r="Z5073" t="s">
        <v>28280</v>
      </c>
      <c r="AA5073">
        <v>0.23727370426914179</v>
      </c>
      <c r="AB5073" t="str">
        <f>HYPERLINK("Melting_Curves/meltCurve_Q9H7B4_SMYD3.pdf", "Melting_Curves/meltCurve_Q9H7B4_SMYD3.pdf")</f>
        <v>Melting_Curves/meltCurve_Q9H7B4_SMYD3.pdf</v>
      </c>
    </row>
    <row r="5074" spans="1:28" x14ac:dyDescent="0.25">
      <c r="A5074" t="s">
        <v>5078</v>
      </c>
      <c r="B5074">
        <v>0.99334974765950101</v>
      </c>
      <c r="C5074">
        <v>0.96505932202314704</v>
      </c>
      <c r="D5074">
        <v>0.84193663691853005</v>
      </c>
      <c r="E5074">
        <v>0.51202352580458399</v>
      </c>
      <c r="F5074">
        <v>0.28593371312087201</v>
      </c>
      <c r="G5074">
        <v>0.162553843346016</v>
      </c>
      <c r="H5074">
        <v>0.124419755239131</v>
      </c>
      <c r="I5074">
        <v>0.12464125275068</v>
      </c>
      <c r="J5074">
        <v>0.13321696097306901</v>
      </c>
      <c r="K5074">
        <v>0.125318165840378</v>
      </c>
      <c r="L5074">
        <v>1045.2967568008801</v>
      </c>
      <c r="M5074">
        <v>21.155005555519899</v>
      </c>
      <c r="N5074">
        <v>50.053112903784204</v>
      </c>
      <c r="O5074">
        <v>48.9761454543263</v>
      </c>
      <c r="P5074">
        <v>-9.5161271365899497E-2</v>
      </c>
      <c r="Q5074">
        <v>0.11878787739888</v>
      </c>
      <c r="R5074">
        <v>0.99969486755541404</v>
      </c>
      <c r="S5074" t="s">
        <v>10935</v>
      </c>
      <c r="T5074" t="s">
        <v>11720</v>
      </c>
      <c r="U5074" t="s">
        <v>11720</v>
      </c>
      <c r="V5074" t="s">
        <v>11720</v>
      </c>
      <c r="W5074" t="s">
        <v>16737</v>
      </c>
      <c r="X5074">
        <v>18</v>
      </c>
      <c r="Y5074" t="s">
        <v>22444</v>
      </c>
      <c r="Z5074" t="s">
        <v>28281</v>
      </c>
      <c r="AA5074">
        <v>0.40622639944394662</v>
      </c>
      <c r="AB5074" t="str">
        <f>HYPERLINK("Melting_Curves/meltCurve_Q9H7C4_2_SYNC.pdf", "Melting_Curves/meltCurve_Q9H7C4_2_SYNC.pdf")</f>
        <v>Melting_Curves/meltCurve_Q9H7C4_2_SYNC.pdf</v>
      </c>
    </row>
    <row r="5075" spans="1:28" x14ac:dyDescent="0.25">
      <c r="A5075" t="s">
        <v>5079</v>
      </c>
      <c r="B5075">
        <v>0.99334974765950101</v>
      </c>
      <c r="C5075">
        <v>0.98937643141884102</v>
      </c>
      <c r="D5075">
        <v>0.83966759515436695</v>
      </c>
      <c r="E5075">
        <v>0.79157977407190105</v>
      </c>
      <c r="F5075">
        <v>0.66449077992214001</v>
      </c>
      <c r="G5075">
        <v>0.51308935152297797</v>
      </c>
      <c r="H5075">
        <v>0.42210667618459402</v>
      </c>
      <c r="I5075">
        <v>0.44015279083210401</v>
      </c>
      <c r="J5075">
        <v>0.460542838568616</v>
      </c>
      <c r="K5075">
        <v>0.36273099732513497</v>
      </c>
      <c r="L5075">
        <v>645.75839208697903</v>
      </c>
      <c r="M5075">
        <v>12.4091164386254</v>
      </c>
      <c r="N5075">
        <v>58.381755158806797</v>
      </c>
      <c r="O5075">
        <v>50.7429988894175</v>
      </c>
      <c r="P5075">
        <v>-3.8515933527186498E-2</v>
      </c>
      <c r="Q5075">
        <v>0.370140376847576</v>
      </c>
      <c r="R5075">
        <v>0.97903773200823296</v>
      </c>
      <c r="S5075" t="s">
        <v>10936</v>
      </c>
      <c r="T5075" t="s">
        <v>11720</v>
      </c>
      <c r="U5075" t="s">
        <v>11720</v>
      </c>
      <c r="V5075" t="s">
        <v>11720</v>
      </c>
      <c r="W5075" t="s">
        <v>16738</v>
      </c>
      <c r="X5075">
        <v>14</v>
      </c>
      <c r="Y5075" t="s">
        <v>22445</v>
      </c>
      <c r="Z5075" t="s">
        <v>28282</v>
      </c>
      <c r="AA5075">
        <v>0.64131138723013814</v>
      </c>
      <c r="AB5075" t="str">
        <f>HYPERLINK("Melting_Curves/meltCurve_Q9H7C9_AAMDC.pdf", "Melting_Curves/meltCurve_Q9H7C9_AAMDC.pdf")</f>
        <v>Melting_Curves/meltCurve_Q9H7C9_AAMDC.pdf</v>
      </c>
    </row>
    <row r="5076" spans="1:28" x14ac:dyDescent="0.25">
      <c r="A5076" t="s">
        <v>5080</v>
      </c>
      <c r="B5076">
        <v>0.99334974765950101</v>
      </c>
      <c r="C5076">
        <v>1.0379724790912701</v>
      </c>
      <c r="D5076">
        <v>0.88501867439541004</v>
      </c>
      <c r="E5076">
        <v>0.85989854682815503</v>
      </c>
      <c r="F5076">
        <v>0.63213247493009805</v>
      </c>
      <c r="G5076">
        <v>0.38792163113496198</v>
      </c>
      <c r="H5076">
        <v>0.380023230072084</v>
      </c>
      <c r="I5076">
        <v>0.407560158054938</v>
      </c>
      <c r="J5076">
        <v>0.39424544409384099</v>
      </c>
      <c r="K5076">
        <v>0.352766606821171</v>
      </c>
      <c r="L5076">
        <v>1376.7506953122099</v>
      </c>
      <c r="M5076">
        <v>26.413683108096301</v>
      </c>
      <c r="N5076">
        <v>54.9444723874701</v>
      </c>
      <c r="O5076">
        <v>51.826624097557897</v>
      </c>
      <c r="P5076">
        <v>-8.0115169672662898E-2</v>
      </c>
      <c r="Q5076">
        <v>0.371226817946266</v>
      </c>
      <c r="R5076">
        <v>0.97900184314843897</v>
      </c>
      <c r="S5076" t="s">
        <v>10937</v>
      </c>
      <c r="T5076" t="s">
        <v>11720</v>
      </c>
      <c r="U5076" t="s">
        <v>11720</v>
      </c>
      <c r="V5076" t="s">
        <v>11720</v>
      </c>
      <c r="W5076" t="s">
        <v>16739</v>
      </c>
      <c r="X5076">
        <v>5</v>
      </c>
      <c r="Y5076" t="s">
        <v>22446</v>
      </c>
      <c r="Z5076" t="s">
        <v>28283</v>
      </c>
      <c r="AA5076">
        <v>0.63047408414507278</v>
      </c>
      <c r="AB5076" t="str">
        <f>HYPERLINK("Melting_Curves/meltCurve_Q9H7D0_DOCK5.pdf", "Melting_Curves/meltCurve_Q9H7D0_DOCK5.pdf")</f>
        <v>Melting_Curves/meltCurve_Q9H7D0_DOCK5.pdf</v>
      </c>
    </row>
    <row r="5077" spans="1:28" x14ac:dyDescent="0.25">
      <c r="A5077" t="s">
        <v>5081</v>
      </c>
      <c r="B5077">
        <v>0.99334974765950101</v>
      </c>
      <c r="C5077">
        <v>0.95310164373047002</v>
      </c>
      <c r="D5077">
        <v>1.30622509777809</v>
      </c>
      <c r="E5077">
        <v>1.8133336097571999</v>
      </c>
      <c r="F5077">
        <v>1.5870055579329501</v>
      </c>
      <c r="G5077">
        <v>0.67617215491250005</v>
      </c>
      <c r="H5077">
        <v>0.35158189673935097</v>
      </c>
      <c r="I5077">
        <v>0.21305895911179401</v>
      </c>
      <c r="J5077">
        <v>0.16936393143678599</v>
      </c>
      <c r="K5077">
        <v>0.18438685421390699</v>
      </c>
      <c r="L5077">
        <v>6145.7040289287197</v>
      </c>
      <c r="M5077">
        <v>107.49128897538399</v>
      </c>
      <c r="N5077">
        <v>57.502127827757299</v>
      </c>
      <c r="O5077">
        <v>57.154191523203899</v>
      </c>
      <c r="P5077">
        <v>-0.362389262874868</v>
      </c>
      <c r="Q5077">
        <v>0.22925607905651901</v>
      </c>
      <c r="R5077">
        <v>0.659187086841311</v>
      </c>
      <c r="S5077" t="s">
        <v>10938</v>
      </c>
      <c r="T5077" t="s">
        <v>11720</v>
      </c>
      <c r="U5077" t="s">
        <v>11720</v>
      </c>
      <c r="V5077" t="s">
        <v>11720</v>
      </c>
      <c r="W5077" t="s">
        <v>16740</v>
      </c>
      <c r="X5077">
        <v>4</v>
      </c>
      <c r="Y5077" t="s">
        <v>22447</v>
      </c>
      <c r="Z5077" t="s">
        <v>28284</v>
      </c>
      <c r="AA5077">
        <v>0.67089931805624436</v>
      </c>
      <c r="AB5077" t="str">
        <f>HYPERLINK("Melting_Curves/meltCurve_Q9H7F0_ATP13A3.pdf", "Melting_Curves/meltCurve_Q9H7F0_ATP13A3.pdf")</f>
        <v>Melting_Curves/meltCurve_Q9H7F0_ATP13A3.pdf</v>
      </c>
    </row>
    <row r="5078" spans="1:28" x14ac:dyDescent="0.25">
      <c r="A5078" t="s">
        <v>5082</v>
      </c>
      <c r="B5078">
        <v>0.99334974765950101</v>
      </c>
      <c r="C5078">
        <v>1.01664107429177</v>
      </c>
      <c r="D5078">
        <v>0.91602528882832301</v>
      </c>
      <c r="E5078">
        <v>1.01512699487789</v>
      </c>
      <c r="F5078">
        <v>0.81298944739132994</v>
      </c>
      <c r="G5078">
        <v>0.73337167181598495</v>
      </c>
      <c r="H5078">
        <v>0.74856249175869705</v>
      </c>
      <c r="I5078">
        <v>1.41641641065767</v>
      </c>
      <c r="J5078">
        <v>1.2286140951695399</v>
      </c>
      <c r="K5078">
        <v>0.73168250919264799</v>
      </c>
      <c r="L5078">
        <v>15000</v>
      </c>
      <c r="M5078">
        <v>213.28239045822099</v>
      </c>
      <c r="Q5078">
        <v>0</v>
      </c>
      <c r="R5078">
        <v>0.124009295487404</v>
      </c>
      <c r="S5078" t="s">
        <v>10939</v>
      </c>
      <c r="T5078" t="s">
        <v>11720</v>
      </c>
      <c r="U5078" t="s">
        <v>11720</v>
      </c>
      <c r="V5078" t="s">
        <v>11720</v>
      </c>
      <c r="W5078" t="s">
        <v>16741</v>
      </c>
      <c r="X5078">
        <v>1</v>
      </c>
      <c r="Y5078" t="s">
        <v>22448</v>
      </c>
      <c r="Z5078" t="s">
        <v>28285</v>
      </c>
      <c r="AA5078">
        <v>0.99663247048854731</v>
      </c>
      <c r="AB5078" t="str">
        <f>HYPERLINK("Melting_Curves/meltCurve_Q9H7F4_TMEM185B.pdf", "Melting_Curves/meltCurve_Q9H7F4_TMEM185B.pdf")</f>
        <v>Melting_Curves/meltCurve_Q9H7F4_TMEM185B.pdf</v>
      </c>
    </row>
    <row r="5079" spans="1:28" x14ac:dyDescent="0.25">
      <c r="A5079" t="s">
        <v>5083</v>
      </c>
      <c r="B5079">
        <v>0.99334974765950101</v>
      </c>
      <c r="C5079">
        <v>0.98261428568217202</v>
      </c>
      <c r="D5079">
        <v>0.79831135042547896</v>
      </c>
      <c r="E5079">
        <v>0.70597910620576498</v>
      </c>
      <c r="F5079">
        <v>0.60219012673475902</v>
      </c>
      <c r="G5079">
        <v>0.37790607980839203</v>
      </c>
      <c r="H5079">
        <v>0.24974173678796099</v>
      </c>
      <c r="I5079">
        <v>0.25688818040837702</v>
      </c>
      <c r="J5079">
        <v>0.209375597325067</v>
      </c>
      <c r="K5079">
        <v>0.17301407831350099</v>
      </c>
      <c r="L5079">
        <v>589.13242739821305</v>
      </c>
      <c r="M5079">
        <v>11.119956800549801</v>
      </c>
      <c r="N5079">
        <v>54.334306087681</v>
      </c>
      <c r="O5079">
        <v>51.352954107051502</v>
      </c>
      <c r="P5079">
        <v>-4.7596926342642197E-2</v>
      </c>
      <c r="Q5079">
        <v>0.12105715214363599</v>
      </c>
      <c r="R5079">
        <v>0.98884442290374597</v>
      </c>
      <c r="S5079" t="s">
        <v>10940</v>
      </c>
      <c r="T5079" t="s">
        <v>11720</v>
      </c>
      <c r="U5079" t="s">
        <v>11720</v>
      </c>
      <c r="V5079" t="s">
        <v>11720</v>
      </c>
      <c r="W5079" t="s">
        <v>16742</v>
      </c>
      <c r="X5079">
        <v>2</v>
      </c>
      <c r="Y5079" t="s">
        <v>22449</v>
      </c>
      <c r="Z5079" t="s">
        <v>28286</v>
      </c>
      <c r="AA5079">
        <v>0.52853932964842365</v>
      </c>
      <c r="AB5079" t="str">
        <f>HYPERLINK("Melting_Curves/meltCurve_Q9H7X7_2_RABL5.pdf", "Melting_Curves/meltCurve_Q9H7X7_2_RABL5.pdf")</f>
        <v>Melting_Curves/meltCurve_Q9H7X7_2_RABL5.pdf</v>
      </c>
    </row>
    <row r="5080" spans="1:28" x14ac:dyDescent="0.25">
      <c r="A5080" t="s">
        <v>5084</v>
      </c>
      <c r="B5080">
        <v>0.99334974765950101</v>
      </c>
      <c r="C5080">
        <v>1.0513214018064201</v>
      </c>
      <c r="D5080">
        <v>0.95626986105169998</v>
      </c>
      <c r="E5080">
        <v>0.87814119833837001</v>
      </c>
      <c r="F5080">
        <v>0.64856194830748803</v>
      </c>
      <c r="G5080">
        <v>0.36350697812719501</v>
      </c>
      <c r="H5080">
        <v>0.19364610517893199</v>
      </c>
      <c r="I5080">
        <v>0.13574470465913799</v>
      </c>
      <c r="J5080">
        <v>0.123034723284104</v>
      </c>
      <c r="K5080">
        <v>9.2664159470716698E-2</v>
      </c>
      <c r="L5080">
        <v>1059.32376194979</v>
      </c>
      <c r="M5080">
        <v>19.4618802988231</v>
      </c>
      <c r="N5080">
        <v>54.999076495189797</v>
      </c>
      <c r="O5080">
        <v>53.865793913828803</v>
      </c>
      <c r="P5080">
        <v>-8.2100837479851294E-2</v>
      </c>
      <c r="Q5080">
        <v>9.1091645630197504E-2</v>
      </c>
      <c r="R5080">
        <v>0.99711230668772599</v>
      </c>
      <c r="S5080" t="s">
        <v>10941</v>
      </c>
      <c r="T5080" t="s">
        <v>11720</v>
      </c>
      <c r="U5080" t="s">
        <v>11720</v>
      </c>
      <c r="V5080" t="s">
        <v>11720</v>
      </c>
      <c r="W5080" t="s">
        <v>16743</v>
      </c>
      <c r="X5080">
        <v>16</v>
      </c>
      <c r="Y5080" t="s">
        <v>22450</v>
      </c>
      <c r="Z5080" t="s">
        <v>28287</v>
      </c>
      <c r="AA5080">
        <v>0.54108600459587752</v>
      </c>
      <c r="AB5080" t="str">
        <f>HYPERLINK("Melting_Curves/meltCurve_Q9H7Z7_PTGES2.pdf", "Melting_Curves/meltCurve_Q9H7Z7_PTGES2.pdf")</f>
        <v>Melting_Curves/meltCurve_Q9H7Z7_PTGES2.pdf</v>
      </c>
    </row>
    <row r="5081" spans="1:28" x14ac:dyDescent="0.25">
      <c r="A5081" t="s">
        <v>5085</v>
      </c>
      <c r="B5081">
        <v>0.99334974765950101</v>
      </c>
      <c r="C5081">
        <v>0.99453608700212703</v>
      </c>
      <c r="D5081">
        <v>0.92836870342944999</v>
      </c>
      <c r="E5081">
        <v>0.97947986083318705</v>
      </c>
      <c r="F5081">
        <v>0.64313835522976204</v>
      </c>
      <c r="G5081">
        <v>0.55533597621072905</v>
      </c>
      <c r="H5081">
        <v>0.44848884138142903</v>
      </c>
      <c r="I5081">
        <v>0.50228756101655503</v>
      </c>
      <c r="J5081">
        <v>0.51782270696884403</v>
      </c>
      <c r="K5081">
        <v>0.58729648593745398</v>
      </c>
      <c r="L5081">
        <v>3570.8703156890801</v>
      </c>
      <c r="M5081">
        <v>68.441479523281501</v>
      </c>
      <c r="O5081">
        <v>52.129556911179499</v>
      </c>
      <c r="P5081">
        <v>-0.15696087830632</v>
      </c>
      <c r="Q5081">
        <v>0.52179279125110001</v>
      </c>
      <c r="R5081">
        <v>0.96555377425841504</v>
      </c>
      <c r="S5081" t="s">
        <v>10942</v>
      </c>
      <c r="T5081" t="s">
        <v>11720</v>
      </c>
      <c r="U5081" t="s">
        <v>11720</v>
      </c>
      <c r="V5081" t="s">
        <v>11720</v>
      </c>
      <c r="W5081" t="s">
        <v>16744</v>
      </c>
      <c r="X5081">
        <v>3</v>
      </c>
      <c r="Y5081" t="s">
        <v>22451</v>
      </c>
      <c r="Z5081" t="s">
        <v>28288</v>
      </c>
      <c r="AA5081">
        <v>0.71643617606639054</v>
      </c>
      <c r="AB5081" t="str">
        <f>HYPERLINK("Melting_Curves/meltCurve_Q9H814_PHAX.pdf", "Melting_Curves/meltCurve_Q9H814_PHAX.pdf")</f>
        <v>Melting_Curves/meltCurve_Q9H814_PHAX.pdf</v>
      </c>
    </row>
    <row r="5082" spans="1:28" x14ac:dyDescent="0.25">
      <c r="A5082" t="s">
        <v>5086</v>
      </c>
      <c r="B5082">
        <v>0.99334974765950101</v>
      </c>
      <c r="C5082">
        <v>0.99262848033886397</v>
      </c>
      <c r="D5082">
        <v>0.87601009866983104</v>
      </c>
      <c r="E5082">
        <v>0.78205110165023495</v>
      </c>
      <c r="F5082">
        <v>0.42596321613876198</v>
      </c>
      <c r="G5082">
        <v>0.1406734871036</v>
      </c>
      <c r="H5082">
        <v>9.5720263864054897E-2</v>
      </c>
      <c r="I5082">
        <v>8.3843142013394198E-2</v>
      </c>
      <c r="J5082">
        <v>7.3523468258259506E-2</v>
      </c>
      <c r="K5082">
        <v>6.4075976124229397E-2</v>
      </c>
      <c r="L5082">
        <v>1276.48686694259</v>
      </c>
      <c r="M5082">
        <v>24.524477440787098</v>
      </c>
      <c r="N5082">
        <v>52.344647181333102</v>
      </c>
      <c r="O5082">
        <v>51.707131654725401</v>
      </c>
      <c r="P5082">
        <v>-0.11091895135964799</v>
      </c>
      <c r="Q5082">
        <v>6.4572509707460798E-2</v>
      </c>
      <c r="R5082">
        <v>0.99369996688630302</v>
      </c>
      <c r="S5082" t="s">
        <v>10943</v>
      </c>
      <c r="T5082" t="s">
        <v>11720</v>
      </c>
      <c r="U5082" t="s">
        <v>11720</v>
      </c>
      <c r="V5082" t="s">
        <v>11720</v>
      </c>
      <c r="W5082" t="s">
        <v>16745</v>
      </c>
      <c r="X5082">
        <v>17</v>
      </c>
      <c r="Y5082" t="s">
        <v>22452</v>
      </c>
      <c r="Z5082" t="s">
        <v>28289</v>
      </c>
      <c r="AA5082">
        <v>0.44915128985449337</v>
      </c>
      <c r="AB5082" t="str">
        <f>HYPERLINK("Melting_Curves/meltCurve_Q9H832_UBE2Z.pdf", "Melting_Curves/meltCurve_Q9H832_UBE2Z.pdf")</f>
        <v>Melting_Curves/meltCurve_Q9H832_UBE2Z.pdf</v>
      </c>
    </row>
    <row r="5083" spans="1:28" x14ac:dyDescent="0.25">
      <c r="A5083" t="s">
        <v>5087</v>
      </c>
      <c r="B5083">
        <v>0.99334974765950101</v>
      </c>
      <c r="C5083">
        <v>1.1497677517967899</v>
      </c>
      <c r="D5083">
        <v>0.94278043804941503</v>
      </c>
      <c r="E5083">
        <v>1.06836644982789</v>
      </c>
      <c r="F5083">
        <v>1.2298263024728999</v>
      </c>
      <c r="G5083">
        <v>0.69036130659769002</v>
      </c>
      <c r="H5083">
        <v>0.26952028998292599</v>
      </c>
      <c r="I5083">
        <v>0.15080543170917199</v>
      </c>
      <c r="J5083">
        <v>8.49474655550502E-2</v>
      </c>
      <c r="K5083">
        <v>8.4537768923869494E-2</v>
      </c>
      <c r="L5083">
        <v>2342.01626752005</v>
      </c>
      <c r="M5083">
        <v>40.211618502553598</v>
      </c>
      <c r="N5083">
        <v>58.586388652303398</v>
      </c>
      <c r="O5083">
        <v>58.098797543359403</v>
      </c>
      <c r="P5083">
        <v>-0.154831627872384</v>
      </c>
      <c r="Q5083">
        <v>0.105182765096963</v>
      </c>
      <c r="R5083">
        <v>0.951644144500296</v>
      </c>
      <c r="S5083" t="s">
        <v>10944</v>
      </c>
      <c r="T5083" t="s">
        <v>11720</v>
      </c>
      <c r="U5083" t="s">
        <v>11720</v>
      </c>
      <c r="V5083" t="s">
        <v>11720</v>
      </c>
      <c r="W5083" t="s">
        <v>16746</v>
      </c>
      <c r="X5083">
        <v>3</v>
      </c>
      <c r="Y5083" t="s">
        <v>22453</v>
      </c>
      <c r="Z5083" t="s">
        <v>28290</v>
      </c>
      <c r="AA5083">
        <v>0.65278738172256534</v>
      </c>
      <c r="AB5083" t="str">
        <f>HYPERLINK("Melting_Curves/meltCurve_Q9H840_GEMIN7.pdf", "Melting_Curves/meltCurve_Q9H840_GEMIN7.pdf")</f>
        <v>Melting_Curves/meltCurve_Q9H840_GEMIN7.pdf</v>
      </c>
    </row>
    <row r="5084" spans="1:28" x14ac:dyDescent="0.25">
      <c r="A5084" t="s">
        <v>5088</v>
      </c>
      <c r="B5084">
        <v>0.99334974765950101</v>
      </c>
      <c r="C5084">
        <v>0.96729913946004698</v>
      </c>
      <c r="D5084">
        <v>0.97457653595571903</v>
      </c>
      <c r="E5084">
        <v>0.770820759647045</v>
      </c>
      <c r="F5084">
        <v>0.45844840037991103</v>
      </c>
      <c r="G5084">
        <v>0.36657787781547801</v>
      </c>
      <c r="H5084">
        <v>0.22764234180072501</v>
      </c>
      <c r="I5084">
        <v>0.139307822749488</v>
      </c>
      <c r="J5084">
        <v>0.12718798480819099</v>
      </c>
      <c r="K5084">
        <v>0.110607226825277</v>
      </c>
      <c r="L5084">
        <v>877.41990109146104</v>
      </c>
      <c r="M5084">
        <v>16.641561899550499</v>
      </c>
      <c r="N5084">
        <v>53.542213452938498</v>
      </c>
      <c r="O5084">
        <v>51.980901532181498</v>
      </c>
      <c r="P5084">
        <v>-7.1061470732018697E-2</v>
      </c>
      <c r="Q5084">
        <v>0.11220048134779401</v>
      </c>
      <c r="R5084">
        <v>0.98899954071634499</v>
      </c>
      <c r="S5084" t="s">
        <v>10945</v>
      </c>
      <c r="T5084" t="s">
        <v>11720</v>
      </c>
      <c r="U5084" t="s">
        <v>11720</v>
      </c>
      <c r="V5084" t="s">
        <v>11720</v>
      </c>
      <c r="W5084" t="s">
        <v>16747</v>
      </c>
      <c r="X5084">
        <v>16</v>
      </c>
      <c r="Y5084" t="s">
        <v>22454</v>
      </c>
      <c r="Z5084" t="s">
        <v>28291</v>
      </c>
      <c r="AA5084">
        <v>0.50531500971898535</v>
      </c>
      <c r="AB5084" t="str">
        <f>HYPERLINK("Melting_Curves/meltCurve_Q9H845_ACAD9.pdf", "Melting_Curves/meltCurve_Q9H845_ACAD9.pdf")</f>
        <v>Melting_Curves/meltCurve_Q9H845_ACAD9.pdf</v>
      </c>
    </row>
    <row r="5085" spans="1:28" x14ac:dyDescent="0.25">
      <c r="A5085" t="s">
        <v>5089</v>
      </c>
      <c r="B5085">
        <v>0.99334974765950101</v>
      </c>
      <c r="C5085">
        <v>0.97631397095663097</v>
      </c>
      <c r="D5085">
        <v>0.99751760135644296</v>
      </c>
      <c r="E5085">
        <v>0.94880138007672998</v>
      </c>
      <c r="F5085">
        <v>0.80723887398799399</v>
      </c>
      <c r="G5085">
        <v>0.43167047402290598</v>
      </c>
      <c r="H5085">
        <v>0.28088316363383098</v>
      </c>
      <c r="I5085">
        <v>0.23017869215984299</v>
      </c>
      <c r="J5085">
        <v>0.259458214237411</v>
      </c>
      <c r="K5085">
        <v>0.210665892276511</v>
      </c>
      <c r="L5085">
        <v>1552.63636733723</v>
      </c>
      <c r="M5085">
        <v>28.233001871348101</v>
      </c>
      <c r="N5085">
        <v>56.2060199376794</v>
      </c>
      <c r="O5085">
        <v>54.719988495808202</v>
      </c>
      <c r="P5085">
        <v>-9.9573890973299398E-2</v>
      </c>
      <c r="Q5085">
        <v>0.22804710639116499</v>
      </c>
      <c r="R5085">
        <v>0.99827374107523303</v>
      </c>
      <c r="S5085" t="s">
        <v>10946</v>
      </c>
      <c r="T5085" t="s">
        <v>11720</v>
      </c>
      <c r="U5085" t="s">
        <v>11720</v>
      </c>
      <c r="V5085" t="s">
        <v>11720</v>
      </c>
      <c r="W5085" t="s">
        <v>16748</v>
      </c>
      <c r="X5085">
        <v>6</v>
      </c>
      <c r="Y5085" t="s">
        <v>22455</v>
      </c>
      <c r="Z5085" t="s">
        <v>28292</v>
      </c>
      <c r="AA5085">
        <v>0.61959640247759606</v>
      </c>
      <c r="AB5085" t="str">
        <f>HYPERLINK("Melting_Curves/meltCurve_Q9H857_2_NT5DC2.pdf", "Melting_Curves/meltCurve_Q9H857_2_NT5DC2.pdf")</f>
        <v>Melting_Curves/meltCurve_Q9H857_2_NT5DC2.pdf</v>
      </c>
    </row>
    <row r="5086" spans="1:28" x14ac:dyDescent="0.25">
      <c r="A5086" t="s">
        <v>5090</v>
      </c>
      <c r="B5086">
        <v>0.99334974765950101</v>
      </c>
      <c r="C5086">
        <v>0.95485380559783894</v>
      </c>
      <c r="D5086">
        <v>0.85558318356765395</v>
      </c>
      <c r="E5086">
        <v>0.76809188906845205</v>
      </c>
      <c r="F5086">
        <v>1.0270500913632401</v>
      </c>
      <c r="G5086">
        <v>0.94567420269949598</v>
      </c>
      <c r="H5086">
        <v>0.96573497493318405</v>
      </c>
      <c r="I5086">
        <v>1.2333000632384801</v>
      </c>
      <c r="J5086">
        <v>1.2227644543618099</v>
      </c>
      <c r="K5086">
        <v>1.2074241236735399</v>
      </c>
      <c r="L5086">
        <v>15000</v>
      </c>
      <c r="M5086">
        <v>239.64187540587699</v>
      </c>
      <c r="O5086">
        <v>62.589052105033602</v>
      </c>
      <c r="P5086">
        <v>0.212018429426615</v>
      </c>
      <c r="Q5086">
        <v>1.2214976875343999</v>
      </c>
      <c r="R5086">
        <v>0.63669654480261495</v>
      </c>
      <c r="S5086" t="s">
        <v>10947</v>
      </c>
      <c r="T5086" t="s">
        <v>11720</v>
      </c>
      <c r="U5086" t="s">
        <v>11720</v>
      </c>
      <c r="V5086" t="s">
        <v>11720</v>
      </c>
      <c r="W5086" t="s">
        <v>16749</v>
      </c>
      <c r="X5086">
        <v>6</v>
      </c>
      <c r="Y5086" t="s">
        <v>22456</v>
      </c>
      <c r="Z5086" t="s">
        <v>28293</v>
      </c>
      <c r="AA5086">
        <v>1.054658337496797</v>
      </c>
      <c r="AB5086" t="str">
        <f>HYPERLINK("Melting_Curves/meltCurve_Q9H8G2_CAAP1.pdf", "Melting_Curves/meltCurve_Q9H8G2_CAAP1.pdf")</f>
        <v>Melting_Curves/meltCurve_Q9H8G2_CAAP1.pdf</v>
      </c>
    </row>
    <row r="5087" spans="1:28" x14ac:dyDescent="0.25">
      <c r="A5087" t="s">
        <v>5091</v>
      </c>
      <c r="B5087">
        <v>0.99334974765950101</v>
      </c>
      <c r="C5087">
        <v>1.0482209128009501</v>
      </c>
      <c r="D5087">
        <v>1.0135692649581201</v>
      </c>
      <c r="E5087">
        <v>1.3458385971588001</v>
      </c>
      <c r="F5087">
        <v>1.54327341582181</v>
      </c>
      <c r="G5087">
        <v>0.50382442604578304</v>
      </c>
      <c r="H5087">
        <v>0.21383521977625</v>
      </c>
      <c r="I5087">
        <v>0.219748959399167</v>
      </c>
      <c r="J5087">
        <v>0.13194126398561501</v>
      </c>
      <c r="K5087">
        <v>0.14316894908689201</v>
      </c>
      <c r="S5087" t="s">
        <v>10948</v>
      </c>
      <c r="T5087" t="s">
        <v>11720</v>
      </c>
      <c r="U5087" t="s">
        <v>11721</v>
      </c>
      <c r="V5087" t="s">
        <v>11720</v>
      </c>
      <c r="W5087" t="s">
        <v>16750</v>
      </c>
      <c r="X5087">
        <v>3</v>
      </c>
      <c r="Y5087" t="s">
        <v>22457</v>
      </c>
      <c r="Z5087" t="s">
        <v>28294</v>
      </c>
      <c r="AB5087" t="str">
        <f>HYPERLINK("Melting_Curves/meltCurve_Q9H8H0_NOL11.pdf", "Melting_Curves/meltCurve_Q9H8H0_NOL11.pdf")</f>
        <v>Melting_Curves/meltCurve_Q9H8H0_NOL11.pdf</v>
      </c>
    </row>
    <row r="5088" spans="1:28" x14ac:dyDescent="0.25">
      <c r="A5088" t="s">
        <v>5092</v>
      </c>
      <c r="B5088">
        <v>0.99334974765950101</v>
      </c>
      <c r="C5088">
        <v>1.01834360926857</v>
      </c>
      <c r="D5088">
        <v>1.0352209996510999</v>
      </c>
      <c r="E5088">
        <v>1.14880803148441</v>
      </c>
      <c r="F5088">
        <v>0.98170564678578398</v>
      </c>
      <c r="G5088">
        <v>0.46899911142129103</v>
      </c>
      <c r="H5088">
        <v>0.28951153845483002</v>
      </c>
      <c r="I5088">
        <v>0.191466676028893</v>
      </c>
      <c r="J5088">
        <v>0.17584276054407499</v>
      </c>
      <c r="K5088">
        <v>0.107934132237176</v>
      </c>
      <c r="L5088">
        <v>2561.14167596787</v>
      </c>
      <c r="M5088">
        <v>45.448030004902797</v>
      </c>
      <c r="N5088">
        <v>56.915503590188997</v>
      </c>
      <c r="O5088">
        <v>56.244414522253102</v>
      </c>
      <c r="P5088">
        <v>-0.16547346451629499</v>
      </c>
      <c r="Q5088">
        <v>0.18087129169586999</v>
      </c>
      <c r="R5088">
        <v>0.97703405143670696</v>
      </c>
      <c r="S5088" t="s">
        <v>10949</v>
      </c>
      <c r="T5088" t="s">
        <v>11720</v>
      </c>
      <c r="U5088" t="s">
        <v>11720</v>
      </c>
      <c r="V5088" t="s">
        <v>11720</v>
      </c>
      <c r="W5088" t="s">
        <v>16751</v>
      </c>
      <c r="X5088">
        <v>5</v>
      </c>
      <c r="Y5088" t="s">
        <v>22458</v>
      </c>
      <c r="Z5088" t="s">
        <v>28295</v>
      </c>
      <c r="AA5088">
        <v>0.62984319919091547</v>
      </c>
      <c r="AB5088" t="str">
        <f>HYPERLINK("Melting_Curves/meltCurve_Q9H8K7_C10orf88.pdf", "Melting_Curves/meltCurve_Q9H8K7_C10orf88.pdf")</f>
        <v>Melting_Curves/meltCurve_Q9H8K7_C10orf88.pdf</v>
      </c>
    </row>
    <row r="5089" spans="1:28" x14ac:dyDescent="0.25">
      <c r="A5089" t="s">
        <v>5093</v>
      </c>
      <c r="B5089">
        <v>0.99334974765950101</v>
      </c>
      <c r="C5089">
        <v>0.99594821154484503</v>
      </c>
      <c r="D5089">
        <v>0.96529844039507895</v>
      </c>
      <c r="E5089">
        <v>0.77337059614618897</v>
      </c>
      <c r="F5089">
        <v>0.54536252854119405</v>
      </c>
      <c r="G5089">
        <v>0.18314856060211401</v>
      </c>
      <c r="H5089">
        <v>0.13086243534824199</v>
      </c>
      <c r="I5089">
        <v>9.6231635072614702E-2</v>
      </c>
      <c r="J5089">
        <v>8.3976637812650107E-2</v>
      </c>
      <c r="K5089">
        <v>5.1293146649432103E-2</v>
      </c>
      <c r="L5089">
        <v>1170.2123276682801</v>
      </c>
      <c r="M5089">
        <v>22.1515186173778</v>
      </c>
      <c r="N5089">
        <v>53.167129351709299</v>
      </c>
      <c r="O5089">
        <v>52.402750302504998</v>
      </c>
      <c r="P5089">
        <v>-9.8711847706618797E-2</v>
      </c>
      <c r="Q5089">
        <v>6.5949288090250399E-2</v>
      </c>
      <c r="R5089">
        <v>0.99771395766999604</v>
      </c>
      <c r="S5089" t="s">
        <v>10950</v>
      </c>
      <c r="T5089" t="s">
        <v>11720</v>
      </c>
      <c r="U5089" t="s">
        <v>11720</v>
      </c>
      <c r="V5089" t="s">
        <v>11720</v>
      </c>
      <c r="W5089" t="s">
        <v>16752</v>
      </c>
      <c r="X5089">
        <v>7</v>
      </c>
      <c r="Y5089" t="s">
        <v>22459</v>
      </c>
      <c r="Z5089" t="s">
        <v>28296</v>
      </c>
      <c r="AA5089">
        <v>0.47607918795714971</v>
      </c>
      <c r="AB5089" t="str">
        <f>HYPERLINK("Melting_Curves/meltCurve_Q9H8M7_FAM188A.pdf", "Melting_Curves/meltCurve_Q9H8M7_FAM188A.pdf")</f>
        <v>Melting_Curves/meltCurve_Q9H8M7_FAM188A.pdf</v>
      </c>
    </row>
    <row r="5090" spans="1:28" x14ac:dyDescent="0.25">
      <c r="A5090" t="s">
        <v>5094</v>
      </c>
      <c r="B5090">
        <v>0.99334974765950101</v>
      </c>
      <c r="C5090">
        <v>1.0042144341830801</v>
      </c>
      <c r="D5090">
        <v>0.92424557909791505</v>
      </c>
      <c r="E5090">
        <v>0.83134652121476704</v>
      </c>
      <c r="F5090">
        <v>0.73709918386110196</v>
      </c>
      <c r="G5090">
        <v>0.42002478881383398</v>
      </c>
      <c r="H5090">
        <v>0.16019611417742399</v>
      </c>
      <c r="I5090">
        <v>9.7575414047666495E-2</v>
      </c>
      <c r="J5090">
        <v>0.102034407969862</v>
      </c>
      <c r="K5090">
        <v>7.5541192426587703E-2</v>
      </c>
      <c r="L5090">
        <v>955.13844515774599</v>
      </c>
      <c r="M5090">
        <v>17.226282460488498</v>
      </c>
      <c r="N5090">
        <v>55.661955838960601</v>
      </c>
      <c r="O5090">
        <v>54.715550482297203</v>
      </c>
      <c r="P5090">
        <v>-7.6175173988616507E-2</v>
      </c>
      <c r="Q5090">
        <v>3.2241091518361603E-2</v>
      </c>
      <c r="R5090">
        <v>0.99407297043810805</v>
      </c>
      <c r="S5090" t="s">
        <v>10951</v>
      </c>
      <c r="T5090" t="s">
        <v>11720</v>
      </c>
      <c r="U5090" t="s">
        <v>11720</v>
      </c>
      <c r="V5090" t="s">
        <v>11720</v>
      </c>
      <c r="W5090" t="s">
        <v>16753</v>
      </c>
      <c r="X5090">
        <v>6</v>
      </c>
      <c r="Y5090" t="s">
        <v>22460</v>
      </c>
      <c r="Z5090" t="s">
        <v>28297</v>
      </c>
      <c r="AA5090">
        <v>0.54603204782157166</v>
      </c>
      <c r="AB5090" t="str">
        <f>HYPERLINK("Melting_Curves/meltCurve_Q9H8S9_MOB1A.pdf", "Melting_Curves/meltCurve_Q9H8S9_MOB1A.pdf")</f>
        <v>Melting_Curves/meltCurve_Q9H8S9_MOB1A.pdf</v>
      </c>
    </row>
    <row r="5091" spans="1:28" x14ac:dyDescent="0.25">
      <c r="A5091" t="s">
        <v>5095</v>
      </c>
      <c r="B5091">
        <v>0.99334974765950101</v>
      </c>
      <c r="C5091">
        <v>0.93566820195503697</v>
      </c>
      <c r="D5091">
        <v>0.85779404035628404</v>
      </c>
      <c r="E5091">
        <v>0.72339880520669197</v>
      </c>
      <c r="F5091">
        <v>0.58568920289890103</v>
      </c>
      <c r="G5091">
        <v>0.51587270791694695</v>
      </c>
      <c r="H5091">
        <v>0.43875687730441099</v>
      </c>
      <c r="I5091">
        <v>0.47791859950562499</v>
      </c>
      <c r="J5091">
        <v>0.48815167408804699</v>
      </c>
      <c r="K5091">
        <v>0.42059018516528301</v>
      </c>
      <c r="L5091">
        <v>719.90329499901702</v>
      </c>
      <c r="M5091">
        <v>14.5051838322252</v>
      </c>
      <c r="N5091">
        <v>57.962719426036202</v>
      </c>
      <c r="O5091">
        <v>48.716060019693202</v>
      </c>
      <c r="P5091">
        <v>-4.1849715446564503E-2</v>
      </c>
      <c r="Q5091">
        <v>0.437851098412954</v>
      </c>
      <c r="R5091">
        <v>0.98953246605877698</v>
      </c>
      <c r="S5091" t="s">
        <v>10952</v>
      </c>
      <c r="T5091" t="s">
        <v>11720</v>
      </c>
      <c r="U5091" t="s">
        <v>11720</v>
      </c>
      <c r="V5091" t="s">
        <v>11720</v>
      </c>
      <c r="W5091" t="s">
        <v>16754</v>
      </c>
      <c r="X5091">
        <v>3</v>
      </c>
      <c r="Y5091" t="s">
        <v>22461</v>
      </c>
      <c r="Z5091" t="s">
        <v>28298</v>
      </c>
      <c r="AA5091">
        <v>0.63272808229347222</v>
      </c>
      <c r="AB5091" t="str">
        <f>HYPERLINK("Melting_Curves/meltCurve_Q9H8U3_ZFAND3.pdf", "Melting_Curves/meltCurve_Q9H8U3_ZFAND3.pdf")</f>
        <v>Melting_Curves/meltCurve_Q9H8U3_ZFAND3.pdf</v>
      </c>
    </row>
    <row r="5092" spans="1:28" x14ac:dyDescent="0.25">
      <c r="A5092" t="s">
        <v>5096</v>
      </c>
      <c r="B5092">
        <v>0.99334974765950101</v>
      </c>
      <c r="C5092">
        <v>0.99696592346343604</v>
      </c>
      <c r="D5092">
        <v>0.80096344757311799</v>
      </c>
      <c r="E5092">
        <v>0.38727964783575303</v>
      </c>
      <c r="F5092">
        <v>0.19924473694904801</v>
      </c>
      <c r="G5092">
        <v>0.164376111321996</v>
      </c>
      <c r="H5092">
        <v>0.13153090028195399</v>
      </c>
      <c r="I5092">
        <v>0.15419409234252601</v>
      </c>
      <c r="J5092">
        <v>0.180234677180695</v>
      </c>
      <c r="K5092">
        <v>0.306255089162286</v>
      </c>
      <c r="L5092">
        <v>1425.6026764759899</v>
      </c>
      <c r="M5092">
        <v>29.756849670649199</v>
      </c>
      <c r="N5092">
        <v>48.653730969830697</v>
      </c>
      <c r="O5092">
        <v>47.693573011350303</v>
      </c>
      <c r="P5092">
        <v>-0.12742865086126501</v>
      </c>
      <c r="Q5092">
        <v>0.18304685545861099</v>
      </c>
      <c r="R5092">
        <v>0.981265230849652</v>
      </c>
      <c r="S5092" t="s">
        <v>10953</v>
      </c>
      <c r="T5092" t="s">
        <v>11720</v>
      </c>
      <c r="U5092" t="s">
        <v>11720</v>
      </c>
      <c r="V5092" t="s">
        <v>11720</v>
      </c>
      <c r="W5092" t="s">
        <v>16755</v>
      </c>
      <c r="X5092">
        <v>8</v>
      </c>
      <c r="Y5092" t="s">
        <v>22462</v>
      </c>
      <c r="Z5092" t="s">
        <v>28299</v>
      </c>
      <c r="AA5092">
        <v>0.40340384846259542</v>
      </c>
      <c r="AB5092" t="str">
        <f>HYPERLINK("Melting_Curves/meltCurve_Q9H8W4_PLEKHF2.pdf", "Melting_Curves/meltCurve_Q9H8W4_PLEKHF2.pdf")</f>
        <v>Melting_Curves/meltCurve_Q9H8W4_PLEKHF2.pdf</v>
      </c>
    </row>
    <row r="5093" spans="1:28" x14ac:dyDescent="0.25">
      <c r="A5093" t="s">
        <v>5097</v>
      </c>
      <c r="B5093">
        <v>0.99334974765950101</v>
      </c>
      <c r="C5093">
        <v>0.91764819255291497</v>
      </c>
      <c r="D5093">
        <v>0.77043698479006095</v>
      </c>
      <c r="E5093">
        <v>0.39675255065025999</v>
      </c>
      <c r="F5093">
        <v>0.148813975314535</v>
      </c>
      <c r="G5093">
        <v>9.6434873240824698E-2</v>
      </c>
      <c r="H5093">
        <v>8.02933553942171E-2</v>
      </c>
      <c r="I5093">
        <v>7.5940441637329797E-2</v>
      </c>
      <c r="J5093">
        <v>7.6893313990938905E-2</v>
      </c>
      <c r="K5093">
        <v>6.5011382558706199E-2</v>
      </c>
      <c r="L5093">
        <v>1053.1856941272099</v>
      </c>
      <c r="M5093">
        <v>21.7794538125328</v>
      </c>
      <c r="N5093">
        <v>48.669322136320403</v>
      </c>
      <c r="O5093">
        <v>47.954701819073101</v>
      </c>
      <c r="P5093">
        <v>-0.106135869875028</v>
      </c>
      <c r="Q5093">
        <v>6.5248115561196002E-2</v>
      </c>
      <c r="R5093">
        <v>0.99780617720493703</v>
      </c>
      <c r="S5093" t="s">
        <v>10954</v>
      </c>
      <c r="T5093" t="s">
        <v>11720</v>
      </c>
      <c r="U5093" t="s">
        <v>11720</v>
      </c>
      <c r="V5093" t="s">
        <v>11720</v>
      </c>
      <c r="W5093" t="s">
        <v>16756</v>
      </c>
      <c r="X5093">
        <v>13</v>
      </c>
      <c r="Y5093" t="s">
        <v>22463</v>
      </c>
      <c r="Z5093" t="s">
        <v>28300</v>
      </c>
      <c r="AA5093">
        <v>0.33667310359838459</v>
      </c>
      <c r="AB5093" t="str">
        <f>HYPERLINK("Melting_Curves/meltCurve_Q9H8Y8_GORASP2.pdf", "Melting_Curves/meltCurve_Q9H8Y8_GORASP2.pdf")</f>
        <v>Melting_Curves/meltCurve_Q9H8Y8_GORASP2.pdf</v>
      </c>
    </row>
    <row r="5094" spans="1:28" x14ac:dyDescent="0.25">
      <c r="A5094" t="s">
        <v>5098</v>
      </c>
      <c r="B5094">
        <v>0.99334974765950101</v>
      </c>
      <c r="C5094">
        <v>0.96096351368205701</v>
      </c>
      <c r="D5094">
        <v>1.8178989735958999</v>
      </c>
      <c r="E5094">
        <v>0.86284404222483202</v>
      </c>
      <c r="F5094">
        <v>1.7917508167003899</v>
      </c>
      <c r="G5094">
        <v>0.73360476009406195</v>
      </c>
      <c r="H5094">
        <v>1.4967395325744199</v>
      </c>
      <c r="I5094">
        <v>0.78886531864864995</v>
      </c>
      <c r="J5094">
        <v>1.4026297423998799</v>
      </c>
      <c r="K5094">
        <v>1.2866297387104799</v>
      </c>
      <c r="L5094">
        <v>11042.071061364901</v>
      </c>
      <c r="M5094">
        <v>250</v>
      </c>
      <c r="O5094">
        <v>44.165457367913397</v>
      </c>
      <c r="P5094">
        <v>0.38578753072354599</v>
      </c>
      <c r="Q5094">
        <v>1.2726157260117099</v>
      </c>
      <c r="R5094">
        <v>9.4494437482063806E-2</v>
      </c>
      <c r="S5094" t="s">
        <v>10955</v>
      </c>
      <c r="T5094" t="s">
        <v>11720</v>
      </c>
      <c r="U5094" t="s">
        <v>11720</v>
      </c>
      <c r="V5094" t="s">
        <v>11720</v>
      </c>
      <c r="W5094" t="s">
        <v>16757</v>
      </c>
      <c r="X5094">
        <v>18</v>
      </c>
      <c r="Y5094" t="s">
        <v>17549</v>
      </c>
      <c r="Z5094" t="s">
        <v>28301</v>
      </c>
      <c r="AA5094">
        <v>1.2347165997720839</v>
      </c>
      <c r="AB5094" t="str">
        <f>HYPERLINK("Melting_Curves/meltCurve_Q9H910_2_HN1L.pdf", "Melting_Curves/meltCurve_Q9H910_2_HN1L.pdf")</f>
        <v>Melting_Curves/meltCurve_Q9H910_2_HN1L.pdf</v>
      </c>
    </row>
    <row r="5095" spans="1:28" x14ac:dyDescent="0.25">
      <c r="A5095" t="s">
        <v>5099</v>
      </c>
      <c r="B5095">
        <v>0.99334974765950101</v>
      </c>
      <c r="C5095">
        <v>0.92619677026897995</v>
      </c>
      <c r="D5095">
        <v>1.00525096259626</v>
      </c>
      <c r="E5095">
        <v>1.07259491064902</v>
      </c>
      <c r="F5095">
        <v>0.93640564925007996</v>
      </c>
      <c r="G5095">
        <v>0.94607142262904798</v>
      </c>
      <c r="H5095">
        <v>0.72809516771846805</v>
      </c>
      <c r="I5095">
        <v>0.51058873778299596</v>
      </c>
      <c r="J5095">
        <v>0.15566888811490501</v>
      </c>
      <c r="K5095">
        <v>0.120112358609968</v>
      </c>
      <c r="L5095">
        <v>1615.29303341439</v>
      </c>
      <c r="M5095">
        <v>25.394393728561202</v>
      </c>
      <c r="N5095">
        <v>63.611771670782701</v>
      </c>
      <c r="O5095">
        <v>63.217744863502503</v>
      </c>
      <c r="P5095">
        <v>-0.100355260664764</v>
      </c>
      <c r="Q5095">
        <v>7.0031270750809597E-4</v>
      </c>
      <c r="R5095">
        <v>0.98094489781647198</v>
      </c>
      <c r="S5095" t="s">
        <v>10956</v>
      </c>
      <c r="T5095" t="s">
        <v>11720</v>
      </c>
      <c r="U5095" t="s">
        <v>11720</v>
      </c>
      <c r="V5095" t="s">
        <v>11720</v>
      </c>
      <c r="W5095" t="s">
        <v>16758</v>
      </c>
      <c r="X5095">
        <v>5</v>
      </c>
      <c r="Y5095" t="s">
        <v>22464</v>
      </c>
      <c r="Z5095" t="s">
        <v>28302</v>
      </c>
      <c r="AA5095">
        <v>0.78768385246588468</v>
      </c>
      <c r="AB5095" t="str">
        <f>HYPERLINK("Melting_Curves/meltCurve_Q9H936_SLC25A22.pdf", "Melting_Curves/meltCurve_Q9H936_SLC25A22.pdf")</f>
        <v>Melting_Curves/meltCurve_Q9H936_SLC25A22.pdf</v>
      </c>
    </row>
    <row r="5096" spans="1:28" x14ac:dyDescent="0.25">
      <c r="A5096" t="s">
        <v>5100</v>
      </c>
      <c r="B5096">
        <v>0.99334974765950101</v>
      </c>
      <c r="C5096">
        <v>1.0218507140863999</v>
      </c>
      <c r="D5096">
        <v>0.59938468917985399</v>
      </c>
      <c r="E5096">
        <v>0.41836609550460802</v>
      </c>
      <c r="F5096">
        <v>0.122420307524014</v>
      </c>
      <c r="G5096">
        <v>7.0753105244867096E-2</v>
      </c>
      <c r="H5096">
        <v>5.67315468501133E-2</v>
      </c>
      <c r="I5096">
        <v>4.8903555459513498E-2</v>
      </c>
      <c r="J5096">
        <v>5.7776296143528999E-2</v>
      </c>
      <c r="K5096">
        <v>5.1247262968524498E-2</v>
      </c>
      <c r="L5096">
        <v>944.32904506665602</v>
      </c>
      <c r="M5096">
        <v>19.730435135814499</v>
      </c>
      <c r="N5096">
        <v>48.0877340739152</v>
      </c>
      <c r="O5096">
        <v>47.378033046542797</v>
      </c>
      <c r="P5096">
        <v>-9.9501345048730705E-2</v>
      </c>
      <c r="Q5096">
        <v>4.43161353416235E-2</v>
      </c>
      <c r="R5096">
        <v>0.97666569126816005</v>
      </c>
      <c r="S5096" t="s">
        <v>10957</v>
      </c>
      <c r="T5096" t="s">
        <v>11720</v>
      </c>
      <c r="U5096" t="s">
        <v>11720</v>
      </c>
      <c r="V5096" t="s">
        <v>11720</v>
      </c>
      <c r="W5096" t="s">
        <v>16759</v>
      </c>
      <c r="X5096">
        <v>8</v>
      </c>
      <c r="Y5096" t="s">
        <v>22465</v>
      </c>
      <c r="Z5096" t="s">
        <v>28303</v>
      </c>
      <c r="AA5096">
        <v>0.30877673793878668</v>
      </c>
      <c r="AB5096" t="str">
        <f>HYPERLINK("Melting_Curves/meltCurve_Q9H939_PSTPIP2.pdf", "Melting_Curves/meltCurve_Q9H939_PSTPIP2.pdf")</f>
        <v>Melting_Curves/meltCurve_Q9H939_PSTPIP2.pdf</v>
      </c>
    </row>
    <row r="5097" spans="1:28" x14ac:dyDescent="0.25">
      <c r="A5097" t="s">
        <v>5101</v>
      </c>
      <c r="B5097">
        <v>0.99334974765950101</v>
      </c>
      <c r="C5097">
        <v>1.0028262903492</v>
      </c>
      <c r="D5097">
        <v>0.89167333127100201</v>
      </c>
      <c r="E5097">
        <v>0.74523863516792099</v>
      </c>
      <c r="F5097">
        <v>0.57484103981051105</v>
      </c>
      <c r="G5097">
        <v>0.34598569828838299</v>
      </c>
      <c r="H5097">
        <v>0.21403320592820099</v>
      </c>
      <c r="I5097">
        <v>0.12985448371019001</v>
      </c>
      <c r="J5097">
        <v>0.19253219684021999</v>
      </c>
      <c r="K5097">
        <v>0.135739013839697</v>
      </c>
      <c r="L5097">
        <v>801.34282536099204</v>
      </c>
      <c r="M5097">
        <v>15.103439410438501</v>
      </c>
      <c r="N5097">
        <v>53.969476784892102</v>
      </c>
      <c r="O5097">
        <v>52.152923188970902</v>
      </c>
      <c r="P5097">
        <v>-6.4247872568380798E-2</v>
      </c>
      <c r="Q5097">
        <v>0.112682940871927</v>
      </c>
      <c r="R5097">
        <v>0.99512866193474603</v>
      </c>
      <c r="S5097" t="s">
        <v>10958</v>
      </c>
      <c r="T5097" t="s">
        <v>11720</v>
      </c>
      <c r="U5097" t="s">
        <v>11720</v>
      </c>
      <c r="V5097" t="s">
        <v>11720</v>
      </c>
      <c r="W5097" t="s">
        <v>16760</v>
      </c>
      <c r="X5097">
        <v>5</v>
      </c>
      <c r="Y5097" t="s">
        <v>22466</v>
      </c>
      <c r="Z5097" t="s">
        <v>28304</v>
      </c>
      <c r="AA5097">
        <v>0.51773919496074172</v>
      </c>
      <c r="AB5097" t="str">
        <f>HYPERLINK("Melting_Curves/meltCurve_Q9H944_MED20.pdf", "Melting_Curves/meltCurve_Q9H944_MED20.pdf")</f>
        <v>Melting_Curves/meltCurve_Q9H944_MED20.pdf</v>
      </c>
    </row>
    <row r="5098" spans="1:28" x14ac:dyDescent="0.25">
      <c r="A5098" t="s">
        <v>5102</v>
      </c>
      <c r="B5098">
        <v>0.99334974765950101</v>
      </c>
      <c r="C5098">
        <v>1.00613249334579</v>
      </c>
      <c r="D5098">
        <v>1.0968958816058401</v>
      </c>
      <c r="E5098">
        <v>1.0132271055779201</v>
      </c>
      <c r="F5098">
        <v>1.02828617874108</v>
      </c>
      <c r="G5098">
        <v>0.94606132197005999</v>
      </c>
      <c r="H5098">
        <v>0.84803623069910095</v>
      </c>
      <c r="I5098">
        <v>0.84704953469752198</v>
      </c>
      <c r="J5098">
        <v>0.786792960913683</v>
      </c>
      <c r="K5098">
        <v>0.63804835623659795</v>
      </c>
      <c r="L5098">
        <v>751.51951727060703</v>
      </c>
      <c r="M5098">
        <v>10.1021344170542</v>
      </c>
      <c r="Q5098">
        <v>0</v>
      </c>
      <c r="R5098">
        <v>0.90307518660128605</v>
      </c>
      <c r="S5098" t="s">
        <v>10959</v>
      </c>
      <c r="T5098" t="s">
        <v>11720</v>
      </c>
      <c r="U5098" t="s">
        <v>11720</v>
      </c>
      <c r="V5098" t="s">
        <v>11720</v>
      </c>
      <c r="W5098" t="s">
        <v>16761</v>
      </c>
      <c r="X5098">
        <v>13</v>
      </c>
      <c r="Y5098" t="s">
        <v>22467</v>
      </c>
      <c r="Z5098" t="s">
        <v>28305</v>
      </c>
      <c r="AA5098">
        <v>0.92250417313140942</v>
      </c>
      <c r="AB5098" t="str">
        <f>HYPERLINK("Melting_Curves/meltCurve_Q9H974_QTRTD1.pdf", "Melting_Curves/meltCurve_Q9H974_QTRTD1.pdf")</f>
        <v>Melting_Curves/meltCurve_Q9H974_QTRTD1.pdf</v>
      </c>
    </row>
    <row r="5099" spans="1:28" x14ac:dyDescent="0.25">
      <c r="A5099" t="s">
        <v>5103</v>
      </c>
      <c r="B5099">
        <v>0.99334974765950101</v>
      </c>
      <c r="C5099">
        <v>0.93569716732828701</v>
      </c>
      <c r="D5099">
        <v>0.92753591604382302</v>
      </c>
      <c r="E5099">
        <v>0.75710648086462295</v>
      </c>
      <c r="F5099">
        <v>0.42324318588034798</v>
      </c>
      <c r="G5099">
        <v>0.18330112370135099</v>
      </c>
      <c r="H5099">
        <v>0.13130243803549199</v>
      </c>
      <c r="I5099">
        <v>0.133246882244586</v>
      </c>
      <c r="J5099">
        <v>8.8985543695254299E-2</v>
      </c>
      <c r="K5099">
        <v>7.1469639036075394E-2</v>
      </c>
      <c r="L5099">
        <v>1196.5702215117799</v>
      </c>
      <c r="M5099">
        <v>23.064189637098998</v>
      </c>
      <c r="N5099">
        <v>52.3388642933173</v>
      </c>
      <c r="O5099">
        <v>51.494716876400503</v>
      </c>
      <c r="P5099">
        <v>-0.101726165981518</v>
      </c>
      <c r="Q5099">
        <v>9.1533140105631905E-2</v>
      </c>
      <c r="R5099">
        <v>0.995274996401604</v>
      </c>
      <c r="S5099" t="s">
        <v>10960</v>
      </c>
      <c r="T5099" t="s">
        <v>11720</v>
      </c>
      <c r="U5099" t="s">
        <v>11720</v>
      </c>
      <c r="V5099" t="s">
        <v>11720</v>
      </c>
      <c r="W5099" t="s">
        <v>16762</v>
      </c>
      <c r="X5099">
        <v>7</v>
      </c>
      <c r="Y5099" t="s">
        <v>22468</v>
      </c>
      <c r="Z5099" t="s">
        <v>28306</v>
      </c>
      <c r="AA5099">
        <v>0.46094953370665659</v>
      </c>
      <c r="AB5099" t="str">
        <f>HYPERLINK("Melting_Curves/meltCurve_Q9H977_WDR54.pdf", "Melting_Curves/meltCurve_Q9H977_WDR54.pdf")</f>
        <v>Melting_Curves/meltCurve_Q9H977_WDR54.pdf</v>
      </c>
    </row>
    <row r="5100" spans="1:28" x14ac:dyDescent="0.25">
      <c r="A5100" t="s">
        <v>5104</v>
      </c>
      <c r="B5100">
        <v>0.99334974765950101</v>
      </c>
      <c r="C5100">
        <v>0.98003368466706198</v>
      </c>
      <c r="D5100">
        <v>0.83450070378679897</v>
      </c>
      <c r="E5100">
        <v>0.25400225588610098</v>
      </c>
      <c r="F5100">
        <v>0.18446124972644401</v>
      </c>
      <c r="G5100">
        <v>0.11637015604775</v>
      </c>
      <c r="H5100">
        <v>0.106119212201194</v>
      </c>
      <c r="I5100">
        <v>0.104587422803135</v>
      </c>
      <c r="J5100">
        <v>0.110628703556263</v>
      </c>
      <c r="K5100">
        <v>8.7290757444301495E-2</v>
      </c>
      <c r="L5100">
        <v>1693.80446439048</v>
      </c>
      <c r="M5100">
        <v>35.397152103736303</v>
      </c>
      <c r="N5100">
        <v>48.192446042101402</v>
      </c>
      <c r="O5100">
        <v>47.699481200992302</v>
      </c>
      <c r="P5100">
        <v>-0.16497013944215799</v>
      </c>
      <c r="Q5100">
        <v>0.11078009762810299</v>
      </c>
      <c r="R5100">
        <v>0.99773541238015095</v>
      </c>
      <c r="S5100" t="s">
        <v>10961</v>
      </c>
      <c r="T5100" t="s">
        <v>11720</v>
      </c>
      <c r="U5100" t="s">
        <v>11720</v>
      </c>
      <c r="V5100" t="s">
        <v>11720</v>
      </c>
      <c r="W5100" t="s">
        <v>16763</v>
      </c>
      <c r="X5100">
        <v>10</v>
      </c>
      <c r="Y5100" t="s">
        <v>22469</v>
      </c>
      <c r="Z5100" t="s">
        <v>28307</v>
      </c>
      <c r="AA5100">
        <v>0.34729247327332669</v>
      </c>
      <c r="AB5100" t="str">
        <f>HYPERLINK("Melting_Curves/meltCurve_Q9H993_C6orf211.pdf", "Melting_Curves/meltCurve_Q9H993_C6orf211.pdf")</f>
        <v>Melting_Curves/meltCurve_Q9H993_C6orf211.pdf</v>
      </c>
    </row>
    <row r="5101" spans="1:28" x14ac:dyDescent="0.25">
      <c r="A5101" t="s">
        <v>5105</v>
      </c>
      <c r="B5101">
        <v>0.99334974765950101</v>
      </c>
      <c r="C5101">
        <v>0.88476566522049704</v>
      </c>
      <c r="D5101">
        <v>0.81791151560112396</v>
      </c>
      <c r="E5101">
        <v>0.37358615481773699</v>
      </c>
      <c r="F5101">
        <v>0.13851347357052801</v>
      </c>
      <c r="G5101">
        <v>8.9661130192980706E-2</v>
      </c>
      <c r="H5101">
        <v>6.5638675187527307E-2</v>
      </c>
      <c r="I5101">
        <v>5.6288423095001497E-2</v>
      </c>
      <c r="J5101">
        <v>4.6344246776129097E-2</v>
      </c>
      <c r="K5101">
        <v>3.9383495954395699E-2</v>
      </c>
      <c r="L5101">
        <v>1114.8209861064399</v>
      </c>
      <c r="M5101">
        <v>22.968415742596498</v>
      </c>
      <c r="N5101">
        <v>48.744283622314398</v>
      </c>
      <c r="O5101">
        <v>48.173708986208702</v>
      </c>
      <c r="P5101">
        <v>-0.11365546725062101</v>
      </c>
      <c r="Q5101">
        <v>4.6499211543409802E-2</v>
      </c>
      <c r="R5101">
        <v>0.99497661792074299</v>
      </c>
      <c r="S5101" t="s">
        <v>10962</v>
      </c>
      <c r="T5101" t="s">
        <v>11720</v>
      </c>
      <c r="U5101" t="s">
        <v>11720</v>
      </c>
      <c r="V5101" t="s">
        <v>11720</v>
      </c>
      <c r="W5101" t="s">
        <v>16764</v>
      </c>
      <c r="X5101">
        <v>30</v>
      </c>
      <c r="Y5101" t="s">
        <v>22470</v>
      </c>
      <c r="Z5101" t="s">
        <v>28308</v>
      </c>
      <c r="AA5101">
        <v>0.32790144176282982</v>
      </c>
      <c r="AB5101" t="str">
        <f>HYPERLINK("Melting_Curves/meltCurve_Q9H9A6_LRRC40.pdf", "Melting_Curves/meltCurve_Q9H9A6_LRRC40.pdf")</f>
        <v>Melting_Curves/meltCurve_Q9H9A6_LRRC40.pdf</v>
      </c>
    </row>
    <row r="5102" spans="1:28" x14ac:dyDescent="0.25">
      <c r="A5102" t="s">
        <v>5106</v>
      </c>
      <c r="B5102">
        <v>0.99334974765950101</v>
      </c>
      <c r="C5102">
        <v>0.85553430095247796</v>
      </c>
      <c r="D5102">
        <v>0.70520419113408594</v>
      </c>
      <c r="E5102">
        <v>0.68974020782742096</v>
      </c>
      <c r="F5102">
        <v>0.64087675473059702</v>
      </c>
      <c r="G5102">
        <v>0.53772633104175604</v>
      </c>
      <c r="H5102">
        <v>0.52774623501596896</v>
      </c>
      <c r="I5102">
        <v>0.521925279244838</v>
      </c>
      <c r="J5102">
        <v>0.73120878357337604</v>
      </c>
      <c r="K5102">
        <v>0.42336752389719501</v>
      </c>
      <c r="L5102">
        <v>633.42285248142798</v>
      </c>
      <c r="M5102">
        <v>13.908672920693901</v>
      </c>
      <c r="O5102">
        <v>44.631123724970301</v>
      </c>
      <c r="P5102">
        <v>-3.5367011311949199E-2</v>
      </c>
      <c r="Q5102">
        <v>0.54610904819643202</v>
      </c>
      <c r="R5102">
        <v>0.77314838551479104</v>
      </c>
      <c r="S5102" t="s">
        <v>10963</v>
      </c>
      <c r="T5102" t="s">
        <v>11720</v>
      </c>
      <c r="U5102" t="s">
        <v>11720</v>
      </c>
      <c r="V5102" t="s">
        <v>11720</v>
      </c>
      <c r="W5102" t="s">
        <v>16765</v>
      </c>
      <c r="X5102">
        <v>1</v>
      </c>
      <c r="Y5102" t="s">
        <v>22471</v>
      </c>
      <c r="Z5102" t="s">
        <v>28309</v>
      </c>
      <c r="AA5102">
        <v>0.64609304101414766</v>
      </c>
      <c r="AB5102" t="str">
        <f>HYPERLINK("Melting_Curves/meltCurve_Q9H9B1_4_EHMT1.pdf", "Melting_Curves/meltCurve_Q9H9B1_4_EHMT1.pdf")</f>
        <v>Melting_Curves/meltCurve_Q9H9B1_4_EHMT1.pdf</v>
      </c>
    </row>
    <row r="5103" spans="1:28" x14ac:dyDescent="0.25">
      <c r="A5103" t="s">
        <v>5107</v>
      </c>
      <c r="B5103">
        <v>0.99334974765950101</v>
      </c>
      <c r="C5103">
        <v>0.845547304035146</v>
      </c>
      <c r="D5103">
        <v>0.79357057110571605</v>
      </c>
      <c r="E5103">
        <v>0.94100462249043304</v>
      </c>
      <c r="F5103">
        <v>0.98949574999813505</v>
      </c>
      <c r="G5103">
        <v>0.38160747424300001</v>
      </c>
      <c r="H5103">
        <v>0.215177316173433</v>
      </c>
      <c r="I5103">
        <v>0.17944146595330401</v>
      </c>
      <c r="J5103">
        <v>0.15010344799698699</v>
      </c>
      <c r="K5103">
        <v>0.114938460088712</v>
      </c>
      <c r="L5103">
        <v>3454.9635187666199</v>
      </c>
      <c r="M5103">
        <v>61.632423328369498</v>
      </c>
      <c r="N5103">
        <v>56.418183460872299</v>
      </c>
      <c r="O5103">
        <v>55.998612497737099</v>
      </c>
      <c r="P5103">
        <v>-0.230356421423694</v>
      </c>
      <c r="Q5103">
        <v>0.162801643339193</v>
      </c>
      <c r="R5103">
        <v>0.94296422495311905</v>
      </c>
      <c r="S5103" t="s">
        <v>10964</v>
      </c>
      <c r="T5103" t="s">
        <v>11720</v>
      </c>
      <c r="U5103" t="s">
        <v>11720</v>
      </c>
      <c r="V5103" t="s">
        <v>11720</v>
      </c>
      <c r="W5103" t="s">
        <v>16766</v>
      </c>
      <c r="X5103">
        <v>12</v>
      </c>
      <c r="Y5103" t="s">
        <v>22472</v>
      </c>
      <c r="Z5103" t="s">
        <v>28310</v>
      </c>
      <c r="AA5103">
        <v>0.61227350999308006</v>
      </c>
      <c r="AB5103" t="str">
        <f>HYPERLINK("Melting_Curves/meltCurve_Q9H9B4_SFXN1.pdf", "Melting_Curves/meltCurve_Q9H9B4_SFXN1.pdf")</f>
        <v>Melting_Curves/meltCurve_Q9H9B4_SFXN1.pdf</v>
      </c>
    </row>
    <row r="5104" spans="1:28" x14ac:dyDescent="0.25">
      <c r="A5104" t="s">
        <v>5108</v>
      </c>
      <c r="B5104">
        <v>0.99334974765950101</v>
      </c>
      <c r="C5104">
        <v>0.98735479559969197</v>
      </c>
      <c r="D5104">
        <v>1.04280766827699</v>
      </c>
      <c r="E5104">
        <v>0.66946256817934902</v>
      </c>
      <c r="F5104">
        <v>0.207893600293138</v>
      </c>
      <c r="G5104">
        <v>0.105628701295143</v>
      </c>
      <c r="H5104">
        <v>7.7962826220763101E-2</v>
      </c>
      <c r="I5104">
        <v>6.3440555792895204E-2</v>
      </c>
      <c r="J5104">
        <v>5.71413478753773E-2</v>
      </c>
      <c r="K5104">
        <v>4.9270972501524402E-2</v>
      </c>
      <c r="L5104">
        <v>2120.2312192295599</v>
      </c>
      <c r="M5104">
        <v>41.777050682302303</v>
      </c>
      <c r="N5104">
        <v>50.931798619035199</v>
      </c>
      <c r="O5104">
        <v>50.635229045920198</v>
      </c>
      <c r="P5104">
        <v>-0.19205764854056201</v>
      </c>
      <c r="Q5104">
        <v>6.8879622729577206E-2</v>
      </c>
      <c r="R5104">
        <v>0.99735299551069601</v>
      </c>
      <c r="S5104" t="s">
        <v>10965</v>
      </c>
      <c r="T5104" t="s">
        <v>11720</v>
      </c>
      <c r="U5104" t="s">
        <v>11720</v>
      </c>
      <c r="V5104" t="s">
        <v>11720</v>
      </c>
      <c r="W5104" t="s">
        <v>16767</v>
      </c>
      <c r="X5104">
        <v>4</v>
      </c>
      <c r="Y5104" t="s">
        <v>22473</v>
      </c>
      <c r="Z5104" t="s">
        <v>28311</v>
      </c>
      <c r="AA5104">
        <v>0.40555779693063881</v>
      </c>
      <c r="AB5104" t="str">
        <f>HYPERLINK("Melting_Curves/meltCurve_Q9H9H4_VPS37B.pdf", "Melting_Curves/meltCurve_Q9H9H4_VPS37B.pdf")</f>
        <v>Melting_Curves/meltCurve_Q9H9H4_VPS37B.pdf</v>
      </c>
    </row>
    <row r="5105" spans="1:28" x14ac:dyDescent="0.25">
      <c r="A5105" t="s">
        <v>5109</v>
      </c>
      <c r="B5105">
        <v>0.99334974765950101</v>
      </c>
      <c r="C5105">
        <v>0.97695787481710805</v>
      </c>
      <c r="D5105">
        <v>0.88718788808474303</v>
      </c>
      <c r="E5105">
        <v>0.79834959902256097</v>
      </c>
      <c r="F5105">
        <v>0.58937103861929496</v>
      </c>
      <c r="G5105">
        <v>0.16121561505089099</v>
      </c>
      <c r="H5105">
        <v>0.11615963731008</v>
      </c>
      <c r="I5105">
        <v>7.9202468799992307E-2</v>
      </c>
      <c r="J5105">
        <v>0.15881866698577901</v>
      </c>
      <c r="K5105">
        <v>0.12909399660027901</v>
      </c>
      <c r="L5105">
        <v>1328.5840001966101</v>
      </c>
      <c r="M5105">
        <v>25.151148261818001</v>
      </c>
      <c r="N5105">
        <v>53.303531175100701</v>
      </c>
      <c r="O5105">
        <v>52.493445676027697</v>
      </c>
      <c r="P5105">
        <v>-0.10765595304429799</v>
      </c>
      <c r="Q5105">
        <v>0.10124855513103299</v>
      </c>
      <c r="R5105">
        <v>0.98462051062126499</v>
      </c>
      <c r="S5105" t="s">
        <v>10966</v>
      </c>
      <c r="T5105" t="s">
        <v>11720</v>
      </c>
      <c r="U5105" t="s">
        <v>11720</v>
      </c>
      <c r="V5105" t="s">
        <v>11720</v>
      </c>
      <c r="W5105" t="s">
        <v>16768</v>
      </c>
      <c r="X5105">
        <v>12</v>
      </c>
      <c r="Y5105" t="s">
        <v>22474</v>
      </c>
      <c r="Z5105" t="s">
        <v>28312</v>
      </c>
      <c r="AA5105">
        <v>0.49360530413065429</v>
      </c>
      <c r="AB5105" t="str">
        <f>HYPERLINK("Melting_Curves/meltCurve_Q9H9S4_CAB39L.pdf", "Melting_Curves/meltCurve_Q9H9S4_CAB39L.pdf")</f>
        <v>Melting_Curves/meltCurve_Q9H9S4_CAB39L.pdf</v>
      </c>
    </row>
    <row r="5106" spans="1:28" x14ac:dyDescent="0.25">
      <c r="A5106" t="s">
        <v>5110</v>
      </c>
      <c r="B5106">
        <v>0.99334974765950101</v>
      </c>
      <c r="C5106">
        <v>0.910456946524692</v>
      </c>
      <c r="D5106">
        <v>0.73174446434782103</v>
      </c>
      <c r="E5106">
        <v>0.391955579830715</v>
      </c>
      <c r="F5106">
        <v>0.28789668348262798</v>
      </c>
      <c r="G5106">
        <v>0.26992306397219401</v>
      </c>
      <c r="H5106">
        <v>0.123797859980273</v>
      </c>
      <c r="I5106">
        <v>7.4103971407417799E-2</v>
      </c>
      <c r="J5106">
        <v>5.3581723811066899E-2</v>
      </c>
      <c r="K5106">
        <v>2.8872216487621099E-2</v>
      </c>
      <c r="L5106">
        <v>679.05010271439596</v>
      </c>
      <c r="M5106">
        <v>13.8808840792986</v>
      </c>
      <c r="N5106">
        <v>49.311147062185597</v>
      </c>
      <c r="O5106">
        <v>47.938043124542503</v>
      </c>
      <c r="P5106">
        <v>-6.8623602352922197E-2</v>
      </c>
      <c r="Q5106">
        <v>5.2155474082841199E-2</v>
      </c>
      <c r="R5106">
        <v>0.98429618771095695</v>
      </c>
      <c r="S5106" t="s">
        <v>10967</v>
      </c>
      <c r="T5106" t="s">
        <v>11720</v>
      </c>
      <c r="U5106" t="s">
        <v>11720</v>
      </c>
      <c r="V5106" t="s">
        <v>11720</v>
      </c>
      <c r="W5106" t="s">
        <v>16769</v>
      </c>
      <c r="X5106">
        <v>5</v>
      </c>
      <c r="Y5106" t="s">
        <v>22475</v>
      </c>
      <c r="Z5106" t="s">
        <v>28313</v>
      </c>
      <c r="AA5106">
        <v>0.36107436431760659</v>
      </c>
      <c r="AB5106" t="str">
        <f>HYPERLINK("Melting_Curves/meltCurve_Q9H9V9_2_JMJD4.pdf", "Melting_Curves/meltCurve_Q9H9V9_2_JMJD4.pdf")</f>
        <v>Melting_Curves/meltCurve_Q9H9V9_2_JMJD4.pdf</v>
      </c>
    </row>
    <row r="5107" spans="1:28" x14ac:dyDescent="0.25">
      <c r="A5107" t="s">
        <v>5111</v>
      </c>
      <c r="B5107">
        <v>0.99334974765950101</v>
      </c>
      <c r="C5107">
        <v>1.03619815038545</v>
      </c>
      <c r="D5107">
        <v>1.05777775551232</v>
      </c>
      <c r="E5107">
        <v>1.38903114247404</v>
      </c>
      <c r="F5107">
        <v>1.14299241063833</v>
      </c>
      <c r="G5107">
        <v>1.13327639643318</v>
      </c>
      <c r="H5107">
        <v>0.89960318752566004</v>
      </c>
      <c r="I5107">
        <v>0.71890208420693502</v>
      </c>
      <c r="J5107">
        <v>0.29272390724226799</v>
      </c>
      <c r="K5107">
        <v>0.212262614652974</v>
      </c>
      <c r="L5107">
        <v>3036.8186887585898</v>
      </c>
      <c r="M5107">
        <v>46.914645616970098</v>
      </c>
      <c r="N5107">
        <v>65.332877375562802</v>
      </c>
      <c r="O5107">
        <v>64.613438022461196</v>
      </c>
      <c r="P5107">
        <v>-0.14965909752141299</v>
      </c>
      <c r="Q5107">
        <v>0.175525902848292</v>
      </c>
      <c r="R5107">
        <v>0.84425189117851496</v>
      </c>
      <c r="S5107" t="s">
        <v>10968</v>
      </c>
      <c r="T5107" t="s">
        <v>11720</v>
      </c>
      <c r="U5107" t="s">
        <v>11720</v>
      </c>
      <c r="V5107" t="s">
        <v>11720</v>
      </c>
      <c r="W5107" t="s">
        <v>16770</v>
      </c>
      <c r="X5107">
        <v>2</v>
      </c>
      <c r="Y5107" t="s">
        <v>22476</v>
      </c>
      <c r="Z5107" t="s">
        <v>28314</v>
      </c>
      <c r="AA5107">
        <v>0.856520272991798</v>
      </c>
      <c r="AB5107" t="str">
        <f>HYPERLINK("Melting_Curves/meltCurve_Q9H9Y4_GPN2.pdf", "Melting_Curves/meltCurve_Q9H9Y4_GPN2.pdf")</f>
        <v>Melting_Curves/meltCurve_Q9H9Y4_GPN2.pdf</v>
      </c>
    </row>
    <row r="5108" spans="1:28" x14ac:dyDescent="0.25">
      <c r="A5108" t="s">
        <v>5112</v>
      </c>
      <c r="B5108">
        <v>0.99334974765950101</v>
      </c>
      <c r="C5108">
        <v>1.0143603147518101</v>
      </c>
      <c r="D5108">
        <v>0.97268790468854904</v>
      </c>
      <c r="E5108">
        <v>0.91329442042168696</v>
      </c>
      <c r="F5108">
        <v>0.89816645225353298</v>
      </c>
      <c r="G5108">
        <v>0.705086832267664</v>
      </c>
      <c r="H5108">
        <v>0.61542112046471797</v>
      </c>
      <c r="I5108">
        <v>0.47738628836171498</v>
      </c>
      <c r="J5108">
        <v>0.27560078971079099</v>
      </c>
      <c r="K5108">
        <v>0.13886282997384899</v>
      </c>
      <c r="L5108">
        <v>767.933241709453</v>
      </c>
      <c r="M5108">
        <v>12.327000163081999</v>
      </c>
      <c r="N5108">
        <v>62.296846914016697</v>
      </c>
      <c r="O5108">
        <v>60.7254607221236</v>
      </c>
      <c r="P5108">
        <v>-5.07599140725562E-2</v>
      </c>
      <c r="Q5108">
        <v>0</v>
      </c>
      <c r="R5108">
        <v>0.98230038474119596</v>
      </c>
      <c r="S5108" t="s">
        <v>10969</v>
      </c>
      <c r="T5108" t="s">
        <v>11720</v>
      </c>
      <c r="U5108" t="s">
        <v>11720</v>
      </c>
      <c r="V5108" t="s">
        <v>11720</v>
      </c>
      <c r="W5108" t="s">
        <v>16771</v>
      </c>
      <c r="X5108">
        <v>15</v>
      </c>
      <c r="Y5108" t="s">
        <v>22477</v>
      </c>
      <c r="Z5108" t="s">
        <v>28315</v>
      </c>
      <c r="AA5108">
        <v>0.73081697634101139</v>
      </c>
      <c r="AB5108" t="str">
        <f>HYPERLINK("Melting_Curves/meltCurve_Q9HA64_FN3KRP.pdf", "Melting_Curves/meltCurve_Q9HA64_FN3KRP.pdf")</f>
        <v>Melting_Curves/meltCurve_Q9HA64_FN3KRP.pdf</v>
      </c>
    </row>
    <row r="5109" spans="1:28" x14ac:dyDescent="0.25">
      <c r="A5109" t="s">
        <v>5113</v>
      </c>
      <c r="B5109">
        <v>0.99334974765950101</v>
      </c>
      <c r="C5109">
        <v>0.95491295833684497</v>
      </c>
      <c r="D5109">
        <v>1.0634042080347701</v>
      </c>
      <c r="E5109">
        <v>0.77751083916837604</v>
      </c>
      <c r="F5109">
        <v>0.21391225491162399</v>
      </c>
      <c r="G5109">
        <v>0.135150417507819</v>
      </c>
      <c r="H5109">
        <v>9.4681823059065195E-2</v>
      </c>
      <c r="I5109">
        <v>7.6349645435832003E-2</v>
      </c>
      <c r="J5109">
        <v>6.0394027998012301E-2</v>
      </c>
      <c r="K5109">
        <v>4.92853901725658E-2</v>
      </c>
      <c r="L5109">
        <v>2574.6319808419398</v>
      </c>
      <c r="M5109">
        <v>50.343596230451404</v>
      </c>
      <c r="N5109">
        <v>51.323013584264601</v>
      </c>
      <c r="O5109">
        <v>51.060698837243102</v>
      </c>
      <c r="P5109">
        <v>-0.22635828654251899</v>
      </c>
      <c r="Q5109">
        <v>8.1670451344411005E-2</v>
      </c>
      <c r="R5109">
        <v>0.99402454345546798</v>
      </c>
      <c r="S5109" t="s">
        <v>10970</v>
      </c>
      <c r="T5109" t="s">
        <v>11720</v>
      </c>
      <c r="U5109" t="s">
        <v>11720</v>
      </c>
      <c r="V5109" t="s">
        <v>11720</v>
      </c>
      <c r="W5109" t="s">
        <v>16772</v>
      </c>
      <c r="X5109">
        <v>12</v>
      </c>
      <c r="Y5109" t="s">
        <v>22478</v>
      </c>
      <c r="Z5109" t="s">
        <v>28316</v>
      </c>
      <c r="AA5109">
        <v>0.42475681343610222</v>
      </c>
      <c r="AB5109" t="str">
        <f>HYPERLINK("Melting_Curves/meltCurve_Q9HA65_TBC1D17.pdf", "Melting_Curves/meltCurve_Q9HA65_TBC1D17.pdf")</f>
        <v>Melting_Curves/meltCurve_Q9HA65_TBC1D17.pdf</v>
      </c>
    </row>
    <row r="5110" spans="1:28" x14ac:dyDescent="0.25">
      <c r="A5110" t="s">
        <v>5114</v>
      </c>
      <c r="B5110">
        <v>0.99334974765950101</v>
      </c>
      <c r="C5110">
        <v>0.99078852419312302</v>
      </c>
      <c r="D5110">
        <v>1.0859242921946399</v>
      </c>
      <c r="E5110">
        <v>0.993218431751279</v>
      </c>
      <c r="F5110">
        <v>0.89017971201693802</v>
      </c>
      <c r="G5110">
        <v>0.75730117398441898</v>
      </c>
      <c r="H5110">
        <v>0.53472819529431403</v>
      </c>
      <c r="I5110">
        <v>0.30729883915296202</v>
      </c>
      <c r="J5110">
        <v>0.230771031309044</v>
      </c>
      <c r="K5110">
        <v>0.18284641284341499</v>
      </c>
      <c r="L5110">
        <v>1053.92716311098</v>
      </c>
      <c r="M5110">
        <v>17.482707316154499</v>
      </c>
      <c r="N5110">
        <v>61.056055971829799</v>
      </c>
      <c r="O5110">
        <v>59.511828088787098</v>
      </c>
      <c r="P5110">
        <v>-6.6162485646497293E-2</v>
      </c>
      <c r="Q5110">
        <v>9.9171017024271405E-2</v>
      </c>
      <c r="R5110">
        <v>0.98940875182214505</v>
      </c>
      <c r="S5110" t="s">
        <v>10971</v>
      </c>
      <c r="T5110" t="s">
        <v>11720</v>
      </c>
      <c r="U5110" t="s">
        <v>11720</v>
      </c>
      <c r="V5110" t="s">
        <v>11720</v>
      </c>
      <c r="W5110" t="s">
        <v>16773</v>
      </c>
      <c r="X5110">
        <v>18</v>
      </c>
      <c r="Y5110" t="s">
        <v>22479</v>
      </c>
      <c r="Z5110" t="s">
        <v>28317</v>
      </c>
      <c r="AA5110">
        <v>0.71485392860962127</v>
      </c>
      <c r="AB5110" t="str">
        <f>HYPERLINK("Melting_Curves/meltCurve_Q9HA77_CARS2.pdf", "Melting_Curves/meltCurve_Q9HA77_CARS2.pdf")</f>
        <v>Melting_Curves/meltCurve_Q9HA77_CARS2.pdf</v>
      </c>
    </row>
    <row r="5111" spans="1:28" x14ac:dyDescent="0.25">
      <c r="A5111" t="s">
        <v>5115</v>
      </c>
      <c r="B5111">
        <v>0.99334974765950101</v>
      </c>
      <c r="C5111">
        <v>0.96701673241032804</v>
      </c>
      <c r="D5111">
        <v>0.99128988590754996</v>
      </c>
      <c r="E5111">
        <v>0.81354136677376698</v>
      </c>
      <c r="F5111">
        <v>0.373149461100376</v>
      </c>
      <c r="G5111">
        <v>0.14008295915804</v>
      </c>
      <c r="H5111">
        <v>9.9228745743495397E-2</v>
      </c>
      <c r="I5111">
        <v>8.2317657838116107E-2</v>
      </c>
      <c r="J5111">
        <v>7.2844303465434995E-2</v>
      </c>
      <c r="K5111">
        <v>5.4985632471528198E-2</v>
      </c>
      <c r="L5111">
        <v>1794.5951537369201</v>
      </c>
      <c r="M5111">
        <v>34.569403030055703</v>
      </c>
      <c r="N5111">
        <v>52.173136653205297</v>
      </c>
      <c r="O5111">
        <v>51.740021444896499</v>
      </c>
      <c r="P5111">
        <v>-0.153803255897492</v>
      </c>
      <c r="Q5111">
        <v>7.9214150531539407E-2</v>
      </c>
      <c r="R5111">
        <v>0.99846602971709297</v>
      </c>
      <c r="S5111" t="s">
        <v>10972</v>
      </c>
      <c r="T5111" t="s">
        <v>11720</v>
      </c>
      <c r="U5111" t="s">
        <v>11720</v>
      </c>
      <c r="V5111" t="s">
        <v>11720</v>
      </c>
      <c r="W5111" t="s">
        <v>16774</v>
      </c>
      <c r="X5111">
        <v>11</v>
      </c>
      <c r="Y5111" t="s">
        <v>22480</v>
      </c>
      <c r="Z5111" t="s">
        <v>28318</v>
      </c>
      <c r="AA5111">
        <v>0.44927997876836312</v>
      </c>
      <c r="AB5111" t="str">
        <f>HYPERLINK("Melting_Curves/meltCurve_Q9HAB8_PPCS.pdf", "Melting_Curves/meltCurve_Q9HAB8_PPCS.pdf")</f>
        <v>Melting_Curves/meltCurve_Q9HAB8_PPCS.pdf</v>
      </c>
    </row>
    <row r="5112" spans="1:28" x14ac:dyDescent="0.25">
      <c r="A5112" t="s">
        <v>5116</v>
      </c>
      <c r="B5112">
        <v>0.99334974765950101</v>
      </c>
      <c r="C5112">
        <v>0.93311589016173502</v>
      </c>
      <c r="D5112">
        <v>0.89629099192155404</v>
      </c>
      <c r="E5112">
        <v>0.65328124163475099</v>
      </c>
      <c r="F5112">
        <v>0.38844115181643402</v>
      </c>
      <c r="G5112">
        <v>0.18094245377078799</v>
      </c>
      <c r="H5112">
        <v>7.5494710062019701E-2</v>
      </c>
      <c r="I5112">
        <v>5.8493102089805599E-2</v>
      </c>
      <c r="J5112">
        <v>5.2958365481987901E-2</v>
      </c>
      <c r="K5112">
        <v>5.3048370855347401E-2</v>
      </c>
      <c r="L5112">
        <v>915.45424253510396</v>
      </c>
      <c r="M5112">
        <v>17.786497615537801</v>
      </c>
      <c r="N5112">
        <v>51.668192984864</v>
      </c>
      <c r="O5112">
        <v>50.831678421961897</v>
      </c>
      <c r="P5112">
        <v>-8.4583901070289E-2</v>
      </c>
      <c r="Q5112">
        <v>3.3127395592624703E-2</v>
      </c>
      <c r="R5112">
        <v>0.99849776293942505</v>
      </c>
      <c r="S5112" t="s">
        <v>10973</v>
      </c>
      <c r="T5112" t="s">
        <v>11720</v>
      </c>
      <c r="U5112" t="s">
        <v>11720</v>
      </c>
      <c r="V5112" t="s">
        <v>11720</v>
      </c>
      <c r="W5112" t="s">
        <v>16775</v>
      </c>
      <c r="X5112">
        <v>9</v>
      </c>
      <c r="Y5112" t="s">
        <v>22481</v>
      </c>
      <c r="Z5112" t="s">
        <v>28319</v>
      </c>
      <c r="AA5112">
        <v>0.41930768299586862</v>
      </c>
      <c r="AB5112" t="str">
        <f>HYPERLINK("Melting_Curves/meltCurve_Q9HAD4_WDR41.pdf", "Melting_Curves/meltCurve_Q9HAD4_WDR41.pdf")</f>
        <v>Melting_Curves/meltCurve_Q9HAD4_WDR41.pdf</v>
      </c>
    </row>
    <row r="5113" spans="1:28" x14ac:dyDescent="0.25">
      <c r="A5113" t="s">
        <v>5117</v>
      </c>
      <c r="B5113">
        <v>0.99334974765950101</v>
      </c>
      <c r="C5113">
        <v>0.954057775037077</v>
      </c>
      <c r="D5113">
        <v>0.85842392246707699</v>
      </c>
      <c r="E5113">
        <v>0.83471979832691801</v>
      </c>
      <c r="F5113">
        <v>0.67969006814458399</v>
      </c>
      <c r="G5113">
        <v>0.57880397162525898</v>
      </c>
      <c r="H5113">
        <v>0.52081932554412702</v>
      </c>
      <c r="I5113">
        <v>0.38725910806039998</v>
      </c>
      <c r="J5113">
        <v>0.32232829618895098</v>
      </c>
      <c r="K5113">
        <v>0.21981542623727601</v>
      </c>
      <c r="L5113">
        <v>429.78670860632002</v>
      </c>
      <c r="M5113">
        <v>7.1826577317690896</v>
      </c>
      <c r="N5113">
        <v>59.836748369800397</v>
      </c>
      <c r="O5113">
        <v>55.719828636600802</v>
      </c>
      <c r="P5113">
        <v>-3.2281022362771299E-2</v>
      </c>
      <c r="Q5113">
        <v>0</v>
      </c>
      <c r="R5113">
        <v>0.98644393720647405</v>
      </c>
      <c r="S5113" t="s">
        <v>10974</v>
      </c>
      <c r="T5113" t="s">
        <v>11720</v>
      </c>
      <c r="U5113" t="s">
        <v>11720</v>
      </c>
      <c r="V5113" t="s">
        <v>11720</v>
      </c>
      <c r="W5113" t="s">
        <v>16776</v>
      </c>
      <c r="X5113">
        <v>9</v>
      </c>
      <c r="Y5113" t="s">
        <v>22482</v>
      </c>
      <c r="Z5113" t="s">
        <v>28320</v>
      </c>
      <c r="AA5113">
        <v>0.64137751185442637</v>
      </c>
      <c r="AB5113" t="str">
        <f>HYPERLINK("Melting_Curves/meltCurve_Q9HAT2_2_SIAE.pdf", "Melting_Curves/meltCurve_Q9HAT2_2_SIAE.pdf")</f>
        <v>Melting_Curves/meltCurve_Q9HAT2_2_SIAE.pdf</v>
      </c>
    </row>
    <row r="5114" spans="1:28" x14ac:dyDescent="0.25">
      <c r="A5114" t="s">
        <v>5118</v>
      </c>
      <c r="B5114">
        <v>0.99334974765950101</v>
      </c>
      <c r="C5114">
        <v>0.90619430852310601</v>
      </c>
      <c r="D5114">
        <v>0.80712945680485904</v>
      </c>
      <c r="E5114">
        <v>0.64821583425502505</v>
      </c>
      <c r="F5114">
        <v>0.55903254969121197</v>
      </c>
      <c r="G5114">
        <v>0.37706123780808398</v>
      </c>
      <c r="H5114">
        <v>0.32331397387634297</v>
      </c>
      <c r="I5114">
        <v>0.29072192565622801</v>
      </c>
      <c r="J5114">
        <v>0.30392723214544098</v>
      </c>
      <c r="K5114">
        <v>0.269449322651303</v>
      </c>
      <c r="L5114">
        <v>590.25710085466505</v>
      </c>
      <c r="M5114">
        <v>11.648966371275099</v>
      </c>
      <c r="N5114">
        <v>53.679312357486303</v>
      </c>
      <c r="O5114">
        <v>49.2461626634136</v>
      </c>
      <c r="P5114">
        <v>-4.4970392890598503E-2</v>
      </c>
      <c r="Q5114">
        <v>0.23975343106719299</v>
      </c>
      <c r="R5114">
        <v>0.99477664363395701</v>
      </c>
      <c r="S5114" t="s">
        <v>10975</v>
      </c>
      <c r="T5114" t="s">
        <v>11720</v>
      </c>
      <c r="U5114" t="s">
        <v>11720</v>
      </c>
      <c r="V5114" t="s">
        <v>11720</v>
      </c>
      <c r="W5114" t="s">
        <v>16777</v>
      </c>
      <c r="X5114">
        <v>14</v>
      </c>
      <c r="Y5114" t="s">
        <v>22483</v>
      </c>
      <c r="Z5114" t="s">
        <v>28321</v>
      </c>
      <c r="AA5114">
        <v>0.53657008327733025</v>
      </c>
      <c r="AB5114" t="str">
        <f>HYPERLINK("Melting_Curves/meltCurve_Q9HAU0_PLEKHA5.pdf", "Melting_Curves/meltCurve_Q9HAU0_PLEKHA5.pdf")</f>
        <v>Melting_Curves/meltCurve_Q9HAU0_PLEKHA5.pdf</v>
      </c>
    </row>
    <row r="5115" spans="1:28" x14ac:dyDescent="0.25">
      <c r="A5115" t="s">
        <v>5119</v>
      </c>
      <c r="B5115">
        <v>0.99334974765950101</v>
      </c>
      <c r="C5115">
        <v>1.0542958816365999</v>
      </c>
      <c r="D5115">
        <v>0.957816162222071</v>
      </c>
      <c r="E5115">
        <v>0.55632543991473105</v>
      </c>
      <c r="F5115">
        <v>0.46410123343651799</v>
      </c>
      <c r="G5115">
        <v>0.49952168554520099</v>
      </c>
      <c r="H5115">
        <v>0.47535366537386398</v>
      </c>
      <c r="I5115">
        <v>0.34702075999648202</v>
      </c>
      <c r="J5115">
        <v>0.411958432992442</v>
      </c>
      <c r="K5115">
        <v>0.44759998239858501</v>
      </c>
      <c r="L5115">
        <v>2180.1653679675401</v>
      </c>
      <c r="M5115">
        <v>44.892581991589303</v>
      </c>
      <c r="N5115">
        <v>50.936272046855997</v>
      </c>
      <c r="O5115">
        <v>48.467973965882798</v>
      </c>
      <c r="P5115">
        <v>-0.13008894644935501</v>
      </c>
      <c r="Q5115">
        <v>0.43820211289018801</v>
      </c>
      <c r="R5115">
        <v>0.97325220258854805</v>
      </c>
      <c r="S5115" t="s">
        <v>10976</v>
      </c>
      <c r="T5115" t="s">
        <v>11720</v>
      </c>
      <c r="U5115" t="s">
        <v>11720</v>
      </c>
      <c r="V5115" t="s">
        <v>11720</v>
      </c>
      <c r="W5115" t="s">
        <v>16778</v>
      </c>
      <c r="X5115">
        <v>1</v>
      </c>
      <c r="Y5115" t="s">
        <v>22484</v>
      </c>
      <c r="Z5115" t="s">
        <v>28322</v>
      </c>
      <c r="AA5115">
        <v>0.60007328263371906</v>
      </c>
      <c r="AB5115" t="str">
        <f>HYPERLINK("Melting_Curves/meltCurve_Q9HAU4_SMURF2.pdf", "Melting_Curves/meltCurve_Q9HAU4_SMURF2.pdf")</f>
        <v>Melting_Curves/meltCurve_Q9HAU4_SMURF2.pdf</v>
      </c>
    </row>
    <row r="5116" spans="1:28" x14ac:dyDescent="0.25">
      <c r="A5116" t="s">
        <v>5120</v>
      </c>
      <c r="B5116">
        <v>0.99334974765950101</v>
      </c>
      <c r="C5116">
        <v>0.97055345320344799</v>
      </c>
      <c r="D5116">
        <v>0.98218427694249599</v>
      </c>
      <c r="E5116">
        <v>0.63077101926979795</v>
      </c>
      <c r="F5116">
        <v>0.28144007561926099</v>
      </c>
      <c r="G5116">
        <v>0.19040724672534401</v>
      </c>
      <c r="H5116">
        <v>0.155556709390406</v>
      </c>
      <c r="I5116">
        <v>7.6301996823266993E-2</v>
      </c>
      <c r="J5116">
        <v>6.8286719075493996E-2</v>
      </c>
      <c r="K5116">
        <v>7.8361967705619401E-2</v>
      </c>
      <c r="L5116">
        <v>1436.1613887056601</v>
      </c>
      <c r="M5116">
        <v>28.353011569830102</v>
      </c>
      <c r="N5116">
        <v>51.059103423809503</v>
      </c>
      <c r="O5116">
        <v>50.402901410287797</v>
      </c>
      <c r="P5116">
        <v>-0.126432891138231</v>
      </c>
      <c r="Q5116">
        <v>0.100972731677009</v>
      </c>
      <c r="R5116">
        <v>0.99373365697385296</v>
      </c>
      <c r="S5116" t="s">
        <v>10977</v>
      </c>
      <c r="T5116" t="s">
        <v>11720</v>
      </c>
      <c r="U5116" t="s">
        <v>11720</v>
      </c>
      <c r="V5116" t="s">
        <v>11720</v>
      </c>
      <c r="W5116" t="s">
        <v>16779</v>
      </c>
      <c r="X5116">
        <v>2</v>
      </c>
      <c r="Y5116" t="s">
        <v>22485</v>
      </c>
      <c r="Z5116" t="s">
        <v>28323</v>
      </c>
      <c r="AA5116">
        <v>0.42650829734442391</v>
      </c>
      <c r="AB5116" t="str">
        <f>HYPERLINK("Melting_Curves/meltCurve_Q9HAU8_RNPEPL1.pdf", "Melting_Curves/meltCurve_Q9HAU8_RNPEPL1.pdf")</f>
        <v>Melting_Curves/meltCurve_Q9HAU8_RNPEPL1.pdf</v>
      </c>
    </row>
    <row r="5117" spans="1:28" x14ac:dyDescent="0.25">
      <c r="A5117" t="s">
        <v>5121</v>
      </c>
      <c r="B5117">
        <v>0.99334974765950101</v>
      </c>
      <c r="C5117">
        <v>0.96668738283767297</v>
      </c>
      <c r="D5117">
        <v>0.97457932652440804</v>
      </c>
      <c r="E5117">
        <v>1.1447905727351899</v>
      </c>
      <c r="F5117">
        <v>0.99574712207027505</v>
      </c>
      <c r="G5117">
        <v>0.43915977670343098</v>
      </c>
      <c r="H5117">
        <v>0.129914927899273</v>
      </c>
      <c r="I5117">
        <v>8.7633137882071999E-2</v>
      </c>
      <c r="J5117">
        <v>7.6827882611416001E-2</v>
      </c>
      <c r="K5117">
        <v>5.6376932070058602E-2</v>
      </c>
      <c r="L5117">
        <v>3261.4119966817998</v>
      </c>
      <c r="M5117">
        <v>57.656668579323998</v>
      </c>
      <c r="N5117">
        <v>56.745642421404703</v>
      </c>
      <c r="O5117">
        <v>56.4981570029191</v>
      </c>
      <c r="P5117">
        <v>-0.23385217414288101</v>
      </c>
      <c r="Q5117">
        <v>8.3387174505394596E-2</v>
      </c>
      <c r="R5117">
        <v>0.98725157823877097</v>
      </c>
      <c r="S5117" t="s">
        <v>10978</v>
      </c>
      <c r="T5117" t="s">
        <v>11720</v>
      </c>
      <c r="U5117" t="s">
        <v>11720</v>
      </c>
      <c r="V5117" t="s">
        <v>11720</v>
      </c>
      <c r="W5117" t="s">
        <v>16780</v>
      </c>
      <c r="X5117">
        <v>16</v>
      </c>
      <c r="Y5117" t="s">
        <v>22486</v>
      </c>
      <c r="Z5117" t="s">
        <v>28324</v>
      </c>
      <c r="AA5117">
        <v>0.59126019949861286</v>
      </c>
      <c r="AB5117" t="str">
        <f>HYPERLINK("Melting_Curves/meltCurve_Q9HAV0_GNB4.pdf", "Melting_Curves/meltCurve_Q9HAV0_GNB4.pdf")</f>
        <v>Melting_Curves/meltCurve_Q9HAV0_GNB4.pdf</v>
      </c>
    </row>
    <row r="5118" spans="1:28" x14ac:dyDescent="0.25">
      <c r="A5118" t="s">
        <v>5122</v>
      </c>
      <c r="B5118">
        <v>0.99334974765950101</v>
      </c>
      <c r="C5118">
        <v>1.0555596012925701</v>
      </c>
      <c r="D5118">
        <v>1.0432760547619999</v>
      </c>
      <c r="E5118">
        <v>0.43902985987700799</v>
      </c>
      <c r="F5118">
        <v>0.267067236832917</v>
      </c>
      <c r="G5118">
        <v>0.164355380183132</v>
      </c>
      <c r="H5118">
        <v>0.14307664310323201</v>
      </c>
      <c r="I5118">
        <v>0.133144231702336</v>
      </c>
      <c r="J5118">
        <v>0.13977119274730801</v>
      </c>
      <c r="K5118">
        <v>0.12880103700474799</v>
      </c>
      <c r="L5118">
        <v>2367.3572475907699</v>
      </c>
      <c r="M5118">
        <v>47.9191457398586</v>
      </c>
      <c r="N5118">
        <v>49.788125182308796</v>
      </c>
      <c r="O5118">
        <v>49.3173508704363</v>
      </c>
      <c r="P5118">
        <v>-0.20530720862445301</v>
      </c>
      <c r="Q5118">
        <v>0.15480986120502799</v>
      </c>
      <c r="R5118">
        <v>0.98935350279431999</v>
      </c>
      <c r="S5118" t="s">
        <v>10979</v>
      </c>
      <c r="T5118" t="s">
        <v>11720</v>
      </c>
      <c r="U5118" t="s">
        <v>11720</v>
      </c>
      <c r="V5118" t="s">
        <v>11720</v>
      </c>
      <c r="W5118" t="s">
        <v>16781</v>
      </c>
      <c r="X5118">
        <v>11</v>
      </c>
      <c r="Y5118" t="s">
        <v>22487</v>
      </c>
      <c r="Z5118" t="s">
        <v>28325</v>
      </c>
      <c r="AA5118">
        <v>0.4217316074291706</v>
      </c>
      <c r="AB5118" t="str">
        <f>HYPERLINK("Melting_Curves/meltCurve_Q9HAV4_XPO5.pdf", "Melting_Curves/meltCurve_Q9HAV4_XPO5.pdf")</f>
        <v>Melting_Curves/meltCurve_Q9HAV4_XPO5.pdf</v>
      </c>
    </row>
    <row r="5119" spans="1:28" x14ac:dyDescent="0.25">
      <c r="A5119" t="s">
        <v>5123</v>
      </c>
      <c r="B5119">
        <v>0.99334974765950101</v>
      </c>
      <c r="C5119">
        <v>0.88316547344695795</v>
      </c>
      <c r="D5119">
        <v>0.89258152126050005</v>
      </c>
      <c r="E5119">
        <v>0.85746553541301895</v>
      </c>
      <c r="F5119">
        <v>0.833604508133583</v>
      </c>
      <c r="G5119">
        <v>0.65971519551847901</v>
      </c>
      <c r="H5119">
        <v>0.65877869041447101</v>
      </c>
      <c r="I5119">
        <v>0.54284925550641605</v>
      </c>
      <c r="J5119">
        <v>0.51181773425669796</v>
      </c>
      <c r="K5119">
        <v>0.57125173211108005</v>
      </c>
      <c r="L5119">
        <v>392.63445320285899</v>
      </c>
      <c r="M5119">
        <v>6.8174320990833603</v>
      </c>
      <c r="O5119">
        <v>53.247139422653603</v>
      </c>
      <c r="P5119">
        <v>-1.99826409250781E-2</v>
      </c>
      <c r="Q5119">
        <v>0.37697956891575002</v>
      </c>
      <c r="R5119">
        <v>0.93772017183204304</v>
      </c>
      <c r="S5119" t="s">
        <v>10980</v>
      </c>
      <c r="T5119" t="s">
        <v>11720</v>
      </c>
      <c r="U5119" t="s">
        <v>11720</v>
      </c>
      <c r="V5119" t="s">
        <v>11720</v>
      </c>
      <c r="W5119" t="s">
        <v>16782</v>
      </c>
      <c r="X5119">
        <v>1</v>
      </c>
      <c r="Y5119" t="s">
        <v>22488</v>
      </c>
      <c r="Z5119" t="s">
        <v>28326</v>
      </c>
      <c r="AA5119">
        <v>0.74330971503267207</v>
      </c>
      <c r="AB5119" t="str">
        <f>HYPERLINK("Melting_Curves/meltCurve_Q9HAV5_EDA2R.pdf", "Melting_Curves/meltCurve_Q9HAV5_EDA2R.pdf")</f>
        <v>Melting_Curves/meltCurve_Q9HAV5_EDA2R.pdf</v>
      </c>
    </row>
    <row r="5120" spans="1:28" x14ac:dyDescent="0.25">
      <c r="A5120" t="s">
        <v>5124</v>
      </c>
      <c r="B5120">
        <v>0.99334974765950101</v>
      </c>
      <c r="C5120">
        <v>1.0198112890698301</v>
      </c>
      <c r="D5120">
        <v>0.88681884405127998</v>
      </c>
      <c r="E5120">
        <v>0.73177115964591999</v>
      </c>
      <c r="F5120">
        <v>0.21030903109993801</v>
      </c>
      <c r="G5120">
        <v>0.12997154343402401</v>
      </c>
      <c r="H5120">
        <v>0.105465436933002</v>
      </c>
      <c r="I5120">
        <v>8.4882414702201398E-2</v>
      </c>
      <c r="J5120">
        <v>8.9599039416745394E-2</v>
      </c>
      <c r="K5120">
        <v>5.9546537119437297E-2</v>
      </c>
      <c r="L5120">
        <v>2244.9947849875398</v>
      </c>
      <c r="M5120">
        <v>44.092994823325398</v>
      </c>
      <c r="N5120">
        <v>51.144912099236898</v>
      </c>
      <c r="O5120">
        <v>50.810603752301901</v>
      </c>
      <c r="P5120">
        <v>-0.19744348728212999</v>
      </c>
      <c r="Q5120">
        <v>8.9904530780617803E-2</v>
      </c>
      <c r="R5120">
        <v>0.99108412202705598</v>
      </c>
      <c r="S5120" t="s">
        <v>10981</v>
      </c>
      <c r="T5120" t="s">
        <v>11720</v>
      </c>
      <c r="U5120" t="s">
        <v>11720</v>
      </c>
      <c r="V5120" t="s">
        <v>11720</v>
      </c>
      <c r="W5120" t="s">
        <v>16783</v>
      </c>
      <c r="X5120">
        <v>17</v>
      </c>
      <c r="Y5120" t="s">
        <v>22489</v>
      </c>
      <c r="Z5120" t="s">
        <v>28327</v>
      </c>
      <c r="AA5120">
        <v>0.42365981848191908</v>
      </c>
      <c r="AB5120" t="str">
        <f>HYPERLINK("Melting_Curves/meltCurve_Q9HAV7_GRPEL1.pdf", "Melting_Curves/meltCurve_Q9HAV7_GRPEL1.pdf")</f>
        <v>Melting_Curves/meltCurve_Q9HAV7_GRPEL1.pdf</v>
      </c>
    </row>
    <row r="5121" spans="1:28" x14ac:dyDescent="0.25">
      <c r="A5121" t="s">
        <v>5125</v>
      </c>
      <c r="B5121">
        <v>0.99334974765950101</v>
      </c>
      <c r="C5121">
        <v>0.93041759139271896</v>
      </c>
      <c r="D5121">
        <v>0.85695526065810601</v>
      </c>
      <c r="E5121">
        <v>0.67851886024526098</v>
      </c>
      <c r="F5121">
        <v>0.54431974300378705</v>
      </c>
      <c r="G5121">
        <v>0.34642173043379698</v>
      </c>
      <c r="H5121">
        <v>0.233507458266871</v>
      </c>
      <c r="I5121">
        <v>0.15471381331012299</v>
      </c>
      <c r="J5121">
        <v>0.122877060146013</v>
      </c>
      <c r="K5121">
        <v>9.6070752851147606E-2</v>
      </c>
      <c r="L5121">
        <v>582.22702660770904</v>
      </c>
      <c r="M5121">
        <v>10.898028777225001</v>
      </c>
      <c r="N5121">
        <v>53.681752082262697</v>
      </c>
      <c r="O5121">
        <v>51.720555040293497</v>
      </c>
      <c r="P5121">
        <v>-5.1357616020739599E-2</v>
      </c>
      <c r="Q5121">
        <v>2.5395916941565198E-2</v>
      </c>
      <c r="R5121">
        <v>0.99935249839829998</v>
      </c>
      <c r="S5121" t="s">
        <v>10982</v>
      </c>
      <c r="T5121" t="s">
        <v>11720</v>
      </c>
      <c r="U5121" t="s">
        <v>11720</v>
      </c>
      <c r="V5121" t="s">
        <v>11720</v>
      </c>
      <c r="W5121" t="s">
        <v>16784</v>
      </c>
      <c r="X5121">
        <v>11</v>
      </c>
      <c r="Y5121" t="s">
        <v>22490</v>
      </c>
      <c r="Z5121" t="s">
        <v>28328</v>
      </c>
      <c r="AA5121">
        <v>0.49098015062065842</v>
      </c>
      <c r="AB5121" t="str">
        <f>HYPERLINK("Melting_Curves/meltCurve_Q9HB07_C12orf10.pdf", "Melting_Curves/meltCurve_Q9HB07_C12orf10.pdf")</f>
        <v>Melting_Curves/meltCurve_Q9HB07_C12orf10.pdf</v>
      </c>
    </row>
    <row r="5122" spans="1:28" x14ac:dyDescent="0.25">
      <c r="A5122" t="s">
        <v>5126</v>
      </c>
      <c r="B5122">
        <v>0.99334974765950101</v>
      </c>
      <c r="C5122">
        <v>0.87497591702859201</v>
      </c>
      <c r="D5122">
        <v>0.73572488892807397</v>
      </c>
      <c r="E5122">
        <v>0.49977862215449398</v>
      </c>
      <c r="F5122">
        <v>0.23078212404561499</v>
      </c>
      <c r="G5122">
        <v>0.16478870605131901</v>
      </c>
      <c r="H5122">
        <v>0.110844876472122</v>
      </c>
      <c r="I5122">
        <v>0.109217802886958</v>
      </c>
      <c r="J5122">
        <v>8.6124038244453596E-2</v>
      </c>
      <c r="K5122">
        <v>9.0649652744264606E-2</v>
      </c>
      <c r="L5122">
        <v>769.74157576522202</v>
      </c>
      <c r="M5122">
        <v>15.780177279257799</v>
      </c>
      <c r="N5122">
        <v>49.297411766681599</v>
      </c>
      <c r="O5122">
        <v>48.015816065498498</v>
      </c>
      <c r="P5122">
        <v>-7.5886344141281606E-2</v>
      </c>
      <c r="Q5122">
        <v>7.64506737665544E-2</v>
      </c>
      <c r="R5122">
        <v>0.99426679513384597</v>
      </c>
      <c r="S5122" t="s">
        <v>10983</v>
      </c>
      <c r="T5122" t="s">
        <v>11720</v>
      </c>
      <c r="U5122" t="s">
        <v>11720</v>
      </c>
      <c r="V5122" t="s">
        <v>11720</v>
      </c>
      <c r="W5122" t="s">
        <v>16785</v>
      </c>
      <c r="X5122">
        <v>2</v>
      </c>
      <c r="Y5122" t="s">
        <v>22491</v>
      </c>
      <c r="Z5122" t="s">
        <v>28329</v>
      </c>
      <c r="AA5122">
        <v>0.36756398241510407</v>
      </c>
      <c r="AB5122" t="str">
        <f>HYPERLINK("Melting_Curves/meltCurve_Q9HB09_BCL2L12.pdf", "Melting_Curves/meltCurve_Q9HB09_BCL2L12.pdf")</f>
        <v>Melting_Curves/meltCurve_Q9HB09_BCL2L12.pdf</v>
      </c>
    </row>
    <row r="5123" spans="1:28" x14ac:dyDescent="0.25">
      <c r="A5123" t="s">
        <v>5127</v>
      </c>
      <c r="B5123">
        <v>0.99334974765950101</v>
      </c>
      <c r="C5123">
        <v>0.60291681880085202</v>
      </c>
      <c r="D5123">
        <v>0.18864094947265</v>
      </c>
      <c r="E5123">
        <v>8.5984395977640293E-2</v>
      </c>
      <c r="F5123">
        <v>5.5304098898917797E-2</v>
      </c>
      <c r="G5123">
        <v>3.2748577307519601E-2</v>
      </c>
      <c r="H5123">
        <v>0</v>
      </c>
      <c r="I5123">
        <v>5.4442006070153197E-2</v>
      </c>
      <c r="J5123">
        <v>3.8004005213315199E-2</v>
      </c>
      <c r="K5123">
        <v>0</v>
      </c>
      <c r="L5123">
        <v>1407.89420690924</v>
      </c>
      <c r="M5123">
        <v>32.378840747174401</v>
      </c>
      <c r="N5123">
        <v>43.583414234773798</v>
      </c>
      <c r="O5123">
        <v>43.317081117663903</v>
      </c>
      <c r="P5123">
        <v>-0.18008631421899399</v>
      </c>
      <c r="Q5123">
        <v>3.6312163979621503E-2</v>
      </c>
      <c r="R5123">
        <v>0.99253315888441096</v>
      </c>
      <c r="S5123" t="s">
        <v>10984</v>
      </c>
      <c r="T5123" t="s">
        <v>11720</v>
      </c>
      <c r="U5123" t="s">
        <v>11720</v>
      </c>
      <c r="V5123" t="s">
        <v>11720</v>
      </c>
      <c r="W5123" t="s">
        <v>16786</v>
      </c>
      <c r="X5123">
        <v>2</v>
      </c>
      <c r="Y5123" t="s">
        <v>22492</v>
      </c>
      <c r="Z5123" t="s">
        <v>28330</v>
      </c>
      <c r="AA5123">
        <v>0.15460780530955229</v>
      </c>
      <c r="AB5123" t="str">
        <f>HYPERLINK("Melting_Curves/meltCurve_Q9HB19_PLEKHA2.pdf", "Melting_Curves/meltCurve_Q9HB19_PLEKHA2.pdf")</f>
        <v>Melting_Curves/meltCurve_Q9HB19_PLEKHA2.pdf</v>
      </c>
    </row>
    <row r="5124" spans="1:28" x14ac:dyDescent="0.25">
      <c r="A5124" t="s">
        <v>5128</v>
      </c>
      <c r="B5124">
        <v>0.99334974765950101</v>
      </c>
      <c r="C5124">
        <v>0.92114109325514104</v>
      </c>
      <c r="D5124">
        <v>0.62574942252980603</v>
      </c>
      <c r="E5124">
        <v>0.30203719922158501</v>
      </c>
      <c r="F5124">
        <v>0.208009929117181</v>
      </c>
      <c r="G5124">
        <v>0.14398311401988401</v>
      </c>
      <c r="H5124">
        <v>0.106751785634809</v>
      </c>
      <c r="I5124">
        <v>7.6858233943990897E-2</v>
      </c>
      <c r="J5124">
        <v>8.4529808256806102E-2</v>
      </c>
      <c r="K5124">
        <v>5.9650162772075299E-2</v>
      </c>
      <c r="L5124">
        <v>928.730494188188</v>
      </c>
      <c r="M5124">
        <v>19.703851191511099</v>
      </c>
      <c r="N5124">
        <v>47.597730247909702</v>
      </c>
      <c r="O5124">
        <v>46.657022979980098</v>
      </c>
      <c r="P5124">
        <v>-9.6369363249906498E-2</v>
      </c>
      <c r="Q5124">
        <v>8.7254098597190993E-2</v>
      </c>
      <c r="R5124">
        <v>0.99558710884558299</v>
      </c>
      <c r="S5124" t="s">
        <v>10985</v>
      </c>
      <c r="T5124" t="s">
        <v>11720</v>
      </c>
      <c r="U5124" t="s">
        <v>11720</v>
      </c>
      <c r="V5124" t="s">
        <v>11720</v>
      </c>
      <c r="W5124" t="s">
        <v>16787</v>
      </c>
      <c r="X5124">
        <v>3</v>
      </c>
      <c r="Y5124" t="s">
        <v>22493</v>
      </c>
      <c r="Z5124" t="s">
        <v>28331</v>
      </c>
      <c r="AA5124">
        <v>0.31805495013307261</v>
      </c>
      <c r="AB5124" t="str">
        <f>HYPERLINK("Melting_Curves/meltCurve_Q9HB20_PLEKHA3.pdf", "Melting_Curves/meltCurve_Q9HB20_PLEKHA3.pdf")</f>
        <v>Melting_Curves/meltCurve_Q9HB20_PLEKHA3.pdf</v>
      </c>
    </row>
    <row r="5125" spans="1:28" x14ac:dyDescent="0.25">
      <c r="A5125" t="s">
        <v>5129</v>
      </c>
      <c r="B5125">
        <v>0.99334974765950101</v>
      </c>
      <c r="C5125">
        <v>1.02279583160571</v>
      </c>
      <c r="D5125">
        <v>1.04665976460192</v>
      </c>
      <c r="E5125">
        <v>0.94245639967091199</v>
      </c>
      <c r="F5125">
        <v>0.77399959707753596</v>
      </c>
      <c r="G5125">
        <v>0.69596223035342997</v>
      </c>
      <c r="H5125">
        <v>0.56660342501956096</v>
      </c>
      <c r="I5125">
        <v>0.454761731492618</v>
      </c>
      <c r="J5125">
        <v>0.25573505279758801</v>
      </c>
      <c r="K5125">
        <v>0.191878352105153</v>
      </c>
      <c r="L5125">
        <v>665.24089760521599</v>
      </c>
      <c r="M5125">
        <v>10.7893625416706</v>
      </c>
      <c r="N5125">
        <v>61.657108584823803</v>
      </c>
      <c r="O5125">
        <v>59.6523475565699</v>
      </c>
      <c r="P5125">
        <v>-4.5234112235053102E-2</v>
      </c>
      <c r="Q5125">
        <v>0</v>
      </c>
      <c r="R5125">
        <v>0.97870058354043299</v>
      </c>
      <c r="S5125" t="s">
        <v>10986</v>
      </c>
      <c r="T5125" t="s">
        <v>11720</v>
      </c>
      <c r="U5125" t="s">
        <v>11720</v>
      </c>
      <c r="V5125" t="s">
        <v>11720</v>
      </c>
      <c r="W5125" t="s">
        <v>16788</v>
      </c>
      <c r="X5125">
        <v>12</v>
      </c>
      <c r="Y5125" t="s">
        <v>22494</v>
      </c>
      <c r="Z5125" t="s">
        <v>28332</v>
      </c>
      <c r="AA5125">
        <v>0.70809100030335848</v>
      </c>
      <c r="AB5125" t="str">
        <f>HYPERLINK("Melting_Curves/meltCurve_Q9HB40_SCPEP1.pdf", "Melting_Curves/meltCurve_Q9HB40_SCPEP1.pdf")</f>
        <v>Melting_Curves/meltCurve_Q9HB40_SCPEP1.pdf</v>
      </c>
    </row>
    <row r="5126" spans="1:28" x14ac:dyDescent="0.25">
      <c r="A5126" t="s">
        <v>5130</v>
      </c>
      <c r="B5126">
        <v>0.99334974765950101</v>
      </c>
      <c r="C5126">
        <v>0.95541722688296304</v>
      </c>
      <c r="D5126">
        <v>0.85228114786780895</v>
      </c>
      <c r="E5126">
        <v>0.72872693254253296</v>
      </c>
      <c r="F5126">
        <v>0.37611753856428998</v>
      </c>
      <c r="G5126">
        <v>0.12882276343142099</v>
      </c>
      <c r="H5126">
        <v>8.4857558821619397E-2</v>
      </c>
      <c r="I5126">
        <v>7.1637526130894705E-2</v>
      </c>
      <c r="J5126">
        <v>7.5414061970313195E-2</v>
      </c>
      <c r="K5126">
        <v>5.8064876126985902E-2</v>
      </c>
      <c r="L5126">
        <v>1094.7895555083401</v>
      </c>
      <c r="M5126">
        <v>21.2432739847807</v>
      </c>
      <c r="N5126">
        <v>51.799856605703198</v>
      </c>
      <c r="O5126">
        <v>51.085657371161702</v>
      </c>
      <c r="P5126">
        <v>-9.8627245758276999E-2</v>
      </c>
      <c r="Q5126">
        <v>5.1312271713333503E-2</v>
      </c>
      <c r="R5126">
        <v>0.99198196623088197</v>
      </c>
      <c r="S5126" t="s">
        <v>10987</v>
      </c>
      <c r="T5126" t="s">
        <v>11720</v>
      </c>
      <c r="U5126" t="s">
        <v>11720</v>
      </c>
      <c r="V5126" t="s">
        <v>11720</v>
      </c>
      <c r="W5126" t="s">
        <v>16789</v>
      </c>
      <c r="X5126">
        <v>17</v>
      </c>
      <c r="Y5126" t="s">
        <v>22495</v>
      </c>
      <c r="Z5126" t="s">
        <v>28333</v>
      </c>
      <c r="AA5126">
        <v>0.42787151292970649</v>
      </c>
      <c r="AB5126" t="str">
        <f>HYPERLINK("Melting_Curves/meltCurve_Q9HB71_CACYBP.pdf", "Melting_Curves/meltCurve_Q9HB71_CACYBP.pdf")</f>
        <v>Melting_Curves/meltCurve_Q9HB71_CACYBP.pdf</v>
      </c>
    </row>
    <row r="5127" spans="1:28" x14ac:dyDescent="0.25">
      <c r="A5127" t="s">
        <v>5131</v>
      </c>
      <c r="B5127">
        <v>0.99334974765950101</v>
      </c>
      <c r="C5127">
        <v>1.0032695502434601</v>
      </c>
      <c r="D5127">
        <v>1.0224981751525799</v>
      </c>
      <c r="E5127">
        <v>0.90630599149901403</v>
      </c>
      <c r="F5127">
        <v>0.81325410372792195</v>
      </c>
      <c r="G5127">
        <v>0.74653668697892905</v>
      </c>
      <c r="H5127">
        <v>0.643770860385945</v>
      </c>
      <c r="I5127">
        <v>0.82469632594918696</v>
      </c>
      <c r="J5127">
        <v>0.35064981587418897</v>
      </c>
      <c r="K5127">
        <v>0.17329720425769701</v>
      </c>
      <c r="L5127">
        <v>680.33773985428297</v>
      </c>
      <c r="M5127">
        <v>10.4812404005384</v>
      </c>
      <c r="N5127">
        <v>64.910025717412793</v>
      </c>
      <c r="O5127">
        <v>62.680684261314099</v>
      </c>
      <c r="P5127">
        <v>-4.1821090082057401E-2</v>
      </c>
      <c r="Q5127">
        <v>0</v>
      </c>
      <c r="R5127">
        <v>0.82744213439317005</v>
      </c>
      <c r="S5127" t="s">
        <v>10988</v>
      </c>
      <c r="T5127" t="s">
        <v>11720</v>
      </c>
      <c r="U5127" t="s">
        <v>11720</v>
      </c>
      <c r="V5127" t="s">
        <v>11720</v>
      </c>
      <c r="W5127" t="s">
        <v>16790</v>
      </c>
      <c r="X5127">
        <v>13</v>
      </c>
      <c r="Y5127" t="s">
        <v>22496</v>
      </c>
      <c r="Z5127" t="s">
        <v>28334</v>
      </c>
      <c r="AA5127">
        <v>0.78102588516233495</v>
      </c>
      <c r="AB5127" t="str">
        <f>HYPERLINK("Melting_Curves/meltCurve_Q9HB90_RRAGC.pdf", "Melting_Curves/meltCurve_Q9HB90_RRAGC.pdf")</f>
        <v>Melting_Curves/meltCurve_Q9HB90_RRAGC.pdf</v>
      </c>
    </row>
    <row r="5128" spans="1:28" x14ac:dyDescent="0.25">
      <c r="A5128" t="s">
        <v>5132</v>
      </c>
      <c r="B5128">
        <v>0.99334974765950101</v>
      </c>
      <c r="C5128">
        <v>0.97580800447993499</v>
      </c>
      <c r="D5128">
        <v>0.88985563002792001</v>
      </c>
      <c r="E5128">
        <v>0.54107701404878294</v>
      </c>
      <c r="F5128">
        <v>0.19679737200431999</v>
      </c>
      <c r="G5128">
        <v>0.13008359133044001</v>
      </c>
      <c r="H5128">
        <v>9.5617231081300394E-2</v>
      </c>
      <c r="I5128">
        <v>8.4676352346445105E-2</v>
      </c>
      <c r="J5128">
        <v>8.2886293277452394E-2</v>
      </c>
      <c r="K5128">
        <v>7.0185623393924895E-2</v>
      </c>
      <c r="L5128">
        <v>1343.8221624126099</v>
      </c>
      <c r="M5128">
        <v>26.9815410595663</v>
      </c>
      <c r="N5128">
        <v>50.133306611550999</v>
      </c>
      <c r="O5128">
        <v>49.534082088873397</v>
      </c>
      <c r="P5128">
        <v>-0.125157735953671</v>
      </c>
      <c r="Q5128">
        <v>8.0925715079459101E-2</v>
      </c>
      <c r="R5128">
        <v>0.99790529560475905</v>
      </c>
      <c r="S5128" t="s">
        <v>10989</v>
      </c>
      <c r="T5128" t="s">
        <v>11720</v>
      </c>
      <c r="U5128" t="s">
        <v>11720</v>
      </c>
      <c r="V5128" t="s">
        <v>11720</v>
      </c>
      <c r="W5128" t="s">
        <v>16791</v>
      </c>
      <c r="X5128">
        <v>11</v>
      </c>
      <c r="Y5128" t="s">
        <v>22497</v>
      </c>
      <c r="Z5128" t="s">
        <v>28335</v>
      </c>
      <c r="AA5128">
        <v>0.38834334800815901</v>
      </c>
      <c r="AB5128" t="str">
        <f>HYPERLINK("Melting_Curves/meltCurve_Q9HBH5_RDH14.pdf", "Melting_Curves/meltCurve_Q9HBH5_RDH14.pdf")</f>
        <v>Melting_Curves/meltCurve_Q9HBH5_RDH14.pdf</v>
      </c>
    </row>
    <row r="5129" spans="1:28" x14ac:dyDescent="0.25">
      <c r="A5129" t="s">
        <v>5133</v>
      </c>
      <c r="B5129">
        <v>0.99334974765950101</v>
      </c>
      <c r="C5129">
        <v>1.1547430749308201</v>
      </c>
      <c r="D5129">
        <v>1.01847775498265</v>
      </c>
      <c r="E5129">
        <v>0.85622950065449899</v>
      </c>
      <c r="F5129">
        <v>0.46456403487926401</v>
      </c>
      <c r="G5129">
        <v>0.26599262105507898</v>
      </c>
      <c r="H5129">
        <v>0.242469782723163</v>
      </c>
      <c r="I5129">
        <v>0.21656980137208101</v>
      </c>
      <c r="J5129">
        <v>0.28397227393426999</v>
      </c>
      <c r="K5129">
        <v>0.20423777192378501</v>
      </c>
      <c r="L5129">
        <v>2060.3581221292402</v>
      </c>
      <c r="M5129">
        <v>39.731646427277198</v>
      </c>
      <c r="N5129">
        <v>52.713776437212303</v>
      </c>
      <c r="O5129">
        <v>51.726005697373999</v>
      </c>
      <c r="P5129">
        <v>-0.14634577150671599</v>
      </c>
      <c r="Q5129">
        <v>0.23790059279343301</v>
      </c>
      <c r="R5129">
        <v>0.97906402579254304</v>
      </c>
      <c r="S5129" t="s">
        <v>10990</v>
      </c>
      <c r="T5129" t="s">
        <v>11720</v>
      </c>
      <c r="U5129" t="s">
        <v>11720</v>
      </c>
      <c r="V5129" t="s">
        <v>11720</v>
      </c>
      <c r="W5129" t="s">
        <v>16792</v>
      </c>
      <c r="X5129">
        <v>1</v>
      </c>
      <c r="Y5129" t="s">
        <v>22498</v>
      </c>
      <c r="Z5129" t="s">
        <v>28336</v>
      </c>
      <c r="AA5129">
        <v>0.54187178576061668</v>
      </c>
      <c r="AB5129" t="str">
        <f>HYPERLINK("Melting_Curves/meltCurve_Q9HBI1_PARVB.pdf", "Melting_Curves/meltCurve_Q9HBI1_PARVB.pdf")</f>
        <v>Melting_Curves/meltCurve_Q9HBI1_PARVB.pdf</v>
      </c>
    </row>
    <row r="5130" spans="1:28" x14ac:dyDescent="0.25">
      <c r="A5130" t="s">
        <v>5134</v>
      </c>
      <c r="B5130">
        <v>0.99334974765950101</v>
      </c>
      <c r="C5130">
        <v>0.91949018030571905</v>
      </c>
      <c r="D5130">
        <v>0.67868180629825803</v>
      </c>
      <c r="E5130">
        <v>0.49464961399723301</v>
      </c>
      <c r="F5130">
        <v>0.357491911816258</v>
      </c>
      <c r="G5130">
        <v>0.32093423841180202</v>
      </c>
      <c r="H5130">
        <v>0.24221802779759399</v>
      </c>
      <c r="I5130">
        <v>0.13086389699117501</v>
      </c>
      <c r="J5130">
        <v>0.14153710913738299</v>
      </c>
      <c r="K5130">
        <v>7.3322756542597706E-2</v>
      </c>
      <c r="L5130">
        <v>564.84465367054895</v>
      </c>
      <c r="M5130">
        <v>11.4278477023908</v>
      </c>
      <c r="N5130">
        <v>50.3478457692907</v>
      </c>
      <c r="O5130">
        <v>47.986148907687998</v>
      </c>
      <c r="P5130">
        <v>-5.3938347335701402E-2</v>
      </c>
      <c r="Q5130">
        <v>9.4303657570984495E-2</v>
      </c>
      <c r="R5130">
        <v>0.97987071083382904</v>
      </c>
      <c r="S5130" t="s">
        <v>10991</v>
      </c>
      <c r="T5130" t="s">
        <v>11720</v>
      </c>
      <c r="U5130" t="s">
        <v>11720</v>
      </c>
      <c r="V5130" t="s">
        <v>11720</v>
      </c>
      <c r="W5130" t="s">
        <v>16793</v>
      </c>
      <c r="X5130">
        <v>2</v>
      </c>
      <c r="Y5130" t="s">
        <v>22499</v>
      </c>
      <c r="Z5130" t="s">
        <v>28337</v>
      </c>
      <c r="AA5130">
        <v>0.41397669493313149</v>
      </c>
      <c r="AB5130" t="str">
        <f>HYPERLINK("Melting_Curves/meltCurve_Q9HBK9_AS3MT.pdf", "Melting_Curves/meltCurve_Q9HBK9_AS3MT.pdf")</f>
        <v>Melting_Curves/meltCurve_Q9HBK9_AS3MT.pdf</v>
      </c>
    </row>
    <row r="5131" spans="1:28" x14ac:dyDescent="0.25">
      <c r="A5131" t="s">
        <v>5135</v>
      </c>
      <c r="B5131">
        <v>0.99334974765950101</v>
      </c>
      <c r="C5131">
        <v>0.90171117233649101</v>
      </c>
      <c r="D5131">
        <v>0.97958945041516798</v>
      </c>
      <c r="E5131">
        <v>1.2277496319757899</v>
      </c>
      <c r="F5131">
        <v>0.93620284003602605</v>
      </c>
      <c r="G5131">
        <v>0.98904877748419295</v>
      </c>
      <c r="H5131">
        <v>1.00741105995847</v>
      </c>
      <c r="I5131">
        <v>0.76517095534546498</v>
      </c>
      <c r="J5131">
        <v>0.86697420423685501</v>
      </c>
      <c r="K5131">
        <v>0.63927413925288801</v>
      </c>
      <c r="L5131">
        <v>1029.8572941098901</v>
      </c>
      <c r="M5131">
        <v>14.054572963651699</v>
      </c>
      <c r="Q5131">
        <v>0</v>
      </c>
      <c r="R5131">
        <v>0.58856768679044902</v>
      </c>
      <c r="S5131" t="s">
        <v>10992</v>
      </c>
      <c r="T5131" t="s">
        <v>11720</v>
      </c>
      <c r="U5131" t="s">
        <v>11720</v>
      </c>
      <c r="V5131" t="s">
        <v>11720</v>
      </c>
      <c r="W5131" t="s">
        <v>16794</v>
      </c>
      <c r="X5131">
        <v>4</v>
      </c>
      <c r="Y5131" t="s">
        <v>22500</v>
      </c>
      <c r="Z5131" t="s">
        <v>28338</v>
      </c>
      <c r="AA5131">
        <v>0.94208270157930885</v>
      </c>
      <c r="AB5131" t="str">
        <f>HYPERLINK("Melting_Curves/meltCurve_Q9HBL7_PLGRKT.pdf", "Melting_Curves/meltCurve_Q9HBL7_PLGRKT.pdf")</f>
        <v>Melting_Curves/meltCurve_Q9HBL7_PLGRKT.pdf</v>
      </c>
    </row>
    <row r="5132" spans="1:28" x14ac:dyDescent="0.25">
      <c r="A5132" t="s">
        <v>5136</v>
      </c>
      <c r="B5132">
        <v>0.99334974765950101</v>
      </c>
      <c r="C5132">
        <v>0.89625293269939998</v>
      </c>
      <c r="D5132">
        <v>0.72006406516100596</v>
      </c>
      <c r="E5132">
        <v>0.37684256848991998</v>
      </c>
      <c r="F5132">
        <v>0.18888307174687799</v>
      </c>
      <c r="G5132">
        <v>0.13527793244444999</v>
      </c>
      <c r="H5132">
        <v>0.10806755943265201</v>
      </c>
      <c r="I5132">
        <v>7.88320853625709E-2</v>
      </c>
      <c r="J5132">
        <v>7.5415857949078999E-2</v>
      </c>
      <c r="K5132">
        <v>5.5084795213376198E-2</v>
      </c>
      <c r="L5132">
        <v>893.112978084769</v>
      </c>
      <c r="M5132">
        <v>18.601474279115699</v>
      </c>
      <c r="N5132">
        <v>48.415335457073198</v>
      </c>
      <c r="O5132">
        <v>47.468443256961002</v>
      </c>
      <c r="P5132">
        <v>-9.0955962326079401E-2</v>
      </c>
      <c r="Q5132">
        <v>7.1611045761940495E-2</v>
      </c>
      <c r="R5132">
        <v>0.99846580730915502</v>
      </c>
      <c r="S5132" t="s">
        <v>10993</v>
      </c>
      <c r="T5132" t="s">
        <v>11720</v>
      </c>
      <c r="U5132" t="s">
        <v>11720</v>
      </c>
      <c r="V5132" t="s">
        <v>11720</v>
      </c>
      <c r="W5132" t="s">
        <v>16795</v>
      </c>
      <c r="X5132">
        <v>12</v>
      </c>
      <c r="Y5132" t="s">
        <v>22501</v>
      </c>
      <c r="Z5132" t="s">
        <v>28339</v>
      </c>
      <c r="AA5132">
        <v>0.33495491353929369</v>
      </c>
      <c r="AB5132" t="str">
        <f>HYPERLINK("Melting_Curves/meltCurve_Q9HBL8_NMRAL1.pdf", "Melting_Curves/meltCurve_Q9HBL8_NMRAL1.pdf")</f>
        <v>Melting_Curves/meltCurve_Q9HBL8_NMRAL1.pdf</v>
      </c>
    </row>
    <row r="5133" spans="1:28" x14ac:dyDescent="0.25">
      <c r="A5133" t="s">
        <v>5137</v>
      </c>
      <c r="B5133">
        <v>0.99334974765950101</v>
      </c>
      <c r="C5133">
        <v>0.94140705668696401</v>
      </c>
      <c r="D5133">
        <v>0.82211232958374902</v>
      </c>
      <c r="E5133">
        <v>0.69717523856458696</v>
      </c>
      <c r="F5133">
        <v>0.26441577148605899</v>
      </c>
      <c r="G5133">
        <v>0.15301484180720701</v>
      </c>
      <c r="H5133">
        <v>9.4510895614226695E-2</v>
      </c>
      <c r="I5133">
        <v>6.2809771709718701E-2</v>
      </c>
      <c r="J5133">
        <v>7.47998694129864E-2</v>
      </c>
      <c r="K5133">
        <v>6.9558695649801605E-2</v>
      </c>
      <c r="L5133">
        <v>1040.7094624210199</v>
      </c>
      <c r="M5133">
        <v>20.497234387223699</v>
      </c>
      <c r="N5133">
        <v>51.080026471152202</v>
      </c>
      <c r="O5133">
        <v>50.297323339655499</v>
      </c>
      <c r="P5133">
        <v>-9.5981447131659098E-2</v>
      </c>
      <c r="Q5133">
        <v>5.7928486458934302E-2</v>
      </c>
      <c r="R5133">
        <v>0.98441113090138499</v>
      </c>
      <c r="S5133" t="s">
        <v>10994</v>
      </c>
      <c r="T5133" t="s">
        <v>11720</v>
      </c>
      <c r="U5133" t="s">
        <v>11720</v>
      </c>
      <c r="V5133" t="s">
        <v>11720</v>
      </c>
      <c r="W5133" t="s">
        <v>16796</v>
      </c>
      <c r="X5133">
        <v>8</v>
      </c>
      <c r="Y5133" t="s">
        <v>22502</v>
      </c>
      <c r="Z5133" t="s">
        <v>28340</v>
      </c>
      <c r="AA5133">
        <v>0.40872093942811738</v>
      </c>
      <c r="AB5133" t="str">
        <f>HYPERLINK("Melting_Curves/meltCurve_Q9HBM8_AGPAT1.pdf", "Melting_Curves/meltCurve_Q9HBM8_AGPAT1.pdf")</f>
        <v>Melting_Curves/meltCurve_Q9HBM8_AGPAT1.pdf</v>
      </c>
    </row>
    <row r="5134" spans="1:28" x14ac:dyDescent="0.25">
      <c r="A5134" t="s">
        <v>5138</v>
      </c>
      <c r="B5134">
        <v>0.99334974765950101</v>
      </c>
      <c r="C5134">
        <v>0.98425828997154496</v>
      </c>
      <c r="D5134">
        <v>0.84666937906183004</v>
      </c>
      <c r="E5134">
        <v>0.95041331109722205</v>
      </c>
      <c r="F5134">
        <v>1.01375806398604</v>
      </c>
      <c r="G5134">
        <v>0.80401072133291895</v>
      </c>
      <c r="H5134">
        <v>0.58624324004346295</v>
      </c>
      <c r="I5134">
        <v>0.47637235664147498</v>
      </c>
      <c r="J5134">
        <v>0.45198838783269701</v>
      </c>
      <c r="K5134">
        <v>0.38517190160863402</v>
      </c>
      <c r="L5134">
        <v>1406.9438495311699</v>
      </c>
      <c r="M5134">
        <v>23.828566880511101</v>
      </c>
      <c r="N5134">
        <v>63.136910575172799</v>
      </c>
      <c r="O5134">
        <v>58.633282185564198</v>
      </c>
      <c r="P5134">
        <v>-6.16421833990363E-2</v>
      </c>
      <c r="Q5134">
        <v>0.39329546950048999</v>
      </c>
      <c r="R5134">
        <v>0.94767311604351401</v>
      </c>
      <c r="S5134" t="s">
        <v>10995</v>
      </c>
      <c r="T5134" t="s">
        <v>11720</v>
      </c>
      <c r="U5134" t="s">
        <v>11720</v>
      </c>
      <c r="V5134" t="s">
        <v>11720</v>
      </c>
      <c r="W5134" t="s">
        <v>16797</v>
      </c>
      <c r="X5134">
        <v>19</v>
      </c>
      <c r="Y5134" t="s">
        <v>22503</v>
      </c>
      <c r="Z5134" t="s">
        <v>28341</v>
      </c>
      <c r="AA5134">
        <v>0.78366742899345954</v>
      </c>
      <c r="AB5134" t="str">
        <f>HYPERLINK("Melting_Curves/meltCurve_Q9HBR0_SLC38A10.pdf", "Melting_Curves/meltCurve_Q9HBR0_SLC38A10.pdf")</f>
        <v>Melting_Curves/meltCurve_Q9HBR0_SLC38A10.pdf</v>
      </c>
    </row>
    <row r="5135" spans="1:28" x14ac:dyDescent="0.25">
      <c r="A5135" t="s">
        <v>5139</v>
      </c>
      <c r="B5135">
        <v>0.99334974765950101</v>
      </c>
      <c r="C5135">
        <v>1.04822331353429</v>
      </c>
      <c r="D5135">
        <v>0.89121231274402801</v>
      </c>
      <c r="E5135">
        <v>0.67540395216590499</v>
      </c>
      <c r="F5135">
        <v>0.45680081731871602</v>
      </c>
      <c r="G5135">
        <v>0.17757098853026901</v>
      </c>
      <c r="H5135">
        <v>8.9317107740720506E-2</v>
      </c>
      <c r="I5135">
        <v>6.6195587392076302E-2</v>
      </c>
      <c r="J5135">
        <v>4.2599457887660598E-2</v>
      </c>
      <c r="K5135">
        <v>6.0640890412278999E-2</v>
      </c>
      <c r="L5135">
        <v>961.970458303128</v>
      </c>
      <c r="M5135">
        <v>18.5089487135937</v>
      </c>
      <c r="N5135">
        <v>52.184785897577903</v>
      </c>
      <c r="O5135">
        <v>51.377977791830197</v>
      </c>
      <c r="P5135">
        <v>-8.6811733512054595E-2</v>
      </c>
      <c r="Q5135">
        <v>3.6138982635868303E-2</v>
      </c>
      <c r="R5135">
        <v>0.99573564059888697</v>
      </c>
      <c r="S5135" t="s">
        <v>10996</v>
      </c>
      <c r="T5135" t="s">
        <v>11720</v>
      </c>
      <c r="U5135" t="s">
        <v>11720</v>
      </c>
      <c r="V5135" t="s">
        <v>11720</v>
      </c>
      <c r="W5135" t="s">
        <v>16798</v>
      </c>
      <c r="X5135">
        <v>3</v>
      </c>
      <c r="Y5135" t="s">
        <v>22504</v>
      </c>
      <c r="Z5135" t="s">
        <v>28342</v>
      </c>
      <c r="AA5135">
        <v>0.43611817199168962</v>
      </c>
      <c r="AB5135" t="str">
        <f>HYPERLINK("Melting_Curves/meltCurve_Q9HBU6_ETNK1.pdf", "Melting_Curves/meltCurve_Q9HBU6_ETNK1.pdf")</f>
        <v>Melting_Curves/meltCurve_Q9HBU6_ETNK1.pdf</v>
      </c>
    </row>
    <row r="5136" spans="1:28" x14ac:dyDescent="0.25">
      <c r="A5136" t="s">
        <v>5140</v>
      </c>
      <c r="B5136">
        <v>0.99334974765950101</v>
      </c>
      <c r="C5136">
        <v>0.86766580950652605</v>
      </c>
      <c r="D5136">
        <v>0.81538964114024304</v>
      </c>
      <c r="E5136">
        <v>0.66113114514250704</v>
      </c>
      <c r="F5136">
        <v>0.45422310286936102</v>
      </c>
      <c r="G5136">
        <v>0.33386797633805998</v>
      </c>
      <c r="H5136">
        <v>0.19034077502303301</v>
      </c>
      <c r="I5136">
        <v>0.13280329273031599</v>
      </c>
      <c r="J5136">
        <v>0.108213154354334</v>
      </c>
      <c r="K5136">
        <v>6.7304548399752806E-2</v>
      </c>
      <c r="L5136">
        <v>537.28919758239897</v>
      </c>
      <c r="M5136">
        <v>10.2065718985289</v>
      </c>
      <c r="N5136">
        <v>52.6414912865324</v>
      </c>
      <c r="O5136">
        <v>50.740735438994598</v>
      </c>
      <c r="P5136">
        <v>-5.0310496073194599E-2</v>
      </c>
      <c r="Q5136">
        <v>0</v>
      </c>
      <c r="R5136">
        <v>0.995323715539145</v>
      </c>
      <c r="S5136" t="s">
        <v>10997</v>
      </c>
      <c r="T5136" t="s">
        <v>11720</v>
      </c>
      <c r="U5136" t="s">
        <v>11720</v>
      </c>
      <c r="V5136" t="s">
        <v>11720</v>
      </c>
      <c r="W5136" t="s">
        <v>16799</v>
      </c>
      <c r="X5136">
        <v>1</v>
      </c>
      <c r="Y5136" t="s">
        <v>22505</v>
      </c>
      <c r="Z5136" t="s">
        <v>28343</v>
      </c>
      <c r="AA5136">
        <v>0.45625535787534638</v>
      </c>
      <c r="AB5136" t="str">
        <f>HYPERLINK("Melting_Curves/meltCurve_Q9HBZ2_2_ARNT2.pdf", "Melting_Curves/meltCurve_Q9HBZ2_2_ARNT2.pdf")</f>
        <v>Melting_Curves/meltCurve_Q9HBZ2_2_ARNT2.pdf</v>
      </c>
    </row>
    <row r="5137" spans="1:28" x14ac:dyDescent="0.25">
      <c r="A5137" t="s">
        <v>5141</v>
      </c>
      <c r="B5137">
        <v>0.99334974765950101</v>
      </c>
      <c r="C5137">
        <v>1.02436745769495</v>
      </c>
      <c r="D5137">
        <v>0.99609349269317005</v>
      </c>
      <c r="E5137">
        <v>0.92099407986822701</v>
      </c>
      <c r="F5137">
        <v>1.05319711997118</v>
      </c>
      <c r="G5137">
        <v>1.29165835108545</v>
      </c>
      <c r="H5137">
        <v>0.55718051252652101</v>
      </c>
      <c r="I5137">
        <v>0.59139819973865904</v>
      </c>
      <c r="J5137">
        <v>0.57294564609897503</v>
      </c>
      <c r="K5137">
        <v>0.37371025311671402</v>
      </c>
      <c r="S5137" t="s">
        <v>10998</v>
      </c>
      <c r="T5137" t="s">
        <v>11720</v>
      </c>
      <c r="U5137" t="s">
        <v>11721</v>
      </c>
      <c r="V5137" t="s">
        <v>11720</v>
      </c>
      <c r="W5137" t="s">
        <v>16800</v>
      </c>
      <c r="X5137">
        <v>2</v>
      </c>
      <c r="Y5137" t="s">
        <v>22506</v>
      </c>
      <c r="Z5137" t="s">
        <v>28344</v>
      </c>
      <c r="AB5137" t="str">
        <f>HYPERLINK("Melting_Curves/meltCurve_Q9HC21_SLC25A19.pdf", "Melting_Curves/meltCurve_Q9HC21_SLC25A19.pdf")</f>
        <v>Melting_Curves/meltCurve_Q9HC21_SLC25A19.pdf</v>
      </c>
    </row>
    <row r="5138" spans="1:28" x14ac:dyDescent="0.25">
      <c r="A5138" t="s">
        <v>5142</v>
      </c>
      <c r="B5138">
        <v>0.99334974765950101</v>
      </c>
      <c r="C5138">
        <v>0.99824694869000297</v>
      </c>
      <c r="D5138">
        <v>0.88522144477471298</v>
      </c>
      <c r="E5138">
        <v>0.56978387317075097</v>
      </c>
      <c r="F5138">
        <v>0.223819117051752</v>
      </c>
      <c r="G5138">
        <v>0.14349896078414801</v>
      </c>
      <c r="H5138">
        <v>0.10983726635299999</v>
      </c>
      <c r="I5138">
        <v>8.4881212895918795E-2</v>
      </c>
      <c r="J5138">
        <v>8.1813576792537604E-2</v>
      </c>
      <c r="K5138">
        <v>6.7645556202295995E-2</v>
      </c>
      <c r="L5138">
        <v>1279.2428766580299</v>
      </c>
      <c r="M5138">
        <v>25.575993816470898</v>
      </c>
      <c r="N5138">
        <v>50.3758841018524</v>
      </c>
      <c r="O5138">
        <v>49.714554211528203</v>
      </c>
      <c r="P5138">
        <v>-0.11791302034644301</v>
      </c>
      <c r="Q5138">
        <v>8.3215097898461196E-2</v>
      </c>
      <c r="R5138">
        <v>0.99739609419539399</v>
      </c>
      <c r="S5138" t="s">
        <v>10999</v>
      </c>
      <c r="T5138" t="s">
        <v>11720</v>
      </c>
      <c r="U5138" t="s">
        <v>11720</v>
      </c>
      <c r="V5138" t="s">
        <v>11720</v>
      </c>
      <c r="W5138" t="s">
        <v>16801</v>
      </c>
      <c r="X5138">
        <v>24</v>
      </c>
      <c r="Y5138" t="s">
        <v>22507</v>
      </c>
      <c r="Z5138" t="s">
        <v>28345</v>
      </c>
      <c r="AA5138">
        <v>0.39716798904492268</v>
      </c>
      <c r="AB5138" t="str">
        <f>HYPERLINK("Melting_Curves/meltCurve_Q9HC35_EML4.pdf", "Melting_Curves/meltCurve_Q9HC35_EML4.pdf")</f>
        <v>Melting_Curves/meltCurve_Q9HC35_EML4.pdf</v>
      </c>
    </row>
    <row r="5139" spans="1:28" x14ac:dyDescent="0.25">
      <c r="A5139" t="s">
        <v>5143</v>
      </c>
      <c r="B5139">
        <v>0.99334974765950101</v>
      </c>
      <c r="C5139">
        <v>0.94777538470566303</v>
      </c>
      <c r="D5139">
        <v>0.85217958433312302</v>
      </c>
      <c r="E5139">
        <v>0.70351076265432799</v>
      </c>
      <c r="F5139">
        <v>0.22133687663302201</v>
      </c>
      <c r="G5139">
        <v>0.109840432384013</v>
      </c>
      <c r="H5139">
        <v>7.32754078404112E-2</v>
      </c>
      <c r="I5139">
        <v>6.3261211917964993E-2</v>
      </c>
      <c r="J5139">
        <v>6.9406946313446294E-2</v>
      </c>
      <c r="K5139">
        <v>5.8552255133802703E-2</v>
      </c>
      <c r="L5139">
        <v>1636.9603036978999</v>
      </c>
      <c r="M5139">
        <v>32.185178769466297</v>
      </c>
      <c r="N5139">
        <v>51.076623323390599</v>
      </c>
      <c r="O5139">
        <v>50.665550304698101</v>
      </c>
      <c r="P5139">
        <v>-0.14871141809788499</v>
      </c>
      <c r="Q5139">
        <v>6.3605239442265593E-2</v>
      </c>
      <c r="R5139">
        <v>0.98632163257885097</v>
      </c>
      <c r="S5139" t="s">
        <v>11000</v>
      </c>
      <c r="T5139" t="s">
        <v>11720</v>
      </c>
      <c r="U5139" t="s">
        <v>11720</v>
      </c>
      <c r="V5139" t="s">
        <v>11720</v>
      </c>
      <c r="W5139" t="s">
        <v>16802</v>
      </c>
      <c r="X5139">
        <v>29</v>
      </c>
      <c r="Y5139" t="s">
        <v>22508</v>
      </c>
      <c r="Z5139" t="s">
        <v>28346</v>
      </c>
      <c r="AA5139">
        <v>0.40770198858309931</v>
      </c>
      <c r="AB5139" t="str">
        <f>HYPERLINK("Melting_Curves/meltCurve_Q9HC38_2_GLOD4.pdf", "Melting_Curves/meltCurve_Q9HC38_2_GLOD4.pdf")</f>
        <v>Melting_Curves/meltCurve_Q9HC38_2_GLOD4.pdf</v>
      </c>
    </row>
    <row r="5140" spans="1:28" x14ac:dyDescent="0.25">
      <c r="A5140" t="s">
        <v>5144</v>
      </c>
      <c r="B5140">
        <v>0.99334974765950101</v>
      </c>
      <c r="C5140">
        <v>1.2574524602075201</v>
      </c>
      <c r="D5140">
        <v>1.0686964182513801</v>
      </c>
      <c r="E5140">
        <v>0.92202873855391099</v>
      </c>
      <c r="F5140">
        <v>0.776975963504829</v>
      </c>
      <c r="G5140">
        <v>0.41090970346255501</v>
      </c>
      <c r="H5140">
        <v>0.31855627534833802</v>
      </c>
      <c r="I5140">
        <v>0.39890986361311997</v>
      </c>
      <c r="J5140">
        <v>0.81999466050335501</v>
      </c>
      <c r="K5140">
        <v>1.2481223835865001</v>
      </c>
      <c r="L5140">
        <v>2667.9514609449302</v>
      </c>
      <c r="M5140">
        <v>51.257436359032702</v>
      </c>
      <c r="O5140">
        <v>51.970993370107799</v>
      </c>
      <c r="P5140">
        <v>-8.80749509581705E-2</v>
      </c>
      <c r="Q5140">
        <v>0.64279609020383399</v>
      </c>
      <c r="R5140">
        <v>0.35628064365018203</v>
      </c>
      <c r="S5140" t="s">
        <v>11001</v>
      </c>
      <c r="T5140" t="s">
        <v>11720</v>
      </c>
      <c r="U5140" t="s">
        <v>11720</v>
      </c>
      <c r="V5140" t="s">
        <v>11720</v>
      </c>
      <c r="W5140" t="s">
        <v>16803</v>
      </c>
      <c r="X5140">
        <v>4</v>
      </c>
      <c r="Y5140" t="s">
        <v>22509</v>
      </c>
      <c r="Z5140" t="s">
        <v>28347</v>
      </c>
      <c r="AA5140">
        <v>0.78705355587821368</v>
      </c>
      <c r="AB5140" t="str">
        <f>HYPERLINK("Melting_Curves/meltCurve_Q9HC57_WFDC1.pdf", "Melting_Curves/meltCurve_Q9HC57_WFDC1.pdf")</f>
        <v>Melting_Curves/meltCurve_Q9HC57_WFDC1.pdf</v>
      </c>
    </row>
    <row r="5141" spans="1:28" x14ac:dyDescent="0.25">
      <c r="A5141" t="s">
        <v>5145</v>
      </c>
      <c r="B5141">
        <v>0.99334974765950101</v>
      </c>
      <c r="C5141">
        <v>0.92115768775747797</v>
      </c>
      <c r="D5141">
        <v>0.89328022541171803</v>
      </c>
      <c r="E5141">
        <v>0.85501933264431096</v>
      </c>
      <c r="F5141">
        <v>1.47667017725968</v>
      </c>
      <c r="G5141">
        <v>1.64161275903837</v>
      </c>
      <c r="H5141">
        <v>1.4389489317424899</v>
      </c>
      <c r="I5141">
        <v>1.9979436836370801</v>
      </c>
      <c r="J5141">
        <v>0.877412516695529</v>
      </c>
      <c r="K5141">
        <v>0.37816495444017201</v>
      </c>
      <c r="L5141">
        <v>15000</v>
      </c>
      <c r="M5141">
        <v>222.475535449506</v>
      </c>
      <c r="N5141">
        <v>67.853328636151204</v>
      </c>
      <c r="O5141">
        <v>67.417677382291899</v>
      </c>
      <c r="P5141">
        <v>-0.51315104364728303</v>
      </c>
      <c r="Q5141">
        <v>0.37799073959111701</v>
      </c>
      <c r="R5141">
        <v>8.9999206592344894E-2</v>
      </c>
      <c r="S5141" t="s">
        <v>11002</v>
      </c>
      <c r="T5141" t="s">
        <v>11720</v>
      </c>
      <c r="U5141" t="s">
        <v>11720</v>
      </c>
      <c r="V5141" t="s">
        <v>11720</v>
      </c>
      <c r="W5141" t="s">
        <v>16804</v>
      </c>
      <c r="X5141">
        <v>18</v>
      </c>
      <c r="Y5141" t="s">
        <v>22510</v>
      </c>
      <c r="Z5141" t="s">
        <v>28348</v>
      </c>
      <c r="AA5141">
        <v>0.94666343119010243</v>
      </c>
      <c r="AB5141" t="str">
        <f>HYPERLINK("Melting_Curves/meltCurve_Q9HCC0_MCCC2.pdf", "Melting_Curves/meltCurve_Q9HCC0_MCCC2.pdf")</f>
        <v>Melting_Curves/meltCurve_Q9HCC0_MCCC2.pdf</v>
      </c>
    </row>
    <row r="5142" spans="1:28" x14ac:dyDescent="0.25">
      <c r="A5142" t="s">
        <v>5146</v>
      </c>
      <c r="B5142">
        <v>0.99334974765950101</v>
      </c>
      <c r="C5142">
        <v>0.914275762192438</v>
      </c>
      <c r="D5142">
        <v>0.68717770870308104</v>
      </c>
      <c r="E5142">
        <v>0.482536430184761</v>
      </c>
      <c r="F5142">
        <v>0.42613976053374603</v>
      </c>
      <c r="G5142">
        <v>0.31380299336603401</v>
      </c>
      <c r="H5142">
        <v>0.28131968779152999</v>
      </c>
      <c r="I5142">
        <v>0.27347741724781099</v>
      </c>
      <c r="J5142">
        <v>0.27093784863937198</v>
      </c>
      <c r="K5142">
        <v>0.221647321294243</v>
      </c>
      <c r="L5142">
        <v>721.65771041047105</v>
      </c>
      <c r="M5142">
        <v>15.1484985478918</v>
      </c>
      <c r="N5142">
        <v>49.959592402457503</v>
      </c>
      <c r="O5142">
        <v>46.831849339000399</v>
      </c>
      <c r="P5142">
        <v>-6.04441196160821E-2</v>
      </c>
      <c r="Q5142">
        <v>0.25261644708578701</v>
      </c>
      <c r="R5142">
        <v>0.99036491290055495</v>
      </c>
      <c r="S5142" t="s">
        <v>11003</v>
      </c>
      <c r="T5142" t="s">
        <v>11720</v>
      </c>
      <c r="U5142" t="s">
        <v>11720</v>
      </c>
      <c r="V5142" t="s">
        <v>11720</v>
      </c>
      <c r="W5142" t="s">
        <v>16805</v>
      </c>
      <c r="X5142">
        <v>5</v>
      </c>
      <c r="Y5142" t="s">
        <v>22511</v>
      </c>
      <c r="Z5142" t="s">
        <v>28349</v>
      </c>
      <c r="AA5142">
        <v>0.46211763568033393</v>
      </c>
      <c r="AB5142" t="str">
        <f>HYPERLINK("Melting_Curves/meltCurve_Q9HCD6_TANC2.pdf", "Melting_Curves/meltCurve_Q9HCD6_TANC2.pdf")</f>
        <v>Melting_Curves/meltCurve_Q9HCD6_TANC2.pdf</v>
      </c>
    </row>
    <row r="5143" spans="1:28" x14ac:dyDescent="0.25">
      <c r="A5143" t="s">
        <v>5147</v>
      </c>
      <c r="B5143">
        <v>0.99334974765950101</v>
      </c>
      <c r="C5143">
        <v>1.0286052280803399</v>
      </c>
      <c r="D5143">
        <v>0.96461157031340194</v>
      </c>
      <c r="E5143">
        <v>0.76037718603876003</v>
      </c>
      <c r="F5143">
        <v>0.49611511755207999</v>
      </c>
      <c r="G5143">
        <v>0.33074316031951201</v>
      </c>
      <c r="H5143">
        <v>0.34816655366372301</v>
      </c>
      <c r="I5143">
        <v>0.34771547476092302</v>
      </c>
      <c r="J5143">
        <v>0.38697981672131299</v>
      </c>
      <c r="K5143">
        <v>0.33322763966582097</v>
      </c>
      <c r="L5143">
        <v>1640.88529575141</v>
      </c>
      <c r="M5143">
        <v>32.2617026745557</v>
      </c>
      <c r="N5143">
        <v>52.790826664921099</v>
      </c>
      <c r="O5143">
        <v>50.667486110553298</v>
      </c>
      <c r="P5143">
        <v>-0.10407530547913101</v>
      </c>
      <c r="Q5143">
        <v>0.34619594809812498</v>
      </c>
      <c r="R5143">
        <v>0.994762636100752</v>
      </c>
      <c r="S5143" t="s">
        <v>11004</v>
      </c>
      <c r="T5143" t="s">
        <v>11720</v>
      </c>
      <c r="U5143" t="s">
        <v>11720</v>
      </c>
      <c r="V5143" t="s">
        <v>11720</v>
      </c>
      <c r="W5143" t="s">
        <v>16806</v>
      </c>
      <c r="X5143">
        <v>6</v>
      </c>
      <c r="Y5143" t="s">
        <v>22512</v>
      </c>
      <c r="Z5143" t="s">
        <v>28350</v>
      </c>
      <c r="AA5143">
        <v>0.58645450275877842</v>
      </c>
      <c r="AB5143" t="str">
        <f>HYPERLINK("Melting_Curves/meltCurve_Q9HCE0_EPG5.pdf", "Melting_Curves/meltCurve_Q9HCE0_EPG5.pdf")</f>
        <v>Melting_Curves/meltCurve_Q9HCE0_EPG5.pdf</v>
      </c>
    </row>
    <row r="5144" spans="1:28" x14ac:dyDescent="0.25">
      <c r="A5144" t="s">
        <v>5148</v>
      </c>
      <c r="B5144">
        <v>0.99334974765950101</v>
      </c>
      <c r="C5144">
        <v>0.95218627522118504</v>
      </c>
      <c r="D5144">
        <v>0.74351514144020103</v>
      </c>
      <c r="E5144">
        <v>0.69783806658173397</v>
      </c>
      <c r="F5144">
        <v>0.67641687382821902</v>
      </c>
      <c r="G5144">
        <v>0.56884279373576696</v>
      </c>
      <c r="H5144">
        <v>0.50691198205971399</v>
      </c>
      <c r="I5144">
        <v>0.55475522792342102</v>
      </c>
      <c r="J5144">
        <v>0.56906541276154798</v>
      </c>
      <c r="K5144">
        <v>0.45097497651393997</v>
      </c>
      <c r="L5144">
        <v>563.79683749052901</v>
      </c>
      <c r="M5144">
        <v>11.691324595243</v>
      </c>
      <c r="O5144">
        <v>46.877488006334502</v>
      </c>
      <c r="P5144">
        <v>-3.1156127267743399E-2</v>
      </c>
      <c r="Q5144">
        <v>0.500439236384144</v>
      </c>
      <c r="R5144">
        <v>0.93430577649670798</v>
      </c>
      <c r="S5144" t="s">
        <v>11005</v>
      </c>
      <c r="T5144" t="s">
        <v>11720</v>
      </c>
      <c r="U5144" t="s">
        <v>11720</v>
      </c>
      <c r="V5144" t="s">
        <v>11720</v>
      </c>
      <c r="W5144" t="s">
        <v>16807</v>
      </c>
      <c r="X5144">
        <v>2</v>
      </c>
      <c r="Y5144" t="s">
        <v>22513</v>
      </c>
      <c r="Z5144" t="s">
        <v>28351</v>
      </c>
      <c r="AA5144">
        <v>0.65753287824217255</v>
      </c>
      <c r="AB5144" t="str">
        <f>HYPERLINK("Melting_Curves/meltCurve_Q9HCE3_ZNF532.pdf", "Melting_Curves/meltCurve_Q9HCE3_ZNF532.pdf")</f>
        <v>Melting_Curves/meltCurve_Q9HCE3_ZNF532.pdf</v>
      </c>
    </row>
    <row r="5145" spans="1:28" x14ac:dyDescent="0.25">
      <c r="A5145" t="s">
        <v>5149</v>
      </c>
      <c r="B5145">
        <v>0.99334974765950101</v>
      </c>
      <c r="C5145">
        <v>1.0425050642432301</v>
      </c>
      <c r="D5145">
        <v>0.91612240541384204</v>
      </c>
      <c r="E5145">
        <v>0.79779281269715696</v>
      </c>
      <c r="F5145">
        <v>0.35141396434529099</v>
      </c>
      <c r="G5145">
        <v>0.201715438845633</v>
      </c>
      <c r="H5145">
        <v>0.15377660416998101</v>
      </c>
      <c r="I5145">
        <v>0.103891835676932</v>
      </c>
      <c r="J5145">
        <v>0.121795356176158</v>
      </c>
      <c r="K5145">
        <v>0.115935521080552</v>
      </c>
      <c r="L5145">
        <v>1748.95782440008</v>
      </c>
      <c r="M5145">
        <v>33.927468121133401</v>
      </c>
      <c r="N5145">
        <v>52.006698139808996</v>
      </c>
      <c r="O5145">
        <v>51.371795337005203</v>
      </c>
      <c r="P5145">
        <v>-0.14383359678955601</v>
      </c>
      <c r="Q5145">
        <v>0.12885201493482501</v>
      </c>
      <c r="R5145">
        <v>0.99264517424467202</v>
      </c>
      <c r="S5145" t="s">
        <v>11006</v>
      </c>
      <c r="T5145" t="s">
        <v>11720</v>
      </c>
      <c r="U5145" t="s">
        <v>11720</v>
      </c>
      <c r="V5145" t="s">
        <v>11720</v>
      </c>
      <c r="W5145" t="s">
        <v>16808</v>
      </c>
      <c r="X5145">
        <v>6</v>
      </c>
      <c r="Y5145" t="s">
        <v>22514</v>
      </c>
      <c r="Z5145" t="s">
        <v>28352</v>
      </c>
      <c r="AA5145">
        <v>0.4685622455860779</v>
      </c>
      <c r="AB5145" t="str">
        <f>HYPERLINK("Melting_Curves/meltCurve_Q9HCE5_METTL14.pdf", "Melting_Curves/meltCurve_Q9HCE5_METTL14.pdf")</f>
        <v>Melting_Curves/meltCurve_Q9HCE5_METTL14.pdf</v>
      </c>
    </row>
    <row r="5146" spans="1:28" x14ac:dyDescent="0.25">
      <c r="A5146" t="s">
        <v>5150</v>
      </c>
      <c r="B5146">
        <v>0.99334974765950101</v>
      </c>
      <c r="C5146">
        <v>1.0358246710941701</v>
      </c>
      <c r="D5146">
        <v>0.72373240224705604</v>
      </c>
      <c r="E5146">
        <v>0.680185813849016</v>
      </c>
      <c r="F5146">
        <v>0.79433837246703698</v>
      </c>
      <c r="G5146">
        <v>0.474282065924925</v>
      </c>
      <c r="H5146">
        <v>0.45021966623280701</v>
      </c>
      <c r="I5146">
        <v>0.40162417470670497</v>
      </c>
      <c r="J5146">
        <v>0.53604765985719105</v>
      </c>
      <c r="K5146">
        <v>0.47261097461526402</v>
      </c>
      <c r="L5146">
        <v>583.80173654131602</v>
      </c>
      <c r="M5146">
        <v>11.6562105476597</v>
      </c>
      <c r="N5146">
        <v>60.4433346392643</v>
      </c>
      <c r="O5146">
        <v>48.679017424152903</v>
      </c>
      <c r="P5146">
        <v>-3.4001186023186102E-2</v>
      </c>
      <c r="Q5146">
        <v>0.43216625347217602</v>
      </c>
      <c r="R5146">
        <v>0.83999738546520697</v>
      </c>
      <c r="S5146" t="s">
        <v>11007</v>
      </c>
      <c r="T5146" t="s">
        <v>11720</v>
      </c>
      <c r="U5146" t="s">
        <v>11720</v>
      </c>
      <c r="V5146" t="s">
        <v>11720</v>
      </c>
      <c r="W5146" t="s">
        <v>16809</v>
      </c>
      <c r="X5146">
        <v>4</v>
      </c>
      <c r="Y5146" t="s">
        <v>22515</v>
      </c>
      <c r="Z5146" t="s">
        <v>28353</v>
      </c>
      <c r="AA5146">
        <v>0.64350462626152105</v>
      </c>
      <c r="AB5146" t="str">
        <f>HYPERLINK("Melting_Curves/meltCurve_Q9HCH0_3_NCKAP5L.pdf", "Melting_Curves/meltCurve_Q9HCH0_3_NCKAP5L.pdf")</f>
        <v>Melting_Curves/meltCurve_Q9HCH0_3_NCKAP5L.pdf</v>
      </c>
    </row>
    <row r="5147" spans="1:28" x14ac:dyDescent="0.25">
      <c r="A5147" t="s">
        <v>5151</v>
      </c>
      <c r="B5147">
        <v>0.99334974765950101</v>
      </c>
      <c r="C5147">
        <v>0.91174361992775499</v>
      </c>
      <c r="D5147">
        <v>0.75847558834233297</v>
      </c>
      <c r="E5147">
        <v>0.49495118342441802</v>
      </c>
      <c r="F5147">
        <v>0.40131576830081001</v>
      </c>
      <c r="G5147">
        <v>0.27432216528837999</v>
      </c>
      <c r="H5147">
        <v>0.21883270262330401</v>
      </c>
      <c r="I5147">
        <v>0.18901177273053599</v>
      </c>
      <c r="J5147">
        <v>0.184640668609444</v>
      </c>
      <c r="K5147">
        <v>0.14679738753333299</v>
      </c>
      <c r="L5147">
        <v>685.21921679084096</v>
      </c>
      <c r="M5147">
        <v>13.9659600520179</v>
      </c>
      <c r="N5147">
        <v>50.442257143647502</v>
      </c>
      <c r="O5147">
        <v>48.090428218018701</v>
      </c>
      <c r="P5147">
        <v>-6.1091605932561799E-2</v>
      </c>
      <c r="Q5147">
        <v>0.15866026392030799</v>
      </c>
      <c r="R5147">
        <v>0.99662285163704301</v>
      </c>
      <c r="S5147" t="s">
        <v>11008</v>
      </c>
      <c r="T5147" t="s">
        <v>11720</v>
      </c>
      <c r="U5147" t="s">
        <v>11720</v>
      </c>
      <c r="V5147" t="s">
        <v>11720</v>
      </c>
      <c r="W5147" t="s">
        <v>16810</v>
      </c>
      <c r="X5147">
        <v>8</v>
      </c>
      <c r="Y5147" t="s">
        <v>22516</v>
      </c>
      <c r="Z5147" t="s">
        <v>28354</v>
      </c>
      <c r="AA5147">
        <v>0.43647805831787367</v>
      </c>
      <c r="AB5147" t="str">
        <f>HYPERLINK("Melting_Curves/meltCurve_Q9HCH5_6_SYTL2.pdf", "Melting_Curves/meltCurve_Q9HCH5_6_SYTL2.pdf")</f>
        <v>Melting_Curves/meltCurve_Q9HCH5_6_SYTL2.pdf</v>
      </c>
    </row>
    <row r="5148" spans="1:28" x14ac:dyDescent="0.25">
      <c r="A5148" t="s">
        <v>5152</v>
      </c>
      <c r="B5148">
        <v>0.99334974765950101</v>
      </c>
      <c r="C5148">
        <v>1.0391171798343799</v>
      </c>
      <c r="D5148">
        <v>0.91831082402061004</v>
      </c>
      <c r="E5148">
        <v>0.64505221782123601</v>
      </c>
      <c r="F5148">
        <v>0.58061810403158598</v>
      </c>
      <c r="G5148">
        <v>0.51868737455487002</v>
      </c>
      <c r="H5148">
        <v>0.41320713646398299</v>
      </c>
      <c r="I5148">
        <v>0.45425031689008999</v>
      </c>
      <c r="J5148">
        <v>0.52003880564469696</v>
      </c>
      <c r="K5148">
        <v>0.48414643154958398</v>
      </c>
      <c r="L5148">
        <v>1259.0307784999</v>
      </c>
      <c r="M5148">
        <v>25.716778927486398</v>
      </c>
      <c r="N5148">
        <v>55.7336648472142</v>
      </c>
      <c r="O5148">
        <v>48.664410791856298</v>
      </c>
      <c r="P5148">
        <v>-6.8954779105264902E-2</v>
      </c>
      <c r="Q5148">
        <v>0.47806790894387802</v>
      </c>
      <c r="R5148">
        <v>0.97475747561458803</v>
      </c>
      <c r="S5148" t="s">
        <v>11009</v>
      </c>
      <c r="T5148" t="s">
        <v>11720</v>
      </c>
      <c r="U5148" t="s">
        <v>11720</v>
      </c>
      <c r="V5148" t="s">
        <v>11720</v>
      </c>
      <c r="W5148" t="s">
        <v>16811</v>
      </c>
      <c r="X5148">
        <v>4</v>
      </c>
      <c r="Y5148" t="s">
        <v>22517</v>
      </c>
      <c r="Z5148" t="s">
        <v>28355</v>
      </c>
      <c r="AA5148">
        <v>0.63827112675459252</v>
      </c>
      <c r="AB5148" t="str">
        <f>HYPERLINK("Melting_Curves/meltCurve_Q9HCJ6_VAT1L.pdf", "Melting_Curves/meltCurve_Q9HCJ6_VAT1L.pdf")</f>
        <v>Melting_Curves/meltCurve_Q9HCJ6_VAT1L.pdf</v>
      </c>
    </row>
    <row r="5149" spans="1:28" x14ac:dyDescent="0.25">
      <c r="A5149" t="s">
        <v>5153</v>
      </c>
      <c r="B5149">
        <v>0.99334974765950101</v>
      </c>
      <c r="C5149">
        <v>1.0187961378546899</v>
      </c>
      <c r="D5149">
        <v>0.79676182813647101</v>
      </c>
      <c r="E5149">
        <v>0.86899043859032998</v>
      </c>
      <c r="F5149">
        <v>1.0234772805183301</v>
      </c>
      <c r="G5149">
        <v>0.579693402479872</v>
      </c>
      <c r="H5149">
        <v>0.63664990463294602</v>
      </c>
      <c r="I5149">
        <v>0.66914273678529901</v>
      </c>
      <c r="J5149">
        <v>0.54674633263477501</v>
      </c>
      <c r="K5149">
        <v>0.38643645921861403</v>
      </c>
      <c r="L5149">
        <v>389.78020585975003</v>
      </c>
      <c r="M5149">
        <v>5.7695563648687997</v>
      </c>
      <c r="N5149">
        <v>67.558089601267099</v>
      </c>
      <c r="O5149">
        <v>60.764474564655302</v>
      </c>
      <c r="P5149">
        <v>-2.3825721924270699E-2</v>
      </c>
      <c r="Q5149">
        <v>0</v>
      </c>
      <c r="R5149">
        <v>0.77269859697504095</v>
      </c>
      <c r="S5149" t="s">
        <v>11010</v>
      </c>
      <c r="T5149" t="s">
        <v>11720</v>
      </c>
      <c r="U5149" t="s">
        <v>11720</v>
      </c>
      <c r="V5149" t="s">
        <v>11720</v>
      </c>
      <c r="W5149" t="s">
        <v>16812</v>
      </c>
      <c r="X5149">
        <v>6</v>
      </c>
      <c r="Y5149" t="s">
        <v>22518</v>
      </c>
      <c r="Z5149" t="s">
        <v>28356</v>
      </c>
      <c r="AA5149">
        <v>0.76207071374037194</v>
      </c>
      <c r="AB5149" t="str">
        <f>HYPERLINK("Melting_Curves/meltCurve_Q9HCK4_ROBO2.pdf", "Melting_Curves/meltCurve_Q9HCK4_ROBO2.pdf")</f>
        <v>Melting_Curves/meltCurve_Q9HCK4_ROBO2.pdf</v>
      </c>
    </row>
    <row r="5150" spans="1:28" x14ac:dyDescent="0.25">
      <c r="A5150" t="s">
        <v>5154</v>
      </c>
      <c r="B5150">
        <v>0.99334974765950101</v>
      </c>
      <c r="C5150">
        <v>0.81229464621160996</v>
      </c>
      <c r="D5150">
        <v>1.25352806234005</v>
      </c>
      <c r="E5150">
        <v>1.18868498508458</v>
      </c>
      <c r="F5150">
        <v>1.3318171372141701</v>
      </c>
      <c r="G5150">
        <v>1.55471482949571</v>
      </c>
      <c r="H5150">
        <v>1.0447183003676299</v>
      </c>
      <c r="I5150">
        <v>0.93497187747984201</v>
      </c>
      <c r="J5150">
        <v>0.414857786293576</v>
      </c>
      <c r="K5150">
        <v>0</v>
      </c>
      <c r="L5150">
        <v>4902.2511902857104</v>
      </c>
      <c r="M5150">
        <v>73.539779788103502</v>
      </c>
      <c r="N5150">
        <v>66.661216307734193</v>
      </c>
      <c r="O5150">
        <v>66.611986076992395</v>
      </c>
      <c r="P5150">
        <v>-0.27600065845287303</v>
      </c>
      <c r="Q5150">
        <v>0</v>
      </c>
      <c r="R5150">
        <v>0.703964726999597</v>
      </c>
      <c r="S5150" t="s">
        <v>11011</v>
      </c>
      <c r="T5150" t="s">
        <v>11720</v>
      </c>
      <c r="U5150" t="s">
        <v>11720</v>
      </c>
      <c r="V5150" t="s">
        <v>11720</v>
      </c>
      <c r="W5150" t="s">
        <v>16813</v>
      </c>
      <c r="X5150">
        <v>2</v>
      </c>
      <c r="Y5150" t="s">
        <v>22519</v>
      </c>
      <c r="Z5150" t="s">
        <v>28357</v>
      </c>
      <c r="AA5150">
        <v>0.88904900440073709</v>
      </c>
      <c r="AB5150" t="str">
        <f>HYPERLINK("Melting_Curves/meltCurve_Q9HCN3_TMEM8A.pdf", "Melting_Curves/meltCurve_Q9HCN3_TMEM8A.pdf")</f>
        <v>Melting_Curves/meltCurve_Q9HCN3_TMEM8A.pdf</v>
      </c>
    </row>
    <row r="5151" spans="1:28" x14ac:dyDescent="0.25">
      <c r="A5151" t="s">
        <v>5155</v>
      </c>
      <c r="B5151">
        <v>0.99334974765950101</v>
      </c>
      <c r="C5151">
        <v>1.09363799833326</v>
      </c>
      <c r="D5151">
        <v>1.2649311966907899</v>
      </c>
      <c r="E5151">
        <v>1.3472580801877301</v>
      </c>
      <c r="F5151">
        <v>1.53875358280672</v>
      </c>
      <c r="G5151">
        <v>0.96320930130081595</v>
      </c>
      <c r="H5151">
        <v>0.82631123255580696</v>
      </c>
      <c r="I5151">
        <v>0.84716967182101699</v>
      </c>
      <c r="J5151">
        <v>0.45286769755311501</v>
      </c>
      <c r="K5151">
        <v>8.7813564752431905E-2</v>
      </c>
      <c r="L5151">
        <v>2527.1908829990002</v>
      </c>
      <c r="M5151">
        <v>37.988935341158701</v>
      </c>
      <c r="N5151">
        <v>66.524393518875996</v>
      </c>
      <c r="O5151">
        <v>66.340856229417597</v>
      </c>
      <c r="P5151">
        <v>-0.14315850998183199</v>
      </c>
      <c r="Q5151">
        <v>0</v>
      </c>
      <c r="R5151">
        <v>0.68653903056391596</v>
      </c>
      <c r="S5151" t="s">
        <v>11012</v>
      </c>
      <c r="T5151" t="s">
        <v>11720</v>
      </c>
      <c r="U5151" t="s">
        <v>11720</v>
      </c>
      <c r="V5151" t="s">
        <v>11720</v>
      </c>
      <c r="W5151" t="s">
        <v>16814</v>
      </c>
      <c r="X5151">
        <v>5</v>
      </c>
      <c r="Y5151" t="s">
        <v>22520</v>
      </c>
      <c r="Z5151" t="s">
        <v>28358</v>
      </c>
      <c r="AA5151">
        <v>0.87955195556899113</v>
      </c>
      <c r="AB5151" t="str">
        <f>HYPERLINK("Melting_Curves/meltCurve_Q9HCN4_2_GPN1.pdf", "Melting_Curves/meltCurve_Q9HCN4_2_GPN1.pdf")</f>
        <v>Melting_Curves/meltCurve_Q9HCN4_2_GPN1.pdf</v>
      </c>
    </row>
    <row r="5152" spans="1:28" x14ac:dyDescent="0.25">
      <c r="A5152" t="s">
        <v>5156</v>
      </c>
      <c r="B5152">
        <v>0.99334974765950101</v>
      </c>
      <c r="C5152">
        <v>0.95184142134232996</v>
      </c>
      <c r="D5152">
        <v>0.99180051694695104</v>
      </c>
      <c r="E5152">
        <v>1.0315908415625601</v>
      </c>
      <c r="F5152">
        <v>0.98436230686172299</v>
      </c>
      <c r="G5152">
        <v>1.0592520737790101</v>
      </c>
      <c r="H5152">
        <v>1.1104163399342899</v>
      </c>
      <c r="I5152">
        <v>0.87292081662552701</v>
      </c>
      <c r="J5152">
        <v>0.43620172008811497</v>
      </c>
      <c r="K5152">
        <v>0.35117843964297801</v>
      </c>
      <c r="L5152">
        <v>4976.35807986686</v>
      </c>
      <c r="M5152">
        <v>76.265654483189095</v>
      </c>
      <c r="N5152">
        <v>66.309723663632496</v>
      </c>
      <c r="O5152">
        <v>65.205497810535803</v>
      </c>
      <c r="P5152">
        <v>-0.189432030614889</v>
      </c>
      <c r="Q5152">
        <v>0.35215884969776001</v>
      </c>
      <c r="R5152">
        <v>0.96772601086465104</v>
      </c>
      <c r="S5152" t="s">
        <v>11013</v>
      </c>
      <c r="T5152" t="s">
        <v>11720</v>
      </c>
      <c r="U5152" t="s">
        <v>11720</v>
      </c>
      <c r="V5152" t="s">
        <v>11720</v>
      </c>
      <c r="W5152" t="s">
        <v>16815</v>
      </c>
      <c r="X5152">
        <v>2</v>
      </c>
      <c r="Y5152" t="s">
        <v>22521</v>
      </c>
      <c r="Z5152" t="s">
        <v>28359</v>
      </c>
      <c r="AA5152">
        <v>0.89810738820694935</v>
      </c>
      <c r="AB5152" t="str">
        <f>HYPERLINK("Melting_Curves/meltCurve_Q9HCN8_SDF2L1.pdf", "Melting_Curves/meltCurve_Q9HCN8_SDF2L1.pdf")</f>
        <v>Melting_Curves/meltCurve_Q9HCN8_SDF2L1.pdf</v>
      </c>
    </row>
    <row r="5153" spans="1:28" x14ac:dyDescent="0.25">
      <c r="A5153" t="s">
        <v>5157</v>
      </c>
      <c r="B5153">
        <v>0.99334974765950101</v>
      </c>
      <c r="C5153">
        <v>0.99136145869569603</v>
      </c>
      <c r="D5153">
        <v>0.95690939634308503</v>
      </c>
      <c r="E5153">
        <v>0.856092467522797</v>
      </c>
      <c r="F5153">
        <v>0.54211658849776501</v>
      </c>
      <c r="G5153">
        <v>0.35954927079521798</v>
      </c>
      <c r="H5153">
        <v>0.24054455621137699</v>
      </c>
      <c r="I5153">
        <v>0.198857196473125</v>
      </c>
      <c r="J5153">
        <v>0.22102966461009499</v>
      </c>
      <c r="K5153">
        <v>0.17043091334007099</v>
      </c>
      <c r="L5153">
        <v>1154.62528725586</v>
      </c>
      <c r="M5153">
        <v>21.8503408188901</v>
      </c>
      <c r="N5153">
        <v>54.048843788615301</v>
      </c>
      <c r="O5153">
        <v>52.405801727245098</v>
      </c>
      <c r="P5153">
        <v>-8.4122078415724597E-2</v>
      </c>
      <c r="Q5153">
        <v>0.192985741879803</v>
      </c>
      <c r="R5153">
        <v>0.99527248956427905</v>
      </c>
      <c r="S5153" t="s">
        <v>11014</v>
      </c>
      <c r="T5153" t="s">
        <v>11720</v>
      </c>
      <c r="U5153" t="s">
        <v>11720</v>
      </c>
      <c r="V5153" t="s">
        <v>11720</v>
      </c>
      <c r="W5153" t="s">
        <v>16816</v>
      </c>
      <c r="X5153">
        <v>2</v>
      </c>
      <c r="Y5153" t="s">
        <v>22522</v>
      </c>
      <c r="Z5153" t="s">
        <v>28360</v>
      </c>
      <c r="AA5153">
        <v>0.54796539760039309</v>
      </c>
      <c r="AB5153" t="str">
        <f>HYPERLINK("Melting_Curves/meltCurve_Q9HCP0_2_CSNK1G1.pdf", "Melting_Curves/meltCurve_Q9HCP0_2_CSNK1G1.pdf")</f>
        <v>Melting_Curves/meltCurve_Q9HCP0_2_CSNK1G1.pdf</v>
      </c>
    </row>
    <row r="5154" spans="1:28" x14ac:dyDescent="0.25">
      <c r="A5154" t="s">
        <v>5158</v>
      </c>
      <c r="B5154">
        <v>0.99334974765950101</v>
      </c>
      <c r="C5154">
        <v>0.923924959884036</v>
      </c>
      <c r="D5154">
        <v>0.86305072331534005</v>
      </c>
      <c r="E5154">
        <v>0.82029862135545495</v>
      </c>
      <c r="F5154">
        <v>0.67779704891577597</v>
      </c>
      <c r="G5154">
        <v>0.57240519990275496</v>
      </c>
      <c r="H5154">
        <v>0.48661433468703202</v>
      </c>
      <c r="I5154">
        <v>0.58469224489986604</v>
      </c>
      <c r="J5154">
        <v>0.41127993153377901</v>
      </c>
      <c r="K5154">
        <v>0.30136915706851303</v>
      </c>
      <c r="L5154">
        <v>357.001185723216</v>
      </c>
      <c r="M5154">
        <v>5.9422697798575799</v>
      </c>
      <c r="N5154">
        <v>61.961110408752099</v>
      </c>
      <c r="O5154">
        <v>54.330412374249498</v>
      </c>
      <c r="P5154">
        <v>-2.5168649076741101E-2</v>
      </c>
      <c r="Q5154">
        <v>8.2603404645600301E-2</v>
      </c>
      <c r="R5154">
        <v>0.94593167966804803</v>
      </c>
      <c r="S5154" t="s">
        <v>11015</v>
      </c>
      <c r="T5154" t="s">
        <v>11720</v>
      </c>
      <c r="U5154" t="s">
        <v>11720</v>
      </c>
      <c r="V5154" t="s">
        <v>11720</v>
      </c>
      <c r="W5154" t="s">
        <v>16817</v>
      </c>
      <c r="X5154">
        <v>14</v>
      </c>
      <c r="Y5154" t="s">
        <v>22523</v>
      </c>
      <c r="Z5154" t="s">
        <v>28361</v>
      </c>
      <c r="AA5154">
        <v>0.66387779720364037</v>
      </c>
      <c r="AB5154" t="str">
        <f>HYPERLINK("Melting_Curves/meltCurve_Q9HCU0_CD248.pdf", "Melting_Curves/meltCurve_Q9HCU0_CD248.pdf")</f>
        <v>Melting_Curves/meltCurve_Q9HCU0_CD248.pdf</v>
      </c>
    </row>
    <row r="5155" spans="1:28" x14ac:dyDescent="0.25">
      <c r="A5155" t="s">
        <v>5159</v>
      </c>
      <c r="B5155">
        <v>0.99334974765950101</v>
      </c>
      <c r="C5155">
        <v>0.95728538381393302</v>
      </c>
      <c r="D5155">
        <v>0.94773714584740298</v>
      </c>
      <c r="E5155">
        <v>0.86645965660478996</v>
      </c>
      <c r="F5155">
        <v>0.72373138630721801</v>
      </c>
      <c r="G5155">
        <v>0.462874846036262</v>
      </c>
      <c r="H5155">
        <v>0.236623295091409</v>
      </c>
      <c r="I5155">
        <v>0.145113019974734</v>
      </c>
      <c r="J5155">
        <v>0.12242083743252399</v>
      </c>
      <c r="K5155">
        <v>7.4713556448843699E-2</v>
      </c>
      <c r="L5155">
        <v>849.71166992783299</v>
      </c>
      <c r="M5155">
        <v>15.153212866283299</v>
      </c>
      <c r="N5155">
        <v>56.299475205588401</v>
      </c>
      <c r="O5155">
        <v>55.125305783630203</v>
      </c>
      <c r="P5155">
        <v>-6.6710878612367297E-2</v>
      </c>
      <c r="Q5155">
        <v>2.93542088444704E-2</v>
      </c>
      <c r="R5155">
        <v>0.99829370041729504</v>
      </c>
      <c r="S5155" t="s">
        <v>11016</v>
      </c>
      <c r="T5155" t="s">
        <v>11720</v>
      </c>
      <c r="U5155" t="s">
        <v>11720</v>
      </c>
      <c r="V5155" t="s">
        <v>11720</v>
      </c>
      <c r="W5155" t="s">
        <v>16818</v>
      </c>
      <c r="X5155">
        <v>8</v>
      </c>
      <c r="Y5155" t="s">
        <v>22524</v>
      </c>
      <c r="Z5155" t="s">
        <v>28362</v>
      </c>
      <c r="AA5155">
        <v>0.56639891160119149</v>
      </c>
      <c r="AB5155" t="str">
        <f>HYPERLINK("Melting_Curves/meltCurve_Q9HCU5_PREB.pdf", "Melting_Curves/meltCurve_Q9HCU5_PREB.pdf")</f>
        <v>Melting_Curves/meltCurve_Q9HCU5_PREB.pdf</v>
      </c>
    </row>
    <row r="5156" spans="1:28" x14ac:dyDescent="0.25">
      <c r="A5156" t="s">
        <v>5160</v>
      </c>
      <c r="B5156">
        <v>0.99334974765950101</v>
      </c>
      <c r="C5156">
        <v>1.0067542359920201</v>
      </c>
      <c r="D5156">
        <v>0.88223346293152405</v>
      </c>
      <c r="E5156">
        <v>0.76951173027944697</v>
      </c>
      <c r="F5156">
        <v>0.61670583889992703</v>
      </c>
      <c r="G5156">
        <v>0.33689500039641501</v>
      </c>
      <c r="H5156">
        <v>0.21297613032753501</v>
      </c>
      <c r="I5156">
        <v>0.20319546303894201</v>
      </c>
      <c r="J5156">
        <v>0.216804085956633</v>
      </c>
      <c r="K5156">
        <v>0.182516319559058</v>
      </c>
      <c r="L5156">
        <v>880.919659155658</v>
      </c>
      <c r="M5156">
        <v>16.6394773631053</v>
      </c>
      <c r="N5156">
        <v>54.221605726380702</v>
      </c>
      <c r="O5156">
        <v>52.194614340426298</v>
      </c>
      <c r="P5156">
        <v>-6.6758627649352906E-2</v>
      </c>
      <c r="Q5156">
        <v>0.16242403284913801</v>
      </c>
      <c r="R5156">
        <v>0.99303272764588502</v>
      </c>
      <c r="S5156" t="s">
        <v>11017</v>
      </c>
      <c r="T5156" t="s">
        <v>11720</v>
      </c>
      <c r="U5156" t="s">
        <v>11720</v>
      </c>
      <c r="V5156" t="s">
        <v>11720</v>
      </c>
      <c r="W5156" t="s">
        <v>16819</v>
      </c>
      <c r="X5156">
        <v>19</v>
      </c>
      <c r="Y5156" t="s">
        <v>22525</v>
      </c>
      <c r="Z5156" t="s">
        <v>28363</v>
      </c>
      <c r="AA5156">
        <v>0.53926806443416464</v>
      </c>
      <c r="AB5156" t="str">
        <f>HYPERLINK("Melting_Curves/meltCurve_Q9HD15_SRA1.pdf", "Melting_Curves/meltCurve_Q9HD15_SRA1.pdf")</f>
        <v>Melting_Curves/meltCurve_Q9HD15_SRA1.pdf</v>
      </c>
    </row>
    <row r="5157" spans="1:28" x14ac:dyDescent="0.25">
      <c r="A5157" t="s">
        <v>5161</v>
      </c>
      <c r="B5157">
        <v>0.99334974765950101</v>
      </c>
      <c r="C5157">
        <v>0.93221396830895698</v>
      </c>
      <c r="D5157">
        <v>0.88799784040198104</v>
      </c>
      <c r="E5157">
        <v>0.98419389419609304</v>
      </c>
      <c r="F5157">
        <v>0.42876349047447898</v>
      </c>
      <c r="G5157">
        <v>0.19044084264511801</v>
      </c>
      <c r="H5157">
        <v>0.135752519463294</v>
      </c>
      <c r="I5157">
        <v>0.11257561837774401</v>
      </c>
      <c r="J5157">
        <v>0.121115197839245</v>
      </c>
      <c r="K5157">
        <v>0.11418590571453199</v>
      </c>
      <c r="L5157">
        <v>3676.6688071304302</v>
      </c>
      <c r="M5157">
        <v>70.021579357565102</v>
      </c>
      <c r="N5157">
        <v>52.742309190042199</v>
      </c>
      <c r="O5157">
        <v>52.464874537122</v>
      </c>
      <c r="P5157">
        <v>-0.28899949622077198</v>
      </c>
      <c r="Q5157">
        <v>0.13384879039535899</v>
      </c>
      <c r="R5157">
        <v>0.98584665477133704</v>
      </c>
      <c r="S5157" t="s">
        <v>11018</v>
      </c>
      <c r="T5157" t="s">
        <v>11720</v>
      </c>
      <c r="U5157" t="s">
        <v>11720</v>
      </c>
      <c r="V5157" t="s">
        <v>11720</v>
      </c>
      <c r="W5157" t="s">
        <v>16820</v>
      </c>
      <c r="X5157">
        <v>14</v>
      </c>
      <c r="Y5157" t="s">
        <v>22526</v>
      </c>
      <c r="Z5157" t="s">
        <v>28364</v>
      </c>
      <c r="AA5157">
        <v>0.49598618146515461</v>
      </c>
      <c r="AB5157" t="str">
        <f>HYPERLINK("Melting_Curves/meltCurve_Q9HD20_2_ATP13A1.pdf", "Melting_Curves/meltCurve_Q9HD20_2_ATP13A1.pdf")</f>
        <v>Melting_Curves/meltCurve_Q9HD20_2_ATP13A1.pdf</v>
      </c>
    </row>
    <row r="5158" spans="1:28" x14ac:dyDescent="0.25">
      <c r="A5158" t="s">
        <v>5162</v>
      </c>
      <c r="B5158">
        <v>0.99334974765950101</v>
      </c>
      <c r="C5158">
        <v>1.0323879848414299</v>
      </c>
      <c r="D5158">
        <v>0.90831857255092496</v>
      </c>
      <c r="E5158">
        <v>0.86022063091649104</v>
      </c>
      <c r="F5158">
        <v>0.67152097020644297</v>
      </c>
      <c r="G5158">
        <v>0.41203697803689499</v>
      </c>
      <c r="H5158">
        <v>0.18392958482594499</v>
      </c>
      <c r="I5158">
        <v>0.11506537418403399</v>
      </c>
      <c r="J5158">
        <v>0.15125738727192101</v>
      </c>
      <c r="K5158">
        <v>0.138569800946026</v>
      </c>
      <c r="L5158">
        <v>988.78295666659199</v>
      </c>
      <c r="M5158">
        <v>18.102703398088899</v>
      </c>
      <c r="N5158">
        <v>55.2765693492697</v>
      </c>
      <c r="O5158">
        <v>53.967285985275304</v>
      </c>
      <c r="P5158">
        <v>-7.5759158034394106E-2</v>
      </c>
      <c r="Q5158">
        <v>9.6639017797740701E-2</v>
      </c>
      <c r="R5158">
        <v>0.99254231928744996</v>
      </c>
      <c r="S5158" t="s">
        <v>11019</v>
      </c>
      <c r="T5158" t="s">
        <v>11720</v>
      </c>
      <c r="U5158" t="s">
        <v>11720</v>
      </c>
      <c r="V5158" t="s">
        <v>11720</v>
      </c>
      <c r="W5158" t="s">
        <v>11751</v>
      </c>
      <c r="X5158">
        <v>8</v>
      </c>
      <c r="Y5158" t="s">
        <v>17545</v>
      </c>
      <c r="Z5158" t="s">
        <v>28365</v>
      </c>
      <c r="AA5158">
        <v>0.55096212559569435</v>
      </c>
      <c r="AB5158" t="str">
        <f>HYPERLINK("Melting_Curves/meltCurve_Q9HD42_CHMP1A.pdf", "Melting_Curves/meltCurve_Q9HD42_CHMP1A.pdf")</f>
        <v>Melting_Curves/meltCurve_Q9HD42_CHMP1A.pdf</v>
      </c>
    </row>
    <row r="5159" spans="1:28" x14ac:dyDescent="0.25">
      <c r="A5159" t="s">
        <v>5163</v>
      </c>
      <c r="B5159">
        <v>0.99334974765950101</v>
      </c>
      <c r="C5159">
        <v>0.97072820737379395</v>
      </c>
      <c r="D5159">
        <v>1.1366854841854901</v>
      </c>
      <c r="E5159">
        <v>1.2058982330630701</v>
      </c>
      <c r="F5159">
        <v>0.51902256022791204</v>
      </c>
      <c r="G5159">
        <v>0.225469562110621</v>
      </c>
      <c r="H5159">
        <v>0.151944206893107</v>
      </c>
      <c r="I5159">
        <v>0.13541560620676199</v>
      </c>
      <c r="J5159">
        <v>0.147901665654988</v>
      </c>
      <c r="K5159">
        <v>0.135143336040773</v>
      </c>
      <c r="L5159">
        <v>13234.6227062908</v>
      </c>
      <c r="M5159">
        <v>250</v>
      </c>
      <c r="N5159">
        <v>53.019768674038502</v>
      </c>
      <c r="O5159">
        <v>52.935103190034802</v>
      </c>
      <c r="P5159">
        <v>-0.99275469533340199</v>
      </c>
      <c r="Q5159">
        <v>0.15917484637317</v>
      </c>
      <c r="R5159">
        <v>0.96468526378943098</v>
      </c>
      <c r="S5159" t="s">
        <v>11020</v>
      </c>
      <c r="T5159" t="s">
        <v>11720</v>
      </c>
      <c r="U5159" t="s">
        <v>11720</v>
      </c>
      <c r="V5159" t="s">
        <v>11720</v>
      </c>
      <c r="W5159" t="s">
        <v>16821</v>
      </c>
      <c r="X5159">
        <v>8</v>
      </c>
      <c r="Y5159" t="s">
        <v>22527</v>
      </c>
      <c r="Z5159" t="s">
        <v>28366</v>
      </c>
      <c r="AA5159">
        <v>0.52188658212508243</v>
      </c>
      <c r="AB5159" t="str">
        <f>HYPERLINK("Melting_Curves/meltCurve_Q9HD45_TM9SF3.pdf", "Melting_Curves/meltCurve_Q9HD45_TM9SF3.pdf")</f>
        <v>Melting_Curves/meltCurve_Q9HD45_TM9SF3.pdf</v>
      </c>
    </row>
    <row r="5160" spans="1:28" x14ac:dyDescent="0.25">
      <c r="A5160" t="s">
        <v>5164</v>
      </c>
      <c r="B5160">
        <v>0.99334974765950101</v>
      </c>
      <c r="C5160">
        <v>0.94006294183612704</v>
      </c>
      <c r="D5160">
        <v>0.87854495599869997</v>
      </c>
      <c r="E5160">
        <v>0.70140007802427395</v>
      </c>
      <c r="F5160">
        <v>0.53029342465401796</v>
      </c>
      <c r="G5160">
        <v>0.31806280119286201</v>
      </c>
      <c r="H5160">
        <v>0.19621622872265901</v>
      </c>
      <c r="I5160">
        <v>0.148139852114412</v>
      </c>
      <c r="J5160">
        <v>0.14808990151448301</v>
      </c>
      <c r="K5160">
        <v>0.13420667319837401</v>
      </c>
      <c r="L5160">
        <v>721.93487462453402</v>
      </c>
      <c r="M5160">
        <v>13.749538963082999</v>
      </c>
      <c r="N5160">
        <v>53.3047751387546</v>
      </c>
      <c r="O5160">
        <v>51.432824700621602</v>
      </c>
      <c r="P5160">
        <v>-6.0619909392691997E-2</v>
      </c>
      <c r="Q5160">
        <v>9.3086640660211994E-2</v>
      </c>
      <c r="R5160">
        <v>0.99875320235338905</v>
      </c>
      <c r="S5160" t="s">
        <v>11021</v>
      </c>
      <c r="T5160" t="s">
        <v>11720</v>
      </c>
      <c r="U5160" t="s">
        <v>11720</v>
      </c>
      <c r="V5160" t="s">
        <v>11720</v>
      </c>
      <c r="W5160" t="s">
        <v>16822</v>
      </c>
      <c r="X5160">
        <v>4</v>
      </c>
      <c r="Y5160" t="s">
        <v>22528</v>
      </c>
      <c r="Z5160" t="s">
        <v>28367</v>
      </c>
      <c r="AA5160">
        <v>0.49365893513056008</v>
      </c>
      <c r="AB5160" t="str">
        <f>HYPERLINK("Melting_Curves/meltCurve_Q9HD47_RANGRF.pdf", "Melting_Curves/meltCurve_Q9HD47_RANGRF.pdf")</f>
        <v>Melting_Curves/meltCurve_Q9HD47_RANGRF.pdf</v>
      </c>
    </row>
    <row r="5161" spans="1:28" x14ac:dyDescent="0.25">
      <c r="A5161" t="s">
        <v>5165</v>
      </c>
      <c r="B5161">
        <v>0.99334974765950101</v>
      </c>
      <c r="C5161">
        <v>0.97562012099606998</v>
      </c>
      <c r="D5161">
        <v>0.99363345029192995</v>
      </c>
      <c r="E5161">
        <v>0.86801728980386506</v>
      </c>
      <c r="F5161">
        <v>0.819396013142903</v>
      </c>
      <c r="G5161">
        <v>0.73625239595316505</v>
      </c>
      <c r="H5161">
        <v>0.44636352721575201</v>
      </c>
      <c r="I5161">
        <v>0.18400470137782801</v>
      </c>
      <c r="J5161">
        <v>0.13114509334504601</v>
      </c>
      <c r="K5161">
        <v>0.122650414163318</v>
      </c>
      <c r="L5161">
        <v>910.02893060761301</v>
      </c>
      <c r="M5161">
        <v>15.277760113514301</v>
      </c>
      <c r="N5161">
        <v>59.5655991465512</v>
      </c>
      <c r="O5161">
        <v>58.573038347680502</v>
      </c>
      <c r="P5161">
        <v>-6.5214290050770202E-2</v>
      </c>
      <c r="Q5161">
        <v>0</v>
      </c>
      <c r="R5161">
        <v>0.98151544509259503</v>
      </c>
      <c r="S5161" t="s">
        <v>11022</v>
      </c>
      <c r="T5161" t="s">
        <v>11720</v>
      </c>
      <c r="U5161" t="s">
        <v>11720</v>
      </c>
      <c r="V5161" t="s">
        <v>11720</v>
      </c>
      <c r="W5161" t="s">
        <v>16823</v>
      </c>
      <c r="X5161">
        <v>26</v>
      </c>
      <c r="Y5161" t="s">
        <v>22529</v>
      </c>
      <c r="Z5161" t="s">
        <v>28368</v>
      </c>
      <c r="AA5161">
        <v>0.66087690352180906</v>
      </c>
      <c r="AB5161" t="str">
        <f>HYPERLINK("Melting_Curves/meltCurve_Q9HDC9_APMAP.pdf", "Melting_Curves/meltCurve_Q9HDC9_APMAP.pdf")</f>
        <v>Melting_Curves/meltCurve_Q9HDC9_APMAP.pdf</v>
      </c>
    </row>
    <row r="5162" spans="1:28" x14ac:dyDescent="0.25">
      <c r="A5162" t="s">
        <v>5166</v>
      </c>
      <c r="B5162">
        <v>0.99334974765950101</v>
      </c>
      <c r="C5162">
        <v>1.2413735390501499</v>
      </c>
      <c r="D5162">
        <v>1.5476231592368901</v>
      </c>
      <c r="E5162">
        <v>1.3361600337256201</v>
      </c>
      <c r="F5162">
        <v>1.16311511328156</v>
      </c>
      <c r="G5162">
        <v>0.91715848785587795</v>
      </c>
      <c r="H5162">
        <v>0.72929633074081202</v>
      </c>
      <c r="I5162">
        <v>0.97026162243159497</v>
      </c>
      <c r="J5162">
        <v>1.2021300431063799</v>
      </c>
      <c r="K5162">
        <v>0.31513034931591799</v>
      </c>
      <c r="L5162">
        <v>15000</v>
      </c>
      <c r="M5162">
        <v>215.06131479756701</v>
      </c>
      <c r="N5162">
        <v>69.747550908404193</v>
      </c>
      <c r="O5162">
        <v>69.741526531926198</v>
      </c>
      <c r="P5162">
        <v>-0.77092281670104601</v>
      </c>
      <c r="Q5162">
        <v>0</v>
      </c>
      <c r="R5162">
        <v>0.42158580214770303</v>
      </c>
      <c r="S5162" t="s">
        <v>11023</v>
      </c>
      <c r="T5162" t="s">
        <v>11720</v>
      </c>
      <c r="U5162" t="s">
        <v>11720</v>
      </c>
      <c r="V5162" t="s">
        <v>11720</v>
      </c>
      <c r="W5162" t="s">
        <v>16824</v>
      </c>
      <c r="X5162">
        <v>12</v>
      </c>
      <c r="Y5162" t="s">
        <v>22530</v>
      </c>
      <c r="Z5162" t="s">
        <v>28369</v>
      </c>
      <c r="AA5162">
        <v>0.98758359174774446</v>
      </c>
      <c r="AB5162" t="str">
        <f>HYPERLINK("Melting_Curves/meltCurve_Q9NNW7_2_TXNRD2.pdf", "Melting_Curves/meltCurve_Q9NNW7_2_TXNRD2.pdf")</f>
        <v>Melting_Curves/meltCurve_Q9NNW7_2_TXNRD2.pdf</v>
      </c>
    </row>
    <row r="5163" spans="1:28" x14ac:dyDescent="0.25">
      <c r="A5163" t="s">
        <v>5167</v>
      </c>
      <c r="B5163">
        <v>0.99334974765950101</v>
      </c>
      <c r="C5163">
        <v>1.3102939750137801</v>
      </c>
      <c r="D5163">
        <v>1.181267019301</v>
      </c>
      <c r="E5163">
        <v>1.6141161031314599</v>
      </c>
      <c r="F5163">
        <v>0.78049696041541805</v>
      </c>
      <c r="G5163">
        <v>0.426961411310945</v>
      </c>
      <c r="H5163">
        <v>0.54590633828157498</v>
      </c>
      <c r="I5163">
        <v>0.344335228982103</v>
      </c>
      <c r="J5163">
        <v>0.28128436480968499</v>
      </c>
      <c r="K5163">
        <v>0.120377977519741</v>
      </c>
      <c r="L5163">
        <v>13286.460724688201</v>
      </c>
      <c r="M5163">
        <v>250</v>
      </c>
      <c r="N5163">
        <v>53.394306346386003</v>
      </c>
      <c r="O5163">
        <v>53.142424943624299</v>
      </c>
      <c r="P5163">
        <v>-0.77177832097726196</v>
      </c>
      <c r="Q5163">
        <v>0.34377304619251903</v>
      </c>
      <c r="R5163">
        <v>0.727697744844787</v>
      </c>
      <c r="S5163" t="s">
        <v>11024</v>
      </c>
      <c r="T5163" t="s">
        <v>11720</v>
      </c>
      <c r="U5163" t="s">
        <v>11720</v>
      </c>
      <c r="V5163" t="s">
        <v>11720</v>
      </c>
      <c r="W5163" t="s">
        <v>16825</v>
      </c>
      <c r="X5163">
        <v>2</v>
      </c>
      <c r="Y5163" t="s">
        <v>22531</v>
      </c>
      <c r="Z5163" t="s">
        <v>28370</v>
      </c>
      <c r="AA5163">
        <v>0.63138946725328526</v>
      </c>
      <c r="AB5163" t="str">
        <f>HYPERLINK("Melting_Curves/meltCurve_Q9NP58_4_ABCB6.pdf", "Melting_Curves/meltCurve_Q9NP58_4_ABCB6.pdf")</f>
        <v>Melting_Curves/meltCurve_Q9NP58_4_ABCB6.pdf</v>
      </c>
    </row>
    <row r="5164" spans="1:28" x14ac:dyDescent="0.25">
      <c r="A5164" t="s">
        <v>5168</v>
      </c>
      <c r="B5164">
        <v>0.99334974765950101</v>
      </c>
      <c r="C5164">
        <v>1.0168506573193601</v>
      </c>
      <c r="D5164">
        <v>0.89193469198763797</v>
      </c>
      <c r="E5164">
        <v>0.75505722723431401</v>
      </c>
      <c r="F5164">
        <v>0.34265556454789797</v>
      </c>
      <c r="G5164">
        <v>0.20702774853676401</v>
      </c>
      <c r="H5164">
        <v>0.13415079376969599</v>
      </c>
      <c r="I5164">
        <v>0.13676812044662401</v>
      </c>
      <c r="J5164">
        <v>0.13137344941343401</v>
      </c>
      <c r="K5164">
        <v>0.111642094332309</v>
      </c>
      <c r="L5164">
        <v>1449.8590830985199</v>
      </c>
      <c r="M5164">
        <v>28.265241106628601</v>
      </c>
      <c r="N5164">
        <v>51.8375414377185</v>
      </c>
      <c r="O5164">
        <v>51.040074877329502</v>
      </c>
      <c r="P5164">
        <v>-0.120713787570793</v>
      </c>
      <c r="Q5164">
        <v>0.128089535368163</v>
      </c>
      <c r="R5164">
        <v>0.99265807048838905</v>
      </c>
      <c r="S5164" t="s">
        <v>11025</v>
      </c>
      <c r="T5164" t="s">
        <v>11720</v>
      </c>
      <c r="U5164" t="s">
        <v>11720</v>
      </c>
      <c r="V5164" t="s">
        <v>11720</v>
      </c>
      <c r="W5164" t="s">
        <v>16826</v>
      </c>
      <c r="X5164">
        <v>24</v>
      </c>
      <c r="Y5164" t="s">
        <v>18317</v>
      </c>
      <c r="Z5164" t="s">
        <v>28371</v>
      </c>
      <c r="AA5164">
        <v>0.46255983795742778</v>
      </c>
      <c r="AB5164" t="str">
        <f>HYPERLINK("Melting_Curves/meltCurve_Q9NP61_ARFGAP3.pdf", "Melting_Curves/meltCurve_Q9NP61_ARFGAP3.pdf")</f>
        <v>Melting_Curves/meltCurve_Q9NP61_ARFGAP3.pdf</v>
      </c>
    </row>
    <row r="5165" spans="1:28" x14ac:dyDescent="0.25">
      <c r="A5165" t="s">
        <v>5169</v>
      </c>
      <c r="B5165">
        <v>0.99334974765950101</v>
      </c>
      <c r="C5165">
        <v>0.95044114905466703</v>
      </c>
      <c r="D5165">
        <v>0.87748824270777004</v>
      </c>
      <c r="E5165">
        <v>0.74099149433589995</v>
      </c>
      <c r="F5165">
        <v>0.54153683052576096</v>
      </c>
      <c r="G5165">
        <v>0.42732174815580098</v>
      </c>
      <c r="H5165">
        <v>0.32604393214803701</v>
      </c>
      <c r="I5165">
        <v>0.23462595943932901</v>
      </c>
      <c r="J5165">
        <v>0.15609790366517301</v>
      </c>
      <c r="K5165">
        <v>9.88724943806117E-2</v>
      </c>
      <c r="L5165">
        <v>518.60916374001397</v>
      </c>
      <c r="M5165">
        <v>9.4022666666927499</v>
      </c>
      <c r="N5165">
        <v>55.188480325548497</v>
      </c>
      <c r="O5165">
        <v>52.835355042421597</v>
      </c>
      <c r="P5165">
        <v>-4.4400164184766E-2</v>
      </c>
      <c r="Q5165">
        <v>2.5992475154514101E-3</v>
      </c>
      <c r="R5165">
        <v>0.99408237345106198</v>
      </c>
      <c r="S5165" t="s">
        <v>11026</v>
      </c>
      <c r="T5165" t="s">
        <v>11720</v>
      </c>
      <c r="U5165" t="s">
        <v>11720</v>
      </c>
      <c r="V5165" t="s">
        <v>11720</v>
      </c>
      <c r="W5165" t="s">
        <v>16827</v>
      </c>
      <c r="X5165">
        <v>22</v>
      </c>
      <c r="Y5165" t="s">
        <v>22532</v>
      </c>
      <c r="Z5165" t="s">
        <v>28372</v>
      </c>
      <c r="AA5165">
        <v>0.53207637022732623</v>
      </c>
      <c r="AB5165" t="str">
        <f>HYPERLINK("Melting_Curves/meltCurve_Q9NP72_RAB18.pdf", "Melting_Curves/meltCurve_Q9NP72_RAB18.pdf")</f>
        <v>Melting_Curves/meltCurve_Q9NP72_RAB18.pdf</v>
      </c>
    </row>
    <row r="5166" spans="1:28" x14ac:dyDescent="0.25">
      <c r="A5166" t="s">
        <v>5170</v>
      </c>
      <c r="B5166">
        <v>0.99334974765950101</v>
      </c>
      <c r="C5166">
        <v>0.97790397448934197</v>
      </c>
      <c r="D5166">
        <v>0.94198858431802401</v>
      </c>
      <c r="E5166">
        <v>1.02757340103242</v>
      </c>
      <c r="F5166">
        <v>0.94544095793601302</v>
      </c>
      <c r="G5166">
        <v>0.79847190186056105</v>
      </c>
      <c r="H5166">
        <v>0.78084140315525397</v>
      </c>
      <c r="I5166">
        <v>1.0092120311984101</v>
      </c>
      <c r="J5166">
        <v>1.0176085396558501</v>
      </c>
      <c r="K5166">
        <v>1.0257326209741999</v>
      </c>
      <c r="L5166">
        <v>751.87444987149399</v>
      </c>
      <c r="M5166">
        <v>16.6692745710317</v>
      </c>
      <c r="O5166">
        <v>44.471254944882297</v>
      </c>
      <c r="P5166">
        <v>-5.8302697604333204E-3</v>
      </c>
      <c r="Q5166">
        <v>0.93778683003864305</v>
      </c>
      <c r="R5166">
        <v>4.5756724354162899E-2</v>
      </c>
      <c r="S5166" t="s">
        <v>11027</v>
      </c>
      <c r="T5166" t="s">
        <v>11720</v>
      </c>
      <c r="U5166" t="s">
        <v>11720</v>
      </c>
      <c r="V5166" t="s">
        <v>11720</v>
      </c>
      <c r="W5166" t="s">
        <v>16828</v>
      </c>
      <c r="X5166">
        <v>3</v>
      </c>
      <c r="Y5166" t="s">
        <v>22533</v>
      </c>
      <c r="Z5166" t="s">
        <v>28373</v>
      </c>
      <c r="AA5166">
        <v>0.94994865301781484</v>
      </c>
      <c r="AB5166" t="str">
        <f>HYPERLINK("Melting_Curves/meltCurve_Q9NP74_2_PALMD.pdf", "Melting_Curves/meltCurve_Q9NP74_2_PALMD.pdf")</f>
        <v>Melting_Curves/meltCurve_Q9NP74_2_PALMD.pdf</v>
      </c>
    </row>
    <row r="5167" spans="1:28" x14ac:dyDescent="0.25">
      <c r="A5167" t="s">
        <v>5171</v>
      </c>
      <c r="B5167">
        <v>0.99334974765950101</v>
      </c>
      <c r="C5167">
        <v>0.95515537712658305</v>
      </c>
      <c r="D5167">
        <v>0.64625714981752003</v>
      </c>
      <c r="E5167">
        <v>0.24226497765461699</v>
      </c>
      <c r="F5167">
        <v>0.15853333424315799</v>
      </c>
      <c r="G5167">
        <v>0.120034294007885</v>
      </c>
      <c r="H5167">
        <v>6.8748024878063599E-2</v>
      </c>
      <c r="I5167">
        <v>6.0734459298450998E-2</v>
      </c>
      <c r="J5167">
        <v>7.2913322690918297E-2</v>
      </c>
      <c r="K5167">
        <v>7.4587042826824004E-2</v>
      </c>
      <c r="L5167">
        <v>1179.6326051426799</v>
      </c>
      <c r="M5167">
        <v>25.102604783720601</v>
      </c>
      <c r="N5167">
        <v>47.3217832162794</v>
      </c>
      <c r="O5167">
        <v>46.697283080489598</v>
      </c>
      <c r="P5167">
        <v>-0.123620666010192</v>
      </c>
      <c r="Q5167">
        <v>8.0148083433648307E-2</v>
      </c>
      <c r="R5167">
        <v>0.99717025371879398</v>
      </c>
      <c r="S5167" t="s">
        <v>11028</v>
      </c>
      <c r="T5167" t="s">
        <v>11720</v>
      </c>
      <c r="U5167" t="s">
        <v>11720</v>
      </c>
      <c r="V5167" t="s">
        <v>11720</v>
      </c>
      <c r="W5167" t="s">
        <v>16829</v>
      </c>
      <c r="X5167">
        <v>7</v>
      </c>
      <c r="Y5167" t="s">
        <v>22534</v>
      </c>
      <c r="Z5167" t="s">
        <v>28374</v>
      </c>
      <c r="AA5167">
        <v>0.30268842940709623</v>
      </c>
      <c r="AB5167" t="str">
        <f>HYPERLINK("Melting_Curves/meltCurve_Q9NP77_SSU72.pdf", "Melting_Curves/meltCurve_Q9NP77_SSU72.pdf")</f>
        <v>Melting_Curves/meltCurve_Q9NP77_SSU72.pdf</v>
      </c>
    </row>
    <row r="5168" spans="1:28" x14ac:dyDescent="0.25">
      <c r="A5168" t="s">
        <v>5172</v>
      </c>
      <c r="B5168">
        <v>0.99334974765950101</v>
      </c>
      <c r="C5168">
        <v>0.95130791703798501</v>
      </c>
      <c r="D5168">
        <v>0.941433206585644</v>
      </c>
      <c r="E5168">
        <v>0.69865987383188699</v>
      </c>
      <c r="F5168">
        <v>0.17628182875764101</v>
      </c>
      <c r="G5168">
        <v>0.10453010985711</v>
      </c>
      <c r="H5168">
        <v>7.2875327243254504E-2</v>
      </c>
      <c r="I5168">
        <v>6.2076300134452901E-2</v>
      </c>
      <c r="J5168">
        <v>5.7633153160917598E-2</v>
      </c>
      <c r="K5168">
        <v>4.7133601520525002E-2</v>
      </c>
      <c r="L5168">
        <v>2310.6747952690098</v>
      </c>
      <c r="M5168">
        <v>45.502903256949502</v>
      </c>
      <c r="N5168">
        <v>50.939009742024602</v>
      </c>
      <c r="O5168">
        <v>50.683051637642002</v>
      </c>
      <c r="P5168">
        <v>-0.20966010938990901</v>
      </c>
      <c r="Q5168">
        <v>6.5888429410649693E-2</v>
      </c>
      <c r="R5168">
        <v>0.995970293775857</v>
      </c>
      <c r="S5168" t="s">
        <v>11029</v>
      </c>
      <c r="T5168" t="s">
        <v>11720</v>
      </c>
      <c r="U5168" t="s">
        <v>11720</v>
      </c>
      <c r="V5168" t="s">
        <v>11720</v>
      </c>
      <c r="W5168" t="s">
        <v>16830</v>
      </c>
      <c r="X5168">
        <v>12</v>
      </c>
      <c r="Y5168" t="s">
        <v>22535</v>
      </c>
      <c r="Z5168" t="s">
        <v>28375</v>
      </c>
      <c r="AA5168">
        <v>0.40410061884857051</v>
      </c>
      <c r="AB5168" t="str">
        <f>HYPERLINK("Melting_Curves/meltCurve_Q9NP79_VTA1.pdf", "Melting_Curves/meltCurve_Q9NP79_VTA1.pdf")</f>
        <v>Melting_Curves/meltCurve_Q9NP79_VTA1.pdf</v>
      </c>
    </row>
    <row r="5169" spans="1:28" x14ac:dyDescent="0.25">
      <c r="A5169" t="s">
        <v>5173</v>
      </c>
      <c r="B5169">
        <v>0.99334974765950101</v>
      </c>
      <c r="C5169">
        <v>0.98305432586928598</v>
      </c>
      <c r="D5169">
        <v>0.85016728378577</v>
      </c>
      <c r="E5169">
        <v>0.80652165887838101</v>
      </c>
      <c r="F5169">
        <v>0.54144160079921</v>
      </c>
      <c r="G5169">
        <v>0.28781053834326698</v>
      </c>
      <c r="H5169">
        <v>0.22782758334089001</v>
      </c>
      <c r="I5169">
        <v>0.160899582986158</v>
      </c>
      <c r="J5169">
        <v>0.167067709325076</v>
      </c>
      <c r="K5169">
        <v>0.13134151736736599</v>
      </c>
      <c r="L5169">
        <v>874.90238904943806</v>
      </c>
      <c r="M5169">
        <v>16.5788482519871</v>
      </c>
      <c r="N5169">
        <v>53.695757367252298</v>
      </c>
      <c r="O5169">
        <v>52.022352010559999</v>
      </c>
      <c r="P5169">
        <v>-6.9793301125486706E-2</v>
      </c>
      <c r="Q5169">
        <v>0.12404942079809</v>
      </c>
      <c r="R5169">
        <v>0.99016593421416499</v>
      </c>
      <c r="S5169" t="s">
        <v>11030</v>
      </c>
      <c r="T5169" t="s">
        <v>11720</v>
      </c>
      <c r="U5169" t="s">
        <v>11720</v>
      </c>
      <c r="V5169" t="s">
        <v>11720</v>
      </c>
      <c r="W5169" t="s">
        <v>16831</v>
      </c>
      <c r="X5169">
        <v>6</v>
      </c>
      <c r="Y5169" t="s">
        <v>22536</v>
      </c>
      <c r="Z5169" t="s">
        <v>28376</v>
      </c>
      <c r="AA5169">
        <v>0.51338153132829079</v>
      </c>
      <c r="AB5169" t="str">
        <f>HYPERLINK("Melting_Curves/meltCurve_Q9NP80_3_PNPLA8.pdf", "Melting_Curves/meltCurve_Q9NP80_3_PNPLA8.pdf")</f>
        <v>Melting_Curves/meltCurve_Q9NP80_3_PNPLA8.pdf</v>
      </c>
    </row>
    <row r="5170" spans="1:28" x14ac:dyDescent="0.25">
      <c r="A5170" t="s">
        <v>5174</v>
      </c>
      <c r="B5170">
        <v>0.99334974765950101</v>
      </c>
      <c r="C5170">
        <v>0.95307895857621805</v>
      </c>
      <c r="D5170">
        <v>0.83818971707888301</v>
      </c>
      <c r="E5170">
        <v>0.71738737829476595</v>
      </c>
      <c r="F5170">
        <v>0.67996713959202004</v>
      </c>
      <c r="G5170">
        <v>0.53910029661432701</v>
      </c>
      <c r="H5170">
        <v>0.53277713298123297</v>
      </c>
      <c r="I5170">
        <v>0.56517474433445902</v>
      </c>
      <c r="J5170">
        <v>0.60780353770479401</v>
      </c>
      <c r="K5170">
        <v>0.44778653142091501</v>
      </c>
      <c r="L5170">
        <v>668.31074669579505</v>
      </c>
      <c r="M5170">
        <v>13.652439308910999</v>
      </c>
      <c r="O5170">
        <v>47.937328425845301</v>
      </c>
      <c r="P5170">
        <v>-3.4373045738947401E-2</v>
      </c>
      <c r="Q5170">
        <v>0.51729919779058697</v>
      </c>
      <c r="R5170">
        <v>0.94547819399850197</v>
      </c>
      <c r="S5170" t="s">
        <v>11031</v>
      </c>
      <c r="T5170" t="s">
        <v>11720</v>
      </c>
      <c r="U5170" t="s">
        <v>11720</v>
      </c>
      <c r="V5170" t="s">
        <v>11720</v>
      </c>
      <c r="W5170" t="s">
        <v>16832</v>
      </c>
      <c r="X5170">
        <v>3</v>
      </c>
      <c r="Y5170" t="s">
        <v>22537</v>
      </c>
      <c r="Z5170" t="s">
        <v>28377</v>
      </c>
      <c r="AA5170">
        <v>0.67553463476019637</v>
      </c>
      <c r="AB5170" t="str">
        <f>HYPERLINK("Melting_Curves/meltCurve_Q9NP84_TNFRSF12A.pdf", "Melting_Curves/meltCurve_Q9NP84_TNFRSF12A.pdf")</f>
        <v>Melting_Curves/meltCurve_Q9NP84_TNFRSF12A.pdf</v>
      </c>
    </row>
    <row r="5171" spans="1:28" x14ac:dyDescent="0.25">
      <c r="A5171" t="s">
        <v>5175</v>
      </c>
      <c r="B5171">
        <v>0.99334974765950101</v>
      </c>
      <c r="C5171">
        <v>1.04920118726056</v>
      </c>
      <c r="D5171">
        <v>1.02293333464387</v>
      </c>
      <c r="E5171">
        <v>1.16772245686834</v>
      </c>
      <c r="F5171">
        <v>0.87702858393990801</v>
      </c>
      <c r="G5171">
        <v>0.88723095826875198</v>
      </c>
      <c r="H5171">
        <v>0.55211270869532203</v>
      </c>
      <c r="I5171">
        <v>0.50739264831146502</v>
      </c>
      <c r="J5171">
        <v>0.433668589551297</v>
      </c>
      <c r="K5171">
        <v>0.37273484442729399</v>
      </c>
      <c r="L5171">
        <v>1564.0152289859</v>
      </c>
      <c r="M5171">
        <v>26.328127142315999</v>
      </c>
      <c r="N5171">
        <v>63.008522608209098</v>
      </c>
      <c r="O5171">
        <v>59.065203186493598</v>
      </c>
      <c r="P5171">
        <v>-6.8079166131312596E-2</v>
      </c>
      <c r="Q5171">
        <v>0.38908457294749799</v>
      </c>
      <c r="R5171">
        <v>0.93689899104205898</v>
      </c>
      <c r="S5171" t="s">
        <v>11032</v>
      </c>
      <c r="T5171" t="s">
        <v>11720</v>
      </c>
      <c r="U5171" t="s">
        <v>11720</v>
      </c>
      <c r="V5171" t="s">
        <v>11720</v>
      </c>
      <c r="W5171" t="s">
        <v>16833</v>
      </c>
      <c r="X5171">
        <v>3</v>
      </c>
      <c r="Y5171" t="s">
        <v>22538</v>
      </c>
      <c r="Z5171" t="s">
        <v>28378</v>
      </c>
      <c r="AA5171">
        <v>0.78880257638942708</v>
      </c>
      <c r="AB5171" t="str">
        <f>HYPERLINK("Melting_Curves/meltCurve_Q9NPA0_EMC7.pdf", "Melting_Curves/meltCurve_Q9NPA0_EMC7.pdf")</f>
        <v>Melting_Curves/meltCurve_Q9NPA0_EMC7.pdf</v>
      </c>
    </row>
    <row r="5172" spans="1:28" x14ac:dyDescent="0.25">
      <c r="A5172" t="s">
        <v>5176</v>
      </c>
      <c r="B5172">
        <v>0.99334974765950101</v>
      </c>
      <c r="C5172">
        <v>0.77247388405595396</v>
      </c>
      <c r="D5172">
        <v>0.382686642087539</v>
      </c>
      <c r="E5172">
        <v>0.24883207339493399</v>
      </c>
      <c r="F5172">
        <v>5.8305891890684601E-2</v>
      </c>
      <c r="G5172">
        <v>0</v>
      </c>
      <c r="H5172">
        <v>0</v>
      </c>
      <c r="I5172">
        <v>4.1437210862826097E-2</v>
      </c>
      <c r="J5172">
        <v>0</v>
      </c>
      <c r="K5172">
        <v>0</v>
      </c>
      <c r="L5172">
        <v>872.83430995411504</v>
      </c>
      <c r="M5172">
        <v>19.200149821144802</v>
      </c>
      <c r="N5172">
        <v>45.503370897402199</v>
      </c>
      <c r="O5172">
        <v>44.975241803171301</v>
      </c>
      <c r="P5172">
        <v>-0.10575739809647799</v>
      </c>
      <c r="Q5172">
        <v>9.1155177113051208E-3</v>
      </c>
      <c r="R5172">
        <v>0.98382587230788598</v>
      </c>
      <c r="S5172" t="s">
        <v>11033</v>
      </c>
      <c r="T5172" t="s">
        <v>11720</v>
      </c>
      <c r="U5172" t="s">
        <v>11720</v>
      </c>
      <c r="V5172" t="s">
        <v>11720</v>
      </c>
      <c r="W5172" t="s">
        <v>16834</v>
      </c>
      <c r="X5172">
        <v>1</v>
      </c>
      <c r="Y5172" t="s">
        <v>22539</v>
      </c>
      <c r="Z5172" t="s">
        <v>28379</v>
      </c>
      <c r="AA5172">
        <v>0.2070343529580132</v>
      </c>
      <c r="AB5172" t="str">
        <f>HYPERLINK("Melting_Curves/meltCurve_Q9NPA3_MID1IP1.pdf", "Melting_Curves/meltCurve_Q9NPA3_MID1IP1.pdf")</f>
        <v>Melting_Curves/meltCurve_Q9NPA3_MID1IP1.pdf</v>
      </c>
    </row>
    <row r="5173" spans="1:28" x14ac:dyDescent="0.25">
      <c r="A5173" t="s">
        <v>5177</v>
      </c>
      <c r="B5173">
        <v>0.99334974765950101</v>
      </c>
      <c r="C5173">
        <v>1.0033911353628</v>
      </c>
      <c r="D5173">
        <v>0.85622518513553603</v>
      </c>
      <c r="E5173">
        <v>0.75666226386643298</v>
      </c>
      <c r="F5173">
        <v>0.63103989232991897</v>
      </c>
      <c r="G5173">
        <v>0.48972842337905997</v>
      </c>
      <c r="H5173">
        <v>0.44650398593419899</v>
      </c>
      <c r="I5173">
        <v>0.44034744751266403</v>
      </c>
      <c r="J5173">
        <v>0.47902500534553</v>
      </c>
      <c r="K5173">
        <v>0.44057626569259001</v>
      </c>
      <c r="L5173">
        <v>803.66003190463005</v>
      </c>
      <c r="M5173">
        <v>15.9156694098382</v>
      </c>
      <c r="N5173">
        <v>57.775414439476798</v>
      </c>
      <c r="O5173">
        <v>49.717896901532299</v>
      </c>
      <c r="P5173">
        <v>-4.5403768165973003E-2</v>
      </c>
      <c r="Q5173">
        <v>0.43271023096986999</v>
      </c>
      <c r="R5173">
        <v>0.98717619316873695</v>
      </c>
      <c r="S5173" t="s">
        <v>11034</v>
      </c>
      <c r="T5173" t="s">
        <v>11720</v>
      </c>
      <c r="U5173" t="s">
        <v>11720</v>
      </c>
      <c r="V5173" t="s">
        <v>11720</v>
      </c>
      <c r="W5173" t="s">
        <v>16835</v>
      </c>
      <c r="X5173">
        <v>6</v>
      </c>
      <c r="Y5173" t="s">
        <v>22540</v>
      </c>
      <c r="Z5173" t="s">
        <v>28380</v>
      </c>
      <c r="AA5173">
        <v>0.6431780761838356</v>
      </c>
      <c r="AB5173" t="str">
        <f>HYPERLINK("Melting_Curves/meltCurve_Q9NPA8_2_ENY2.pdf", "Melting_Curves/meltCurve_Q9NPA8_2_ENY2.pdf")</f>
        <v>Melting_Curves/meltCurve_Q9NPA8_2_ENY2.pdf</v>
      </c>
    </row>
    <row r="5174" spans="1:28" x14ac:dyDescent="0.25">
      <c r="A5174" t="s">
        <v>5178</v>
      </c>
      <c r="B5174">
        <v>0.99334974765950101</v>
      </c>
      <c r="C5174">
        <v>0.95464313727275496</v>
      </c>
      <c r="D5174">
        <v>0.87189532757490995</v>
      </c>
      <c r="E5174">
        <v>0.246082906176913</v>
      </c>
      <c r="F5174">
        <v>0.13365309962886299</v>
      </c>
      <c r="G5174">
        <v>9.4095128124250305E-2</v>
      </c>
      <c r="H5174">
        <v>9.4821753614227997E-2</v>
      </c>
      <c r="I5174">
        <v>8.8105536200978898E-2</v>
      </c>
      <c r="J5174">
        <v>7.6375523489381994E-2</v>
      </c>
      <c r="K5174">
        <v>5.9070980544396502E-2</v>
      </c>
      <c r="L5174">
        <v>1848.8431732348099</v>
      </c>
      <c r="M5174">
        <v>38.4536542410588</v>
      </c>
      <c r="N5174">
        <v>48.314550737472203</v>
      </c>
      <c r="O5174">
        <v>47.950301259813301</v>
      </c>
      <c r="P5174">
        <v>-0.183403215383521</v>
      </c>
      <c r="Q5174">
        <v>8.5213805080166904E-2</v>
      </c>
      <c r="R5174">
        <v>0.997962280303337</v>
      </c>
      <c r="S5174" t="s">
        <v>11035</v>
      </c>
      <c r="T5174" t="s">
        <v>11720</v>
      </c>
      <c r="U5174" t="s">
        <v>11720</v>
      </c>
      <c r="V5174" t="s">
        <v>11720</v>
      </c>
      <c r="W5174" t="s">
        <v>16836</v>
      </c>
      <c r="X5174">
        <v>5</v>
      </c>
      <c r="Y5174" t="s">
        <v>22541</v>
      </c>
      <c r="Z5174" t="s">
        <v>28381</v>
      </c>
      <c r="AA5174">
        <v>0.33489265887558012</v>
      </c>
      <c r="AB5174" t="str">
        <f>HYPERLINK("Melting_Curves/meltCurve_Q9NPB8_GPCPD1.pdf", "Melting_Curves/meltCurve_Q9NPB8_GPCPD1.pdf")</f>
        <v>Melting_Curves/meltCurve_Q9NPB8_GPCPD1.pdf</v>
      </c>
    </row>
    <row r="5175" spans="1:28" x14ac:dyDescent="0.25">
      <c r="A5175" t="s">
        <v>5179</v>
      </c>
      <c r="B5175">
        <v>0.99334974765950101</v>
      </c>
      <c r="C5175">
        <v>1.06605773562449</v>
      </c>
      <c r="D5175">
        <v>1.04726614767665</v>
      </c>
      <c r="E5175">
        <v>1.2968210953175301</v>
      </c>
      <c r="F5175">
        <v>1.36681465417298</v>
      </c>
      <c r="G5175">
        <v>1.1997807159376399</v>
      </c>
      <c r="H5175">
        <v>0.68210186686852003</v>
      </c>
      <c r="I5175">
        <v>0.48946016169314999</v>
      </c>
      <c r="J5175">
        <v>0.27079056051538097</v>
      </c>
      <c r="K5175">
        <v>0.21934648111796901</v>
      </c>
      <c r="L5175">
        <v>2414.9491142377501</v>
      </c>
      <c r="M5175">
        <v>38.782175170160201</v>
      </c>
      <c r="N5175">
        <v>63.273168284365703</v>
      </c>
      <c r="O5175">
        <v>62.104689454635903</v>
      </c>
      <c r="P5175">
        <v>-0.12025404146387</v>
      </c>
      <c r="Q5175">
        <v>0.22971598491457401</v>
      </c>
      <c r="R5175">
        <v>0.81758112450369502</v>
      </c>
      <c r="S5175" t="s">
        <v>11036</v>
      </c>
      <c r="T5175" t="s">
        <v>11720</v>
      </c>
      <c r="U5175" t="s">
        <v>11720</v>
      </c>
      <c r="V5175" t="s">
        <v>11720</v>
      </c>
      <c r="W5175" t="s">
        <v>16837</v>
      </c>
      <c r="X5175">
        <v>5</v>
      </c>
      <c r="Y5175" t="s">
        <v>22542</v>
      </c>
      <c r="Z5175" t="s">
        <v>28382</v>
      </c>
      <c r="AA5175">
        <v>0.80428247015130905</v>
      </c>
      <c r="AB5175" t="str">
        <f>HYPERLINK("Melting_Curves/meltCurve_Q9NPD3_EXOSC4.pdf", "Melting_Curves/meltCurve_Q9NPD3_EXOSC4.pdf")</f>
        <v>Melting_Curves/meltCurve_Q9NPD3_EXOSC4.pdf</v>
      </c>
    </row>
    <row r="5176" spans="1:28" x14ac:dyDescent="0.25">
      <c r="A5176" t="s">
        <v>5180</v>
      </c>
      <c r="B5176">
        <v>0.99334974765950101</v>
      </c>
      <c r="C5176">
        <v>0.96207012131801095</v>
      </c>
      <c r="D5176">
        <v>0.95350685267336599</v>
      </c>
      <c r="E5176">
        <v>0.81291340807799595</v>
      </c>
      <c r="F5176">
        <v>0.79781970993219398</v>
      </c>
      <c r="G5176">
        <v>0.70194741738521105</v>
      </c>
      <c r="H5176">
        <v>0.651525981923191</v>
      </c>
      <c r="I5176">
        <v>0.85861942335510799</v>
      </c>
      <c r="J5176">
        <v>0.74175387667312498</v>
      </c>
      <c r="K5176">
        <v>0.65393987402868703</v>
      </c>
      <c r="L5176">
        <v>988.96366406761194</v>
      </c>
      <c r="M5176">
        <v>20.241503955428499</v>
      </c>
      <c r="O5176">
        <v>48.388836710263199</v>
      </c>
      <c r="P5176">
        <v>-2.9217253858785701E-2</v>
      </c>
      <c r="Q5176">
        <v>0.72062450843729198</v>
      </c>
      <c r="R5176">
        <v>0.78169508623252704</v>
      </c>
      <c r="S5176" t="s">
        <v>11037</v>
      </c>
      <c r="T5176" t="s">
        <v>11720</v>
      </c>
      <c r="U5176" t="s">
        <v>11720</v>
      </c>
      <c r="V5176" t="s">
        <v>11720</v>
      </c>
      <c r="W5176" t="s">
        <v>16838</v>
      </c>
      <c r="X5176">
        <v>4</v>
      </c>
      <c r="Y5176" t="s">
        <v>22543</v>
      </c>
      <c r="Z5176" t="s">
        <v>28383</v>
      </c>
      <c r="AA5176">
        <v>0.80694057554799226</v>
      </c>
      <c r="AB5176" t="str">
        <f>HYPERLINK("Melting_Curves/meltCurve_Q9NPF0_CD320.pdf", "Melting_Curves/meltCurve_Q9NPF0_CD320.pdf")</f>
        <v>Melting_Curves/meltCurve_Q9NPF0_CD320.pdf</v>
      </c>
    </row>
    <row r="5177" spans="1:28" x14ac:dyDescent="0.25">
      <c r="A5177" t="s">
        <v>5181</v>
      </c>
      <c r="B5177">
        <v>0.99334974765950101</v>
      </c>
      <c r="C5177">
        <v>0.96341415841064204</v>
      </c>
      <c r="D5177">
        <v>0.95856802979387601</v>
      </c>
      <c r="E5177">
        <v>0.85820131695045399</v>
      </c>
      <c r="F5177">
        <v>0.61442888579103105</v>
      </c>
      <c r="G5177">
        <v>0.41405477686640402</v>
      </c>
      <c r="H5177">
        <v>0.25296621158346699</v>
      </c>
      <c r="I5177">
        <v>0.13835519412014999</v>
      </c>
      <c r="J5177">
        <v>0.139692142621819</v>
      </c>
      <c r="K5177">
        <v>0.15438186696345199</v>
      </c>
      <c r="L5177">
        <v>898.69144752410295</v>
      </c>
      <c r="M5177">
        <v>16.527897148505701</v>
      </c>
      <c r="N5177">
        <v>55.197330774679003</v>
      </c>
      <c r="O5177">
        <v>53.596923600371802</v>
      </c>
      <c r="P5177">
        <v>-6.8677937339681805E-2</v>
      </c>
      <c r="Q5177">
        <v>0.109221925007676</v>
      </c>
      <c r="R5177">
        <v>0.99551628601443098</v>
      </c>
      <c r="S5177" t="s">
        <v>11038</v>
      </c>
      <c r="T5177" t="s">
        <v>11720</v>
      </c>
      <c r="U5177" t="s">
        <v>11720</v>
      </c>
      <c r="V5177" t="s">
        <v>11720</v>
      </c>
      <c r="W5177" t="s">
        <v>16839</v>
      </c>
      <c r="X5177">
        <v>11</v>
      </c>
      <c r="Y5177" t="s">
        <v>22544</v>
      </c>
      <c r="Z5177" t="s">
        <v>28384</v>
      </c>
      <c r="AA5177">
        <v>0.55188236934002777</v>
      </c>
      <c r="AB5177" t="str">
        <f>HYPERLINK("Melting_Curves/meltCurve_Q9NPF4_OSGEP.pdf", "Melting_Curves/meltCurve_Q9NPF4_OSGEP.pdf")</f>
        <v>Melting_Curves/meltCurve_Q9NPF4_OSGEP.pdf</v>
      </c>
    </row>
    <row r="5178" spans="1:28" x14ac:dyDescent="0.25">
      <c r="A5178" t="s">
        <v>5182</v>
      </c>
      <c r="B5178">
        <v>0.99334974765950101</v>
      </c>
      <c r="C5178">
        <v>0.94746502253415099</v>
      </c>
      <c r="D5178">
        <v>0.91783497628848498</v>
      </c>
      <c r="E5178">
        <v>0.71591502736832802</v>
      </c>
      <c r="F5178">
        <v>0.49271790211371402</v>
      </c>
      <c r="G5178">
        <v>0.20894806090194301</v>
      </c>
      <c r="H5178">
        <v>0.10532438126668001</v>
      </c>
      <c r="I5178">
        <v>9.5750993631981196E-2</v>
      </c>
      <c r="J5178">
        <v>6.5122569975858302E-2</v>
      </c>
      <c r="K5178">
        <v>5.4143603217721603E-2</v>
      </c>
      <c r="L5178">
        <v>924.46797309952694</v>
      </c>
      <c r="M5178">
        <v>17.633205789477</v>
      </c>
      <c r="N5178">
        <v>52.691312313644403</v>
      </c>
      <c r="O5178">
        <v>51.767324507498103</v>
      </c>
      <c r="P5178">
        <v>-8.15648118781407E-2</v>
      </c>
      <c r="Q5178">
        <v>4.2223807318656298E-2</v>
      </c>
      <c r="R5178">
        <v>0.99841049019919903</v>
      </c>
      <c r="S5178" t="s">
        <v>11039</v>
      </c>
      <c r="T5178" t="s">
        <v>11720</v>
      </c>
      <c r="U5178" t="s">
        <v>11720</v>
      </c>
      <c r="V5178" t="s">
        <v>11720</v>
      </c>
      <c r="W5178" t="s">
        <v>16840</v>
      </c>
      <c r="X5178">
        <v>6</v>
      </c>
      <c r="Y5178" t="s">
        <v>22545</v>
      </c>
      <c r="Z5178" t="s">
        <v>28385</v>
      </c>
      <c r="AA5178">
        <v>0.45537466354453071</v>
      </c>
      <c r="AB5178" t="str">
        <f>HYPERLINK("Melting_Curves/meltCurve_Q9NPH0_ACP6.pdf", "Melting_Curves/meltCurve_Q9NPH0_ACP6.pdf")</f>
        <v>Melting_Curves/meltCurve_Q9NPH0_ACP6.pdf</v>
      </c>
    </row>
    <row r="5179" spans="1:28" x14ac:dyDescent="0.25">
      <c r="A5179" t="s">
        <v>5183</v>
      </c>
      <c r="B5179">
        <v>0.99334974765950101</v>
      </c>
      <c r="C5179">
        <v>0.90105974812496303</v>
      </c>
      <c r="D5179">
        <v>0.60580787564640204</v>
      </c>
      <c r="E5179">
        <v>0.35717156799494898</v>
      </c>
      <c r="F5179">
        <v>0.192653944472051</v>
      </c>
      <c r="G5179">
        <v>0.13432713610451899</v>
      </c>
      <c r="H5179">
        <v>0.12317838013636701</v>
      </c>
      <c r="I5179">
        <v>0.109344223837493</v>
      </c>
      <c r="J5179">
        <v>0.121486329917917</v>
      </c>
      <c r="K5179">
        <v>9.4938868766479598E-2</v>
      </c>
      <c r="L5179">
        <v>889.41750343520505</v>
      </c>
      <c r="M5179">
        <v>18.9235978869993</v>
      </c>
      <c r="N5179">
        <v>47.608280530520197</v>
      </c>
      <c r="O5179">
        <v>46.485018508231697</v>
      </c>
      <c r="P5179">
        <v>-9.0854287206592096E-2</v>
      </c>
      <c r="Q5179">
        <v>0.107317286999042</v>
      </c>
      <c r="R5179">
        <v>0.99599554265218704</v>
      </c>
      <c r="S5179" t="s">
        <v>11040</v>
      </c>
      <c r="T5179" t="s">
        <v>11720</v>
      </c>
      <c r="U5179" t="s">
        <v>11720</v>
      </c>
      <c r="V5179" t="s">
        <v>11720</v>
      </c>
      <c r="W5179" t="s">
        <v>16841</v>
      </c>
      <c r="X5179">
        <v>5</v>
      </c>
      <c r="Y5179" t="s">
        <v>22546</v>
      </c>
      <c r="Z5179" t="s">
        <v>28386</v>
      </c>
      <c r="AA5179">
        <v>0.33038559432519488</v>
      </c>
      <c r="AB5179" t="str">
        <f>HYPERLINK("Melting_Curves/meltCurve_Q9NPI6_DCP1A.pdf", "Melting_Curves/meltCurve_Q9NPI6_DCP1A.pdf")</f>
        <v>Melting_Curves/meltCurve_Q9NPI6_DCP1A.pdf</v>
      </c>
    </row>
    <row r="5180" spans="1:28" x14ac:dyDescent="0.25">
      <c r="A5180" t="s">
        <v>5184</v>
      </c>
      <c r="B5180">
        <v>0.99334974765950101</v>
      </c>
      <c r="C5180">
        <v>0.97247893308976296</v>
      </c>
      <c r="D5180">
        <v>0.93693844830981798</v>
      </c>
      <c r="E5180">
        <v>0.82514587445118404</v>
      </c>
      <c r="F5180">
        <v>0.78524447792294805</v>
      </c>
      <c r="G5180">
        <v>0.65696043281147598</v>
      </c>
      <c r="H5180">
        <v>0.56702997557040902</v>
      </c>
      <c r="I5180">
        <v>0.66305933926082306</v>
      </c>
      <c r="J5180">
        <v>0.49587686030044897</v>
      </c>
      <c r="K5180">
        <v>0.22564190017890401</v>
      </c>
      <c r="L5180">
        <v>412.319168971701</v>
      </c>
      <c r="M5180">
        <v>6.4067384710762898</v>
      </c>
      <c r="N5180">
        <v>64.357109420021104</v>
      </c>
      <c r="O5180">
        <v>58.945074716934798</v>
      </c>
      <c r="P5180">
        <v>-2.72420263514567E-2</v>
      </c>
      <c r="Q5180">
        <v>0</v>
      </c>
      <c r="R5180">
        <v>0.89914369007981498</v>
      </c>
      <c r="S5180" t="s">
        <v>11041</v>
      </c>
      <c r="T5180" t="s">
        <v>11720</v>
      </c>
      <c r="U5180" t="s">
        <v>11720</v>
      </c>
      <c r="V5180" t="s">
        <v>11720</v>
      </c>
      <c r="W5180" t="s">
        <v>16842</v>
      </c>
      <c r="X5180">
        <v>6</v>
      </c>
      <c r="Y5180" t="s">
        <v>22547</v>
      </c>
      <c r="Z5180" t="s">
        <v>28387</v>
      </c>
      <c r="AA5180">
        <v>0.72217083246728508</v>
      </c>
      <c r="AB5180" t="str">
        <f>HYPERLINK("Melting_Curves/meltCurve_Q9NPJ3_ACOT13.pdf", "Melting_Curves/meltCurve_Q9NPJ3_ACOT13.pdf")</f>
        <v>Melting_Curves/meltCurve_Q9NPJ3_ACOT13.pdf</v>
      </c>
    </row>
    <row r="5181" spans="1:28" x14ac:dyDescent="0.25">
      <c r="A5181" t="s">
        <v>5185</v>
      </c>
      <c r="B5181">
        <v>0.99334974765950101</v>
      </c>
      <c r="C5181">
        <v>0.91273765294252795</v>
      </c>
      <c r="D5181">
        <v>0.79522712918263605</v>
      </c>
      <c r="E5181">
        <v>0.80488827263697005</v>
      </c>
      <c r="F5181">
        <v>0.80458330246676502</v>
      </c>
      <c r="G5181">
        <v>0.51765297026798196</v>
      </c>
      <c r="H5181">
        <v>0.33689057822478602</v>
      </c>
      <c r="I5181">
        <v>0.359447450454351</v>
      </c>
      <c r="J5181">
        <v>0.32478441156795401</v>
      </c>
      <c r="K5181">
        <v>0.28535327001765598</v>
      </c>
      <c r="L5181">
        <v>484.36661550306798</v>
      </c>
      <c r="M5181">
        <v>8.5705009269098795</v>
      </c>
      <c r="N5181">
        <v>58.416343930739103</v>
      </c>
      <c r="O5181">
        <v>53.690953054973299</v>
      </c>
      <c r="P5181">
        <v>-3.5081321963342002E-2</v>
      </c>
      <c r="Q5181">
        <v>0.121681832729591</v>
      </c>
      <c r="R5181">
        <v>0.94737642805331401</v>
      </c>
      <c r="S5181" t="s">
        <v>11042</v>
      </c>
      <c r="T5181" t="s">
        <v>11720</v>
      </c>
      <c r="U5181" t="s">
        <v>11720</v>
      </c>
      <c r="V5181" t="s">
        <v>11720</v>
      </c>
      <c r="W5181" t="s">
        <v>16843</v>
      </c>
      <c r="X5181">
        <v>5</v>
      </c>
      <c r="Y5181" t="s">
        <v>22548</v>
      </c>
      <c r="Z5181" t="s">
        <v>28388</v>
      </c>
      <c r="AA5181">
        <v>0.62007512135584397</v>
      </c>
      <c r="AB5181" t="str">
        <f>HYPERLINK("Melting_Curves/meltCurve_Q9NPJ6_MED4.pdf", "Melting_Curves/meltCurve_Q9NPJ6_MED4.pdf")</f>
        <v>Melting_Curves/meltCurve_Q9NPJ6_MED4.pdf</v>
      </c>
    </row>
    <row r="5182" spans="1:28" x14ac:dyDescent="0.25">
      <c r="A5182" t="s">
        <v>5186</v>
      </c>
      <c r="B5182">
        <v>0.99334974765950101</v>
      </c>
      <c r="C5182">
        <v>0.94777604497833101</v>
      </c>
      <c r="D5182">
        <v>0.90788095543763003</v>
      </c>
      <c r="E5182">
        <v>1.0497419062453499</v>
      </c>
      <c r="F5182">
        <v>1.27199405153295</v>
      </c>
      <c r="G5182">
        <v>1.2363920324077999</v>
      </c>
      <c r="H5182">
        <v>1.1784375502067701</v>
      </c>
      <c r="I5182">
        <v>1.27730278127024</v>
      </c>
      <c r="J5182">
        <v>1.04342457481076</v>
      </c>
      <c r="K5182">
        <v>0.65035468042435995</v>
      </c>
      <c r="L5182">
        <v>15000</v>
      </c>
      <c r="M5182">
        <v>213.66508491238801</v>
      </c>
      <c r="Q5182">
        <v>0</v>
      </c>
      <c r="R5182">
        <v>0.264159530161165</v>
      </c>
      <c r="S5182" t="s">
        <v>11043</v>
      </c>
      <c r="T5182" t="s">
        <v>11720</v>
      </c>
      <c r="U5182" t="s">
        <v>11720</v>
      </c>
      <c r="V5182" t="s">
        <v>11720</v>
      </c>
      <c r="W5182" t="s">
        <v>16844</v>
      </c>
      <c r="X5182">
        <v>10</v>
      </c>
      <c r="Y5182" t="s">
        <v>22549</v>
      </c>
      <c r="Z5182" t="s">
        <v>28389</v>
      </c>
      <c r="AA5182">
        <v>0.99536325409495063</v>
      </c>
      <c r="AB5182" t="str">
        <f>HYPERLINK("Melting_Curves/meltCurve_Q9NPL8_TIMMDC1.pdf", "Melting_Curves/meltCurve_Q9NPL8_TIMMDC1.pdf")</f>
        <v>Melting_Curves/meltCurve_Q9NPL8_TIMMDC1.pdf</v>
      </c>
    </row>
    <row r="5183" spans="1:28" x14ac:dyDescent="0.25">
      <c r="A5183" t="s">
        <v>5187</v>
      </c>
      <c r="B5183">
        <v>0.99334974765950101</v>
      </c>
      <c r="C5183">
        <v>0.96999109804460604</v>
      </c>
      <c r="D5183">
        <v>0.83146360403500097</v>
      </c>
      <c r="E5183">
        <v>0.36295155146512698</v>
      </c>
      <c r="F5183">
        <v>0.14874835023685401</v>
      </c>
      <c r="G5183">
        <v>9.8661990620166798E-2</v>
      </c>
      <c r="H5183">
        <v>7.4313262020487394E-2</v>
      </c>
      <c r="I5183">
        <v>6.5236966837584995E-2</v>
      </c>
      <c r="J5183">
        <v>5.4175896947395399E-2</v>
      </c>
      <c r="K5183">
        <v>4.5757130311457797E-2</v>
      </c>
      <c r="L5183">
        <v>1289.5930394899799</v>
      </c>
      <c r="M5183">
        <v>26.535684038655301</v>
      </c>
      <c r="N5183">
        <v>48.839634455308797</v>
      </c>
      <c r="O5183">
        <v>48.324951608949398</v>
      </c>
      <c r="P5183">
        <v>-0.128848532814962</v>
      </c>
      <c r="Q5183">
        <v>6.1409646224956801E-2</v>
      </c>
      <c r="R5183">
        <v>0.99944348887232404</v>
      </c>
      <c r="S5183" t="s">
        <v>11044</v>
      </c>
      <c r="T5183" t="s">
        <v>11720</v>
      </c>
      <c r="U5183" t="s">
        <v>11720</v>
      </c>
      <c r="V5183" t="s">
        <v>11720</v>
      </c>
      <c r="W5183" t="s">
        <v>16845</v>
      </c>
      <c r="X5183">
        <v>22</v>
      </c>
      <c r="Y5183" t="s">
        <v>22550</v>
      </c>
      <c r="Z5183" t="s">
        <v>28390</v>
      </c>
      <c r="AA5183">
        <v>0.33775513383593181</v>
      </c>
      <c r="AB5183" t="str">
        <f>HYPERLINK("Melting_Curves/meltCurve_Q9NPQ8_4_RIC8A.pdf", "Melting_Curves/meltCurve_Q9NPQ8_4_RIC8A.pdf")</f>
        <v>Melting_Curves/meltCurve_Q9NPQ8_4_RIC8A.pdf</v>
      </c>
    </row>
    <row r="5184" spans="1:28" x14ac:dyDescent="0.25">
      <c r="A5184" t="s">
        <v>5188</v>
      </c>
      <c r="B5184">
        <v>0.99334974765950101</v>
      </c>
      <c r="C5184">
        <v>0.94338727477593998</v>
      </c>
      <c r="D5184">
        <v>1.03055361821372</v>
      </c>
      <c r="E5184">
        <v>0.85794249021720503</v>
      </c>
      <c r="F5184">
        <v>0.38062640271425202</v>
      </c>
      <c r="G5184">
        <v>9.8392197539336895E-2</v>
      </c>
      <c r="H5184">
        <v>5.2692372134830703E-2</v>
      </c>
      <c r="I5184">
        <v>3.8541186356458097E-2</v>
      </c>
      <c r="J5184">
        <v>4.4635432474852001E-2</v>
      </c>
      <c r="K5184">
        <v>2.83618586186529E-2</v>
      </c>
      <c r="L5184">
        <v>2034.59628858316</v>
      </c>
      <c r="M5184">
        <v>38.972609550552399</v>
      </c>
      <c r="N5184">
        <v>52.329373466544702</v>
      </c>
      <c r="O5184">
        <v>52.068924439035101</v>
      </c>
      <c r="P5184">
        <v>-0.17889458444576201</v>
      </c>
      <c r="Q5184">
        <v>4.39618412931361E-2</v>
      </c>
      <c r="R5184">
        <v>0.99715874671911897</v>
      </c>
      <c r="S5184" t="s">
        <v>11045</v>
      </c>
      <c r="T5184" t="s">
        <v>11720</v>
      </c>
      <c r="U5184" t="s">
        <v>11720</v>
      </c>
      <c r="V5184" t="s">
        <v>11720</v>
      </c>
      <c r="W5184" t="s">
        <v>16846</v>
      </c>
      <c r="X5184">
        <v>5</v>
      </c>
      <c r="Y5184" t="s">
        <v>22551</v>
      </c>
      <c r="Z5184" t="s">
        <v>28391</v>
      </c>
      <c r="AA5184">
        <v>0.43656864346765611</v>
      </c>
      <c r="AB5184" t="str">
        <f>HYPERLINK("Melting_Curves/meltCurve_Q9NPR9_GPR108.pdf", "Melting_Curves/meltCurve_Q9NPR9_GPR108.pdf")</f>
        <v>Melting_Curves/meltCurve_Q9NPR9_GPR108.pdf</v>
      </c>
    </row>
    <row r="5185" spans="1:28" x14ac:dyDescent="0.25">
      <c r="A5185" t="s">
        <v>5189</v>
      </c>
      <c r="B5185">
        <v>0.99334974765950101</v>
      </c>
      <c r="C5185">
        <v>0.71683196257373905</v>
      </c>
      <c r="D5185">
        <v>0.34900486978300399</v>
      </c>
      <c r="E5185">
        <v>0.225258044346696</v>
      </c>
      <c r="F5185">
        <v>0.175289201428206</v>
      </c>
      <c r="G5185">
        <v>0.12762157823826001</v>
      </c>
      <c r="H5185">
        <v>0.107477449944255</v>
      </c>
      <c r="I5185">
        <v>0.10506653905034299</v>
      </c>
      <c r="J5185">
        <v>8.4697703317064096E-2</v>
      </c>
      <c r="K5185">
        <v>6.4349906104290797E-2</v>
      </c>
      <c r="L5185">
        <v>1059.3833615968199</v>
      </c>
      <c r="M5185">
        <v>23.887108214137701</v>
      </c>
      <c r="N5185">
        <v>44.827144925241399</v>
      </c>
      <c r="O5185">
        <v>44.042268709242798</v>
      </c>
      <c r="P5185">
        <v>-0.12036159064117199</v>
      </c>
      <c r="Q5185">
        <v>0.112339237475054</v>
      </c>
      <c r="R5185">
        <v>0.98588166897485996</v>
      </c>
      <c r="S5185" t="s">
        <v>11046</v>
      </c>
      <c r="T5185" t="s">
        <v>11720</v>
      </c>
      <c r="U5185" t="s">
        <v>11720</v>
      </c>
      <c r="V5185" t="s">
        <v>11720</v>
      </c>
      <c r="W5185" t="s">
        <v>16847</v>
      </c>
      <c r="X5185">
        <v>12</v>
      </c>
      <c r="Y5185" t="s">
        <v>22552</v>
      </c>
      <c r="Z5185" t="s">
        <v>28392</v>
      </c>
      <c r="AA5185">
        <v>0.25176029063238109</v>
      </c>
      <c r="AB5185" t="str">
        <f>HYPERLINK("Melting_Curves/meltCurve_Q9NQ75_CASS4.pdf", "Melting_Curves/meltCurve_Q9NQ75_CASS4.pdf")</f>
        <v>Melting_Curves/meltCurve_Q9NQ75_CASS4.pdf</v>
      </c>
    </row>
    <row r="5186" spans="1:28" x14ac:dyDescent="0.25">
      <c r="A5186" t="s">
        <v>5190</v>
      </c>
      <c r="B5186">
        <v>0.99334974765950101</v>
      </c>
      <c r="C5186">
        <v>0.95860455821753998</v>
      </c>
      <c r="D5186">
        <v>0.775360585065903</v>
      </c>
      <c r="E5186">
        <v>0.480004858754773</v>
      </c>
      <c r="F5186">
        <v>0.13794741049498199</v>
      </c>
      <c r="G5186">
        <v>8.7730181401979301E-2</v>
      </c>
      <c r="H5186">
        <v>6.6413189738035394E-2</v>
      </c>
      <c r="I5186">
        <v>5.9510887521967898E-2</v>
      </c>
      <c r="J5186">
        <v>6.1137516888853098E-2</v>
      </c>
      <c r="K5186">
        <v>4.7519189343211803E-2</v>
      </c>
      <c r="L5186">
        <v>1053.86466892008</v>
      </c>
      <c r="M5186">
        <v>21.514705975652401</v>
      </c>
      <c r="N5186">
        <v>49.203863884284701</v>
      </c>
      <c r="O5186">
        <v>48.566173255608298</v>
      </c>
      <c r="P5186">
        <v>-0.10566443046047699</v>
      </c>
      <c r="Q5186">
        <v>4.5938002779520398E-2</v>
      </c>
      <c r="R5186">
        <v>0.99358072734744496</v>
      </c>
      <c r="S5186" t="s">
        <v>11047</v>
      </c>
      <c r="T5186" t="s">
        <v>11720</v>
      </c>
      <c r="U5186" t="s">
        <v>11720</v>
      </c>
      <c r="V5186" t="s">
        <v>11720</v>
      </c>
      <c r="W5186" t="s">
        <v>16848</v>
      </c>
      <c r="X5186">
        <v>16</v>
      </c>
      <c r="Y5186" t="s">
        <v>22553</v>
      </c>
      <c r="Z5186" t="s">
        <v>28393</v>
      </c>
      <c r="AA5186">
        <v>0.34314473589046479</v>
      </c>
      <c r="AB5186" t="str">
        <f>HYPERLINK("Melting_Curves/meltCurve_Q9NQ88_TIGAR.pdf", "Melting_Curves/meltCurve_Q9NQ88_TIGAR.pdf")</f>
        <v>Melting_Curves/meltCurve_Q9NQ88_TIGAR.pdf</v>
      </c>
    </row>
    <row r="5187" spans="1:28" x14ac:dyDescent="0.25">
      <c r="A5187" t="s">
        <v>5191</v>
      </c>
      <c r="B5187">
        <v>0.99334974765950101</v>
      </c>
      <c r="C5187">
        <v>1.02647012796737</v>
      </c>
      <c r="D5187">
        <v>0.92222952946396697</v>
      </c>
      <c r="E5187">
        <v>0.84295544953469104</v>
      </c>
      <c r="F5187">
        <v>0.83168836458112805</v>
      </c>
      <c r="G5187">
        <v>0.62041588034113304</v>
      </c>
      <c r="H5187">
        <v>0.50292505011152</v>
      </c>
      <c r="I5187">
        <v>0.44902619154068701</v>
      </c>
      <c r="J5187">
        <v>0.31211054116512799</v>
      </c>
      <c r="K5187">
        <v>0.22687758450803699</v>
      </c>
      <c r="L5187">
        <v>531.98840298083405</v>
      </c>
      <c r="M5187">
        <v>8.6995214677245105</v>
      </c>
      <c r="N5187">
        <v>61.151451448063902</v>
      </c>
      <c r="O5187">
        <v>58.178048894292203</v>
      </c>
      <c r="P5187">
        <v>-3.7414041883152303E-2</v>
      </c>
      <c r="Q5187">
        <v>0</v>
      </c>
      <c r="R5187">
        <v>0.98762880590035196</v>
      </c>
      <c r="S5187" t="s">
        <v>11048</v>
      </c>
      <c r="T5187" t="s">
        <v>11720</v>
      </c>
      <c r="U5187" t="s">
        <v>11720</v>
      </c>
      <c r="V5187" t="s">
        <v>11720</v>
      </c>
      <c r="W5187" t="s">
        <v>16849</v>
      </c>
      <c r="X5187">
        <v>17</v>
      </c>
      <c r="Y5187" t="s">
        <v>22554</v>
      </c>
      <c r="Z5187" t="s">
        <v>28394</v>
      </c>
      <c r="AA5187">
        <v>0.68343373454042278</v>
      </c>
      <c r="AB5187" t="str">
        <f>HYPERLINK("Melting_Curves/meltCurve_Q9NQC3_RTN4.pdf", "Melting_Curves/meltCurve_Q9NQC3_RTN4.pdf")</f>
        <v>Melting_Curves/meltCurve_Q9NQC3_RTN4.pdf</v>
      </c>
    </row>
    <row r="5188" spans="1:28" x14ac:dyDescent="0.25">
      <c r="A5188" t="s">
        <v>5192</v>
      </c>
      <c r="B5188">
        <v>0.99334974765950101</v>
      </c>
      <c r="C5188">
        <v>1.1388561278624001</v>
      </c>
      <c r="D5188">
        <v>1.07182730261111</v>
      </c>
      <c r="E5188">
        <v>0.77835649261849804</v>
      </c>
      <c r="F5188">
        <v>0.63890436086102098</v>
      </c>
      <c r="G5188">
        <v>0.43649425454808</v>
      </c>
      <c r="H5188">
        <v>0.28325172424778899</v>
      </c>
      <c r="I5188">
        <v>0.21420695853570501</v>
      </c>
      <c r="J5188">
        <v>0.135217712033536</v>
      </c>
      <c r="K5188">
        <v>0.114595518264093</v>
      </c>
      <c r="L5188">
        <v>862.715784705234</v>
      </c>
      <c r="M5188">
        <v>15.765508335284901</v>
      </c>
      <c r="N5188">
        <v>55.5909463202739</v>
      </c>
      <c r="O5188">
        <v>53.863987331140201</v>
      </c>
      <c r="P5188">
        <v>-6.5185032674739296E-2</v>
      </c>
      <c r="Q5188">
        <v>0.109236731012112</v>
      </c>
      <c r="R5188">
        <v>0.97032081019299199</v>
      </c>
      <c r="S5188" t="s">
        <v>11049</v>
      </c>
      <c r="T5188" t="s">
        <v>11720</v>
      </c>
      <c r="U5188" t="s">
        <v>11720</v>
      </c>
      <c r="V5188" t="s">
        <v>11720</v>
      </c>
      <c r="W5188" t="s">
        <v>16850</v>
      </c>
      <c r="X5188">
        <v>13</v>
      </c>
      <c r="Y5188" t="s">
        <v>22554</v>
      </c>
      <c r="Z5188" t="s">
        <v>28395</v>
      </c>
      <c r="AA5188">
        <v>0.56288540361987982</v>
      </c>
      <c r="AB5188" t="str">
        <f>HYPERLINK("Melting_Curves/meltCurve_Q9NQC3_5_RTN4.pdf", "Melting_Curves/meltCurve_Q9NQC3_5_RTN4.pdf")</f>
        <v>Melting_Curves/meltCurve_Q9NQC3_5_RTN4.pdf</v>
      </c>
    </row>
    <row r="5189" spans="1:28" x14ac:dyDescent="0.25">
      <c r="A5189" t="s">
        <v>5193</v>
      </c>
      <c r="B5189">
        <v>0.99334974765950101</v>
      </c>
      <c r="C5189">
        <v>1.0331323061381901</v>
      </c>
      <c r="D5189">
        <v>0.94528151506910596</v>
      </c>
      <c r="E5189">
        <v>0.81141458354294604</v>
      </c>
      <c r="F5189">
        <v>0.75412599092221999</v>
      </c>
      <c r="G5189">
        <v>0.50241869164236896</v>
      </c>
      <c r="H5189">
        <v>0.24280996135265701</v>
      </c>
      <c r="I5189">
        <v>0.13534838367802601</v>
      </c>
      <c r="J5189">
        <v>0.12296203557112199</v>
      </c>
      <c r="K5189">
        <v>0.12091511714438601</v>
      </c>
      <c r="L5189">
        <v>834.35806711067801</v>
      </c>
      <c r="M5189">
        <v>14.843266920339</v>
      </c>
      <c r="N5189">
        <v>56.521919875404897</v>
      </c>
      <c r="O5189">
        <v>55.220531228207598</v>
      </c>
      <c r="P5189">
        <v>-6.4574044038033906E-2</v>
      </c>
      <c r="Q5189">
        <v>3.9177106270711998E-2</v>
      </c>
      <c r="R5189">
        <v>0.99184650078228498</v>
      </c>
      <c r="S5189" t="s">
        <v>11050</v>
      </c>
      <c r="T5189" t="s">
        <v>11720</v>
      </c>
      <c r="U5189" t="s">
        <v>11720</v>
      </c>
      <c r="V5189" t="s">
        <v>11720</v>
      </c>
      <c r="W5189" t="s">
        <v>16851</v>
      </c>
      <c r="X5189">
        <v>7</v>
      </c>
      <c r="Y5189" t="s">
        <v>22555</v>
      </c>
      <c r="Z5189" t="s">
        <v>28396</v>
      </c>
      <c r="AA5189">
        <v>0.57520895411275685</v>
      </c>
      <c r="AB5189" t="str">
        <f>HYPERLINK("Melting_Curves/meltCurve_Q9NQE9_HINT3.pdf", "Melting_Curves/meltCurve_Q9NQE9_HINT3.pdf")</f>
        <v>Melting_Curves/meltCurve_Q9NQE9_HINT3.pdf</v>
      </c>
    </row>
    <row r="5190" spans="1:28" x14ac:dyDescent="0.25">
      <c r="A5190" t="s">
        <v>5194</v>
      </c>
      <c r="B5190">
        <v>0.99334974765950101</v>
      </c>
      <c r="C5190">
        <v>1.0832607063714901</v>
      </c>
      <c r="D5190">
        <v>2.5797576919765501</v>
      </c>
      <c r="E5190">
        <v>1.1340046962024399</v>
      </c>
      <c r="F5190">
        <v>2.0893431611884101</v>
      </c>
      <c r="G5190">
        <v>0</v>
      </c>
      <c r="H5190">
        <v>0.72426636804271105</v>
      </c>
      <c r="I5190">
        <v>0</v>
      </c>
      <c r="J5190">
        <v>1.1159331607196701</v>
      </c>
      <c r="K5190">
        <v>0</v>
      </c>
      <c r="L5190">
        <v>4515.0497485429396</v>
      </c>
      <c r="M5190">
        <v>81.667603229714302</v>
      </c>
      <c r="N5190">
        <v>56.216873764896</v>
      </c>
      <c r="O5190">
        <v>55.252567526237797</v>
      </c>
      <c r="P5190">
        <v>-0.23252369847180099</v>
      </c>
      <c r="Q5190">
        <v>0.37074047091656898</v>
      </c>
      <c r="R5190">
        <v>0.28136907734559502</v>
      </c>
      <c r="S5190" t="s">
        <v>11051</v>
      </c>
      <c r="T5190" t="s">
        <v>11720</v>
      </c>
      <c r="U5190" t="s">
        <v>11720</v>
      </c>
      <c r="V5190" t="s">
        <v>11720</v>
      </c>
      <c r="W5190" t="s">
        <v>16852</v>
      </c>
      <c r="X5190">
        <v>1</v>
      </c>
      <c r="Y5190" t="s">
        <v>22556</v>
      </c>
      <c r="Z5190" t="s">
        <v>28397</v>
      </c>
      <c r="AA5190">
        <v>0.6919358571917904</v>
      </c>
      <c r="AB5190" t="str">
        <f>HYPERLINK("Melting_Curves/meltCurve_Q9NQG1_MANBAL.pdf", "Melting_Curves/meltCurve_Q9NQG1_MANBAL.pdf")</f>
        <v>Melting_Curves/meltCurve_Q9NQG1_MANBAL.pdf</v>
      </c>
    </row>
    <row r="5191" spans="1:28" x14ac:dyDescent="0.25">
      <c r="A5191" t="s">
        <v>5195</v>
      </c>
      <c r="B5191">
        <v>0.99334974765950101</v>
      </c>
      <c r="C5191">
        <v>1.04457932211658</v>
      </c>
      <c r="D5191">
        <v>1.0515834487731499</v>
      </c>
      <c r="E5191">
        <v>0.71703319527334697</v>
      </c>
      <c r="F5191">
        <v>0.248428711481333</v>
      </c>
      <c r="G5191">
        <v>0.17184245903297901</v>
      </c>
      <c r="H5191">
        <v>0.119419716964121</v>
      </c>
      <c r="I5191">
        <v>0.111314596880619</v>
      </c>
      <c r="J5191">
        <v>9.6946082716806006E-2</v>
      </c>
      <c r="K5191">
        <v>8.3195661760255196E-2</v>
      </c>
      <c r="L5191">
        <v>2206.7735404637001</v>
      </c>
      <c r="M5191">
        <v>43.355486923334098</v>
      </c>
      <c r="N5191">
        <v>51.206117675088699</v>
      </c>
      <c r="O5191">
        <v>50.791614089115797</v>
      </c>
      <c r="P5191">
        <v>-0.189003449854522</v>
      </c>
      <c r="Q5191">
        <v>0.114320056963293</v>
      </c>
      <c r="R5191">
        <v>0.99440073576166599</v>
      </c>
      <c r="S5191" t="s">
        <v>11052</v>
      </c>
      <c r="T5191" t="s">
        <v>11720</v>
      </c>
      <c r="U5191" t="s">
        <v>11720</v>
      </c>
      <c r="V5191" t="s">
        <v>11720</v>
      </c>
      <c r="W5191" t="s">
        <v>16853</v>
      </c>
      <c r="X5191">
        <v>13</v>
      </c>
      <c r="Y5191" t="s">
        <v>22557</v>
      </c>
      <c r="Z5191" t="s">
        <v>28398</v>
      </c>
      <c r="AA5191">
        <v>0.43875230716633978</v>
      </c>
      <c r="AB5191" t="str">
        <f>HYPERLINK("Melting_Curves/meltCurve_Q9NQG5_RPRD1B.pdf", "Melting_Curves/meltCurve_Q9NQG5_RPRD1B.pdf")</f>
        <v>Melting_Curves/meltCurve_Q9NQG5_RPRD1B.pdf</v>
      </c>
    </row>
    <row r="5192" spans="1:28" x14ac:dyDescent="0.25">
      <c r="A5192" t="s">
        <v>5196</v>
      </c>
      <c r="B5192">
        <v>0.99334974765950101</v>
      </c>
      <c r="C5192">
        <v>0.99890683115957402</v>
      </c>
      <c r="D5192">
        <v>1.1594933426346801</v>
      </c>
      <c r="E5192">
        <v>1.0086604960066201</v>
      </c>
      <c r="F5192">
        <v>1.1603119146159</v>
      </c>
      <c r="G5192">
        <v>0.68302034782091703</v>
      </c>
      <c r="H5192">
        <v>0.31645729427212599</v>
      </c>
      <c r="I5192">
        <v>0.207969067316852</v>
      </c>
      <c r="J5192">
        <v>0.163072073685045</v>
      </c>
      <c r="K5192">
        <v>9.9840705295658499E-2</v>
      </c>
      <c r="L5192">
        <v>2116.1875590039299</v>
      </c>
      <c r="M5192">
        <v>36.360641502624198</v>
      </c>
      <c r="N5192">
        <v>58.773265121217598</v>
      </c>
      <c r="O5192">
        <v>58.024751644132401</v>
      </c>
      <c r="P5192">
        <v>-0.13327060824548501</v>
      </c>
      <c r="Q5192">
        <v>0.14930320367300101</v>
      </c>
      <c r="R5192">
        <v>0.96174902253654004</v>
      </c>
      <c r="S5192" t="s">
        <v>11053</v>
      </c>
      <c r="T5192" t="s">
        <v>11720</v>
      </c>
      <c r="U5192" t="s">
        <v>11720</v>
      </c>
      <c r="V5192" t="s">
        <v>11720</v>
      </c>
      <c r="W5192" t="s">
        <v>16854</v>
      </c>
      <c r="X5192">
        <v>11</v>
      </c>
      <c r="Y5192" t="s">
        <v>22558</v>
      </c>
      <c r="Z5192" t="s">
        <v>28399</v>
      </c>
      <c r="AA5192">
        <v>0.66938848799628492</v>
      </c>
      <c r="AB5192" t="str">
        <f>HYPERLINK("Melting_Curves/meltCurve_Q9NQH7_2_XPNPEP3.pdf", "Melting_Curves/meltCurve_Q9NQH7_2_XPNPEP3.pdf")</f>
        <v>Melting_Curves/meltCurve_Q9NQH7_2_XPNPEP3.pdf</v>
      </c>
    </row>
    <row r="5193" spans="1:28" x14ac:dyDescent="0.25">
      <c r="A5193" t="s">
        <v>5197</v>
      </c>
      <c r="B5193">
        <v>0.99334974765950101</v>
      </c>
      <c r="C5193">
        <v>0.93370362608868396</v>
      </c>
      <c r="D5193">
        <v>0.93137456457729695</v>
      </c>
      <c r="E5193">
        <v>0.77015396729191699</v>
      </c>
      <c r="F5193">
        <v>0.65713568658425003</v>
      </c>
      <c r="G5193">
        <v>0.27639412109787098</v>
      </c>
      <c r="H5193">
        <v>0.11353835737292201</v>
      </c>
      <c r="I5193">
        <v>8.6431385100907601E-2</v>
      </c>
      <c r="J5193">
        <v>8.4177607070822405E-2</v>
      </c>
      <c r="K5193">
        <v>6.5622629838902699E-2</v>
      </c>
      <c r="L5193">
        <v>953.34487302520199</v>
      </c>
      <c r="M5193">
        <v>17.6740954772953</v>
      </c>
      <c r="N5193">
        <v>54.158785389217101</v>
      </c>
      <c r="O5193">
        <v>53.263908078370598</v>
      </c>
      <c r="P5193">
        <v>-8.0104387940237498E-2</v>
      </c>
      <c r="Q5193">
        <v>3.4418110731589499E-2</v>
      </c>
      <c r="R5193">
        <v>0.99183208563940195</v>
      </c>
      <c r="S5193" t="s">
        <v>11054</v>
      </c>
      <c r="T5193" t="s">
        <v>11720</v>
      </c>
      <c r="U5193" t="s">
        <v>11720</v>
      </c>
      <c r="V5193" t="s">
        <v>11720</v>
      </c>
      <c r="W5193" t="s">
        <v>16855</v>
      </c>
      <c r="X5193">
        <v>20</v>
      </c>
      <c r="Y5193" t="s">
        <v>22559</v>
      </c>
      <c r="Z5193" t="s">
        <v>28400</v>
      </c>
      <c r="AA5193">
        <v>0.49899818914833888</v>
      </c>
      <c r="AB5193" t="str">
        <f>HYPERLINK("Melting_Curves/meltCurve_Q9NQR4_NIT2.pdf", "Melting_Curves/meltCurve_Q9NQR4_NIT2.pdf")</f>
        <v>Melting_Curves/meltCurve_Q9NQR4_NIT2.pdf</v>
      </c>
    </row>
    <row r="5194" spans="1:28" x14ac:dyDescent="0.25">
      <c r="A5194" t="s">
        <v>5198</v>
      </c>
      <c r="B5194">
        <v>0.99334974765950101</v>
      </c>
      <c r="C5194">
        <v>1.0115694676773599</v>
      </c>
      <c r="D5194">
        <v>0.97138986171138197</v>
      </c>
      <c r="E5194">
        <v>0.87354882065418205</v>
      </c>
      <c r="F5194">
        <v>0.80838098272498704</v>
      </c>
      <c r="G5194">
        <v>0.74055979693214402</v>
      </c>
      <c r="H5194">
        <v>0.75787967835205905</v>
      </c>
      <c r="I5194">
        <v>0.74621556545614998</v>
      </c>
      <c r="J5194">
        <v>0.69576466063279097</v>
      </c>
      <c r="K5194">
        <v>0.78833646928310996</v>
      </c>
      <c r="L5194">
        <v>1220.87492385314</v>
      </c>
      <c r="M5194">
        <v>24.3305750405571</v>
      </c>
      <c r="O5194">
        <v>49.843340231053602</v>
      </c>
      <c r="P5194">
        <v>-3.1324220416935597E-2</v>
      </c>
      <c r="Q5194">
        <v>0.74332206587557903</v>
      </c>
      <c r="R5194">
        <v>0.95787761829405305</v>
      </c>
      <c r="S5194" t="s">
        <v>11055</v>
      </c>
      <c r="T5194" t="s">
        <v>11720</v>
      </c>
      <c r="U5194" t="s">
        <v>11720</v>
      </c>
      <c r="V5194" t="s">
        <v>11720</v>
      </c>
      <c r="W5194" t="s">
        <v>16856</v>
      </c>
      <c r="X5194">
        <v>8</v>
      </c>
      <c r="Y5194" t="s">
        <v>22560</v>
      </c>
      <c r="Z5194" t="s">
        <v>28401</v>
      </c>
      <c r="AA5194">
        <v>0.83283630532076702</v>
      </c>
      <c r="AB5194" t="str">
        <f>HYPERLINK("Melting_Curves/meltCurve_Q9NQS1_AVEN.pdf", "Melting_Curves/meltCurve_Q9NQS1_AVEN.pdf")</f>
        <v>Melting_Curves/meltCurve_Q9NQS1_AVEN.pdf</v>
      </c>
    </row>
    <row r="5195" spans="1:28" x14ac:dyDescent="0.25">
      <c r="A5195" t="s">
        <v>5199</v>
      </c>
      <c r="B5195">
        <v>0.99334974765950101</v>
      </c>
      <c r="C5195">
        <v>0.95627010324281303</v>
      </c>
      <c r="D5195">
        <v>0.92638498270848801</v>
      </c>
      <c r="E5195">
        <v>0.81436056834029003</v>
      </c>
      <c r="F5195">
        <v>0.82027845122541299</v>
      </c>
      <c r="G5195">
        <v>0.63750096503827502</v>
      </c>
      <c r="H5195">
        <v>0.59630935484185899</v>
      </c>
      <c r="I5195">
        <v>0.70951688825002901</v>
      </c>
      <c r="J5195">
        <v>0.87339690607901899</v>
      </c>
      <c r="K5195">
        <v>0.65529432785501496</v>
      </c>
      <c r="L5195">
        <v>901.54831517214097</v>
      </c>
      <c r="M5195">
        <v>18.423811755252899</v>
      </c>
      <c r="O5195">
        <v>48.368307417694602</v>
      </c>
      <c r="P5195">
        <v>-2.8774143209286101E-2</v>
      </c>
      <c r="Q5195">
        <v>0.69784894663538299</v>
      </c>
      <c r="R5195">
        <v>0.695044694999712</v>
      </c>
      <c r="S5195" t="s">
        <v>11056</v>
      </c>
      <c r="T5195" t="s">
        <v>11720</v>
      </c>
      <c r="U5195" t="s">
        <v>11720</v>
      </c>
      <c r="V5195" t="s">
        <v>11720</v>
      </c>
      <c r="W5195" t="s">
        <v>16857</v>
      </c>
      <c r="X5195">
        <v>9</v>
      </c>
      <c r="Y5195" t="s">
        <v>22561</v>
      </c>
      <c r="Z5195" t="s">
        <v>28402</v>
      </c>
      <c r="AA5195">
        <v>0.79282936115623837</v>
      </c>
      <c r="AB5195" t="str">
        <f>HYPERLINK("Melting_Curves/meltCurve_Q9NQS3_PVRL3.pdf", "Melting_Curves/meltCurve_Q9NQS3_PVRL3.pdf")</f>
        <v>Melting_Curves/meltCurve_Q9NQS3_PVRL3.pdf</v>
      </c>
    </row>
    <row r="5196" spans="1:28" x14ac:dyDescent="0.25">
      <c r="A5196" t="s">
        <v>5200</v>
      </c>
      <c r="B5196">
        <v>0.99334974765950101</v>
      </c>
      <c r="C5196">
        <v>0.90888792142616204</v>
      </c>
      <c r="D5196">
        <v>0.74961146868853101</v>
      </c>
      <c r="E5196">
        <v>0.33901235119245099</v>
      </c>
      <c r="F5196">
        <v>0.27797828105570999</v>
      </c>
      <c r="G5196">
        <v>0.16440762381450699</v>
      </c>
      <c r="H5196">
        <v>0.13245459813729701</v>
      </c>
      <c r="I5196">
        <v>0.120815853018758</v>
      </c>
      <c r="J5196">
        <v>0.118839316875127</v>
      </c>
      <c r="K5196">
        <v>9.1489821166312393E-2</v>
      </c>
      <c r="L5196">
        <v>937.93803093830195</v>
      </c>
      <c r="M5196">
        <v>19.5822396473081</v>
      </c>
      <c r="N5196">
        <v>48.551094154417001</v>
      </c>
      <c r="O5196">
        <v>47.406270518204799</v>
      </c>
      <c r="P5196">
        <v>-9.13045282085614E-2</v>
      </c>
      <c r="Q5196">
        <v>0.115881718690186</v>
      </c>
      <c r="R5196">
        <v>0.99487848161598602</v>
      </c>
      <c r="S5196" t="s">
        <v>11057</v>
      </c>
      <c r="T5196" t="s">
        <v>11720</v>
      </c>
      <c r="U5196" t="s">
        <v>11720</v>
      </c>
      <c r="V5196" t="s">
        <v>11720</v>
      </c>
      <c r="W5196" t="s">
        <v>16858</v>
      </c>
      <c r="X5196">
        <v>16</v>
      </c>
      <c r="Y5196" t="s">
        <v>22562</v>
      </c>
      <c r="Z5196" t="s">
        <v>28403</v>
      </c>
      <c r="AA5196">
        <v>0.36179304892022551</v>
      </c>
      <c r="AB5196" t="str">
        <f>HYPERLINK("Melting_Curves/meltCurve_Q9NQT8_KIF13B.pdf", "Melting_Curves/meltCurve_Q9NQT8_KIF13B.pdf")</f>
        <v>Melting_Curves/meltCurve_Q9NQT8_KIF13B.pdf</v>
      </c>
    </row>
    <row r="5197" spans="1:28" x14ac:dyDescent="0.25">
      <c r="A5197" t="s">
        <v>5201</v>
      </c>
      <c r="B5197">
        <v>0.99334974765950101</v>
      </c>
      <c r="C5197">
        <v>0.82593880737885705</v>
      </c>
      <c r="D5197">
        <v>0.84383351073715995</v>
      </c>
      <c r="E5197">
        <v>0.57957370170591205</v>
      </c>
      <c r="F5197">
        <v>0.21574210868451099</v>
      </c>
      <c r="G5197">
        <v>0.13814983834646499</v>
      </c>
      <c r="H5197">
        <v>0.14274492370309499</v>
      </c>
      <c r="I5197">
        <v>0.12738572558014899</v>
      </c>
      <c r="J5197">
        <v>0.14549249298033201</v>
      </c>
      <c r="K5197">
        <v>9.8270504903021305E-2</v>
      </c>
      <c r="L5197">
        <v>970.44789127809202</v>
      </c>
      <c r="M5197">
        <v>19.626855601059699</v>
      </c>
      <c r="N5197">
        <v>50.049373338491101</v>
      </c>
      <c r="O5197">
        <v>48.940202138010903</v>
      </c>
      <c r="P5197">
        <v>-8.9683026320291903E-2</v>
      </c>
      <c r="Q5197">
        <v>0.105521564839371</v>
      </c>
      <c r="R5197">
        <v>0.97255585022636404</v>
      </c>
      <c r="S5197" t="s">
        <v>11058</v>
      </c>
      <c r="T5197" t="s">
        <v>11720</v>
      </c>
      <c r="U5197" t="s">
        <v>11720</v>
      </c>
      <c r="V5197" t="s">
        <v>11720</v>
      </c>
      <c r="W5197" t="s">
        <v>16859</v>
      </c>
      <c r="X5197">
        <v>26</v>
      </c>
      <c r="Y5197" t="s">
        <v>22563</v>
      </c>
      <c r="Z5197" t="s">
        <v>28404</v>
      </c>
      <c r="AA5197">
        <v>0.40009422772741021</v>
      </c>
      <c r="AB5197" t="str">
        <f>HYPERLINK("Melting_Curves/meltCurve_Q9NQW7_3_XPNPEP1.pdf", "Melting_Curves/meltCurve_Q9NQW7_3_XPNPEP1.pdf")</f>
        <v>Melting_Curves/meltCurve_Q9NQW7_3_XPNPEP1.pdf</v>
      </c>
    </row>
    <row r="5198" spans="1:28" x14ac:dyDescent="0.25">
      <c r="A5198" t="s">
        <v>5202</v>
      </c>
      <c r="B5198">
        <v>0.99334974765950101</v>
      </c>
      <c r="C5198">
        <v>0.96828773743308905</v>
      </c>
      <c r="D5198">
        <v>0.79966942223868298</v>
      </c>
      <c r="E5198">
        <v>0.528888437434893</v>
      </c>
      <c r="F5198">
        <v>0.24133018215928201</v>
      </c>
      <c r="G5198">
        <v>0.18021759831214401</v>
      </c>
      <c r="H5198">
        <v>0.164812551843525</v>
      </c>
      <c r="I5198">
        <v>0.17900714474145901</v>
      </c>
      <c r="J5198">
        <v>0.225895611225543</v>
      </c>
      <c r="K5198">
        <v>0.198339341968153</v>
      </c>
      <c r="L5198">
        <v>1116.31796642477</v>
      </c>
      <c r="M5198">
        <v>22.895233915648902</v>
      </c>
      <c r="N5198">
        <v>49.713894903275801</v>
      </c>
      <c r="O5198">
        <v>48.390281618373201</v>
      </c>
      <c r="P5198">
        <v>-9.7219009749247104E-2</v>
      </c>
      <c r="Q5198">
        <v>0.178106043707838</v>
      </c>
      <c r="R5198">
        <v>0.99046492497206495</v>
      </c>
      <c r="S5198" t="s">
        <v>11059</v>
      </c>
      <c r="T5198" t="s">
        <v>11720</v>
      </c>
      <c r="U5198" t="s">
        <v>11720</v>
      </c>
      <c r="V5198" t="s">
        <v>11720</v>
      </c>
      <c r="W5198" t="s">
        <v>16860</v>
      </c>
      <c r="X5198">
        <v>4</v>
      </c>
      <c r="Y5198" t="s">
        <v>22564</v>
      </c>
      <c r="Z5198" t="s">
        <v>28405</v>
      </c>
      <c r="AA5198">
        <v>0.42676401522954949</v>
      </c>
      <c r="AB5198" t="str">
        <f>HYPERLINK("Melting_Curves/meltCurve_Q9NQY0_BIN3.pdf", "Melting_Curves/meltCurve_Q9NQY0_BIN3.pdf")</f>
        <v>Melting_Curves/meltCurve_Q9NQY0_BIN3.pdf</v>
      </c>
    </row>
    <row r="5199" spans="1:28" x14ac:dyDescent="0.25">
      <c r="A5199" t="s">
        <v>5203</v>
      </c>
      <c r="B5199">
        <v>0.99334974765950101</v>
      </c>
      <c r="C5199">
        <v>0.95693026540656001</v>
      </c>
      <c r="D5199">
        <v>0.83878633082130505</v>
      </c>
      <c r="E5199">
        <v>0.52931852699659698</v>
      </c>
      <c r="F5199">
        <v>0.27603826110713697</v>
      </c>
      <c r="G5199">
        <v>0.251906020253086</v>
      </c>
      <c r="H5199">
        <v>0.14344336153242401</v>
      </c>
      <c r="I5199">
        <v>8.6197690921874404E-2</v>
      </c>
      <c r="J5199">
        <v>8.1586254179291801E-2</v>
      </c>
      <c r="K5199">
        <v>7.0737384591063407E-2</v>
      </c>
      <c r="L5199">
        <v>866.16615627990802</v>
      </c>
      <c r="M5199">
        <v>17.382727230482701</v>
      </c>
      <c r="N5199">
        <v>50.3749260084955</v>
      </c>
      <c r="O5199">
        <v>49.183681987053703</v>
      </c>
      <c r="P5199">
        <v>-8.07769605500991E-2</v>
      </c>
      <c r="Q5199">
        <v>8.5831957017643304E-2</v>
      </c>
      <c r="R5199">
        <v>0.99252588577955303</v>
      </c>
      <c r="S5199" t="s">
        <v>11060</v>
      </c>
      <c r="T5199" t="s">
        <v>11720</v>
      </c>
      <c r="U5199" t="s">
        <v>11720</v>
      </c>
      <c r="V5199" t="s">
        <v>11720</v>
      </c>
      <c r="W5199" t="s">
        <v>16861</v>
      </c>
      <c r="X5199">
        <v>11</v>
      </c>
      <c r="Y5199" t="s">
        <v>22565</v>
      </c>
      <c r="Z5199" t="s">
        <v>28406</v>
      </c>
      <c r="AA5199">
        <v>0.40204741757248169</v>
      </c>
      <c r="AB5199" t="str">
        <f>HYPERLINK("Melting_Curves/meltCurve_Q9NQZ5_STARD7.pdf", "Melting_Curves/meltCurve_Q9NQZ5_STARD7.pdf")</f>
        <v>Melting_Curves/meltCurve_Q9NQZ5_STARD7.pdf</v>
      </c>
    </row>
    <row r="5200" spans="1:28" x14ac:dyDescent="0.25">
      <c r="A5200" t="s">
        <v>5204</v>
      </c>
      <c r="B5200">
        <v>0.99334974765950101</v>
      </c>
      <c r="C5200">
        <v>0.90560022593900003</v>
      </c>
      <c r="D5200">
        <v>0.66102899043820096</v>
      </c>
      <c r="E5200">
        <v>0.44440542994060001</v>
      </c>
      <c r="F5200">
        <v>0.25597585644074999</v>
      </c>
      <c r="G5200">
        <v>0.19132122735342399</v>
      </c>
      <c r="H5200">
        <v>0.16146932474287901</v>
      </c>
      <c r="I5200">
        <v>0.18508010480903</v>
      </c>
      <c r="J5200">
        <v>0.164141678199409</v>
      </c>
      <c r="K5200">
        <v>0.15981554873481399</v>
      </c>
      <c r="L5200">
        <v>833.48460427524799</v>
      </c>
      <c r="M5200">
        <v>17.545635106948101</v>
      </c>
      <c r="N5200">
        <v>48.549861755110001</v>
      </c>
      <c r="O5200">
        <v>46.899646751072702</v>
      </c>
      <c r="P5200">
        <v>-7.8811027403209999E-2</v>
      </c>
      <c r="Q5200">
        <v>0.157395970189596</v>
      </c>
      <c r="R5200">
        <v>0.99520720178104405</v>
      </c>
      <c r="S5200" t="s">
        <v>11061</v>
      </c>
      <c r="T5200" t="s">
        <v>11720</v>
      </c>
      <c r="U5200" t="s">
        <v>11720</v>
      </c>
      <c r="V5200" t="s">
        <v>11720</v>
      </c>
      <c r="W5200" t="s">
        <v>16862</v>
      </c>
      <c r="X5200">
        <v>11</v>
      </c>
      <c r="Y5200" t="s">
        <v>22566</v>
      </c>
      <c r="Z5200" t="s">
        <v>28407</v>
      </c>
      <c r="AA5200">
        <v>0.38421124002361162</v>
      </c>
      <c r="AB5200" t="str">
        <f>HYPERLINK("Melting_Curves/meltCurve_Q9NR12_PDLIM7.pdf", "Melting_Curves/meltCurve_Q9NR12_PDLIM7.pdf")</f>
        <v>Melting_Curves/meltCurve_Q9NR12_PDLIM7.pdf</v>
      </c>
    </row>
    <row r="5201" spans="1:28" x14ac:dyDescent="0.25">
      <c r="A5201" t="s">
        <v>5205</v>
      </c>
      <c r="B5201">
        <v>0.99334974765950101</v>
      </c>
      <c r="C5201">
        <v>0.99962160228635</v>
      </c>
      <c r="D5201">
        <v>0.95510188431034004</v>
      </c>
      <c r="E5201">
        <v>0.64198647878826198</v>
      </c>
      <c r="F5201">
        <v>0.20280992217617499</v>
      </c>
      <c r="G5201">
        <v>0.124789817519333</v>
      </c>
      <c r="H5201">
        <v>9.5779432022510103E-2</v>
      </c>
      <c r="I5201">
        <v>8.9806886553631796E-2</v>
      </c>
      <c r="J5201">
        <v>9.3753898038599306E-2</v>
      </c>
      <c r="K5201">
        <v>7.38474160262476E-2</v>
      </c>
      <c r="L5201">
        <v>1991.19453367348</v>
      </c>
      <c r="M5201">
        <v>39.425356624605001</v>
      </c>
      <c r="N5201">
        <v>50.766281314698404</v>
      </c>
      <c r="O5201">
        <v>50.376030538508601</v>
      </c>
      <c r="P5201">
        <v>-0.17771685555782399</v>
      </c>
      <c r="Q5201">
        <v>9.1686405984712602E-2</v>
      </c>
      <c r="R5201">
        <v>0.99886910321284195</v>
      </c>
      <c r="S5201" t="s">
        <v>11062</v>
      </c>
      <c r="T5201" t="s">
        <v>11720</v>
      </c>
      <c r="U5201" t="s">
        <v>11720</v>
      </c>
      <c r="V5201" t="s">
        <v>11720</v>
      </c>
      <c r="W5201" t="s">
        <v>16863</v>
      </c>
      <c r="X5201">
        <v>18</v>
      </c>
      <c r="Y5201" t="s">
        <v>22567</v>
      </c>
      <c r="Z5201" t="s">
        <v>28408</v>
      </c>
      <c r="AA5201">
        <v>0.41302580417890172</v>
      </c>
      <c r="AB5201" t="str">
        <f>HYPERLINK("Melting_Curves/meltCurve_Q9NR19_ACSS2.pdf", "Melting_Curves/meltCurve_Q9NR19_ACSS2.pdf")</f>
        <v>Melting_Curves/meltCurve_Q9NR19_ACSS2.pdf</v>
      </c>
    </row>
    <row r="5202" spans="1:28" x14ac:dyDescent="0.25">
      <c r="A5202" t="s">
        <v>5206</v>
      </c>
      <c r="B5202">
        <v>0.99334974765950101</v>
      </c>
      <c r="C5202">
        <v>1.0556040750490501</v>
      </c>
      <c r="D5202">
        <v>1.0808700411577301</v>
      </c>
      <c r="E5202">
        <v>0.979569950293534</v>
      </c>
      <c r="F5202">
        <v>1.1741611185062</v>
      </c>
      <c r="G5202">
        <v>0.85630896329830097</v>
      </c>
      <c r="H5202">
        <v>0.78555804722021805</v>
      </c>
      <c r="I5202">
        <v>0.89796377342226696</v>
      </c>
      <c r="J5202">
        <v>0.65348350801371102</v>
      </c>
      <c r="K5202">
        <v>0.35387495164351401</v>
      </c>
      <c r="L5202">
        <v>1339.13919005206</v>
      </c>
      <c r="M5202">
        <v>19.5161215056274</v>
      </c>
      <c r="N5202">
        <v>68.617089867253299</v>
      </c>
      <c r="O5202">
        <v>67.908819940350597</v>
      </c>
      <c r="P5202">
        <v>-7.1849358996107504E-2</v>
      </c>
      <c r="Q5202">
        <v>0</v>
      </c>
      <c r="R5202">
        <v>0.82992012029866302</v>
      </c>
      <c r="S5202" t="s">
        <v>11063</v>
      </c>
      <c r="T5202" t="s">
        <v>11720</v>
      </c>
      <c r="U5202" t="s">
        <v>11720</v>
      </c>
      <c r="V5202" t="s">
        <v>11720</v>
      </c>
      <c r="W5202" t="s">
        <v>16864</v>
      </c>
      <c r="X5202">
        <v>9</v>
      </c>
      <c r="Y5202" t="s">
        <v>22568</v>
      </c>
      <c r="Z5202" t="s">
        <v>28409</v>
      </c>
      <c r="AA5202">
        <v>0.90199321750781725</v>
      </c>
      <c r="AB5202" t="str">
        <f>HYPERLINK("Melting_Curves/meltCurve_Q9NR28_2_DIABLO.pdf", "Melting_Curves/meltCurve_Q9NR28_2_DIABLO.pdf")</f>
        <v>Melting_Curves/meltCurve_Q9NR28_2_DIABLO.pdf</v>
      </c>
    </row>
    <row r="5203" spans="1:28" x14ac:dyDescent="0.25">
      <c r="A5203" t="s">
        <v>5207</v>
      </c>
      <c r="B5203">
        <v>0.99334974765950101</v>
      </c>
      <c r="C5203">
        <v>1.0229560804028699</v>
      </c>
      <c r="D5203">
        <v>0.76810779926625405</v>
      </c>
      <c r="E5203">
        <v>0.51213339562090998</v>
      </c>
      <c r="F5203">
        <v>0.253848833028541</v>
      </c>
      <c r="G5203">
        <v>0.14106080945819499</v>
      </c>
      <c r="H5203">
        <v>0.146424710411169</v>
      </c>
      <c r="I5203">
        <v>0.16060618162530699</v>
      </c>
      <c r="J5203">
        <v>0.16846323628340901</v>
      </c>
      <c r="K5203">
        <v>0.154109306097829</v>
      </c>
      <c r="L5203">
        <v>1065.3374955454401</v>
      </c>
      <c r="M5203">
        <v>21.8077783660877</v>
      </c>
      <c r="N5203">
        <v>49.6219647875348</v>
      </c>
      <c r="O5203">
        <v>48.446065184242201</v>
      </c>
      <c r="P5203">
        <v>-9.6372309270148102E-2</v>
      </c>
      <c r="Q5203">
        <v>0.143654169272316</v>
      </c>
      <c r="R5203">
        <v>0.990127120706915</v>
      </c>
      <c r="S5203" t="s">
        <v>11064</v>
      </c>
      <c r="T5203" t="s">
        <v>11720</v>
      </c>
      <c r="U5203" t="s">
        <v>11720</v>
      </c>
      <c r="V5203" t="s">
        <v>11720</v>
      </c>
      <c r="W5203" t="s">
        <v>16865</v>
      </c>
      <c r="X5203">
        <v>1</v>
      </c>
      <c r="Y5203" t="s">
        <v>22569</v>
      </c>
      <c r="Z5203" t="s">
        <v>28410</v>
      </c>
      <c r="AA5203">
        <v>0.40636832736552542</v>
      </c>
      <c r="AB5203" t="str">
        <f>HYPERLINK("Melting_Curves/meltCurve_Q9NR30_DDX21.pdf", "Melting_Curves/meltCurve_Q9NR30_DDX21.pdf")</f>
        <v>Melting_Curves/meltCurve_Q9NR30_DDX21.pdf</v>
      </c>
    </row>
    <row r="5204" spans="1:28" x14ac:dyDescent="0.25">
      <c r="A5204" t="s">
        <v>5208</v>
      </c>
      <c r="B5204">
        <v>0.99334974765950101</v>
      </c>
      <c r="C5204">
        <v>0.88873794473546797</v>
      </c>
      <c r="D5204">
        <v>0.71455757303591405</v>
      </c>
      <c r="E5204">
        <v>0.45368462026255502</v>
      </c>
      <c r="F5204">
        <v>0.13024135125310499</v>
      </c>
      <c r="G5204">
        <v>4.8757604762723401E-2</v>
      </c>
      <c r="H5204">
        <v>2.9444884189580699E-2</v>
      </c>
      <c r="I5204">
        <v>2.1760906664522399E-2</v>
      </c>
      <c r="J5204">
        <v>2.2980792644532701E-2</v>
      </c>
      <c r="K5204">
        <v>1.68282993226683E-2</v>
      </c>
      <c r="L5204">
        <v>861.44488999822499</v>
      </c>
      <c r="M5204">
        <v>17.701955982371299</v>
      </c>
      <c r="N5204">
        <v>48.667786518905203</v>
      </c>
      <c r="O5204">
        <v>48.055536081753097</v>
      </c>
      <c r="P5204">
        <v>-9.2029669779472495E-2</v>
      </c>
      <c r="Q5204">
        <v>7.2012574173535603E-4</v>
      </c>
      <c r="R5204">
        <v>0.99240261093507798</v>
      </c>
      <c r="S5204" t="s">
        <v>11065</v>
      </c>
      <c r="T5204" t="s">
        <v>11720</v>
      </c>
      <c r="U5204" t="s">
        <v>11720</v>
      </c>
      <c r="V5204" t="s">
        <v>11720</v>
      </c>
      <c r="W5204" t="s">
        <v>16866</v>
      </c>
      <c r="X5204">
        <v>15</v>
      </c>
      <c r="Y5204" t="s">
        <v>22570</v>
      </c>
      <c r="Z5204" t="s">
        <v>28411</v>
      </c>
      <c r="AA5204">
        <v>0.30733206200410629</v>
      </c>
      <c r="AB5204" t="str">
        <f>HYPERLINK("Melting_Curves/meltCurve_Q9NR31_SAR1A.pdf", "Melting_Curves/meltCurve_Q9NR31_SAR1A.pdf")</f>
        <v>Melting_Curves/meltCurve_Q9NR31_SAR1A.pdf</v>
      </c>
    </row>
    <row r="5205" spans="1:28" x14ac:dyDescent="0.25">
      <c r="A5205" t="s">
        <v>5209</v>
      </c>
      <c r="B5205">
        <v>0.99334974765950101</v>
      </c>
      <c r="C5205">
        <v>0.97832668536871303</v>
      </c>
      <c r="D5205">
        <v>0.81993366515710098</v>
      </c>
      <c r="E5205">
        <v>0.57438810040953303</v>
      </c>
      <c r="F5205">
        <v>0.41288030768994799</v>
      </c>
      <c r="G5205">
        <v>0.273352036585433</v>
      </c>
      <c r="H5205">
        <v>0.170064676202938</v>
      </c>
      <c r="I5205">
        <v>0.17299925111124001</v>
      </c>
      <c r="J5205">
        <v>0.14675506790010001</v>
      </c>
      <c r="K5205">
        <v>0.121591104012804</v>
      </c>
      <c r="L5205">
        <v>759.74970656475796</v>
      </c>
      <c r="M5205">
        <v>15.074364463348701</v>
      </c>
      <c r="N5205">
        <v>51.376923141173997</v>
      </c>
      <c r="O5205">
        <v>49.538110864678998</v>
      </c>
      <c r="P5205">
        <v>-6.6602692320326298E-2</v>
      </c>
      <c r="Q5205">
        <v>0.124594695771734</v>
      </c>
      <c r="R5205">
        <v>0.99743066415591997</v>
      </c>
      <c r="S5205" t="s">
        <v>11066</v>
      </c>
      <c r="T5205" t="s">
        <v>11720</v>
      </c>
      <c r="U5205" t="s">
        <v>11720</v>
      </c>
      <c r="V5205" t="s">
        <v>11720</v>
      </c>
      <c r="W5205" t="s">
        <v>16867</v>
      </c>
      <c r="X5205">
        <v>2</v>
      </c>
      <c r="Y5205" t="s">
        <v>22571</v>
      </c>
      <c r="Z5205" t="s">
        <v>28412</v>
      </c>
      <c r="AA5205">
        <v>0.44850760970295328</v>
      </c>
      <c r="AB5205" t="str">
        <f>HYPERLINK("Melting_Curves/meltCurve_Q9NR33_POLE4.pdf", "Melting_Curves/meltCurve_Q9NR33_POLE4.pdf")</f>
        <v>Melting_Curves/meltCurve_Q9NR33_POLE4.pdf</v>
      </c>
    </row>
    <row r="5206" spans="1:28" x14ac:dyDescent="0.25">
      <c r="A5206" t="s">
        <v>5210</v>
      </c>
      <c r="B5206">
        <v>0.99334974765950101</v>
      </c>
      <c r="C5206">
        <v>0.82912737536238201</v>
      </c>
      <c r="D5206">
        <v>1.06269473681601</v>
      </c>
      <c r="E5206">
        <v>0.86373924930030999</v>
      </c>
      <c r="F5206">
        <v>0.57222075432687303</v>
      </c>
      <c r="G5206">
        <v>0.16447429057332899</v>
      </c>
      <c r="H5206">
        <v>0.108374224609647</v>
      </c>
      <c r="I5206">
        <v>7.8778487964788202E-2</v>
      </c>
      <c r="J5206">
        <v>6.6669014278316896E-2</v>
      </c>
      <c r="K5206">
        <v>5.2249106951547698E-2</v>
      </c>
      <c r="L5206">
        <v>1591.6455635832499</v>
      </c>
      <c r="M5206">
        <v>29.907932266695902</v>
      </c>
      <c r="N5206">
        <v>53.474020066269198</v>
      </c>
      <c r="O5206">
        <v>52.981958034278797</v>
      </c>
      <c r="P5206">
        <v>-0.131716274464526</v>
      </c>
      <c r="Q5206">
        <v>6.6663795940997195E-2</v>
      </c>
      <c r="R5206">
        <v>0.97830231704235204</v>
      </c>
      <c r="S5206" t="s">
        <v>11067</v>
      </c>
      <c r="T5206" t="s">
        <v>11720</v>
      </c>
      <c r="U5206" t="s">
        <v>11720</v>
      </c>
      <c r="V5206" t="s">
        <v>11720</v>
      </c>
      <c r="W5206" t="s">
        <v>16868</v>
      </c>
      <c r="X5206">
        <v>27</v>
      </c>
      <c r="Y5206" t="s">
        <v>22572</v>
      </c>
      <c r="Z5206" t="s">
        <v>28413</v>
      </c>
      <c r="AA5206">
        <v>0.48400460229493658</v>
      </c>
      <c r="AB5206" t="str">
        <f>HYPERLINK("Melting_Curves/meltCurve_Q9NR45_NANS.pdf", "Melting_Curves/meltCurve_Q9NR45_NANS.pdf")</f>
        <v>Melting_Curves/meltCurve_Q9NR45_NANS.pdf</v>
      </c>
    </row>
    <row r="5207" spans="1:28" x14ac:dyDescent="0.25">
      <c r="A5207" t="s">
        <v>5211</v>
      </c>
      <c r="B5207">
        <v>0.99334974765950101</v>
      </c>
      <c r="C5207">
        <v>1.1349160567041301</v>
      </c>
      <c r="D5207">
        <v>1.2925275278245101</v>
      </c>
      <c r="E5207">
        <v>1.14448694587939</v>
      </c>
      <c r="F5207">
        <v>0.86424245204873995</v>
      </c>
      <c r="G5207">
        <v>0.96082828062720005</v>
      </c>
      <c r="H5207">
        <v>0.386926803498927</v>
      </c>
      <c r="I5207">
        <v>0.103483990557179</v>
      </c>
      <c r="J5207">
        <v>5.2017899606243499E-2</v>
      </c>
      <c r="K5207">
        <v>2.94506807640308E-2</v>
      </c>
      <c r="L5207">
        <v>2958.1598936611199</v>
      </c>
      <c r="M5207">
        <v>49.043178157174502</v>
      </c>
      <c r="N5207">
        <v>60.420100585727397</v>
      </c>
      <c r="O5207">
        <v>60.2174259117376</v>
      </c>
      <c r="P5207">
        <v>-0.195470303768154</v>
      </c>
      <c r="Q5207">
        <v>3.9971864184161397E-2</v>
      </c>
      <c r="R5207">
        <v>0.93609399736295495</v>
      </c>
      <c r="S5207" t="s">
        <v>11068</v>
      </c>
      <c r="T5207" t="s">
        <v>11720</v>
      </c>
      <c r="U5207" t="s">
        <v>11720</v>
      </c>
      <c r="V5207" t="s">
        <v>11720</v>
      </c>
      <c r="W5207" t="s">
        <v>16869</v>
      </c>
      <c r="X5207">
        <v>1</v>
      </c>
      <c r="Y5207" t="s">
        <v>22573</v>
      </c>
      <c r="Z5207" t="s">
        <v>28414</v>
      </c>
      <c r="AA5207">
        <v>0.6927420860366641</v>
      </c>
      <c r="AB5207" t="str">
        <f>HYPERLINK("Melting_Curves/meltCurve_Q9NR48_2_ASH1L.pdf", "Melting_Curves/meltCurve_Q9NR48_2_ASH1L.pdf")</f>
        <v>Melting_Curves/meltCurve_Q9NR48_2_ASH1L.pdf</v>
      </c>
    </row>
    <row r="5208" spans="1:28" x14ac:dyDescent="0.25">
      <c r="A5208" t="s">
        <v>5212</v>
      </c>
      <c r="B5208">
        <v>0.99334974765950101</v>
      </c>
      <c r="C5208">
        <v>0.86587079368097397</v>
      </c>
      <c r="D5208">
        <v>0.63388087353420497</v>
      </c>
      <c r="E5208">
        <v>0.36374712538259102</v>
      </c>
      <c r="F5208">
        <v>0.17597220180241999</v>
      </c>
      <c r="G5208">
        <v>9.7556058062881895E-2</v>
      </c>
      <c r="H5208">
        <v>6.5254188072684696E-2</v>
      </c>
      <c r="I5208">
        <v>4.7408815161127299E-2</v>
      </c>
      <c r="J5208">
        <v>4.5930825604738802E-2</v>
      </c>
      <c r="K5208">
        <v>3.7532694756953901E-2</v>
      </c>
      <c r="L5208">
        <v>783.422995752362</v>
      </c>
      <c r="M5208">
        <v>16.4444749222917</v>
      </c>
      <c r="N5208">
        <v>47.8563833496233</v>
      </c>
      <c r="O5208">
        <v>46.952709006797001</v>
      </c>
      <c r="P5208">
        <v>-8.4434524134370595E-2</v>
      </c>
      <c r="Q5208">
        <v>3.5749034364048402E-2</v>
      </c>
      <c r="R5208">
        <v>0.99805007465645701</v>
      </c>
      <c r="S5208" t="s">
        <v>11069</v>
      </c>
      <c r="T5208" t="s">
        <v>11720</v>
      </c>
      <c r="U5208" t="s">
        <v>11720</v>
      </c>
      <c r="V5208" t="s">
        <v>11720</v>
      </c>
      <c r="W5208" t="s">
        <v>16870</v>
      </c>
      <c r="X5208">
        <v>11</v>
      </c>
      <c r="Y5208" t="s">
        <v>22574</v>
      </c>
      <c r="Z5208" t="s">
        <v>28415</v>
      </c>
      <c r="AA5208">
        <v>0.30225924344163868</v>
      </c>
      <c r="AB5208" t="str">
        <f>HYPERLINK("Melting_Curves/meltCurve_Q9NR50_EIF2B3.pdf", "Melting_Curves/meltCurve_Q9NR50_EIF2B3.pdf")</f>
        <v>Melting_Curves/meltCurve_Q9NR50_EIF2B3.pdf</v>
      </c>
    </row>
    <row r="5209" spans="1:28" x14ac:dyDescent="0.25">
      <c r="A5209" t="s">
        <v>5213</v>
      </c>
      <c r="B5209">
        <v>0.99334974765950101</v>
      </c>
      <c r="C5209">
        <v>0.97594169216322602</v>
      </c>
      <c r="D5209">
        <v>0.82638888648353304</v>
      </c>
      <c r="E5209">
        <v>0.89776087974164398</v>
      </c>
      <c r="F5209">
        <v>0.80959557084581901</v>
      </c>
      <c r="G5209">
        <v>0.65309975253367603</v>
      </c>
      <c r="H5209">
        <v>0.51890523122240595</v>
      </c>
      <c r="I5209">
        <v>0.48016955428864599</v>
      </c>
      <c r="J5209">
        <v>0.50175002057959495</v>
      </c>
      <c r="K5209">
        <v>0.36151921268410298</v>
      </c>
      <c r="L5209">
        <v>445.43717028849699</v>
      </c>
      <c r="M5209">
        <v>7.4463686363108703</v>
      </c>
      <c r="N5209">
        <v>63.699041555608503</v>
      </c>
      <c r="O5209">
        <v>55.960266363639299</v>
      </c>
      <c r="P5209">
        <v>-2.7241740455767001E-2</v>
      </c>
      <c r="Q5209">
        <v>0.18230881865100501</v>
      </c>
      <c r="R5209">
        <v>0.95571023403444499</v>
      </c>
      <c r="S5209" t="s">
        <v>11070</v>
      </c>
      <c r="T5209" t="s">
        <v>11720</v>
      </c>
      <c r="U5209" t="s">
        <v>11720</v>
      </c>
      <c r="V5209" t="s">
        <v>11720</v>
      </c>
      <c r="W5209" t="s">
        <v>16871</v>
      </c>
      <c r="X5209">
        <v>5</v>
      </c>
      <c r="Y5209" t="s">
        <v>22575</v>
      </c>
      <c r="Z5209" t="s">
        <v>28416</v>
      </c>
      <c r="AA5209">
        <v>0.70823815539688728</v>
      </c>
      <c r="AB5209" t="str">
        <f>HYPERLINK("Melting_Curves/meltCurve_Q9NRA2_SLC17A5.pdf", "Melting_Curves/meltCurve_Q9NRA2_SLC17A5.pdf")</f>
        <v>Melting_Curves/meltCurve_Q9NRA2_SLC17A5.pdf</v>
      </c>
    </row>
    <row r="5210" spans="1:28" x14ac:dyDescent="0.25">
      <c r="A5210" t="s">
        <v>5214</v>
      </c>
      <c r="B5210">
        <v>0.99334974765950101</v>
      </c>
      <c r="C5210">
        <v>0.95402334587762105</v>
      </c>
      <c r="D5210">
        <v>0.77707973764848204</v>
      </c>
      <c r="E5210">
        <v>0.58028612651574596</v>
      </c>
      <c r="F5210">
        <v>0.44850862636687899</v>
      </c>
      <c r="G5210">
        <v>0.28642894628604398</v>
      </c>
      <c r="H5210">
        <v>0.190396371180244</v>
      </c>
      <c r="I5210">
        <v>0.21855021034975</v>
      </c>
      <c r="J5210">
        <v>0.230722317195489</v>
      </c>
      <c r="K5210">
        <v>0.16463610353640501</v>
      </c>
      <c r="L5210">
        <v>708.22441634084998</v>
      </c>
      <c r="M5210">
        <v>14.1874649558517</v>
      </c>
      <c r="N5210">
        <v>51.437001214738103</v>
      </c>
      <c r="O5210">
        <v>48.958665383366998</v>
      </c>
      <c r="P5210">
        <v>-6.0062073522209297E-2</v>
      </c>
      <c r="Q5210">
        <v>0.171045821932336</v>
      </c>
      <c r="R5210">
        <v>0.99325248248022902</v>
      </c>
      <c r="S5210" t="s">
        <v>11071</v>
      </c>
      <c r="T5210" t="s">
        <v>11720</v>
      </c>
      <c r="U5210" t="s">
        <v>11720</v>
      </c>
      <c r="V5210" t="s">
        <v>11720</v>
      </c>
      <c r="W5210" t="s">
        <v>16872</v>
      </c>
      <c r="X5210">
        <v>3</v>
      </c>
      <c r="Y5210" t="s">
        <v>22576</v>
      </c>
      <c r="Z5210" t="s">
        <v>28417</v>
      </c>
      <c r="AA5210">
        <v>0.46698318529532168</v>
      </c>
      <c r="AB5210" t="str">
        <f>HYPERLINK("Melting_Curves/meltCurve_Q9NRB3_CHST12.pdf", "Melting_Curves/meltCurve_Q9NRB3_CHST12.pdf")</f>
        <v>Melting_Curves/meltCurve_Q9NRB3_CHST12.pdf</v>
      </c>
    </row>
    <row r="5211" spans="1:28" x14ac:dyDescent="0.25">
      <c r="A5211" t="s">
        <v>5215</v>
      </c>
      <c r="B5211">
        <v>0.99334974765950101</v>
      </c>
      <c r="C5211">
        <v>1.1006492214289101</v>
      </c>
      <c r="D5211">
        <v>0.94921527216993395</v>
      </c>
      <c r="E5211">
        <v>0.84423685490162803</v>
      </c>
      <c r="F5211">
        <v>0.72796350499948703</v>
      </c>
      <c r="G5211">
        <v>0.43799320778395401</v>
      </c>
      <c r="H5211">
        <v>0.24364672408353799</v>
      </c>
      <c r="I5211">
        <v>7.7521422055350994E-2</v>
      </c>
      <c r="J5211">
        <v>6.6281852403423602E-2</v>
      </c>
      <c r="K5211">
        <v>0</v>
      </c>
      <c r="L5211">
        <v>915.94934353829399</v>
      </c>
      <c r="M5211">
        <v>16.341566269772301</v>
      </c>
      <c r="N5211">
        <v>56.050264027371703</v>
      </c>
      <c r="O5211">
        <v>55.231096125082502</v>
      </c>
      <c r="P5211">
        <v>-7.3974387775368397E-2</v>
      </c>
      <c r="Q5211">
        <v>0</v>
      </c>
      <c r="R5211">
        <v>0.98942785060096505</v>
      </c>
      <c r="S5211" t="s">
        <v>11072</v>
      </c>
      <c r="T5211" t="s">
        <v>11720</v>
      </c>
      <c r="U5211" t="s">
        <v>11720</v>
      </c>
      <c r="V5211" t="s">
        <v>11720</v>
      </c>
      <c r="W5211" t="s">
        <v>16873</v>
      </c>
      <c r="X5211">
        <v>1</v>
      </c>
      <c r="Y5211" t="s">
        <v>22577</v>
      </c>
      <c r="Z5211" t="s">
        <v>28418</v>
      </c>
      <c r="AA5211">
        <v>0.5513279191786864</v>
      </c>
      <c r="AB5211" t="str">
        <f>HYPERLINK("Melting_Curves/meltCurve_Q9NRC6_SPTBN5.pdf", "Melting_Curves/meltCurve_Q9NRC6_SPTBN5.pdf")</f>
        <v>Melting_Curves/meltCurve_Q9NRC6_SPTBN5.pdf</v>
      </c>
    </row>
    <row r="5212" spans="1:28" x14ac:dyDescent="0.25">
      <c r="A5212" t="s">
        <v>5216</v>
      </c>
      <c r="B5212">
        <v>0.99334974765950101</v>
      </c>
      <c r="C5212">
        <v>0.97166533690467305</v>
      </c>
      <c r="D5212">
        <v>0.80992573481564201</v>
      </c>
      <c r="E5212">
        <v>0.60134463985966402</v>
      </c>
      <c r="F5212">
        <v>0.43092499401977102</v>
      </c>
      <c r="G5212">
        <v>0.21207699091568399</v>
      </c>
      <c r="H5212">
        <v>0.14422335138933101</v>
      </c>
      <c r="I5212">
        <v>0.18009634696905399</v>
      </c>
      <c r="J5212">
        <v>0.11419440328024</v>
      </c>
      <c r="K5212">
        <v>8.1581541946115194E-2</v>
      </c>
      <c r="L5212">
        <v>748.79804717264699</v>
      </c>
      <c r="M5212">
        <v>14.738789115732001</v>
      </c>
      <c r="N5212">
        <v>51.483804030464803</v>
      </c>
      <c r="O5212">
        <v>49.896824927575203</v>
      </c>
      <c r="P5212">
        <v>-6.7328910610757506E-2</v>
      </c>
      <c r="Q5212">
        <v>8.8355143180899501E-2</v>
      </c>
      <c r="R5212">
        <v>0.99468130375089103</v>
      </c>
      <c r="S5212" t="s">
        <v>11073</v>
      </c>
      <c r="T5212" t="s">
        <v>11720</v>
      </c>
      <c r="U5212" t="s">
        <v>11720</v>
      </c>
      <c r="V5212" t="s">
        <v>11720</v>
      </c>
      <c r="W5212" t="s">
        <v>16874</v>
      </c>
      <c r="X5212">
        <v>3</v>
      </c>
      <c r="Y5212" t="s">
        <v>22578</v>
      </c>
      <c r="Z5212" t="s">
        <v>28419</v>
      </c>
      <c r="AA5212">
        <v>0.43851068113419872</v>
      </c>
      <c r="AB5212" t="str">
        <f>HYPERLINK("Melting_Curves/meltCurve_Q9NRF2_2_SH2B1.pdf", "Melting_Curves/meltCurve_Q9NRF2_2_SH2B1.pdf")</f>
        <v>Melting_Curves/meltCurve_Q9NRF2_2_SH2B1.pdf</v>
      </c>
    </row>
    <row r="5213" spans="1:28" x14ac:dyDescent="0.25">
      <c r="A5213" t="s">
        <v>5217</v>
      </c>
      <c r="B5213">
        <v>0.99334974765950101</v>
      </c>
      <c r="C5213">
        <v>0.98788642431655604</v>
      </c>
      <c r="D5213">
        <v>1.06905585932462</v>
      </c>
      <c r="E5213">
        <v>1.0304739954871101</v>
      </c>
      <c r="F5213">
        <v>0.72452859346513798</v>
      </c>
      <c r="G5213">
        <v>0.58824129276838</v>
      </c>
      <c r="H5213">
        <v>0.27672859744073203</v>
      </c>
      <c r="I5213">
        <v>0.15812689135293601</v>
      </c>
      <c r="J5213">
        <v>9.1259887756960506E-2</v>
      </c>
      <c r="K5213">
        <v>6.3842766657962596E-2</v>
      </c>
      <c r="L5213">
        <v>1025.0565039262599</v>
      </c>
      <c r="M5213">
        <v>17.825208200852</v>
      </c>
      <c r="N5213">
        <v>57.6558944417026</v>
      </c>
      <c r="O5213">
        <v>56.796893006125401</v>
      </c>
      <c r="P5213">
        <v>-7.6687779729699701E-2</v>
      </c>
      <c r="Q5213">
        <v>2.26415740476613E-2</v>
      </c>
      <c r="R5213">
        <v>0.98301443709442005</v>
      </c>
      <c r="S5213" t="s">
        <v>11074</v>
      </c>
      <c r="T5213" t="s">
        <v>11720</v>
      </c>
      <c r="U5213" t="s">
        <v>11720</v>
      </c>
      <c r="V5213" t="s">
        <v>11720</v>
      </c>
      <c r="W5213" t="s">
        <v>16875</v>
      </c>
      <c r="X5213">
        <v>17</v>
      </c>
      <c r="Y5213" t="s">
        <v>22579</v>
      </c>
      <c r="Z5213" t="s">
        <v>28420</v>
      </c>
      <c r="AA5213">
        <v>0.60585771641337305</v>
      </c>
      <c r="AB5213" t="str">
        <f>HYPERLINK("Melting_Curves/meltCurve_Q9NRF8_CTPS2.pdf", "Melting_Curves/meltCurve_Q9NRF8_CTPS2.pdf")</f>
        <v>Melting_Curves/meltCurve_Q9NRF8_CTPS2.pdf</v>
      </c>
    </row>
    <row r="5214" spans="1:28" x14ac:dyDescent="0.25">
      <c r="A5214" t="s">
        <v>5218</v>
      </c>
      <c r="B5214">
        <v>0.99334974765950101</v>
      </c>
      <c r="C5214">
        <v>0.97613591901665397</v>
      </c>
      <c r="D5214">
        <v>0.87705788346545799</v>
      </c>
      <c r="E5214">
        <v>0.54332510062712702</v>
      </c>
      <c r="F5214">
        <v>0.31393087825534799</v>
      </c>
      <c r="G5214">
        <v>0.21501898283642901</v>
      </c>
      <c r="H5214">
        <v>0.16988383786098701</v>
      </c>
      <c r="I5214">
        <v>0.214842097679979</v>
      </c>
      <c r="J5214">
        <v>0.174745920611214</v>
      </c>
      <c r="K5214">
        <v>0.16959182499738901</v>
      </c>
      <c r="L5214">
        <v>1162.33222012033</v>
      </c>
      <c r="M5214">
        <v>23.497135670877402</v>
      </c>
      <c r="N5214">
        <v>50.411384985983602</v>
      </c>
      <c r="O5214">
        <v>49.112854829886899</v>
      </c>
      <c r="P5214">
        <v>-9.8313796690501207E-2</v>
      </c>
      <c r="Q5214">
        <v>0.178046393808937</v>
      </c>
      <c r="R5214">
        <v>0.99857193382927401</v>
      </c>
      <c r="S5214" t="s">
        <v>11075</v>
      </c>
      <c r="T5214" t="s">
        <v>11720</v>
      </c>
      <c r="U5214" t="s">
        <v>11720</v>
      </c>
      <c r="V5214" t="s">
        <v>11720</v>
      </c>
      <c r="W5214" t="s">
        <v>16876</v>
      </c>
      <c r="X5214">
        <v>4</v>
      </c>
      <c r="Y5214" t="s">
        <v>22580</v>
      </c>
      <c r="Z5214" t="s">
        <v>28421</v>
      </c>
      <c r="AA5214">
        <v>0.44571853680960583</v>
      </c>
      <c r="AB5214" t="str">
        <f>HYPERLINK("Melting_Curves/meltCurve_Q9NRF9_POLE3.pdf", "Melting_Curves/meltCurve_Q9NRF9_POLE3.pdf")</f>
        <v>Melting_Curves/meltCurve_Q9NRF9_POLE3.pdf</v>
      </c>
    </row>
    <row r="5215" spans="1:28" x14ac:dyDescent="0.25">
      <c r="A5215" t="s">
        <v>5219</v>
      </c>
      <c r="B5215">
        <v>0.99334974765950101</v>
      </c>
      <c r="C5215">
        <v>1.0648653797927301</v>
      </c>
      <c r="D5215">
        <v>0.90890662361574304</v>
      </c>
      <c r="E5215">
        <v>0.57735531420789499</v>
      </c>
      <c r="F5215">
        <v>0.30906570717019599</v>
      </c>
      <c r="G5215">
        <v>0.15416963886825399</v>
      </c>
      <c r="H5215">
        <v>0.134797354085753</v>
      </c>
      <c r="I5215">
        <v>0.11128927560834501</v>
      </c>
      <c r="J5215">
        <v>9.1987196160336696E-2</v>
      </c>
      <c r="K5215">
        <v>0.11284332142638299</v>
      </c>
      <c r="L5215">
        <v>1252.6437349441101</v>
      </c>
      <c r="M5215">
        <v>24.922280502356902</v>
      </c>
      <c r="N5215">
        <v>50.763520359708203</v>
      </c>
      <c r="O5215">
        <v>49.941749417795499</v>
      </c>
      <c r="P5215">
        <v>-0.111144573363465</v>
      </c>
      <c r="Q5215">
        <v>0.109121853740516</v>
      </c>
      <c r="R5215">
        <v>0.99538222929122899</v>
      </c>
      <c r="S5215" t="s">
        <v>11076</v>
      </c>
      <c r="T5215" t="s">
        <v>11720</v>
      </c>
      <c r="U5215" t="s">
        <v>11720</v>
      </c>
      <c r="V5215" t="s">
        <v>11720</v>
      </c>
      <c r="W5215" t="s">
        <v>16877</v>
      </c>
      <c r="X5215">
        <v>3</v>
      </c>
      <c r="Y5215" t="s">
        <v>22581</v>
      </c>
      <c r="Z5215" t="s">
        <v>28422</v>
      </c>
      <c r="AA5215">
        <v>0.42189558402458732</v>
      </c>
      <c r="AB5215" t="str">
        <f>HYPERLINK("Melting_Curves/meltCurve_Q9NRG0_CHRAC1.pdf", "Melting_Curves/meltCurve_Q9NRG0_CHRAC1.pdf")</f>
        <v>Melting_Curves/meltCurve_Q9NRG0_CHRAC1.pdf</v>
      </c>
    </row>
    <row r="5216" spans="1:28" x14ac:dyDescent="0.25">
      <c r="A5216" t="s">
        <v>5220</v>
      </c>
      <c r="B5216">
        <v>0.99334974765950101</v>
      </c>
      <c r="C5216">
        <v>1.00931848180307</v>
      </c>
      <c r="D5216">
        <v>0.96833269153759804</v>
      </c>
      <c r="E5216">
        <v>0.90537855961488101</v>
      </c>
      <c r="F5216">
        <v>0.89265856278761302</v>
      </c>
      <c r="G5216">
        <v>0.78660529018083902</v>
      </c>
      <c r="H5216">
        <v>0.75648073417473405</v>
      </c>
      <c r="I5216">
        <v>0.90506071026884405</v>
      </c>
      <c r="J5216">
        <v>0.90351313530286304</v>
      </c>
      <c r="K5216">
        <v>0.81120184591312705</v>
      </c>
      <c r="L5216">
        <v>1236.82759401983</v>
      </c>
      <c r="M5216">
        <v>24.964316007366399</v>
      </c>
      <c r="O5216">
        <v>49.229193504320698</v>
      </c>
      <c r="P5216">
        <v>-2.0818637046636099E-2</v>
      </c>
      <c r="Q5216">
        <v>0.83578627245286496</v>
      </c>
      <c r="R5216">
        <v>0.68822150144609096</v>
      </c>
      <c r="S5216" t="s">
        <v>11077</v>
      </c>
      <c r="T5216" t="s">
        <v>11720</v>
      </c>
      <c r="U5216" t="s">
        <v>11720</v>
      </c>
      <c r="V5216" t="s">
        <v>11720</v>
      </c>
      <c r="W5216" t="s">
        <v>16878</v>
      </c>
      <c r="X5216">
        <v>12</v>
      </c>
      <c r="Y5216" t="s">
        <v>22582</v>
      </c>
      <c r="Z5216" t="s">
        <v>28423</v>
      </c>
      <c r="AA5216">
        <v>0.88949271055876999</v>
      </c>
      <c r="AB5216" t="str">
        <f>HYPERLINK("Melting_Curves/meltCurve_Q9NRG1_PRTFDC1.pdf", "Melting_Curves/meltCurve_Q9NRG1_PRTFDC1.pdf")</f>
        <v>Melting_Curves/meltCurve_Q9NRG1_PRTFDC1.pdf</v>
      </c>
    </row>
    <row r="5217" spans="1:28" x14ac:dyDescent="0.25">
      <c r="A5217" t="s">
        <v>5221</v>
      </c>
      <c r="B5217">
        <v>0.99334974765950101</v>
      </c>
      <c r="C5217">
        <v>0.92596784060021298</v>
      </c>
      <c r="D5217">
        <v>0.62630197482928696</v>
      </c>
      <c r="E5217">
        <v>0.31256086800921901</v>
      </c>
      <c r="F5217">
        <v>0.24985598100699</v>
      </c>
      <c r="G5217">
        <v>0.109452705275927</v>
      </c>
      <c r="H5217">
        <v>0.11525718705610501</v>
      </c>
      <c r="I5217">
        <v>5.5053545763211399E-2</v>
      </c>
      <c r="J5217">
        <v>6.1801008564406901E-2</v>
      </c>
      <c r="K5217">
        <v>3.20045734878492E-2</v>
      </c>
      <c r="L5217">
        <v>837.40424702890596</v>
      </c>
      <c r="M5217">
        <v>17.6287592194649</v>
      </c>
      <c r="N5217">
        <v>47.867598452409503</v>
      </c>
      <c r="O5217">
        <v>46.903534748963203</v>
      </c>
      <c r="P5217">
        <v>-8.8051671640647006E-2</v>
      </c>
      <c r="Q5217">
        <v>6.2959432809072305E-2</v>
      </c>
      <c r="R5217">
        <v>0.99098457550822905</v>
      </c>
      <c r="S5217" t="s">
        <v>11078</v>
      </c>
      <c r="T5217" t="s">
        <v>11720</v>
      </c>
      <c r="U5217" t="s">
        <v>11720</v>
      </c>
      <c r="V5217" t="s">
        <v>11720</v>
      </c>
      <c r="W5217" t="s">
        <v>16879</v>
      </c>
      <c r="X5217">
        <v>2</v>
      </c>
      <c r="Y5217" t="s">
        <v>22583</v>
      </c>
      <c r="Z5217" t="s">
        <v>28424</v>
      </c>
      <c r="AA5217">
        <v>0.3149668542707415</v>
      </c>
      <c r="AB5217" t="str">
        <f>HYPERLINK("Melting_Curves/meltCurve_Q9NRG4_SMYD2.pdf", "Melting_Curves/meltCurve_Q9NRG4_SMYD2.pdf")</f>
        <v>Melting_Curves/meltCurve_Q9NRG4_SMYD2.pdf</v>
      </c>
    </row>
    <row r="5218" spans="1:28" x14ac:dyDescent="0.25">
      <c r="A5218" t="s">
        <v>5222</v>
      </c>
      <c r="B5218">
        <v>0.99334974765950101</v>
      </c>
      <c r="C5218">
        <v>0.90328353497505298</v>
      </c>
      <c r="D5218">
        <v>0.74566647464448599</v>
      </c>
      <c r="E5218">
        <v>0.515230833407894</v>
      </c>
      <c r="F5218">
        <v>0.18441095950859801</v>
      </c>
      <c r="G5218">
        <v>0.150177649232</v>
      </c>
      <c r="H5218">
        <v>0.12900655491904001</v>
      </c>
      <c r="I5218">
        <v>0.123273368068228</v>
      </c>
      <c r="J5218">
        <v>6.7346590922297195E-2</v>
      </c>
      <c r="K5218">
        <v>2.77648777699924E-2</v>
      </c>
      <c r="L5218">
        <v>828.282790297068</v>
      </c>
      <c r="M5218">
        <v>16.924187696066799</v>
      </c>
      <c r="N5218">
        <v>49.343239359473998</v>
      </c>
      <c r="O5218">
        <v>48.272798382778703</v>
      </c>
      <c r="P5218">
        <v>-8.2003203162534496E-2</v>
      </c>
      <c r="Q5218">
        <v>6.4469057127872306E-2</v>
      </c>
      <c r="R5218">
        <v>0.98677959282043304</v>
      </c>
      <c r="S5218" t="s">
        <v>11079</v>
      </c>
      <c r="T5218" t="s">
        <v>11720</v>
      </c>
      <c r="U5218" t="s">
        <v>11720</v>
      </c>
      <c r="V5218" t="s">
        <v>11720</v>
      </c>
      <c r="W5218" t="s">
        <v>16880</v>
      </c>
      <c r="X5218">
        <v>2</v>
      </c>
      <c r="Y5218" t="s">
        <v>22584</v>
      </c>
      <c r="Z5218" t="s">
        <v>28425</v>
      </c>
      <c r="AA5218">
        <v>0.36161413185411029</v>
      </c>
      <c r="AB5218" t="str">
        <f>HYPERLINK("Melting_Curves/meltCurve_Q9NRG7_2_SDR39U1.pdf", "Melting_Curves/meltCurve_Q9NRG7_2_SDR39U1.pdf")</f>
        <v>Melting_Curves/meltCurve_Q9NRG7_2_SDR39U1.pdf</v>
      </c>
    </row>
    <row r="5219" spans="1:28" x14ac:dyDescent="0.25">
      <c r="A5219" t="s">
        <v>5223</v>
      </c>
      <c r="B5219">
        <v>0.99334974765950101</v>
      </c>
      <c r="C5219">
        <v>0.96956638345817703</v>
      </c>
      <c r="D5219">
        <v>0.83254629291279403</v>
      </c>
      <c r="E5219">
        <v>0.76919868026281302</v>
      </c>
      <c r="F5219">
        <v>0.59214007615978104</v>
      </c>
      <c r="G5219">
        <v>0.37773454518533101</v>
      </c>
      <c r="H5219">
        <v>0.28062439235679898</v>
      </c>
      <c r="I5219">
        <v>0.29911581002573201</v>
      </c>
      <c r="J5219">
        <v>0.26229995421390601</v>
      </c>
      <c r="K5219">
        <v>0.20220965953103301</v>
      </c>
      <c r="L5219">
        <v>679.42279079689501</v>
      </c>
      <c r="M5219">
        <v>12.907069740593499</v>
      </c>
      <c r="N5219">
        <v>54.675359025593103</v>
      </c>
      <c r="O5219">
        <v>51.4240475672893</v>
      </c>
      <c r="P5219">
        <v>-5.0785978356551999E-2</v>
      </c>
      <c r="Q5219">
        <v>0.19078604540420899</v>
      </c>
      <c r="R5219">
        <v>0.98910740754301396</v>
      </c>
      <c r="S5219" t="s">
        <v>11080</v>
      </c>
      <c r="T5219" t="s">
        <v>11720</v>
      </c>
      <c r="U5219" t="s">
        <v>11720</v>
      </c>
      <c r="V5219" t="s">
        <v>11720</v>
      </c>
      <c r="W5219" t="s">
        <v>16881</v>
      </c>
      <c r="X5219">
        <v>7</v>
      </c>
      <c r="Y5219" t="s">
        <v>22585</v>
      </c>
      <c r="Z5219" t="s">
        <v>28426</v>
      </c>
      <c r="AA5219">
        <v>0.55338296254139763</v>
      </c>
      <c r="AB5219" t="str">
        <f>HYPERLINK("Melting_Curves/meltCurve_Q9NRH1_YAE1D1.pdf", "Melting_Curves/meltCurve_Q9NRH1_YAE1D1.pdf")</f>
        <v>Melting_Curves/meltCurve_Q9NRH1_YAE1D1.pdf</v>
      </c>
    </row>
    <row r="5220" spans="1:28" x14ac:dyDescent="0.25">
      <c r="A5220" t="s">
        <v>5224</v>
      </c>
      <c r="B5220">
        <v>0.99334974765950101</v>
      </c>
      <c r="C5220">
        <v>0.90988678277241097</v>
      </c>
      <c r="D5220">
        <v>0.92160650188402904</v>
      </c>
      <c r="E5220">
        <v>1.12583437042667</v>
      </c>
      <c r="F5220">
        <v>0.74029853776739396</v>
      </c>
      <c r="G5220">
        <v>0.231401263707076</v>
      </c>
      <c r="H5220">
        <v>9.4123724362575503E-2</v>
      </c>
      <c r="I5220">
        <v>4.3618252538273901E-2</v>
      </c>
      <c r="J5220">
        <v>1.6891860242194801E-2</v>
      </c>
      <c r="K5220">
        <v>1.6408010138934299E-2</v>
      </c>
      <c r="L5220">
        <v>2033.70269842486</v>
      </c>
      <c r="M5220">
        <v>37.151629521025399</v>
      </c>
      <c r="N5220">
        <v>54.856073243832199</v>
      </c>
      <c r="O5220">
        <v>54.582729775326499</v>
      </c>
      <c r="P5220">
        <v>-0.16376339192636499</v>
      </c>
      <c r="Q5220">
        <v>3.7605854089543297E-2</v>
      </c>
      <c r="R5220">
        <v>0.97858357304473398</v>
      </c>
      <c r="S5220" t="s">
        <v>11081</v>
      </c>
      <c r="T5220" t="s">
        <v>11720</v>
      </c>
      <c r="U5220" t="s">
        <v>11720</v>
      </c>
      <c r="V5220" t="s">
        <v>11720</v>
      </c>
      <c r="W5220" t="s">
        <v>16882</v>
      </c>
      <c r="X5220">
        <v>6</v>
      </c>
      <c r="Y5220" t="s">
        <v>22586</v>
      </c>
      <c r="Z5220" t="s">
        <v>28427</v>
      </c>
      <c r="AA5220">
        <v>0.51468488550451541</v>
      </c>
      <c r="AB5220" t="str">
        <f>HYPERLINK("Melting_Curves/meltCurve_Q9NRK6_ABCB10.pdf", "Melting_Curves/meltCurve_Q9NRK6_ABCB10.pdf")</f>
        <v>Melting_Curves/meltCurve_Q9NRK6_ABCB10.pdf</v>
      </c>
    </row>
    <row r="5221" spans="1:28" x14ac:dyDescent="0.25">
      <c r="A5221" t="s">
        <v>5225</v>
      </c>
      <c r="B5221">
        <v>0.99334974765950101</v>
      </c>
      <c r="C5221">
        <v>0.93099026850136302</v>
      </c>
      <c r="D5221">
        <v>0.78845101084310998</v>
      </c>
      <c r="E5221">
        <v>0.68512810935285495</v>
      </c>
      <c r="F5221">
        <v>0.46708909405548199</v>
      </c>
      <c r="G5221">
        <v>0.39729308732486901</v>
      </c>
      <c r="H5221">
        <v>0.34139540569430998</v>
      </c>
      <c r="I5221">
        <v>0.37982898106944901</v>
      </c>
      <c r="J5221">
        <v>0.27206643697821098</v>
      </c>
      <c r="K5221">
        <v>0.40893538716489802</v>
      </c>
      <c r="L5221">
        <v>740.45100261965001</v>
      </c>
      <c r="M5221">
        <v>15.050790843811599</v>
      </c>
      <c r="N5221">
        <v>53.000233892751901</v>
      </c>
      <c r="O5221">
        <v>48.352829027596002</v>
      </c>
      <c r="P5221">
        <v>-5.2126161909374497E-2</v>
      </c>
      <c r="Q5221">
        <v>0.33021561566343299</v>
      </c>
      <c r="R5221">
        <v>0.97099765386546</v>
      </c>
      <c r="S5221" t="s">
        <v>11082</v>
      </c>
      <c r="T5221" t="s">
        <v>11720</v>
      </c>
      <c r="U5221" t="s">
        <v>11720</v>
      </c>
      <c r="V5221" t="s">
        <v>11720</v>
      </c>
      <c r="W5221" t="s">
        <v>16883</v>
      </c>
      <c r="X5221">
        <v>1</v>
      </c>
      <c r="Y5221" t="s">
        <v>22587</v>
      </c>
      <c r="Z5221" t="s">
        <v>28428</v>
      </c>
      <c r="AA5221">
        <v>0.55185417832164163</v>
      </c>
      <c r="AB5221" t="str">
        <f>HYPERLINK("Melting_Curves/meltCurve_Q9NRN5_3_OLFML3.pdf", "Melting_Curves/meltCurve_Q9NRN5_3_OLFML3.pdf")</f>
        <v>Melting_Curves/meltCurve_Q9NRN5_3_OLFML3.pdf</v>
      </c>
    </row>
    <row r="5222" spans="1:28" x14ac:dyDescent="0.25">
      <c r="A5222" t="s">
        <v>5226</v>
      </c>
      <c r="B5222">
        <v>0.99334974765950101</v>
      </c>
      <c r="C5222">
        <v>0.96402143120169903</v>
      </c>
      <c r="D5222">
        <v>0.887577158260901</v>
      </c>
      <c r="E5222">
        <v>0.65874191402167404</v>
      </c>
      <c r="F5222">
        <v>0.32930221049368202</v>
      </c>
      <c r="G5222">
        <v>0.15790394062365701</v>
      </c>
      <c r="H5222">
        <v>0.115690271747071</v>
      </c>
      <c r="I5222">
        <v>8.9111908045355306E-2</v>
      </c>
      <c r="J5222">
        <v>7.2950384065465598E-2</v>
      </c>
      <c r="K5222">
        <v>6.2217005916592301E-2</v>
      </c>
      <c r="L5222">
        <v>1071.0742487760999</v>
      </c>
      <c r="M5222">
        <v>21.021859646503401</v>
      </c>
      <c r="N5222">
        <v>51.3178982125646</v>
      </c>
      <c r="O5222">
        <v>50.496162487634102</v>
      </c>
      <c r="P5222">
        <v>-9.6808151540245205E-2</v>
      </c>
      <c r="Q5222">
        <v>6.9861643519183295E-2</v>
      </c>
      <c r="R5222">
        <v>0.99777969320797699</v>
      </c>
      <c r="S5222" t="s">
        <v>11083</v>
      </c>
      <c r="T5222" t="s">
        <v>11720</v>
      </c>
      <c r="U5222" t="s">
        <v>11720</v>
      </c>
      <c r="V5222" t="s">
        <v>11720</v>
      </c>
      <c r="W5222" t="s">
        <v>16884</v>
      </c>
      <c r="X5222">
        <v>14</v>
      </c>
      <c r="Y5222" t="s">
        <v>22588</v>
      </c>
      <c r="Z5222" t="s">
        <v>28429</v>
      </c>
      <c r="AA5222">
        <v>0.42113070189040952</v>
      </c>
      <c r="AB5222" t="str">
        <f>HYPERLINK("Melting_Curves/meltCurve_Q9NRN7_AASDHPPT.pdf", "Melting_Curves/meltCurve_Q9NRN7_AASDHPPT.pdf")</f>
        <v>Melting_Curves/meltCurve_Q9NRN7_AASDHPPT.pdf</v>
      </c>
    </row>
    <row r="5223" spans="1:28" x14ac:dyDescent="0.25">
      <c r="A5223" t="s">
        <v>5227</v>
      </c>
      <c r="B5223">
        <v>0.99334974765950101</v>
      </c>
      <c r="C5223">
        <v>1.0123171484034801</v>
      </c>
      <c r="D5223">
        <v>0.88423855570852306</v>
      </c>
      <c r="E5223">
        <v>0.79586192965959801</v>
      </c>
      <c r="F5223">
        <v>0.74131743631911595</v>
      </c>
      <c r="G5223">
        <v>0.69835031251947599</v>
      </c>
      <c r="H5223">
        <v>0.60176067601248995</v>
      </c>
      <c r="I5223">
        <v>0.78997364452194196</v>
      </c>
      <c r="J5223">
        <v>0.500693628956282</v>
      </c>
      <c r="K5223">
        <v>0.29241532850090302</v>
      </c>
      <c r="L5223">
        <v>345.323204263695</v>
      </c>
      <c r="M5223">
        <v>5.1638527292394301</v>
      </c>
      <c r="N5223">
        <v>66.873185501095605</v>
      </c>
      <c r="O5223">
        <v>58.796128399027303</v>
      </c>
      <c r="P5223">
        <v>-2.2077038685756101E-2</v>
      </c>
      <c r="Q5223">
        <v>0</v>
      </c>
      <c r="R5223">
        <v>0.79995004149709503</v>
      </c>
      <c r="S5223" t="s">
        <v>11084</v>
      </c>
      <c r="T5223" t="s">
        <v>11720</v>
      </c>
      <c r="U5223" t="s">
        <v>11720</v>
      </c>
      <c r="V5223" t="s">
        <v>11720</v>
      </c>
      <c r="W5223" t="s">
        <v>16885</v>
      </c>
      <c r="X5223">
        <v>6</v>
      </c>
      <c r="Y5223" t="s">
        <v>22589</v>
      </c>
      <c r="Z5223" t="s">
        <v>28430</v>
      </c>
      <c r="AA5223">
        <v>0.73675701960163897</v>
      </c>
      <c r="AB5223" t="str">
        <f>HYPERLINK("Melting_Curves/meltCurve_Q9NRN9_METTL5.pdf", "Melting_Curves/meltCurve_Q9NRN9_METTL5.pdf")</f>
        <v>Melting_Curves/meltCurve_Q9NRN9_METTL5.pdf</v>
      </c>
    </row>
    <row r="5224" spans="1:28" x14ac:dyDescent="0.25">
      <c r="A5224" t="s">
        <v>5228</v>
      </c>
      <c r="B5224">
        <v>0.99334974765950101</v>
      </c>
      <c r="C5224">
        <v>0.93359676597008201</v>
      </c>
      <c r="D5224">
        <v>0.87521229660709099</v>
      </c>
      <c r="E5224">
        <v>0.84651325917489195</v>
      </c>
      <c r="F5224">
        <v>0.44648062115981502</v>
      </c>
      <c r="G5224">
        <v>0.38953180653240899</v>
      </c>
      <c r="H5224">
        <v>0.25456359612278301</v>
      </c>
      <c r="I5224">
        <v>0.27186085991979703</v>
      </c>
      <c r="J5224">
        <v>0.116357390850283</v>
      </c>
      <c r="K5224">
        <v>6.4304644350328205E-2</v>
      </c>
      <c r="L5224">
        <v>628.67515636375401</v>
      </c>
      <c r="M5224">
        <v>11.6591272859947</v>
      </c>
      <c r="N5224">
        <v>54.421683512622003</v>
      </c>
      <c r="O5224">
        <v>52.4082811405179</v>
      </c>
      <c r="P5224">
        <v>-5.2804116548814201E-2</v>
      </c>
      <c r="Q5224">
        <v>5.0828675893772102E-2</v>
      </c>
      <c r="R5224">
        <v>0.96369494870835304</v>
      </c>
      <c r="S5224" t="s">
        <v>11085</v>
      </c>
      <c r="T5224" t="s">
        <v>11720</v>
      </c>
      <c r="U5224" t="s">
        <v>11720</v>
      </c>
      <c r="V5224" t="s">
        <v>11720</v>
      </c>
      <c r="W5224" t="s">
        <v>16886</v>
      </c>
      <c r="X5224">
        <v>1</v>
      </c>
      <c r="Y5224" t="s">
        <v>22590</v>
      </c>
      <c r="Z5224" t="s">
        <v>28431</v>
      </c>
      <c r="AA5224">
        <v>0.51693136914769922</v>
      </c>
      <c r="AB5224" t="str">
        <f>HYPERLINK("Melting_Curves/meltCurve_Q9NRP0_OSTC.pdf", "Melting_Curves/meltCurve_Q9NRP0_OSTC.pdf")</f>
        <v>Melting_Curves/meltCurve_Q9NRP0_OSTC.pdf</v>
      </c>
    </row>
    <row r="5225" spans="1:28" x14ac:dyDescent="0.25">
      <c r="A5225" t="s">
        <v>5229</v>
      </c>
      <c r="B5225">
        <v>0.99334974765950101</v>
      </c>
      <c r="C5225">
        <v>0.91716756899915897</v>
      </c>
      <c r="D5225">
        <v>0.81727022013545203</v>
      </c>
      <c r="E5225">
        <v>0.68821922427750304</v>
      </c>
      <c r="F5225">
        <v>0.57268465313600503</v>
      </c>
      <c r="G5225">
        <v>0.42242297317898603</v>
      </c>
      <c r="H5225">
        <v>0.38431990304959701</v>
      </c>
      <c r="I5225">
        <v>0.39585659548513402</v>
      </c>
      <c r="J5225">
        <v>0.60754230362764605</v>
      </c>
      <c r="K5225">
        <v>0.51108906751524597</v>
      </c>
      <c r="L5225">
        <v>832.19625311800303</v>
      </c>
      <c r="M5225">
        <v>17.275954711455199</v>
      </c>
      <c r="N5225">
        <v>56.4298103757747</v>
      </c>
      <c r="O5225">
        <v>47.539247641531603</v>
      </c>
      <c r="P5225">
        <v>-4.9052336015017003E-2</v>
      </c>
      <c r="Q5225">
        <v>0.46011067160984198</v>
      </c>
      <c r="R5225">
        <v>0.89661736110122303</v>
      </c>
      <c r="S5225" t="s">
        <v>11086</v>
      </c>
      <c r="T5225" t="s">
        <v>11720</v>
      </c>
      <c r="U5225" t="s">
        <v>11720</v>
      </c>
      <c r="V5225" t="s">
        <v>11720</v>
      </c>
      <c r="W5225" t="s">
        <v>16887</v>
      </c>
      <c r="X5225">
        <v>5</v>
      </c>
      <c r="Y5225" t="s">
        <v>22591</v>
      </c>
      <c r="Z5225" t="s">
        <v>28432</v>
      </c>
      <c r="AA5225">
        <v>0.61752878326277783</v>
      </c>
      <c r="AB5225" t="str">
        <f>HYPERLINK("Melting_Curves/meltCurve_Q9NRP2_CMC2.pdf", "Melting_Curves/meltCurve_Q9NRP2_CMC2.pdf")</f>
        <v>Melting_Curves/meltCurve_Q9NRP2_CMC2.pdf</v>
      </c>
    </row>
    <row r="5226" spans="1:28" x14ac:dyDescent="0.25">
      <c r="A5226" t="s">
        <v>5230</v>
      </c>
      <c r="B5226">
        <v>0.99334974765950101</v>
      </c>
      <c r="C5226">
        <v>0.97351012204507503</v>
      </c>
      <c r="D5226">
        <v>0.86552789370901095</v>
      </c>
      <c r="E5226">
        <v>0.86071692440361203</v>
      </c>
      <c r="F5226">
        <v>0.82265842778353104</v>
      </c>
      <c r="G5226">
        <v>0.65638471842336898</v>
      </c>
      <c r="H5226">
        <v>0.38510466969581603</v>
      </c>
      <c r="I5226">
        <v>0.17216969627293699</v>
      </c>
      <c r="J5226">
        <v>0.111393337122854</v>
      </c>
      <c r="K5226">
        <v>7.3445560008086094E-2</v>
      </c>
      <c r="L5226">
        <v>860.07392110262504</v>
      </c>
      <c r="M5226">
        <v>14.681813452438201</v>
      </c>
      <c r="N5226">
        <v>58.580905385354797</v>
      </c>
      <c r="O5226">
        <v>57.526304326501503</v>
      </c>
      <c r="P5226">
        <v>-6.3811794143915704E-2</v>
      </c>
      <c r="Q5226">
        <v>0</v>
      </c>
      <c r="R5226">
        <v>0.97919315844385402</v>
      </c>
      <c r="S5226" t="s">
        <v>11087</v>
      </c>
      <c r="T5226" t="s">
        <v>11720</v>
      </c>
      <c r="U5226" t="s">
        <v>11720</v>
      </c>
      <c r="V5226" t="s">
        <v>11720</v>
      </c>
      <c r="W5226" t="s">
        <v>16888</v>
      </c>
      <c r="X5226">
        <v>8</v>
      </c>
      <c r="Y5226" t="s">
        <v>22592</v>
      </c>
      <c r="Z5226" t="s">
        <v>28433</v>
      </c>
      <c r="AA5226">
        <v>0.63110725574865589</v>
      </c>
      <c r="AB5226" t="str">
        <f>HYPERLINK("Melting_Curves/meltCurve_Q9NRQ2_PLSCR4.pdf", "Melting_Curves/meltCurve_Q9NRQ2_PLSCR4.pdf")</f>
        <v>Melting_Curves/meltCurve_Q9NRQ2_PLSCR4.pdf</v>
      </c>
    </row>
    <row r="5227" spans="1:28" x14ac:dyDescent="0.25">
      <c r="A5227" t="s">
        <v>5231</v>
      </c>
      <c r="B5227">
        <v>0.99334974765950101</v>
      </c>
      <c r="C5227">
        <v>0.93372145250768002</v>
      </c>
      <c r="D5227">
        <v>0.91617431630859403</v>
      </c>
      <c r="E5227">
        <v>0.79920205264862598</v>
      </c>
      <c r="F5227">
        <v>0.77627444463066497</v>
      </c>
      <c r="G5227">
        <v>0.566532121053829</v>
      </c>
      <c r="H5227">
        <v>0.52358068614349995</v>
      </c>
      <c r="I5227">
        <v>0.62476383055603102</v>
      </c>
      <c r="J5227">
        <v>0.47708621904730902</v>
      </c>
      <c r="K5227">
        <v>0.423656681552188</v>
      </c>
      <c r="L5227">
        <v>508.11582122978302</v>
      </c>
      <c r="M5227">
        <v>9.3809426766952804</v>
      </c>
      <c r="N5227">
        <v>65.374410188295698</v>
      </c>
      <c r="O5227">
        <v>51.874324841695604</v>
      </c>
      <c r="P5227">
        <v>-2.7146835352531599E-2</v>
      </c>
      <c r="Q5227">
        <v>0.399910810189816</v>
      </c>
      <c r="R5227">
        <v>0.94282061729136601</v>
      </c>
      <c r="S5227" t="s">
        <v>11088</v>
      </c>
      <c r="T5227" t="s">
        <v>11720</v>
      </c>
      <c r="U5227" t="s">
        <v>11720</v>
      </c>
      <c r="V5227" t="s">
        <v>11720</v>
      </c>
      <c r="W5227" t="s">
        <v>16889</v>
      </c>
      <c r="X5227">
        <v>12</v>
      </c>
      <c r="Y5227" t="s">
        <v>22593</v>
      </c>
      <c r="Z5227" t="s">
        <v>28434</v>
      </c>
      <c r="AA5227">
        <v>0.70164807301794319</v>
      </c>
      <c r="AB5227" t="str">
        <f>HYPERLINK("Melting_Curves/meltCurve_Q9NRR5_UBQLN4.pdf", "Melting_Curves/meltCurve_Q9NRR5_UBQLN4.pdf")</f>
        <v>Melting_Curves/meltCurve_Q9NRR5_UBQLN4.pdf</v>
      </c>
    </row>
    <row r="5228" spans="1:28" x14ac:dyDescent="0.25">
      <c r="A5228" t="s">
        <v>5232</v>
      </c>
      <c r="B5228">
        <v>0.99334974765950101</v>
      </c>
      <c r="C5228">
        <v>0.95671243588727095</v>
      </c>
      <c r="D5228">
        <v>0.79197899873849598</v>
      </c>
      <c r="E5228">
        <v>0.81875233602576403</v>
      </c>
      <c r="F5228">
        <v>0.99615010910522395</v>
      </c>
      <c r="G5228">
        <v>0.79326937808334796</v>
      </c>
      <c r="H5228">
        <v>0.71143427887909205</v>
      </c>
      <c r="I5228">
        <v>0.30963474670433</v>
      </c>
      <c r="J5228">
        <v>0.23741419247894999</v>
      </c>
      <c r="K5228">
        <v>0.15584560429870101</v>
      </c>
      <c r="L5228">
        <v>1056.8449120878799</v>
      </c>
      <c r="M5228">
        <v>16.921511217563399</v>
      </c>
      <c r="N5228">
        <v>62.455705504792199</v>
      </c>
      <c r="O5228">
        <v>61.603012128271402</v>
      </c>
      <c r="P5228">
        <v>-6.8675928308043699E-2</v>
      </c>
      <c r="Q5228">
        <v>0</v>
      </c>
      <c r="R5228">
        <v>0.89616175303234302</v>
      </c>
      <c r="S5228" t="s">
        <v>11089</v>
      </c>
      <c r="T5228" t="s">
        <v>11720</v>
      </c>
      <c r="U5228" t="s">
        <v>11720</v>
      </c>
      <c r="V5228" t="s">
        <v>11720</v>
      </c>
      <c r="W5228" t="s">
        <v>16890</v>
      </c>
      <c r="X5228">
        <v>1</v>
      </c>
      <c r="Y5228" t="s">
        <v>22594</v>
      </c>
      <c r="Z5228" t="s">
        <v>28435</v>
      </c>
      <c r="AA5228">
        <v>0.74653546913664459</v>
      </c>
      <c r="AB5228" t="str">
        <f>HYPERLINK("Melting_Curves/meltCurve_Q9NRR8_CDC42SE1.pdf", "Melting_Curves/meltCurve_Q9NRR8_CDC42SE1.pdf")</f>
        <v>Melting_Curves/meltCurve_Q9NRR8_CDC42SE1.pdf</v>
      </c>
    </row>
    <row r="5229" spans="1:28" x14ac:dyDescent="0.25">
      <c r="A5229" t="s">
        <v>5233</v>
      </c>
      <c r="B5229">
        <v>0.99334974765950101</v>
      </c>
      <c r="C5229">
        <v>0.89586076582125096</v>
      </c>
      <c r="D5229">
        <v>0.60951759480939205</v>
      </c>
      <c r="E5229">
        <v>0.31991969217968202</v>
      </c>
      <c r="F5229">
        <v>0.20123307201728699</v>
      </c>
      <c r="G5229">
        <v>0.17363660553994201</v>
      </c>
      <c r="H5229">
        <v>0.10969093119753601</v>
      </c>
      <c r="I5229">
        <v>8.8362687058050601E-2</v>
      </c>
      <c r="J5229">
        <v>0.142706149166062</v>
      </c>
      <c r="K5229">
        <v>0.13739443254752901</v>
      </c>
      <c r="L5229">
        <v>950.50674297270996</v>
      </c>
      <c r="M5229">
        <v>20.340309245643301</v>
      </c>
      <c r="N5229">
        <v>47.397948518658097</v>
      </c>
      <c r="O5229">
        <v>46.285552457825801</v>
      </c>
      <c r="P5229">
        <v>-9.6179637471934004E-2</v>
      </c>
      <c r="Q5229">
        <v>0.124577299092935</v>
      </c>
      <c r="R5229">
        <v>0.99550522526278795</v>
      </c>
      <c r="S5229" t="s">
        <v>11090</v>
      </c>
      <c r="T5229" t="s">
        <v>11720</v>
      </c>
      <c r="U5229" t="s">
        <v>11720</v>
      </c>
      <c r="V5229" t="s">
        <v>11720</v>
      </c>
      <c r="W5229" t="s">
        <v>16891</v>
      </c>
      <c r="X5229">
        <v>5</v>
      </c>
      <c r="Y5229" t="s">
        <v>22595</v>
      </c>
      <c r="Z5229" t="s">
        <v>28436</v>
      </c>
      <c r="AA5229">
        <v>0.33345735236448443</v>
      </c>
      <c r="AB5229" t="str">
        <f>HYPERLINK("Melting_Curves/meltCurve_Q9NRS6_SNX15.pdf", "Melting_Curves/meltCurve_Q9NRS6_SNX15.pdf")</f>
        <v>Melting_Curves/meltCurve_Q9NRS6_SNX15.pdf</v>
      </c>
    </row>
    <row r="5230" spans="1:28" x14ac:dyDescent="0.25">
      <c r="A5230" t="s">
        <v>5234</v>
      </c>
      <c r="B5230">
        <v>0.99334974765950101</v>
      </c>
      <c r="C5230">
        <v>0.63451375257416998</v>
      </c>
      <c r="D5230">
        <v>1.0160214667705301</v>
      </c>
      <c r="E5230">
        <v>0.59202513680695601</v>
      </c>
      <c r="F5230">
        <v>0.37093025191754198</v>
      </c>
      <c r="G5230">
        <v>0.16660255554158099</v>
      </c>
      <c r="H5230">
        <v>7.61582341427985E-2</v>
      </c>
      <c r="I5230">
        <v>6.11039675050397E-2</v>
      </c>
      <c r="J5230">
        <v>6.1259944379506E-2</v>
      </c>
      <c r="K5230">
        <v>6.0242446853488799E-2</v>
      </c>
      <c r="L5230">
        <v>785.31660333833395</v>
      </c>
      <c r="M5230">
        <v>15.3634912420903</v>
      </c>
      <c r="N5230">
        <v>51.264445408066102</v>
      </c>
      <c r="O5230">
        <v>50.273227880070102</v>
      </c>
      <c r="P5230">
        <v>-7.4742081096389607E-2</v>
      </c>
      <c r="Q5230">
        <v>2.17900258874076E-2</v>
      </c>
      <c r="R5230">
        <v>0.90252191971168705</v>
      </c>
      <c r="S5230" t="s">
        <v>11091</v>
      </c>
      <c r="T5230" t="s">
        <v>11720</v>
      </c>
      <c r="U5230" t="s">
        <v>11720</v>
      </c>
      <c r="V5230" t="s">
        <v>11720</v>
      </c>
      <c r="W5230" t="s">
        <v>16892</v>
      </c>
      <c r="X5230">
        <v>23</v>
      </c>
      <c r="Y5230" t="s">
        <v>22596</v>
      </c>
      <c r="Z5230" t="s">
        <v>28437</v>
      </c>
      <c r="AA5230">
        <v>0.40588776904956653</v>
      </c>
      <c r="AB5230" t="str">
        <f>HYPERLINK("Melting_Curves/meltCurve_Q9NRV9_HEBP1.pdf", "Melting_Curves/meltCurve_Q9NRV9_HEBP1.pdf")</f>
        <v>Melting_Curves/meltCurve_Q9NRV9_HEBP1.pdf</v>
      </c>
    </row>
    <row r="5231" spans="1:28" x14ac:dyDescent="0.25">
      <c r="A5231" t="s">
        <v>5235</v>
      </c>
      <c r="B5231">
        <v>0.99334974765950101</v>
      </c>
      <c r="C5231">
        <v>0.89996307342280402</v>
      </c>
      <c r="D5231">
        <v>0.856218761218145</v>
      </c>
      <c r="E5231">
        <v>0.91068036751278703</v>
      </c>
      <c r="F5231">
        <v>0.98156677613548404</v>
      </c>
      <c r="G5231">
        <v>0.87884686753830998</v>
      </c>
      <c r="H5231">
        <v>0.80460304517526904</v>
      </c>
      <c r="I5231">
        <v>0.83577616400108801</v>
      </c>
      <c r="J5231">
        <v>0.76299536154556902</v>
      </c>
      <c r="K5231">
        <v>0.485140525657209</v>
      </c>
      <c r="L5231">
        <v>591.42959123910305</v>
      </c>
      <c r="M5231">
        <v>8.0926790033258005</v>
      </c>
      <c r="O5231">
        <v>69.025443799433702</v>
      </c>
      <c r="P5231">
        <v>-2.93422450535657E-2</v>
      </c>
      <c r="Q5231">
        <v>0</v>
      </c>
      <c r="R5231">
        <v>0.68779697066484202</v>
      </c>
      <c r="S5231" t="s">
        <v>11092</v>
      </c>
      <c r="T5231" t="s">
        <v>11720</v>
      </c>
      <c r="U5231" t="s">
        <v>11720</v>
      </c>
      <c r="V5231" t="s">
        <v>11720</v>
      </c>
      <c r="W5231" t="s">
        <v>16893</v>
      </c>
      <c r="X5231">
        <v>13</v>
      </c>
      <c r="Y5231" t="s">
        <v>22597</v>
      </c>
      <c r="Z5231" t="s">
        <v>28438</v>
      </c>
      <c r="AA5231">
        <v>0.88275685403889903</v>
      </c>
      <c r="AB5231" t="str">
        <f>HYPERLINK("Melting_Curves/meltCurve_Q9NRW1_RAB6B.pdf", "Melting_Curves/meltCurve_Q9NRW1_RAB6B.pdf")</f>
        <v>Melting_Curves/meltCurve_Q9NRW1_RAB6B.pdf</v>
      </c>
    </row>
    <row r="5232" spans="1:28" x14ac:dyDescent="0.25">
      <c r="A5232" t="s">
        <v>5236</v>
      </c>
      <c r="B5232">
        <v>0.99334974765950101</v>
      </c>
      <c r="C5232">
        <v>0.90769671037455901</v>
      </c>
      <c r="D5232">
        <v>0.57365411882153505</v>
      </c>
      <c r="E5232">
        <v>0.24135337286668601</v>
      </c>
      <c r="F5232">
        <v>0.113348803864138</v>
      </c>
      <c r="G5232">
        <v>0.13670402419074401</v>
      </c>
      <c r="H5232">
        <v>0.18287597973242201</v>
      </c>
      <c r="I5232">
        <v>9.3035975474108801E-2</v>
      </c>
      <c r="J5232">
        <v>9.4887580547586198E-2</v>
      </c>
      <c r="K5232">
        <v>1.9203265534975901E-2</v>
      </c>
      <c r="L5232">
        <v>1164.43566556672</v>
      </c>
      <c r="M5232">
        <v>25.1469207337773</v>
      </c>
      <c r="N5232">
        <v>46.723918594527802</v>
      </c>
      <c r="O5232">
        <v>46.015448140899501</v>
      </c>
      <c r="P5232">
        <v>-0.122843404625358</v>
      </c>
      <c r="Q5232">
        <v>0.100864857703168</v>
      </c>
      <c r="R5232">
        <v>0.98663163786529195</v>
      </c>
      <c r="S5232" t="s">
        <v>11093</v>
      </c>
      <c r="T5232" t="s">
        <v>11720</v>
      </c>
      <c r="U5232" t="s">
        <v>11720</v>
      </c>
      <c r="V5232" t="s">
        <v>11720</v>
      </c>
      <c r="W5232" t="s">
        <v>16894</v>
      </c>
      <c r="X5232">
        <v>2</v>
      </c>
      <c r="Y5232" t="s">
        <v>22598</v>
      </c>
      <c r="Z5232" t="s">
        <v>28439</v>
      </c>
      <c r="AA5232">
        <v>0.29792538546272812</v>
      </c>
      <c r="AB5232" t="str">
        <f>HYPERLINK("Melting_Curves/meltCurve_Q9NRW4_DUSP22.pdf", "Melting_Curves/meltCurve_Q9NRW4_DUSP22.pdf")</f>
        <v>Melting_Curves/meltCurve_Q9NRW4_DUSP22.pdf</v>
      </c>
    </row>
    <row r="5233" spans="1:28" x14ac:dyDescent="0.25">
      <c r="A5233" t="s">
        <v>5237</v>
      </c>
      <c r="B5233">
        <v>0.99334974765950101</v>
      </c>
      <c r="C5233">
        <v>1.01669076435145</v>
      </c>
      <c r="D5233">
        <v>0.86243704261000997</v>
      </c>
      <c r="E5233">
        <v>0.79167920410817405</v>
      </c>
      <c r="F5233">
        <v>0.58617843695165595</v>
      </c>
      <c r="G5233">
        <v>0.33142743102978001</v>
      </c>
      <c r="H5233">
        <v>0.20811539904007101</v>
      </c>
      <c r="I5233">
        <v>0.185460996628493</v>
      </c>
      <c r="J5233">
        <v>0.19328514906122099</v>
      </c>
      <c r="K5233">
        <v>0.182290185451218</v>
      </c>
      <c r="L5233">
        <v>899.29481672557802</v>
      </c>
      <c r="M5233">
        <v>17.0050101621439</v>
      </c>
      <c r="N5233">
        <v>54.047572562881697</v>
      </c>
      <c r="O5233">
        <v>52.1690091657103</v>
      </c>
      <c r="P5233">
        <v>-6.9004443370003304E-2</v>
      </c>
      <c r="Q5233">
        <v>0.15326806283385899</v>
      </c>
      <c r="R5233">
        <v>0.99193712592940797</v>
      </c>
      <c r="S5233" t="s">
        <v>11094</v>
      </c>
      <c r="T5233" t="s">
        <v>11720</v>
      </c>
      <c r="U5233" t="s">
        <v>11720</v>
      </c>
      <c r="V5233" t="s">
        <v>11720</v>
      </c>
      <c r="W5233" t="s">
        <v>16895</v>
      </c>
      <c r="X5233">
        <v>8</v>
      </c>
      <c r="Y5233" t="s">
        <v>22599</v>
      </c>
      <c r="Z5233" t="s">
        <v>28440</v>
      </c>
      <c r="AA5233">
        <v>0.53211778580223512</v>
      </c>
      <c r="AB5233" t="str">
        <f>HYPERLINK("Melting_Curves/meltCurve_Q9NRX4_PHPT1.pdf", "Melting_Curves/meltCurve_Q9NRX4_PHPT1.pdf")</f>
        <v>Melting_Curves/meltCurve_Q9NRX4_PHPT1.pdf</v>
      </c>
    </row>
    <row r="5234" spans="1:28" x14ac:dyDescent="0.25">
      <c r="A5234" t="s">
        <v>5238</v>
      </c>
      <c r="B5234">
        <v>0.99334974765950101</v>
      </c>
      <c r="C5234">
        <v>0.99138557732180699</v>
      </c>
      <c r="D5234">
        <v>0.86532311823708097</v>
      </c>
      <c r="E5234">
        <v>0.72001211257241304</v>
      </c>
      <c r="F5234">
        <v>1.00522989283458</v>
      </c>
      <c r="G5234">
        <v>0.59412906393321696</v>
      </c>
      <c r="H5234">
        <v>0.58420778371009696</v>
      </c>
      <c r="I5234">
        <v>1.01855218106107</v>
      </c>
      <c r="J5234">
        <v>0.48070146721651202</v>
      </c>
      <c r="K5234">
        <v>0.37728419631945798</v>
      </c>
      <c r="L5234">
        <v>319.75113769496198</v>
      </c>
      <c r="M5234">
        <v>4.5143631162677904</v>
      </c>
      <c r="O5234">
        <v>60.249298950105803</v>
      </c>
      <c r="P5234">
        <v>-1.88941124132181E-2</v>
      </c>
      <c r="Q5234">
        <v>0</v>
      </c>
      <c r="R5234">
        <v>0.47364397496871702</v>
      </c>
      <c r="S5234" t="s">
        <v>11095</v>
      </c>
      <c r="T5234" t="s">
        <v>11720</v>
      </c>
      <c r="U5234" t="s">
        <v>11720</v>
      </c>
      <c r="V5234" t="s">
        <v>11720</v>
      </c>
      <c r="W5234" t="s">
        <v>16896</v>
      </c>
      <c r="X5234">
        <v>2</v>
      </c>
      <c r="Y5234" t="s">
        <v>22600</v>
      </c>
      <c r="Z5234" t="s">
        <v>28441</v>
      </c>
      <c r="AA5234">
        <v>0.77046971562022848</v>
      </c>
      <c r="AB5234" t="str">
        <f>HYPERLINK("Melting_Curves/meltCurve_Q9NRX5_SERINC1.pdf", "Melting_Curves/meltCurve_Q9NRX5_SERINC1.pdf")</f>
        <v>Melting_Curves/meltCurve_Q9NRX5_SERINC1.pdf</v>
      </c>
    </row>
    <row r="5235" spans="1:28" x14ac:dyDescent="0.25">
      <c r="A5235" t="s">
        <v>5239</v>
      </c>
      <c r="B5235">
        <v>0.99334974765950101</v>
      </c>
      <c r="C5235">
        <v>1.2440388403012901</v>
      </c>
      <c r="D5235">
        <v>0.485845477964293</v>
      </c>
      <c r="E5235">
        <v>0.61647416706561997</v>
      </c>
      <c r="F5235">
        <v>0.72141559964468505</v>
      </c>
      <c r="G5235">
        <v>0.88776418113112998</v>
      </c>
      <c r="H5235">
        <v>1.5159749033397101</v>
      </c>
      <c r="I5235">
        <v>0.23854364895059499</v>
      </c>
      <c r="J5235">
        <v>1.6905821972806401</v>
      </c>
      <c r="K5235">
        <v>2.3555047989551499</v>
      </c>
      <c r="L5235">
        <v>7672.8522124221499</v>
      </c>
      <c r="M5235">
        <v>116.54162297527699</v>
      </c>
      <c r="O5235">
        <v>65.818489653548298</v>
      </c>
      <c r="P5235">
        <v>0.221331473568215</v>
      </c>
      <c r="Q5235">
        <v>1.5</v>
      </c>
      <c r="R5235">
        <v>0.39210557366632898</v>
      </c>
      <c r="S5235" t="s">
        <v>11096</v>
      </c>
      <c r="T5235" t="s">
        <v>11720</v>
      </c>
      <c r="U5235" t="s">
        <v>11720</v>
      </c>
      <c r="V5235" t="s">
        <v>11720</v>
      </c>
      <c r="W5235" t="s">
        <v>16897</v>
      </c>
      <c r="X5235">
        <v>1</v>
      </c>
      <c r="Y5235" t="s">
        <v>22601</v>
      </c>
      <c r="Z5235" t="s">
        <v>28442</v>
      </c>
      <c r="AA5235">
        <v>1.06911337792605</v>
      </c>
      <c r="AB5235" t="str">
        <f>HYPERLINK("Melting_Curves/meltCurve_Q9NRY2_INIP.pdf", "Melting_Curves/meltCurve_Q9NRY2_INIP.pdf")</f>
        <v>Melting_Curves/meltCurve_Q9NRY2_INIP.pdf</v>
      </c>
    </row>
    <row r="5236" spans="1:28" x14ac:dyDescent="0.25">
      <c r="A5236" t="s">
        <v>5240</v>
      </c>
      <c r="B5236">
        <v>0.99334974765950101</v>
      </c>
      <c r="C5236">
        <v>0.86625836090667196</v>
      </c>
      <c r="D5236">
        <v>0.55907888484325896</v>
      </c>
      <c r="E5236">
        <v>0.24208319963194899</v>
      </c>
      <c r="F5236">
        <v>0.31515652854604898</v>
      </c>
      <c r="G5236">
        <v>0.12701098490236001</v>
      </c>
      <c r="H5236">
        <v>0.13147266900339999</v>
      </c>
      <c r="I5236">
        <v>0.126860676454676</v>
      </c>
      <c r="J5236">
        <v>0.12479999238522201</v>
      </c>
      <c r="K5236">
        <v>7.4381850659814702E-2</v>
      </c>
      <c r="L5236">
        <v>898.14106783105296</v>
      </c>
      <c r="M5236">
        <v>19.422624145508099</v>
      </c>
      <c r="N5236">
        <v>46.928256934204697</v>
      </c>
      <c r="O5236">
        <v>45.760177162908001</v>
      </c>
      <c r="P5236">
        <v>-9.2996441412640504E-2</v>
      </c>
      <c r="Q5236">
        <v>0.12362450859114001</v>
      </c>
      <c r="R5236">
        <v>0.97752678796905601</v>
      </c>
      <c r="S5236" t="s">
        <v>11097</v>
      </c>
      <c r="T5236" t="s">
        <v>11720</v>
      </c>
      <c r="U5236" t="s">
        <v>11720</v>
      </c>
      <c r="V5236" t="s">
        <v>11720</v>
      </c>
      <c r="W5236" t="s">
        <v>16898</v>
      </c>
      <c r="X5236">
        <v>5</v>
      </c>
      <c r="Y5236" t="s">
        <v>22602</v>
      </c>
      <c r="Z5236" t="s">
        <v>28443</v>
      </c>
      <c r="AA5236">
        <v>0.32021711625246058</v>
      </c>
      <c r="AB5236" t="str">
        <f>HYPERLINK("Melting_Curves/meltCurve_Q9NRY4_ARHGAP35.pdf", "Melting_Curves/meltCurve_Q9NRY4_ARHGAP35.pdf")</f>
        <v>Melting_Curves/meltCurve_Q9NRY4_ARHGAP35.pdf</v>
      </c>
    </row>
    <row r="5237" spans="1:28" x14ac:dyDescent="0.25">
      <c r="A5237" t="s">
        <v>5241</v>
      </c>
      <c r="B5237">
        <v>0.99334974765950101</v>
      </c>
      <c r="C5237">
        <v>0.954066422144213</v>
      </c>
      <c r="D5237">
        <v>0.87038398358582902</v>
      </c>
      <c r="E5237">
        <v>0.74324730174686904</v>
      </c>
      <c r="F5237">
        <v>0.37206157897720499</v>
      </c>
      <c r="G5237">
        <v>0.13678012270853801</v>
      </c>
      <c r="H5237">
        <v>8.97765067188106E-2</v>
      </c>
      <c r="I5237">
        <v>7.6600763069528899E-2</v>
      </c>
      <c r="J5237">
        <v>7.5782053506519301E-2</v>
      </c>
      <c r="K5237">
        <v>7.75179703010032E-2</v>
      </c>
      <c r="L5237">
        <v>1211.1528862206701</v>
      </c>
      <c r="M5237">
        <v>23.4843684459216</v>
      </c>
      <c r="N5237">
        <v>51.882023543173901</v>
      </c>
      <c r="O5237">
        <v>51.203141664967802</v>
      </c>
      <c r="P5237">
        <v>-0.107174751852217</v>
      </c>
      <c r="Q5237">
        <v>6.5320510985259997E-2</v>
      </c>
      <c r="R5237">
        <v>0.99284648280229604</v>
      </c>
      <c r="S5237" t="s">
        <v>11098</v>
      </c>
      <c r="T5237" t="s">
        <v>11720</v>
      </c>
      <c r="U5237" t="s">
        <v>11720</v>
      </c>
      <c r="V5237" t="s">
        <v>11720</v>
      </c>
      <c r="W5237" t="s">
        <v>16899</v>
      </c>
      <c r="X5237">
        <v>24</v>
      </c>
      <c r="Y5237" t="s">
        <v>22603</v>
      </c>
      <c r="Z5237" t="s">
        <v>28444</v>
      </c>
      <c r="AA5237">
        <v>0.43546644441148602</v>
      </c>
      <c r="AB5237" t="str">
        <f>HYPERLINK("Melting_Curves/meltCurve_Q9NRY5_FAM114A2.pdf", "Melting_Curves/meltCurve_Q9NRY5_FAM114A2.pdf")</f>
        <v>Melting_Curves/meltCurve_Q9NRY5_FAM114A2.pdf</v>
      </c>
    </row>
    <row r="5238" spans="1:28" x14ac:dyDescent="0.25">
      <c r="A5238" t="s">
        <v>5242</v>
      </c>
      <c r="B5238">
        <v>0.99334974765950101</v>
      </c>
      <c r="C5238">
        <v>0.90476828595794001</v>
      </c>
      <c r="D5238">
        <v>0.850604190423777</v>
      </c>
      <c r="E5238">
        <v>0.746353496540202</v>
      </c>
      <c r="F5238">
        <v>0.78216984919529198</v>
      </c>
      <c r="G5238">
        <v>0.55774705065506502</v>
      </c>
      <c r="H5238">
        <v>0.50446345567440698</v>
      </c>
      <c r="I5238">
        <v>0.50494596076713805</v>
      </c>
      <c r="J5238">
        <v>0.36343902717103299</v>
      </c>
      <c r="K5238">
        <v>0.190396915956974</v>
      </c>
      <c r="L5238">
        <v>387.33809998711399</v>
      </c>
      <c r="M5238">
        <v>6.3993387106731401</v>
      </c>
      <c r="N5238">
        <v>60.527832616412702</v>
      </c>
      <c r="O5238">
        <v>55.4276225711507</v>
      </c>
      <c r="P5238">
        <v>-2.8937660512167899E-2</v>
      </c>
      <c r="Q5238">
        <v>0</v>
      </c>
      <c r="R5238">
        <v>0.947291029767797</v>
      </c>
      <c r="S5238" t="s">
        <v>11099</v>
      </c>
      <c r="T5238" t="s">
        <v>11720</v>
      </c>
      <c r="U5238" t="s">
        <v>11720</v>
      </c>
      <c r="V5238" t="s">
        <v>11720</v>
      </c>
      <c r="W5238" t="s">
        <v>16900</v>
      </c>
      <c r="X5238">
        <v>9</v>
      </c>
      <c r="Y5238" t="s">
        <v>22604</v>
      </c>
      <c r="Z5238" t="s">
        <v>28445</v>
      </c>
      <c r="AA5238">
        <v>0.64821036807186971</v>
      </c>
      <c r="AB5238" t="str">
        <f>HYPERLINK("Melting_Curves/meltCurve_Q9NRY6_PLSCR3.pdf", "Melting_Curves/meltCurve_Q9NRY6_PLSCR3.pdf")</f>
        <v>Melting_Curves/meltCurve_Q9NRY6_PLSCR3.pdf</v>
      </c>
    </row>
    <row r="5239" spans="1:28" x14ac:dyDescent="0.25">
      <c r="A5239" t="s">
        <v>5243</v>
      </c>
      <c r="B5239">
        <v>0.99334974765950101</v>
      </c>
      <c r="C5239">
        <v>1.0023286426148299</v>
      </c>
      <c r="D5239">
        <v>1.0897707050191101</v>
      </c>
      <c r="E5239">
        <v>0.72487057970697999</v>
      </c>
      <c r="F5239">
        <v>0.20904571130036001</v>
      </c>
      <c r="G5239">
        <v>0.15469985180915299</v>
      </c>
      <c r="H5239">
        <v>0.114973425372324</v>
      </c>
      <c r="I5239">
        <v>0.12725238967775601</v>
      </c>
      <c r="J5239">
        <v>0.14410478848323799</v>
      </c>
      <c r="K5239">
        <v>0.14337584228932701</v>
      </c>
      <c r="L5239">
        <v>2880.06115664047</v>
      </c>
      <c r="M5239">
        <v>56.825585421053297</v>
      </c>
      <c r="N5239">
        <v>50.970629176236102</v>
      </c>
      <c r="O5239">
        <v>50.619820138128397</v>
      </c>
      <c r="P5239">
        <v>-0.24209312139454001</v>
      </c>
      <c r="Q5239">
        <v>0.13738123667061</v>
      </c>
      <c r="R5239">
        <v>0.99413303392685304</v>
      </c>
      <c r="S5239" t="s">
        <v>11100</v>
      </c>
      <c r="T5239" t="s">
        <v>11720</v>
      </c>
      <c r="U5239" t="s">
        <v>11720</v>
      </c>
      <c r="V5239" t="s">
        <v>11720</v>
      </c>
      <c r="W5239" t="s">
        <v>16901</v>
      </c>
      <c r="X5239">
        <v>1</v>
      </c>
      <c r="Y5239" t="s">
        <v>22605</v>
      </c>
      <c r="Z5239" t="s">
        <v>28446</v>
      </c>
      <c r="AA5239">
        <v>0.44603574051463651</v>
      </c>
      <c r="AB5239" t="str">
        <f>HYPERLINK("Melting_Curves/meltCurve_Q9NRZ5_AGPAT4.pdf", "Melting_Curves/meltCurve_Q9NRZ5_AGPAT4.pdf")</f>
        <v>Melting_Curves/meltCurve_Q9NRZ5_AGPAT4.pdf</v>
      </c>
    </row>
    <row r="5240" spans="1:28" x14ac:dyDescent="0.25">
      <c r="A5240" t="s">
        <v>5244</v>
      </c>
      <c r="B5240">
        <v>0.99334974765950101</v>
      </c>
      <c r="C5240">
        <v>0.91662844392220599</v>
      </c>
      <c r="D5240">
        <v>0.87705641454082195</v>
      </c>
      <c r="E5240">
        <v>0.83473210363629702</v>
      </c>
      <c r="F5240">
        <v>0.25314942644447003</v>
      </c>
      <c r="G5240">
        <v>0.147089974269699</v>
      </c>
      <c r="H5240">
        <v>0.13383111686319299</v>
      </c>
      <c r="I5240">
        <v>0.123825796450293</v>
      </c>
      <c r="J5240">
        <v>0.22415610973340999</v>
      </c>
      <c r="K5240">
        <v>0.183950276588079</v>
      </c>
      <c r="L5240">
        <v>3068.6686989415198</v>
      </c>
      <c r="M5240">
        <v>59.984978078312402</v>
      </c>
      <c r="N5240">
        <v>51.4934309126876</v>
      </c>
      <c r="O5240">
        <v>51.100517869437297</v>
      </c>
      <c r="P5240">
        <v>-0.24592356362492601</v>
      </c>
      <c r="Q5240">
        <v>0.16200238079245399</v>
      </c>
      <c r="R5240">
        <v>0.97786105986997196</v>
      </c>
      <c r="S5240" t="s">
        <v>11101</v>
      </c>
      <c r="T5240" t="s">
        <v>11720</v>
      </c>
      <c r="U5240" t="s">
        <v>11720</v>
      </c>
      <c r="V5240" t="s">
        <v>11720</v>
      </c>
      <c r="W5240" t="s">
        <v>16902</v>
      </c>
      <c r="X5240">
        <v>4</v>
      </c>
      <c r="Y5240" t="s">
        <v>22606</v>
      </c>
      <c r="Z5240" t="s">
        <v>28447</v>
      </c>
      <c r="AA5240">
        <v>0.47497329055536391</v>
      </c>
      <c r="AB5240" t="str">
        <f>HYPERLINK("Melting_Curves/meltCurve_Q9NRZ7_2_AGPAT3.pdf", "Melting_Curves/meltCurve_Q9NRZ7_2_AGPAT3.pdf")</f>
        <v>Melting_Curves/meltCurve_Q9NRZ7_2_AGPAT3.pdf</v>
      </c>
    </row>
    <row r="5241" spans="1:28" x14ac:dyDescent="0.25">
      <c r="A5241" t="s">
        <v>5245</v>
      </c>
      <c r="B5241">
        <v>0.99334974765950101</v>
      </c>
      <c r="C5241">
        <v>0.97794013524227097</v>
      </c>
      <c r="D5241">
        <v>0.97739799121511906</v>
      </c>
      <c r="E5241">
        <v>0.81047736954893301</v>
      </c>
      <c r="F5241">
        <v>0.87402289693005197</v>
      </c>
      <c r="G5241">
        <v>0.77046588384639902</v>
      </c>
      <c r="H5241">
        <v>0.66706449545442204</v>
      </c>
      <c r="I5241">
        <v>0.84295665392802099</v>
      </c>
      <c r="J5241">
        <v>0.87058964019045504</v>
      </c>
      <c r="K5241">
        <v>0.75505186231411403</v>
      </c>
      <c r="L5241">
        <v>1421.9713823453501</v>
      </c>
      <c r="M5241">
        <v>29.499628425145001</v>
      </c>
      <c r="O5241">
        <v>47.9831485234266</v>
      </c>
      <c r="P5241">
        <v>-3.2328273051460903E-2</v>
      </c>
      <c r="Q5241">
        <v>0.78966495897168998</v>
      </c>
      <c r="R5241">
        <v>0.68458265571765597</v>
      </c>
      <c r="S5241" t="s">
        <v>11102</v>
      </c>
      <c r="T5241" t="s">
        <v>11720</v>
      </c>
      <c r="U5241" t="s">
        <v>11720</v>
      </c>
      <c r="V5241" t="s">
        <v>11720</v>
      </c>
      <c r="W5241" t="s">
        <v>16903</v>
      </c>
      <c r="X5241">
        <v>7</v>
      </c>
      <c r="Y5241" t="s">
        <v>22607</v>
      </c>
      <c r="Z5241" t="s">
        <v>28448</v>
      </c>
      <c r="AA5241">
        <v>0.84849132442547337</v>
      </c>
      <c r="AB5241" t="str">
        <f>HYPERLINK("Melting_Curves/meltCurve_Q9NS15_LTBP3.pdf", "Melting_Curves/meltCurve_Q9NS15_LTBP3.pdf")</f>
        <v>Melting_Curves/meltCurve_Q9NS15_LTBP3.pdf</v>
      </c>
    </row>
    <row r="5242" spans="1:28" x14ac:dyDescent="0.25">
      <c r="A5242" t="s">
        <v>5246</v>
      </c>
      <c r="B5242">
        <v>0.99334974765950101</v>
      </c>
      <c r="C5242">
        <v>1.0166538541983401</v>
      </c>
      <c r="D5242">
        <v>0.88749251566485099</v>
      </c>
      <c r="E5242">
        <v>1.0183158932460199</v>
      </c>
      <c r="F5242">
        <v>0.99806027170645795</v>
      </c>
      <c r="G5242">
        <v>0.85516403516276696</v>
      </c>
      <c r="H5242">
        <v>0.77592374947952003</v>
      </c>
      <c r="I5242">
        <v>0.82203774972031296</v>
      </c>
      <c r="J5242">
        <v>0.66534376745887702</v>
      </c>
      <c r="K5242">
        <v>0.59718231230166596</v>
      </c>
      <c r="L5242">
        <v>531.9869887182</v>
      </c>
      <c r="M5242">
        <v>7.1832881811359499</v>
      </c>
      <c r="O5242">
        <v>68.964355721517407</v>
      </c>
      <c r="P5242">
        <v>-2.6083762788662701E-2</v>
      </c>
      <c r="Q5242">
        <v>0</v>
      </c>
      <c r="R5242">
        <v>0.88042751210508197</v>
      </c>
      <c r="S5242" t="s">
        <v>11103</v>
      </c>
      <c r="T5242" t="s">
        <v>11720</v>
      </c>
      <c r="U5242" t="s">
        <v>11720</v>
      </c>
      <c r="V5242" t="s">
        <v>11720</v>
      </c>
      <c r="W5242" t="s">
        <v>16904</v>
      </c>
      <c r="X5242">
        <v>3</v>
      </c>
      <c r="Y5242" t="s">
        <v>22608</v>
      </c>
      <c r="Z5242" t="s">
        <v>28449</v>
      </c>
      <c r="AA5242">
        <v>0.87810281460507289</v>
      </c>
      <c r="AB5242" t="str">
        <f>HYPERLINK("Melting_Curves/meltCurve_Q9NS69_TOMM22.pdf", "Melting_Curves/meltCurve_Q9NS69_TOMM22.pdf")</f>
        <v>Melting_Curves/meltCurve_Q9NS69_TOMM22.pdf</v>
      </c>
    </row>
    <row r="5243" spans="1:28" x14ac:dyDescent="0.25">
      <c r="A5243" t="s">
        <v>5247</v>
      </c>
      <c r="B5243">
        <v>0.99334974765950101</v>
      </c>
      <c r="C5243">
        <v>0.99088250896672603</v>
      </c>
      <c r="D5243">
        <v>1.0045932990530999</v>
      </c>
      <c r="E5243">
        <v>0.81251686801695699</v>
      </c>
      <c r="F5243">
        <v>0.72788435766352499</v>
      </c>
      <c r="G5243">
        <v>0.46746561257798702</v>
      </c>
      <c r="H5243">
        <v>0.296438023174734</v>
      </c>
      <c r="I5243">
        <v>0.175736534803313</v>
      </c>
      <c r="J5243">
        <v>0.188534967849501</v>
      </c>
      <c r="K5243">
        <v>0.14655966157915901</v>
      </c>
      <c r="L5243">
        <v>842.668063329181</v>
      </c>
      <c r="M5243">
        <v>15.185229109754699</v>
      </c>
      <c r="N5243">
        <v>56.385768898364603</v>
      </c>
      <c r="O5243">
        <v>54.5569435591675</v>
      </c>
      <c r="P5243">
        <v>-6.2151990645066199E-2</v>
      </c>
      <c r="Q5243">
        <v>0.10689640989096399</v>
      </c>
      <c r="R5243">
        <v>0.99487286406856301</v>
      </c>
      <c r="S5243" t="s">
        <v>11104</v>
      </c>
      <c r="T5243" t="s">
        <v>11720</v>
      </c>
      <c r="U5243" t="s">
        <v>11720</v>
      </c>
      <c r="V5243" t="s">
        <v>11720</v>
      </c>
      <c r="W5243" t="s">
        <v>16905</v>
      </c>
      <c r="X5243">
        <v>8</v>
      </c>
      <c r="Y5243" t="s">
        <v>22609</v>
      </c>
      <c r="Z5243" t="s">
        <v>28450</v>
      </c>
      <c r="AA5243">
        <v>0.58449821348843989</v>
      </c>
      <c r="AB5243" t="str">
        <f>HYPERLINK("Melting_Curves/meltCurve_Q9NS86_LANCL2.pdf", "Melting_Curves/meltCurve_Q9NS86_LANCL2.pdf")</f>
        <v>Melting_Curves/meltCurve_Q9NS86_LANCL2.pdf</v>
      </c>
    </row>
    <row r="5244" spans="1:28" x14ac:dyDescent="0.25">
      <c r="A5244" t="s">
        <v>5248</v>
      </c>
      <c r="B5244">
        <v>0.99334974765950101</v>
      </c>
      <c r="C5244">
        <v>1.1628708970003101</v>
      </c>
      <c r="D5244">
        <v>1.1207478188462601</v>
      </c>
      <c r="E5244">
        <v>0.98525958191943996</v>
      </c>
      <c r="F5244">
        <v>1.1630621653330799</v>
      </c>
      <c r="G5244">
        <v>1.2386333090692201</v>
      </c>
      <c r="H5244">
        <v>0.85523365954477604</v>
      </c>
      <c r="I5244">
        <v>0.570787191858386</v>
      </c>
      <c r="J5244">
        <v>0.23726311139598799</v>
      </c>
      <c r="K5244">
        <v>0.121536639102301</v>
      </c>
      <c r="L5244">
        <v>2557.3450628017499</v>
      </c>
      <c r="M5244">
        <v>39.892582680448399</v>
      </c>
      <c r="N5244">
        <v>64.450064906045199</v>
      </c>
      <c r="O5244">
        <v>63.945311125734797</v>
      </c>
      <c r="P5244">
        <v>-0.14099771964492</v>
      </c>
      <c r="Q5244">
        <v>9.5959697591705695E-2</v>
      </c>
      <c r="R5244">
        <v>0.91012935136340301</v>
      </c>
      <c r="S5244" t="s">
        <v>11105</v>
      </c>
      <c r="T5244" t="s">
        <v>11720</v>
      </c>
      <c r="U5244" t="s">
        <v>11720</v>
      </c>
      <c r="V5244" t="s">
        <v>11720</v>
      </c>
      <c r="W5244" t="s">
        <v>16906</v>
      </c>
      <c r="X5244">
        <v>2</v>
      </c>
      <c r="Y5244" t="s">
        <v>22610</v>
      </c>
      <c r="Z5244" t="s">
        <v>28451</v>
      </c>
      <c r="AA5244">
        <v>0.82431603285990296</v>
      </c>
      <c r="AB5244" t="str">
        <f>HYPERLINK("Melting_Curves/meltCurve_Q9NS87_4_KIF15.pdf", "Melting_Curves/meltCurve_Q9NS87_4_KIF15.pdf")</f>
        <v>Melting_Curves/meltCurve_Q9NS87_4_KIF15.pdf</v>
      </c>
    </row>
    <row r="5245" spans="1:28" x14ac:dyDescent="0.25">
      <c r="A5245" t="s">
        <v>5249</v>
      </c>
      <c r="B5245">
        <v>0.99334974765950101</v>
      </c>
      <c r="C5245">
        <v>0.90443065701322001</v>
      </c>
      <c r="D5245">
        <v>0.91655637592938899</v>
      </c>
      <c r="E5245">
        <v>0.75516986532862196</v>
      </c>
      <c r="F5245">
        <v>0.52667018629819695</v>
      </c>
      <c r="G5245">
        <v>0.45380343005596502</v>
      </c>
      <c r="H5245">
        <v>0.38431459114649902</v>
      </c>
      <c r="I5245">
        <v>0.29212379287457502</v>
      </c>
      <c r="J5245">
        <v>0.19428043427635899</v>
      </c>
      <c r="K5245">
        <v>0.14543752741877899</v>
      </c>
      <c r="L5245">
        <v>497.29042496954401</v>
      </c>
      <c r="M5245">
        <v>9.0182680963704094</v>
      </c>
      <c r="N5245">
        <v>55.803485701311899</v>
      </c>
      <c r="O5245">
        <v>52.633732827126998</v>
      </c>
      <c r="P5245">
        <v>-4.0694656098694999E-2</v>
      </c>
      <c r="Q5245">
        <v>5.0651796950312702E-2</v>
      </c>
      <c r="R5245">
        <v>0.981597712290879</v>
      </c>
      <c r="S5245" t="s">
        <v>11106</v>
      </c>
      <c r="T5245" t="s">
        <v>11720</v>
      </c>
      <c r="U5245" t="s">
        <v>11720</v>
      </c>
      <c r="V5245" t="s">
        <v>11720</v>
      </c>
      <c r="W5245" t="s">
        <v>16907</v>
      </c>
      <c r="X5245">
        <v>5</v>
      </c>
      <c r="Y5245" t="s">
        <v>22611</v>
      </c>
      <c r="Z5245" t="s">
        <v>28452</v>
      </c>
      <c r="AA5245">
        <v>0.55442188503768597</v>
      </c>
      <c r="AB5245" t="str">
        <f>HYPERLINK("Melting_Curves/meltCurve_Q9NS93_TM7SF3.pdf", "Melting_Curves/meltCurve_Q9NS93_TM7SF3.pdf")</f>
        <v>Melting_Curves/meltCurve_Q9NS93_TM7SF3.pdf</v>
      </c>
    </row>
    <row r="5246" spans="1:28" x14ac:dyDescent="0.25">
      <c r="A5246" t="s">
        <v>5250</v>
      </c>
      <c r="B5246">
        <v>0.99334974765950101</v>
      </c>
      <c r="C5246">
        <v>0.92421645098071403</v>
      </c>
      <c r="D5246">
        <v>0.83523381842073996</v>
      </c>
      <c r="E5246">
        <v>0.72851852455796895</v>
      </c>
      <c r="F5246">
        <v>0.66670442258294405</v>
      </c>
      <c r="G5246">
        <v>0.50826572224825495</v>
      </c>
      <c r="H5246">
        <v>0.42241608524826502</v>
      </c>
      <c r="I5246">
        <v>0.39454219123592699</v>
      </c>
      <c r="J5246">
        <v>0.39511525138338699</v>
      </c>
      <c r="K5246">
        <v>0.304894976710545</v>
      </c>
      <c r="L5246">
        <v>476.51482645876598</v>
      </c>
      <c r="M5246">
        <v>8.9243470112382397</v>
      </c>
      <c r="N5246">
        <v>57.941257895748102</v>
      </c>
      <c r="O5246">
        <v>50.9180855134693</v>
      </c>
      <c r="P5246">
        <v>-3.2810007914439401E-2</v>
      </c>
      <c r="Q5246">
        <v>0.25176773086118398</v>
      </c>
      <c r="R5246">
        <v>0.99117965984644596</v>
      </c>
      <c r="S5246" t="s">
        <v>11107</v>
      </c>
      <c r="T5246" t="s">
        <v>11720</v>
      </c>
      <c r="U5246" t="s">
        <v>11720</v>
      </c>
      <c r="V5246" t="s">
        <v>11720</v>
      </c>
      <c r="W5246" t="s">
        <v>16908</v>
      </c>
      <c r="X5246">
        <v>5</v>
      </c>
      <c r="Y5246" t="s">
        <v>22612</v>
      </c>
      <c r="Z5246" t="s">
        <v>28453</v>
      </c>
      <c r="AA5246">
        <v>0.6124794307202136</v>
      </c>
      <c r="AB5246" t="str">
        <f>HYPERLINK("Melting_Curves/meltCurve_Q9NSA3_CTNNBIP1.pdf", "Melting_Curves/meltCurve_Q9NSA3_CTNNBIP1.pdf")</f>
        <v>Melting_Curves/meltCurve_Q9NSA3_CTNNBIP1.pdf</v>
      </c>
    </row>
    <row r="5247" spans="1:28" x14ac:dyDescent="0.25">
      <c r="A5247" t="s">
        <v>5251</v>
      </c>
      <c r="B5247">
        <v>0.99334974765950101</v>
      </c>
      <c r="C5247">
        <v>0.96501733849473104</v>
      </c>
      <c r="D5247">
        <v>0.80423457196502102</v>
      </c>
      <c r="E5247">
        <v>0.52758502178146904</v>
      </c>
      <c r="F5247">
        <v>0.42955681885158697</v>
      </c>
      <c r="G5247">
        <v>0.26189583967808699</v>
      </c>
      <c r="H5247">
        <v>0.23101999269102699</v>
      </c>
      <c r="I5247">
        <v>0.25025716326766301</v>
      </c>
      <c r="J5247">
        <v>0.31747327477779902</v>
      </c>
      <c r="K5247">
        <v>0.33858452975717201</v>
      </c>
      <c r="L5247">
        <v>978.599425228472</v>
      </c>
      <c r="M5247">
        <v>20.178833670027998</v>
      </c>
      <c r="N5247">
        <v>50.503696659665103</v>
      </c>
      <c r="O5247">
        <v>48.027578577924203</v>
      </c>
      <c r="P5247">
        <v>-7.6071281004761501E-2</v>
      </c>
      <c r="Q5247">
        <v>0.27579462963397</v>
      </c>
      <c r="R5247">
        <v>0.98269665458007005</v>
      </c>
      <c r="S5247" t="s">
        <v>11108</v>
      </c>
      <c r="T5247" t="s">
        <v>11720</v>
      </c>
      <c r="U5247" t="s">
        <v>11720</v>
      </c>
      <c r="V5247" t="s">
        <v>11720</v>
      </c>
      <c r="W5247" t="s">
        <v>16909</v>
      </c>
      <c r="X5247">
        <v>7</v>
      </c>
      <c r="Y5247" t="s">
        <v>22613</v>
      </c>
      <c r="Z5247" t="s">
        <v>28454</v>
      </c>
      <c r="AA5247">
        <v>0.49091470628388922</v>
      </c>
      <c r="AB5247" t="str">
        <f>HYPERLINK("Melting_Curves/meltCurve_Q9NSC5_5_HOMER3.pdf", "Melting_Curves/meltCurve_Q9NSC5_5_HOMER3.pdf")</f>
        <v>Melting_Curves/meltCurve_Q9NSC5_5_HOMER3.pdf</v>
      </c>
    </row>
    <row r="5248" spans="1:28" x14ac:dyDescent="0.25">
      <c r="A5248" t="s">
        <v>5252</v>
      </c>
      <c r="B5248">
        <v>0.99334974765950101</v>
      </c>
      <c r="C5248">
        <v>1.2348568807332501</v>
      </c>
      <c r="D5248">
        <v>1.2359725396003001</v>
      </c>
      <c r="E5248">
        <v>0.79166040170684804</v>
      </c>
      <c r="F5248">
        <v>0.36601636685877897</v>
      </c>
      <c r="G5248">
        <v>0.17049572086388401</v>
      </c>
      <c r="H5248">
        <v>0.11515157956375301</v>
      </c>
      <c r="I5248">
        <v>9.1877953256709097E-2</v>
      </c>
      <c r="J5248">
        <v>0.11370145353397999</v>
      </c>
      <c r="K5248">
        <v>7.7191134829486904E-2</v>
      </c>
      <c r="L5248">
        <v>2006.4812114541601</v>
      </c>
      <c r="M5248">
        <v>38.783617517519303</v>
      </c>
      <c r="N5248">
        <v>52.062294469336102</v>
      </c>
      <c r="O5248">
        <v>51.5983058834262</v>
      </c>
      <c r="P5248">
        <v>-0.16759824815573501</v>
      </c>
      <c r="Q5248">
        <v>0.108101209298521</v>
      </c>
      <c r="R5248">
        <v>0.94587866512077901</v>
      </c>
      <c r="S5248" t="s">
        <v>11109</v>
      </c>
      <c r="T5248" t="s">
        <v>11720</v>
      </c>
      <c r="U5248" t="s">
        <v>11720</v>
      </c>
      <c r="V5248" t="s">
        <v>11720</v>
      </c>
      <c r="W5248" t="s">
        <v>16910</v>
      </c>
      <c r="X5248">
        <v>19</v>
      </c>
      <c r="Y5248" t="s">
        <v>22614</v>
      </c>
      <c r="Z5248" t="s">
        <v>28455</v>
      </c>
      <c r="AA5248">
        <v>0.4603832648966088</v>
      </c>
      <c r="AB5248" t="str">
        <f>HYPERLINK("Melting_Curves/meltCurve_Q9NSD9_FARSB.pdf", "Melting_Curves/meltCurve_Q9NSD9_FARSB.pdf")</f>
        <v>Melting_Curves/meltCurve_Q9NSD9_FARSB.pdf</v>
      </c>
    </row>
    <row r="5249" spans="1:28" x14ac:dyDescent="0.25">
      <c r="A5249" t="s">
        <v>5253</v>
      </c>
      <c r="B5249">
        <v>0.99334974765950101</v>
      </c>
      <c r="C5249">
        <v>1.0123566453305699</v>
      </c>
      <c r="D5249">
        <v>1.0456586799135299</v>
      </c>
      <c r="E5249">
        <v>0.90822222682615406</v>
      </c>
      <c r="F5249">
        <v>0.53689349049211799</v>
      </c>
      <c r="G5249">
        <v>0.28526100415070599</v>
      </c>
      <c r="H5249">
        <v>0.124695422835122</v>
      </c>
      <c r="I5249">
        <v>0.11048366663578101</v>
      </c>
      <c r="J5249">
        <v>9.3810834728772802E-2</v>
      </c>
      <c r="K5249">
        <v>7.5757289753003706E-2</v>
      </c>
      <c r="L5249">
        <v>1408.6266364476201</v>
      </c>
      <c r="M5249">
        <v>26.407023588808599</v>
      </c>
      <c r="N5249">
        <v>53.774712573726703</v>
      </c>
      <c r="O5249">
        <v>53.0397646826477</v>
      </c>
      <c r="P5249">
        <v>-0.11257729694806901</v>
      </c>
      <c r="Q5249">
        <v>9.5541930996903196E-2</v>
      </c>
      <c r="R5249">
        <v>0.99351294296357695</v>
      </c>
      <c r="S5249" t="s">
        <v>11110</v>
      </c>
      <c r="T5249" t="s">
        <v>11720</v>
      </c>
      <c r="U5249" t="s">
        <v>11720</v>
      </c>
      <c r="V5249" t="s">
        <v>11720</v>
      </c>
      <c r="W5249" t="s">
        <v>16911</v>
      </c>
      <c r="X5249">
        <v>44</v>
      </c>
      <c r="Y5249" t="s">
        <v>22615</v>
      </c>
      <c r="Z5249" t="s">
        <v>28456</v>
      </c>
      <c r="AA5249">
        <v>0.50534215790021764</v>
      </c>
      <c r="AB5249" t="str">
        <f>HYPERLINK("Melting_Curves/meltCurve_Q9NSE4_IARS2.pdf", "Melting_Curves/meltCurve_Q9NSE4_IARS2.pdf")</f>
        <v>Melting_Curves/meltCurve_Q9NSE4_IARS2.pdf</v>
      </c>
    </row>
    <row r="5250" spans="1:28" x14ac:dyDescent="0.25">
      <c r="A5250" t="s">
        <v>5254</v>
      </c>
      <c r="B5250">
        <v>0.99334974765950101</v>
      </c>
      <c r="C5250">
        <v>1.0400298940096799</v>
      </c>
      <c r="D5250">
        <v>1.0850197517625499</v>
      </c>
      <c r="E5250">
        <v>0.75319865907831995</v>
      </c>
      <c r="F5250">
        <v>0.11348206948185099</v>
      </c>
      <c r="G5250">
        <v>7.9416460199209601E-2</v>
      </c>
      <c r="H5250">
        <v>7.9414851476047099E-2</v>
      </c>
      <c r="I5250">
        <v>0</v>
      </c>
      <c r="J5250">
        <v>0</v>
      </c>
      <c r="K5250">
        <v>0</v>
      </c>
      <c r="L5250">
        <v>3066.2845599314401</v>
      </c>
      <c r="M5250">
        <v>60.244885466880802</v>
      </c>
      <c r="N5250">
        <v>50.952082490259798</v>
      </c>
      <c r="O5250">
        <v>50.840999053600598</v>
      </c>
      <c r="P5250">
        <v>-0.28690399245803599</v>
      </c>
      <c r="Q5250">
        <v>3.1520398818412898E-2</v>
      </c>
      <c r="R5250">
        <v>0.99218813517744398</v>
      </c>
      <c r="S5250" t="s">
        <v>11111</v>
      </c>
      <c r="T5250" t="s">
        <v>11720</v>
      </c>
      <c r="U5250" t="s">
        <v>11720</v>
      </c>
      <c r="V5250" t="s">
        <v>11720</v>
      </c>
      <c r="W5250" t="s">
        <v>16912</v>
      </c>
      <c r="X5250">
        <v>2</v>
      </c>
      <c r="Y5250" t="s">
        <v>22616</v>
      </c>
      <c r="Z5250" t="s">
        <v>28457</v>
      </c>
      <c r="AA5250">
        <v>0.38479988385582081</v>
      </c>
      <c r="AB5250" t="str">
        <f>HYPERLINK("Melting_Curves/meltCurve_Q9NSI2_2_FAM207A.pdf", "Melting_Curves/meltCurve_Q9NSI2_2_FAM207A.pdf")</f>
        <v>Melting_Curves/meltCurve_Q9NSI2_2_FAM207A.pdf</v>
      </c>
    </row>
    <row r="5251" spans="1:28" x14ac:dyDescent="0.25">
      <c r="A5251" t="s">
        <v>5255</v>
      </c>
      <c r="B5251">
        <v>0.99334974765950101</v>
      </c>
      <c r="C5251">
        <v>1.0168586980351999</v>
      </c>
      <c r="D5251">
        <v>0.93967747922608102</v>
      </c>
      <c r="E5251">
        <v>0.63737573987871399</v>
      </c>
      <c r="F5251">
        <v>0.42693521563841902</v>
      </c>
      <c r="G5251">
        <v>0.214509203833051</v>
      </c>
      <c r="H5251">
        <v>0.13269573222098199</v>
      </c>
      <c r="I5251">
        <v>0.15696237948647801</v>
      </c>
      <c r="J5251">
        <v>6.7920703402253702E-2</v>
      </c>
      <c r="K5251">
        <v>4.3135021844757697E-2</v>
      </c>
      <c r="L5251">
        <v>958.66845857863098</v>
      </c>
      <c r="M5251">
        <v>18.608673959341399</v>
      </c>
      <c r="N5251">
        <v>51.987065087381502</v>
      </c>
      <c r="O5251">
        <v>50.933409076782297</v>
      </c>
      <c r="P5251">
        <v>-8.4273441377763297E-2</v>
      </c>
      <c r="Q5251">
        <v>7.7387681940642702E-2</v>
      </c>
      <c r="R5251">
        <v>0.99412518438457298</v>
      </c>
      <c r="S5251" t="s">
        <v>11112</v>
      </c>
      <c r="T5251" t="s">
        <v>11720</v>
      </c>
      <c r="U5251" t="s">
        <v>11720</v>
      </c>
      <c r="V5251" t="s">
        <v>11720</v>
      </c>
      <c r="W5251" t="s">
        <v>16913</v>
      </c>
      <c r="X5251">
        <v>2</v>
      </c>
      <c r="Y5251" t="s">
        <v>22617</v>
      </c>
      <c r="Z5251" t="s">
        <v>28458</v>
      </c>
      <c r="AA5251">
        <v>0.44615569549397799</v>
      </c>
      <c r="AB5251" t="str">
        <f>HYPERLINK("Melting_Curves/meltCurve_Q9NSK7_4_C19orf12.pdf", "Melting_Curves/meltCurve_Q9NSK7_4_C19orf12.pdf")</f>
        <v>Melting_Curves/meltCurve_Q9NSK7_4_C19orf12.pdf</v>
      </c>
    </row>
    <row r="5252" spans="1:28" x14ac:dyDescent="0.25">
      <c r="A5252" t="s">
        <v>5256</v>
      </c>
      <c r="B5252">
        <v>0.99334974765950101</v>
      </c>
      <c r="C5252">
        <v>1.0030814833394299</v>
      </c>
      <c r="D5252">
        <v>0.882106283680821</v>
      </c>
      <c r="E5252">
        <v>0.54777074127222403</v>
      </c>
      <c r="F5252">
        <v>0.218203088460176</v>
      </c>
      <c r="G5252">
        <v>0.152446775961359</v>
      </c>
      <c r="H5252">
        <v>9.91253718900377E-2</v>
      </c>
      <c r="I5252">
        <v>0.107101955972095</v>
      </c>
      <c r="J5252">
        <v>9.0409767157287504E-2</v>
      </c>
      <c r="K5252">
        <v>6.1864704924207703E-2</v>
      </c>
      <c r="L5252">
        <v>1275.3814096793801</v>
      </c>
      <c r="M5252">
        <v>25.590011694989801</v>
      </c>
      <c r="N5252">
        <v>50.222276281105401</v>
      </c>
      <c r="O5252">
        <v>49.537669241080998</v>
      </c>
      <c r="P5252">
        <v>-0.117691230880917</v>
      </c>
      <c r="Q5252">
        <v>8.8694868461332996E-2</v>
      </c>
      <c r="R5252">
        <v>0.99710627818332798</v>
      </c>
      <c r="S5252" t="s">
        <v>11113</v>
      </c>
      <c r="T5252" t="s">
        <v>11720</v>
      </c>
      <c r="U5252" t="s">
        <v>11720</v>
      </c>
      <c r="V5252" t="s">
        <v>11720</v>
      </c>
      <c r="W5252" t="s">
        <v>16914</v>
      </c>
      <c r="X5252">
        <v>12</v>
      </c>
      <c r="Y5252" t="s">
        <v>22618</v>
      </c>
      <c r="Z5252" t="s">
        <v>28459</v>
      </c>
      <c r="AA5252">
        <v>0.39533132259656628</v>
      </c>
      <c r="AB5252" t="str">
        <f>HYPERLINK("Melting_Curves/meltCurve_Q9NSY0_NRBP2.pdf", "Melting_Curves/meltCurve_Q9NSY0_NRBP2.pdf")</f>
        <v>Melting_Curves/meltCurve_Q9NSY0_NRBP2.pdf</v>
      </c>
    </row>
    <row r="5253" spans="1:28" x14ac:dyDescent="0.25">
      <c r="A5253" t="s">
        <v>5257</v>
      </c>
      <c r="B5253">
        <v>0.99334974765950101</v>
      </c>
      <c r="C5253">
        <v>0.86572394378570705</v>
      </c>
      <c r="D5253">
        <v>0.76826226759013005</v>
      </c>
      <c r="E5253">
        <v>0.49348735320594</v>
      </c>
      <c r="F5253">
        <v>0.27137650192198898</v>
      </c>
      <c r="G5253">
        <v>0.16994989310212899</v>
      </c>
      <c r="H5253">
        <v>4.0539429536596103E-2</v>
      </c>
      <c r="I5253">
        <v>4.8866025206733103E-2</v>
      </c>
      <c r="J5253">
        <v>0</v>
      </c>
      <c r="K5253">
        <v>0</v>
      </c>
      <c r="L5253">
        <v>707.51773429456398</v>
      </c>
      <c r="M5253">
        <v>14.235005990555599</v>
      </c>
      <c r="N5253">
        <v>49.702664356463302</v>
      </c>
      <c r="O5253">
        <v>48.752644965432999</v>
      </c>
      <c r="P5253">
        <v>-7.3005124531872398E-2</v>
      </c>
      <c r="Q5253">
        <v>0</v>
      </c>
      <c r="R5253">
        <v>0.99593807872598195</v>
      </c>
      <c r="S5253" t="s">
        <v>11114</v>
      </c>
      <c r="T5253" t="s">
        <v>11720</v>
      </c>
      <c r="U5253" t="s">
        <v>11720</v>
      </c>
      <c r="V5253" t="s">
        <v>11720</v>
      </c>
      <c r="W5253" t="s">
        <v>16915</v>
      </c>
      <c r="X5253">
        <v>2</v>
      </c>
      <c r="Y5253" t="s">
        <v>22619</v>
      </c>
      <c r="Z5253" t="s">
        <v>28460</v>
      </c>
      <c r="AA5253">
        <v>0.34985753455711949</v>
      </c>
      <c r="AB5253" t="str">
        <f>HYPERLINK("Melting_Curves/meltCurve_Q9NSY1_BMP2K.pdf", "Melting_Curves/meltCurve_Q9NSY1_BMP2K.pdf")</f>
        <v>Melting_Curves/meltCurve_Q9NSY1_BMP2K.pdf</v>
      </c>
    </row>
    <row r="5254" spans="1:28" x14ac:dyDescent="0.25">
      <c r="A5254" t="s">
        <v>5258</v>
      </c>
      <c r="B5254">
        <v>0.99334974765950101</v>
      </c>
      <c r="C5254">
        <v>0.93189713919377504</v>
      </c>
      <c r="D5254">
        <v>0.82117469785603503</v>
      </c>
      <c r="E5254">
        <v>0.50362818137682897</v>
      </c>
      <c r="F5254">
        <v>0.18651971225501501</v>
      </c>
      <c r="G5254">
        <v>0.10738484254943</v>
      </c>
      <c r="H5254">
        <v>7.0515280214471995E-2</v>
      </c>
      <c r="I5254">
        <v>6.5159765666647704E-2</v>
      </c>
      <c r="J5254">
        <v>5.3374721736826003E-2</v>
      </c>
      <c r="K5254">
        <v>4.1809547315567699E-2</v>
      </c>
      <c r="L5254">
        <v>1031.9442292559499</v>
      </c>
      <c r="M5254">
        <v>20.885470356209002</v>
      </c>
      <c r="N5254">
        <v>49.640878746567203</v>
      </c>
      <c r="O5254">
        <v>48.963385084392698</v>
      </c>
      <c r="P5254">
        <v>-0.101698604898319</v>
      </c>
      <c r="Q5254">
        <v>4.6347232182669E-2</v>
      </c>
      <c r="R5254">
        <v>0.99654073624723805</v>
      </c>
      <c r="S5254" t="s">
        <v>11115</v>
      </c>
      <c r="T5254" t="s">
        <v>11720</v>
      </c>
      <c r="U5254" t="s">
        <v>11720</v>
      </c>
      <c r="V5254" t="s">
        <v>11720</v>
      </c>
      <c r="W5254" t="s">
        <v>16916</v>
      </c>
      <c r="X5254">
        <v>5</v>
      </c>
      <c r="Y5254" t="s">
        <v>22620</v>
      </c>
      <c r="Z5254" t="s">
        <v>28461</v>
      </c>
      <c r="AA5254">
        <v>0.35767357157724661</v>
      </c>
      <c r="AB5254" t="str">
        <f>HYPERLINK("Melting_Curves/meltCurve_Q9NSY2_STARD5.pdf", "Melting_Curves/meltCurve_Q9NSY2_STARD5.pdf")</f>
        <v>Melting_Curves/meltCurve_Q9NSY2_STARD5.pdf</v>
      </c>
    </row>
    <row r="5255" spans="1:28" x14ac:dyDescent="0.25">
      <c r="A5255" t="s">
        <v>5259</v>
      </c>
      <c r="B5255">
        <v>0.99334974765950101</v>
      </c>
      <c r="C5255">
        <v>1.0252909197067199</v>
      </c>
      <c r="D5255">
        <v>0.94268578930564795</v>
      </c>
      <c r="E5255">
        <v>0.80330935528788705</v>
      </c>
      <c r="F5255">
        <v>0.62015986396813305</v>
      </c>
      <c r="G5255">
        <v>0.44872722637139001</v>
      </c>
      <c r="H5255">
        <v>0.23246309810246901</v>
      </c>
      <c r="I5255">
        <v>0.118118447614924</v>
      </c>
      <c r="J5255">
        <v>9.0786781960958601E-2</v>
      </c>
      <c r="K5255">
        <v>7.7063015129123696E-2</v>
      </c>
      <c r="L5255">
        <v>734.54504271117605</v>
      </c>
      <c r="M5255">
        <v>13.249079423950199</v>
      </c>
      <c r="N5255">
        <v>55.456287615793997</v>
      </c>
      <c r="O5255">
        <v>54.223844255562298</v>
      </c>
      <c r="P5255">
        <v>-6.0985478332592602E-2</v>
      </c>
      <c r="Q5255">
        <v>1.7949174242538799E-3</v>
      </c>
      <c r="R5255">
        <v>0.99606427498154104</v>
      </c>
      <c r="S5255" t="s">
        <v>11116</v>
      </c>
      <c r="T5255" t="s">
        <v>11720</v>
      </c>
      <c r="U5255" t="s">
        <v>11720</v>
      </c>
      <c r="V5255" t="s">
        <v>11720</v>
      </c>
      <c r="W5255" t="s">
        <v>16917</v>
      </c>
      <c r="X5255">
        <v>14</v>
      </c>
      <c r="Y5255" t="s">
        <v>22621</v>
      </c>
      <c r="Z5255" t="s">
        <v>28462</v>
      </c>
      <c r="AA5255">
        <v>0.5362935934259081</v>
      </c>
      <c r="AB5255" t="str">
        <f>HYPERLINK("Melting_Curves/meltCurve_Q9NT62_ATG3.pdf", "Melting_Curves/meltCurve_Q9NT62_ATG3.pdf")</f>
        <v>Melting_Curves/meltCurve_Q9NT62_ATG3.pdf</v>
      </c>
    </row>
    <row r="5256" spans="1:28" x14ac:dyDescent="0.25">
      <c r="A5256" t="s">
        <v>5260</v>
      </c>
      <c r="B5256">
        <v>0.99334974765950101</v>
      </c>
      <c r="C5256">
        <v>0.96376611163209702</v>
      </c>
      <c r="D5256">
        <v>0.89098076795097503</v>
      </c>
      <c r="E5256">
        <v>0.55323642686395202</v>
      </c>
      <c r="F5256">
        <v>0.130907118320405</v>
      </c>
      <c r="G5256">
        <v>3.8329153495810203E-2</v>
      </c>
      <c r="H5256">
        <v>1.1591683310023601E-2</v>
      </c>
      <c r="I5256">
        <v>0</v>
      </c>
      <c r="J5256">
        <v>1.2133043663091999E-2</v>
      </c>
      <c r="K5256">
        <v>0</v>
      </c>
      <c r="L5256">
        <v>1486.6343880675599</v>
      </c>
      <c r="M5256">
        <v>29.649901509335798</v>
      </c>
      <c r="N5256">
        <v>50.144532936285799</v>
      </c>
      <c r="O5256">
        <v>49.913178453265999</v>
      </c>
      <c r="P5256">
        <v>-0.14829246139065699</v>
      </c>
      <c r="Q5256">
        <v>1.4538782541881701E-3</v>
      </c>
      <c r="R5256">
        <v>0.99679905277261005</v>
      </c>
      <c r="S5256" t="s">
        <v>11117</v>
      </c>
      <c r="T5256" t="s">
        <v>11720</v>
      </c>
      <c r="U5256" t="s">
        <v>11720</v>
      </c>
      <c r="V5256" t="s">
        <v>11720</v>
      </c>
      <c r="W5256" t="s">
        <v>16918</v>
      </c>
      <c r="X5256">
        <v>6</v>
      </c>
      <c r="Y5256" t="s">
        <v>22622</v>
      </c>
      <c r="Z5256" t="s">
        <v>28463</v>
      </c>
      <c r="AA5256">
        <v>0.34528810985623432</v>
      </c>
      <c r="AB5256" t="str">
        <f>HYPERLINK("Melting_Curves/meltCurve_Q9NTG7_SIRT3.pdf", "Melting_Curves/meltCurve_Q9NTG7_SIRT3.pdf")</f>
        <v>Melting_Curves/meltCurve_Q9NTG7_SIRT3.pdf</v>
      </c>
    </row>
    <row r="5257" spans="1:28" x14ac:dyDescent="0.25">
      <c r="A5257" t="s">
        <v>5261</v>
      </c>
      <c r="B5257">
        <v>0.99334974765950101</v>
      </c>
      <c r="C5257">
        <v>0.99087930406001101</v>
      </c>
      <c r="D5257">
        <v>0.95964939561051998</v>
      </c>
      <c r="E5257">
        <v>0.41647397729847102</v>
      </c>
      <c r="F5257">
        <v>0.169178630997773</v>
      </c>
      <c r="G5257">
        <v>0.119266124891627</v>
      </c>
      <c r="H5257">
        <v>9.7701581210274904E-2</v>
      </c>
      <c r="I5257">
        <v>8.1172855013230794E-2</v>
      </c>
      <c r="J5257">
        <v>6.9654817189797796E-2</v>
      </c>
      <c r="K5257">
        <v>6.2313620419897499E-2</v>
      </c>
      <c r="L5257">
        <v>1841.1711147037799</v>
      </c>
      <c r="M5257">
        <v>37.345331249674999</v>
      </c>
      <c r="N5257">
        <v>49.555293971808503</v>
      </c>
      <c r="O5257">
        <v>49.160521248997398</v>
      </c>
      <c r="P5257">
        <v>-0.17336980710922301</v>
      </c>
      <c r="Q5257">
        <v>8.71227916714397E-2</v>
      </c>
      <c r="R5257">
        <v>0.998310202132624</v>
      </c>
      <c r="S5257" t="s">
        <v>11118</v>
      </c>
      <c r="T5257" t="s">
        <v>11720</v>
      </c>
      <c r="U5257" t="s">
        <v>11720</v>
      </c>
      <c r="V5257" t="s">
        <v>11720</v>
      </c>
      <c r="W5257" t="s">
        <v>16919</v>
      </c>
      <c r="X5257">
        <v>25</v>
      </c>
      <c r="Y5257" t="s">
        <v>22623</v>
      </c>
      <c r="Z5257" t="s">
        <v>28464</v>
      </c>
      <c r="AA5257">
        <v>0.37372999330710072</v>
      </c>
      <c r="AB5257" t="str">
        <f>HYPERLINK("Melting_Curves/meltCurve_Q9NTJ5_SACM1L.pdf", "Melting_Curves/meltCurve_Q9NTJ5_SACM1L.pdf")</f>
        <v>Melting_Curves/meltCurve_Q9NTJ5_SACM1L.pdf</v>
      </c>
    </row>
    <row r="5258" spans="1:28" x14ac:dyDescent="0.25">
      <c r="A5258" t="s">
        <v>5262</v>
      </c>
      <c r="B5258">
        <v>0.99334974765950101</v>
      </c>
      <c r="C5258">
        <v>0.96315798532495001</v>
      </c>
      <c r="D5258">
        <v>0.779107798981028</v>
      </c>
      <c r="E5258">
        <v>0.74229957848442696</v>
      </c>
      <c r="F5258">
        <v>0.58503650282376696</v>
      </c>
      <c r="G5258">
        <v>0.641082447322886</v>
      </c>
      <c r="H5258">
        <v>0.594149084072496</v>
      </c>
      <c r="I5258">
        <v>1.2006905187549199</v>
      </c>
      <c r="J5258">
        <v>0.74599931049019397</v>
      </c>
      <c r="K5258">
        <v>0.80311270978421201</v>
      </c>
      <c r="L5258">
        <v>2634.4403483576698</v>
      </c>
      <c r="M5258">
        <v>59.6950610606957</v>
      </c>
      <c r="O5258">
        <v>44.082185424145301</v>
      </c>
      <c r="P5258">
        <v>-8.1605819673511701E-2</v>
      </c>
      <c r="Q5258">
        <v>0.75895082259924895</v>
      </c>
      <c r="R5258">
        <v>0.22032355584975799</v>
      </c>
      <c r="S5258" t="s">
        <v>11119</v>
      </c>
      <c r="T5258" t="s">
        <v>11720</v>
      </c>
      <c r="U5258" t="s">
        <v>11720</v>
      </c>
      <c r="V5258" t="s">
        <v>11720</v>
      </c>
      <c r="W5258" t="s">
        <v>16920</v>
      </c>
      <c r="X5258">
        <v>13</v>
      </c>
      <c r="Y5258" t="s">
        <v>18533</v>
      </c>
      <c r="Z5258" t="s">
        <v>28465</v>
      </c>
      <c r="AA5258">
        <v>0.79248694321822155</v>
      </c>
      <c r="AB5258" t="str">
        <f>HYPERLINK("Melting_Curves/meltCurve_Q9NTK5_2_OLA1.pdf", "Melting_Curves/meltCurve_Q9NTK5_2_OLA1.pdf")</f>
        <v>Melting_Curves/meltCurve_Q9NTK5_2_OLA1.pdf</v>
      </c>
    </row>
    <row r="5259" spans="1:28" x14ac:dyDescent="0.25">
      <c r="A5259" t="s">
        <v>5263</v>
      </c>
      <c r="B5259">
        <v>0.99334974765950101</v>
      </c>
      <c r="C5259">
        <v>1.17396304487507</v>
      </c>
      <c r="D5259">
        <v>1.0666222100882199</v>
      </c>
      <c r="E5259">
        <v>1.14838562080085</v>
      </c>
      <c r="F5259">
        <v>1.439931340172</v>
      </c>
      <c r="G5259">
        <v>1.0459266696771301</v>
      </c>
      <c r="H5259">
        <v>0.94068814322791805</v>
      </c>
      <c r="I5259">
        <v>1.3513477883520399</v>
      </c>
      <c r="J5259">
        <v>0.47536031318205402</v>
      </c>
      <c r="K5259">
        <v>0.144489472193778</v>
      </c>
      <c r="L5259">
        <v>15000</v>
      </c>
      <c r="M5259">
        <v>224.34107540679199</v>
      </c>
      <c r="N5259">
        <v>66.964227487752595</v>
      </c>
      <c r="O5259">
        <v>66.857163694096997</v>
      </c>
      <c r="P5259">
        <v>-0.71772367887996802</v>
      </c>
      <c r="Q5259">
        <v>0.144428289944558</v>
      </c>
      <c r="R5259">
        <v>0.72540569839830304</v>
      </c>
      <c r="S5259" t="s">
        <v>11120</v>
      </c>
      <c r="T5259" t="s">
        <v>11720</v>
      </c>
      <c r="U5259" t="s">
        <v>11720</v>
      </c>
      <c r="V5259" t="s">
        <v>11720</v>
      </c>
      <c r="W5259" t="s">
        <v>16921</v>
      </c>
      <c r="X5259">
        <v>1</v>
      </c>
      <c r="Y5259" t="s">
        <v>22624</v>
      </c>
      <c r="Z5259" t="s">
        <v>28466</v>
      </c>
      <c r="AA5259">
        <v>0.91064507974707831</v>
      </c>
      <c r="AB5259" t="str">
        <f>HYPERLINK("Melting_Curves/meltCurve_Q9NTN3_SLC35D1.pdf", "Melting_Curves/meltCurve_Q9NTN3_SLC35D1.pdf")</f>
        <v>Melting_Curves/meltCurve_Q9NTN3_SLC35D1.pdf</v>
      </c>
    </row>
    <row r="5260" spans="1:28" x14ac:dyDescent="0.25">
      <c r="A5260" t="s">
        <v>5264</v>
      </c>
      <c r="B5260">
        <v>0.99334974765950101</v>
      </c>
      <c r="C5260">
        <v>0.91524007414337405</v>
      </c>
      <c r="D5260">
        <v>1.02829080289327</v>
      </c>
      <c r="E5260">
        <v>0.852167695465188</v>
      </c>
      <c r="F5260">
        <v>1.16895170608461</v>
      </c>
      <c r="G5260">
        <v>0.72355935488920498</v>
      </c>
      <c r="H5260">
        <v>0.500170715172643</v>
      </c>
      <c r="I5260">
        <v>0.52686974075182702</v>
      </c>
      <c r="J5260">
        <v>0.59983501779809101</v>
      </c>
      <c r="K5260">
        <v>0.49439391304569902</v>
      </c>
      <c r="L5260">
        <v>14229.590992473701</v>
      </c>
      <c r="M5260">
        <v>250</v>
      </c>
      <c r="O5260">
        <v>56.914725890169798</v>
      </c>
      <c r="P5260">
        <v>-0.51577457345436195</v>
      </c>
      <c r="Q5260">
        <v>0.53031734063425695</v>
      </c>
      <c r="R5260">
        <v>0.87910118943595095</v>
      </c>
      <c r="S5260" t="s">
        <v>11121</v>
      </c>
      <c r="T5260" t="s">
        <v>11720</v>
      </c>
      <c r="U5260" t="s">
        <v>11720</v>
      </c>
      <c r="V5260" t="s">
        <v>11720</v>
      </c>
      <c r="W5260" t="s">
        <v>16922</v>
      </c>
      <c r="X5260">
        <v>15</v>
      </c>
      <c r="Y5260" t="s">
        <v>22625</v>
      </c>
      <c r="Z5260" t="s">
        <v>28467</v>
      </c>
      <c r="AA5260">
        <v>0.79523966368093213</v>
      </c>
      <c r="AB5260" t="str">
        <f>HYPERLINK("Melting_Curves/meltCurve_Q9NTX5_2_ECHDC1.pdf", "Melting_Curves/meltCurve_Q9NTX5_2_ECHDC1.pdf")</f>
        <v>Melting_Curves/meltCurve_Q9NTX5_2_ECHDC1.pdf</v>
      </c>
    </row>
    <row r="5261" spans="1:28" x14ac:dyDescent="0.25">
      <c r="A5261" t="s">
        <v>5265</v>
      </c>
      <c r="B5261">
        <v>0.99334974765950101</v>
      </c>
      <c r="C5261">
        <v>1.1445674108700199</v>
      </c>
      <c r="D5261">
        <v>1.13554905023375</v>
      </c>
      <c r="E5261">
        <v>1.33595890616377</v>
      </c>
      <c r="F5261">
        <v>1.08401993277602</v>
      </c>
      <c r="G5261">
        <v>1.46530690969777</v>
      </c>
      <c r="H5261">
        <v>1.27871847566146</v>
      </c>
      <c r="I5261">
        <v>0.759686489577309</v>
      </c>
      <c r="J5261">
        <v>0.365123414791934</v>
      </c>
      <c r="K5261">
        <v>0.593352437070648</v>
      </c>
      <c r="L5261">
        <v>15000</v>
      </c>
      <c r="M5261">
        <v>234.22058061476901</v>
      </c>
      <c r="N5261">
        <v>64.9240180782773</v>
      </c>
      <c r="O5261">
        <v>64.037517381600495</v>
      </c>
      <c r="P5261">
        <v>-0.47618239395727102</v>
      </c>
      <c r="Q5261">
        <v>0.479233769931737</v>
      </c>
      <c r="R5261">
        <v>0.55487294008472499</v>
      </c>
      <c r="S5261" t="s">
        <v>11122</v>
      </c>
      <c r="T5261" t="s">
        <v>11720</v>
      </c>
      <c r="U5261" t="s">
        <v>11720</v>
      </c>
      <c r="V5261" t="s">
        <v>11720</v>
      </c>
      <c r="W5261" t="s">
        <v>16923</v>
      </c>
      <c r="X5261">
        <v>14</v>
      </c>
      <c r="Y5261" t="s">
        <v>22625</v>
      </c>
      <c r="Z5261" t="s">
        <v>28468</v>
      </c>
      <c r="AA5261">
        <v>0.89664588911143417</v>
      </c>
      <c r="AB5261" t="str">
        <f>HYPERLINK("Melting_Curves/meltCurve_Q9NTX5_3_ECHDC1.pdf", "Melting_Curves/meltCurve_Q9NTX5_3_ECHDC1.pdf")</f>
        <v>Melting_Curves/meltCurve_Q9NTX5_3_ECHDC1.pdf</v>
      </c>
    </row>
    <row r="5262" spans="1:28" x14ac:dyDescent="0.25">
      <c r="A5262" t="s">
        <v>5266</v>
      </c>
      <c r="B5262">
        <v>0.99334974765950101</v>
      </c>
      <c r="C5262">
        <v>0.93669648185743604</v>
      </c>
      <c r="D5262">
        <v>0.80053988571420398</v>
      </c>
      <c r="E5262">
        <v>0.65216411911503402</v>
      </c>
      <c r="F5262">
        <v>0.49289567560035902</v>
      </c>
      <c r="G5262">
        <v>0.32688865646050602</v>
      </c>
      <c r="H5262">
        <v>0.26148133312580901</v>
      </c>
      <c r="I5262">
        <v>0.226208053314984</v>
      </c>
      <c r="J5262">
        <v>0.218451975141255</v>
      </c>
      <c r="K5262">
        <v>0.13428389971247301</v>
      </c>
      <c r="L5262">
        <v>601.60837676941196</v>
      </c>
      <c r="M5262">
        <v>11.697832289197301</v>
      </c>
      <c r="N5262">
        <v>52.846353717254402</v>
      </c>
      <c r="O5262">
        <v>49.995069223855197</v>
      </c>
      <c r="P5262">
        <v>-5.0632585190595603E-2</v>
      </c>
      <c r="Q5262">
        <v>0.134640964889848</v>
      </c>
      <c r="R5262">
        <v>0.99526083954953104</v>
      </c>
      <c r="S5262" t="s">
        <v>11123</v>
      </c>
      <c r="T5262" t="s">
        <v>11720</v>
      </c>
      <c r="U5262" t="s">
        <v>11720</v>
      </c>
      <c r="V5262" t="s">
        <v>11720</v>
      </c>
      <c r="W5262" t="s">
        <v>16924</v>
      </c>
      <c r="X5262">
        <v>7</v>
      </c>
      <c r="Y5262" t="s">
        <v>22626</v>
      </c>
      <c r="Z5262" t="s">
        <v>28469</v>
      </c>
      <c r="AA5262">
        <v>0.49276599081399469</v>
      </c>
      <c r="AB5262" t="str">
        <f>HYPERLINK("Melting_Curves/meltCurve_Q9NTX7_2_RNF146.pdf", "Melting_Curves/meltCurve_Q9NTX7_2_RNF146.pdf")</f>
        <v>Melting_Curves/meltCurve_Q9NTX7_2_RNF146.pdf</v>
      </c>
    </row>
    <row r="5263" spans="1:28" x14ac:dyDescent="0.25">
      <c r="A5263" t="s">
        <v>5267</v>
      </c>
      <c r="B5263">
        <v>0.99334974765950101</v>
      </c>
      <c r="C5263">
        <v>0.95669321791655004</v>
      </c>
      <c r="D5263">
        <v>0.82855939784041599</v>
      </c>
      <c r="E5263">
        <v>0.47198046963518098</v>
      </c>
      <c r="F5263">
        <v>0.22000104129503301</v>
      </c>
      <c r="G5263">
        <v>0.13516564000836501</v>
      </c>
      <c r="H5263">
        <v>0.111986961877205</v>
      </c>
      <c r="I5263">
        <v>9.6008413563457698E-2</v>
      </c>
      <c r="J5263">
        <v>0.10365011358946299</v>
      </c>
      <c r="K5263">
        <v>7.5262640794746094E-2</v>
      </c>
      <c r="L5263">
        <v>1084.69765450618</v>
      </c>
      <c r="M5263">
        <v>22.084371517993699</v>
      </c>
      <c r="N5263">
        <v>49.561408973356301</v>
      </c>
      <c r="O5263">
        <v>48.718673426934402</v>
      </c>
      <c r="P5263">
        <v>-0.103129526834493</v>
      </c>
      <c r="Q5263">
        <v>8.9994784834962593E-2</v>
      </c>
      <c r="R5263">
        <v>0.99908045007035895</v>
      </c>
      <c r="S5263" t="s">
        <v>11124</v>
      </c>
      <c r="T5263" t="s">
        <v>11720</v>
      </c>
      <c r="U5263" t="s">
        <v>11720</v>
      </c>
      <c r="V5263" t="s">
        <v>11720</v>
      </c>
      <c r="W5263" t="s">
        <v>16925</v>
      </c>
      <c r="X5263">
        <v>13</v>
      </c>
      <c r="Y5263" t="s">
        <v>22627</v>
      </c>
      <c r="Z5263" t="s">
        <v>28470</v>
      </c>
      <c r="AA5263">
        <v>0.37692466379151701</v>
      </c>
      <c r="AB5263" t="str">
        <f>HYPERLINK("Melting_Curves/meltCurve_Q9NTZ6_RBM12.pdf", "Melting_Curves/meltCurve_Q9NTZ6_RBM12.pdf")</f>
        <v>Melting_Curves/meltCurve_Q9NTZ6_RBM12.pdf</v>
      </c>
    </row>
    <row r="5264" spans="1:28" x14ac:dyDescent="0.25">
      <c r="A5264" t="s">
        <v>5268</v>
      </c>
      <c r="B5264">
        <v>0.99334974765950101</v>
      </c>
      <c r="C5264">
        <v>1.20129208620426</v>
      </c>
      <c r="D5264">
        <v>0.93518779427035703</v>
      </c>
      <c r="E5264">
        <v>0.82349592391927695</v>
      </c>
      <c r="F5264">
        <v>0.52455684715627304</v>
      </c>
      <c r="G5264">
        <v>0.12684571564446501</v>
      </c>
      <c r="H5264">
        <v>6.1514862860139102E-2</v>
      </c>
      <c r="I5264">
        <v>1.18770856276609E-2</v>
      </c>
      <c r="J5264">
        <v>4.6659254296172598E-2</v>
      </c>
      <c r="K5264">
        <v>5.4259940480095997E-2</v>
      </c>
      <c r="L5264">
        <v>1463.8434003472501</v>
      </c>
      <c r="M5264">
        <v>27.664776292952499</v>
      </c>
      <c r="N5264">
        <v>53.038475815030502</v>
      </c>
      <c r="O5264">
        <v>52.639453272385197</v>
      </c>
      <c r="P5264">
        <v>-0.127247138416378</v>
      </c>
      <c r="Q5264">
        <v>3.15252165713793E-2</v>
      </c>
      <c r="R5264">
        <v>0.97689695320288406</v>
      </c>
      <c r="S5264" t="s">
        <v>11125</v>
      </c>
      <c r="T5264" t="s">
        <v>11720</v>
      </c>
      <c r="U5264" t="s">
        <v>11720</v>
      </c>
      <c r="V5264" t="s">
        <v>11720</v>
      </c>
      <c r="W5264" t="s">
        <v>16926</v>
      </c>
      <c r="X5264">
        <v>3</v>
      </c>
      <c r="Y5264" t="s">
        <v>22628</v>
      </c>
      <c r="Z5264" t="s">
        <v>28471</v>
      </c>
      <c r="AA5264">
        <v>0.45575425057405589</v>
      </c>
      <c r="AB5264" t="str">
        <f>HYPERLINK("Melting_Curves/meltCurve_Q9NU23_LYRM2.pdf", "Melting_Curves/meltCurve_Q9NU23_LYRM2.pdf")</f>
        <v>Melting_Curves/meltCurve_Q9NU23_LYRM2.pdf</v>
      </c>
    </row>
    <row r="5265" spans="1:28" x14ac:dyDescent="0.25">
      <c r="A5265" t="s">
        <v>5269</v>
      </c>
      <c r="B5265">
        <v>0.99334974765950101</v>
      </c>
      <c r="C5265">
        <v>0.98921733907050202</v>
      </c>
      <c r="D5265">
        <v>1.0099088692532501</v>
      </c>
      <c r="E5265">
        <v>1.48392170266645</v>
      </c>
      <c r="F5265">
        <v>3.1248480855393499</v>
      </c>
      <c r="G5265">
        <v>2.10781238330522</v>
      </c>
      <c r="H5265">
        <v>1.1101132948096499</v>
      </c>
      <c r="I5265">
        <v>1.1370907388439899</v>
      </c>
      <c r="J5265">
        <v>0.99166154433075204</v>
      </c>
      <c r="K5265">
        <v>1.17543217854405</v>
      </c>
      <c r="L5265">
        <v>12329.772784503501</v>
      </c>
      <c r="M5265">
        <v>250</v>
      </c>
      <c r="O5265">
        <v>49.315922800947902</v>
      </c>
      <c r="P5265">
        <v>0.63366942103086399</v>
      </c>
      <c r="Q5265">
        <v>1.5</v>
      </c>
      <c r="R5265">
        <v>0.15696097446871499</v>
      </c>
      <c r="S5265" t="s">
        <v>11126</v>
      </c>
      <c r="T5265" t="s">
        <v>11720</v>
      </c>
      <c r="U5265" t="s">
        <v>11720</v>
      </c>
      <c r="V5265" t="s">
        <v>11720</v>
      </c>
      <c r="W5265" t="s">
        <v>16927</v>
      </c>
      <c r="X5265">
        <v>4</v>
      </c>
      <c r="Y5265" t="s">
        <v>22629</v>
      </c>
      <c r="Z5265" t="s">
        <v>28472</v>
      </c>
      <c r="AA5265">
        <v>1.344638537247747</v>
      </c>
      <c r="AB5265" t="str">
        <f>HYPERLINK("Melting_Curves/meltCurve_Q9NUG6_PDRG1.pdf", "Melting_Curves/meltCurve_Q9NUG6_PDRG1.pdf")</f>
        <v>Melting_Curves/meltCurve_Q9NUG6_PDRG1.pdf</v>
      </c>
    </row>
    <row r="5266" spans="1:28" x14ac:dyDescent="0.25">
      <c r="A5266" t="s">
        <v>5270</v>
      </c>
      <c r="B5266">
        <v>0.99334974765950101</v>
      </c>
      <c r="C5266">
        <v>1.01311332743102</v>
      </c>
      <c r="D5266">
        <v>1.02935647246277</v>
      </c>
      <c r="E5266">
        <v>1.02276011754986</v>
      </c>
      <c r="F5266">
        <v>1.051604870017</v>
      </c>
      <c r="G5266">
        <v>0.99936102435695195</v>
      </c>
      <c r="H5266">
        <v>0.72806963810804903</v>
      </c>
      <c r="I5266">
        <v>0.47084063743752702</v>
      </c>
      <c r="J5266">
        <v>0.13402854592996599</v>
      </c>
      <c r="K5266">
        <v>8.3816672746342996E-2</v>
      </c>
      <c r="L5266">
        <v>1906.66769818394</v>
      </c>
      <c r="M5266">
        <v>30.0976517708147</v>
      </c>
      <c r="N5266">
        <v>63.401991262118102</v>
      </c>
      <c r="O5266">
        <v>63.071696548594403</v>
      </c>
      <c r="P5266">
        <v>-0.11782905251271</v>
      </c>
      <c r="Q5266">
        <v>1.2330861769815901E-2</v>
      </c>
      <c r="R5266">
        <v>0.99225994579946497</v>
      </c>
      <c r="S5266" t="s">
        <v>11127</v>
      </c>
      <c r="T5266" t="s">
        <v>11720</v>
      </c>
      <c r="U5266" t="s">
        <v>11720</v>
      </c>
      <c r="V5266" t="s">
        <v>11720</v>
      </c>
      <c r="W5266" t="s">
        <v>16928</v>
      </c>
      <c r="X5266">
        <v>11</v>
      </c>
      <c r="Y5266" t="s">
        <v>22630</v>
      </c>
      <c r="Z5266" t="s">
        <v>28473</v>
      </c>
      <c r="AA5266">
        <v>0.78362970761414508</v>
      </c>
      <c r="AB5266" t="str">
        <f>HYPERLINK("Melting_Curves/meltCurve_Q9NUJ1_ABHD10.pdf", "Melting_Curves/meltCurve_Q9NUJ1_ABHD10.pdf")</f>
        <v>Melting_Curves/meltCurve_Q9NUJ1_ABHD10.pdf</v>
      </c>
    </row>
    <row r="5267" spans="1:28" x14ac:dyDescent="0.25">
      <c r="A5267" t="s">
        <v>5271</v>
      </c>
      <c r="B5267">
        <v>0.99334974765950101</v>
      </c>
      <c r="C5267">
        <v>0.86947867879408403</v>
      </c>
      <c r="D5267">
        <v>0.74178569221730895</v>
      </c>
      <c r="E5267">
        <v>0.53110702101837803</v>
      </c>
      <c r="F5267">
        <v>0.60944988739035399</v>
      </c>
      <c r="G5267">
        <v>0.44211596150782401</v>
      </c>
      <c r="H5267">
        <v>0.41494133701201102</v>
      </c>
      <c r="I5267">
        <v>0.38050105599668399</v>
      </c>
      <c r="J5267">
        <v>0.41946142025365701</v>
      </c>
      <c r="K5267">
        <v>0.35315408946578197</v>
      </c>
      <c r="L5267">
        <v>577.33568283296802</v>
      </c>
      <c r="M5267">
        <v>12.1087297299377</v>
      </c>
      <c r="N5267">
        <v>53.7418172381471</v>
      </c>
      <c r="O5267">
        <v>46.434756942350099</v>
      </c>
      <c r="P5267">
        <v>-4.0921986109853502E-2</v>
      </c>
      <c r="Q5267">
        <v>0.37243285951826599</v>
      </c>
      <c r="R5267">
        <v>0.95889918368163896</v>
      </c>
      <c r="S5267" t="s">
        <v>11128</v>
      </c>
      <c r="T5267" t="s">
        <v>11720</v>
      </c>
      <c r="U5267" t="s">
        <v>11720</v>
      </c>
      <c r="V5267" t="s">
        <v>11720</v>
      </c>
      <c r="W5267" t="s">
        <v>16929</v>
      </c>
      <c r="X5267">
        <v>1</v>
      </c>
      <c r="Y5267" t="s">
        <v>22631</v>
      </c>
      <c r="Z5267" t="s">
        <v>28474</v>
      </c>
      <c r="AA5267">
        <v>0.55776687224843491</v>
      </c>
      <c r="AB5267" t="str">
        <f>HYPERLINK("Melting_Curves/meltCurve_Q9NUL5_3_C19orf66.pdf", "Melting_Curves/meltCurve_Q9NUL5_3_C19orf66.pdf")</f>
        <v>Melting_Curves/meltCurve_Q9NUL5_3_C19orf66.pdf</v>
      </c>
    </row>
    <row r="5268" spans="1:28" x14ac:dyDescent="0.25">
      <c r="A5268" t="s">
        <v>5272</v>
      </c>
      <c r="B5268">
        <v>0.99334974765950101</v>
      </c>
      <c r="C5268">
        <v>0.97767128419093696</v>
      </c>
      <c r="D5268">
        <v>0.87648826278784697</v>
      </c>
      <c r="E5268">
        <v>0.87687222880031002</v>
      </c>
      <c r="F5268">
        <v>0.74895656984538395</v>
      </c>
      <c r="G5268">
        <v>0.75723404652356197</v>
      </c>
      <c r="H5268">
        <v>0.76554465352878898</v>
      </c>
      <c r="I5268">
        <v>1.26887960371839</v>
      </c>
      <c r="J5268">
        <v>0.72226229961281097</v>
      </c>
      <c r="K5268">
        <v>0.53859096731995104</v>
      </c>
      <c r="L5268">
        <v>176.60369520697401</v>
      </c>
      <c r="M5268">
        <v>1.43584971189503</v>
      </c>
      <c r="O5268">
        <v>58.375065755593702</v>
      </c>
      <c r="P5268">
        <v>-7.2940278499826899E-3</v>
      </c>
      <c r="Q5268">
        <v>0</v>
      </c>
      <c r="R5268">
        <v>0.13757705243784399</v>
      </c>
      <c r="S5268" t="s">
        <v>11129</v>
      </c>
      <c r="T5268" t="s">
        <v>11720</v>
      </c>
      <c r="U5268" t="s">
        <v>11720</v>
      </c>
      <c r="V5268" t="s">
        <v>11720</v>
      </c>
      <c r="W5268" t="s">
        <v>16930</v>
      </c>
      <c r="X5268">
        <v>8</v>
      </c>
      <c r="Y5268" t="s">
        <v>22632</v>
      </c>
      <c r="Z5268" t="s">
        <v>28475</v>
      </c>
      <c r="AA5268">
        <v>0.8534590187977773</v>
      </c>
      <c r="AB5268" t="str">
        <f>HYPERLINK("Melting_Curves/meltCurve_Q9NUM4_TMEM106B.pdf", "Melting_Curves/meltCurve_Q9NUM4_TMEM106B.pdf")</f>
        <v>Melting_Curves/meltCurve_Q9NUM4_TMEM106B.pdf</v>
      </c>
    </row>
    <row r="5269" spans="1:28" x14ac:dyDescent="0.25">
      <c r="A5269" t="s">
        <v>5273</v>
      </c>
      <c r="B5269">
        <v>0.99334974765950101</v>
      </c>
      <c r="C5269">
        <v>1.0144191924585599</v>
      </c>
      <c r="D5269">
        <v>0.97351172832458999</v>
      </c>
      <c r="E5269">
        <v>0.99646151730244403</v>
      </c>
      <c r="F5269">
        <v>1.0416976076177</v>
      </c>
      <c r="G5269">
        <v>0.79932248752900203</v>
      </c>
      <c r="H5269">
        <v>0.77205835324154704</v>
      </c>
      <c r="I5269">
        <v>0.79161111993319</v>
      </c>
      <c r="J5269">
        <v>0.94247595545058604</v>
      </c>
      <c r="K5269">
        <v>0.61071543408012496</v>
      </c>
      <c r="L5269">
        <v>14118.8649438307</v>
      </c>
      <c r="M5269">
        <v>250</v>
      </c>
      <c r="O5269">
        <v>56.471845825416999</v>
      </c>
      <c r="P5269">
        <v>-0.24435272857752699</v>
      </c>
      <c r="Q5269">
        <v>0.779215206825003</v>
      </c>
      <c r="R5269">
        <v>0.67788105619335604</v>
      </c>
      <c r="S5269" t="s">
        <v>11130</v>
      </c>
      <c r="T5269" t="s">
        <v>11720</v>
      </c>
      <c r="U5269" t="s">
        <v>11720</v>
      </c>
      <c r="V5269" t="s">
        <v>11720</v>
      </c>
      <c r="W5269" t="s">
        <v>16931</v>
      </c>
      <c r="X5269">
        <v>4</v>
      </c>
      <c r="Y5269" t="s">
        <v>22633</v>
      </c>
      <c r="Z5269" t="s">
        <v>28476</v>
      </c>
      <c r="AA5269">
        <v>0.90048812222221442</v>
      </c>
      <c r="AB5269" t="str">
        <f>HYPERLINK("Melting_Curves/meltCurve_Q9NUN5_3_LMBRD1.pdf", "Melting_Curves/meltCurve_Q9NUN5_3_LMBRD1.pdf")</f>
        <v>Melting_Curves/meltCurve_Q9NUN5_3_LMBRD1.pdf</v>
      </c>
    </row>
    <row r="5270" spans="1:28" x14ac:dyDescent="0.25">
      <c r="A5270" t="s">
        <v>5274</v>
      </c>
      <c r="B5270">
        <v>0.99334974765950101</v>
      </c>
      <c r="C5270">
        <v>0.98856020369209596</v>
      </c>
      <c r="D5270">
        <v>1.00265635334126</v>
      </c>
      <c r="E5270">
        <v>0.88947792386561897</v>
      </c>
      <c r="F5270">
        <v>0.88697264343597004</v>
      </c>
      <c r="G5270">
        <v>0.60655158991834701</v>
      </c>
      <c r="H5270">
        <v>0.28853846882168499</v>
      </c>
      <c r="I5270">
        <v>0.20278213174228801</v>
      </c>
      <c r="J5270">
        <v>0.17227253636454501</v>
      </c>
      <c r="K5270">
        <v>0.14969496379699801</v>
      </c>
      <c r="L5270">
        <v>1228.4845409350701</v>
      </c>
      <c r="M5270">
        <v>21.438608432012401</v>
      </c>
      <c r="N5270">
        <v>58.082881432105701</v>
      </c>
      <c r="O5270">
        <v>56.810857975879898</v>
      </c>
      <c r="P5270">
        <v>-8.2537806971627395E-2</v>
      </c>
      <c r="Q5270">
        <v>0.12514335914688801</v>
      </c>
      <c r="R5270">
        <v>0.99441095545324099</v>
      </c>
      <c r="S5270" t="s">
        <v>11131</v>
      </c>
      <c r="T5270" t="s">
        <v>11720</v>
      </c>
      <c r="U5270" t="s">
        <v>11720</v>
      </c>
      <c r="V5270" t="s">
        <v>11720</v>
      </c>
      <c r="W5270" t="s">
        <v>16932</v>
      </c>
      <c r="X5270">
        <v>5</v>
      </c>
      <c r="Y5270" t="s">
        <v>22634</v>
      </c>
      <c r="Z5270" t="s">
        <v>28477</v>
      </c>
      <c r="AA5270">
        <v>0.63937903186638367</v>
      </c>
      <c r="AB5270" t="str">
        <f>HYPERLINK("Melting_Curves/meltCurve_Q9NUP1_BLOC1S4.pdf", "Melting_Curves/meltCurve_Q9NUP1_BLOC1S4.pdf")</f>
        <v>Melting_Curves/meltCurve_Q9NUP1_BLOC1S4.pdf</v>
      </c>
    </row>
    <row r="5271" spans="1:28" x14ac:dyDescent="0.25">
      <c r="A5271" t="s">
        <v>5275</v>
      </c>
      <c r="B5271">
        <v>0.99334974765950101</v>
      </c>
      <c r="C5271">
        <v>0.92260795587219702</v>
      </c>
      <c r="D5271">
        <v>0.92128027309649096</v>
      </c>
      <c r="E5271">
        <v>0.89352815789758999</v>
      </c>
      <c r="F5271">
        <v>0.72314226989580399</v>
      </c>
      <c r="G5271">
        <v>0.45900039821084299</v>
      </c>
      <c r="H5271">
        <v>0.35273020956039203</v>
      </c>
      <c r="I5271">
        <v>0.34316048910805902</v>
      </c>
      <c r="J5271">
        <v>0.31465974556125298</v>
      </c>
      <c r="K5271">
        <v>0.28739573884651698</v>
      </c>
      <c r="L5271">
        <v>1033.8237272740801</v>
      </c>
      <c r="M5271">
        <v>19.1402220132594</v>
      </c>
      <c r="N5271">
        <v>56.569315901731599</v>
      </c>
      <c r="O5271">
        <v>53.433917404716702</v>
      </c>
      <c r="P5271">
        <v>-6.3632996477736598E-2</v>
      </c>
      <c r="Q5271">
        <v>0.28944844529636998</v>
      </c>
      <c r="R5271">
        <v>0.98741197118776403</v>
      </c>
      <c r="S5271" t="s">
        <v>11132</v>
      </c>
      <c r="T5271" t="s">
        <v>11720</v>
      </c>
      <c r="U5271" t="s">
        <v>11720</v>
      </c>
      <c r="V5271" t="s">
        <v>11720</v>
      </c>
      <c r="W5271" t="s">
        <v>16933</v>
      </c>
      <c r="X5271">
        <v>10</v>
      </c>
      <c r="Y5271" t="s">
        <v>22635</v>
      </c>
      <c r="Z5271" t="s">
        <v>28478</v>
      </c>
      <c r="AA5271">
        <v>0.63170188222865786</v>
      </c>
      <c r="AB5271" t="str">
        <f>HYPERLINK("Melting_Curves/meltCurve_Q9NUP9_LIN7C.pdf", "Melting_Curves/meltCurve_Q9NUP9_LIN7C.pdf")</f>
        <v>Melting_Curves/meltCurve_Q9NUP9_LIN7C.pdf</v>
      </c>
    </row>
    <row r="5272" spans="1:28" x14ac:dyDescent="0.25">
      <c r="A5272" t="s">
        <v>5276</v>
      </c>
      <c r="B5272">
        <v>0.99334974765950101</v>
      </c>
      <c r="C5272">
        <v>1.09013989205949</v>
      </c>
      <c r="D5272">
        <v>0.88962033976755595</v>
      </c>
      <c r="E5272">
        <v>0.70970150725306302</v>
      </c>
      <c r="F5272">
        <v>0.444008128170997</v>
      </c>
      <c r="G5272">
        <v>0.26774999796298399</v>
      </c>
      <c r="H5272">
        <v>0.18221892152710301</v>
      </c>
      <c r="I5272">
        <v>0.16122925875094399</v>
      </c>
      <c r="J5272">
        <v>0.163107669026993</v>
      </c>
      <c r="K5272">
        <v>0.11571354625739901</v>
      </c>
      <c r="L5272">
        <v>1015.93878028366</v>
      </c>
      <c r="M5272">
        <v>19.6984063011997</v>
      </c>
      <c r="N5272">
        <v>52.442612283892601</v>
      </c>
      <c r="O5272">
        <v>51.051965199219403</v>
      </c>
      <c r="P5272">
        <v>-8.3047169881584906E-2</v>
      </c>
      <c r="Q5272">
        <v>0.13910299778820501</v>
      </c>
      <c r="R5272">
        <v>0.98923484372655002</v>
      </c>
      <c r="S5272" t="s">
        <v>11133</v>
      </c>
      <c r="T5272" t="s">
        <v>11720</v>
      </c>
      <c r="U5272" t="s">
        <v>11720</v>
      </c>
      <c r="V5272" t="s">
        <v>11720</v>
      </c>
      <c r="W5272" t="s">
        <v>16934</v>
      </c>
      <c r="X5272">
        <v>2</v>
      </c>
      <c r="Y5272" t="s">
        <v>22636</v>
      </c>
      <c r="Z5272" t="s">
        <v>28479</v>
      </c>
      <c r="AA5272">
        <v>0.48352307032872061</v>
      </c>
      <c r="AB5272" t="str">
        <f>HYPERLINK("Melting_Curves/meltCurve_Q9NUQ3_TXLNG.pdf", "Melting_Curves/meltCurve_Q9NUQ3_TXLNG.pdf")</f>
        <v>Melting_Curves/meltCurve_Q9NUQ3_TXLNG.pdf</v>
      </c>
    </row>
    <row r="5273" spans="1:28" x14ac:dyDescent="0.25">
      <c r="A5273" t="s">
        <v>5277</v>
      </c>
      <c r="B5273">
        <v>0.99334974765950101</v>
      </c>
      <c r="C5273">
        <v>1.0489568597605701</v>
      </c>
      <c r="D5273">
        <v>0.83176404553181205</v>
      </c>
      <c r="E5273">
        <v>0.75529467183614096</v>
      </c>
      <c r="F5273">
        <v>0.640944901731897</v>
      </c>
      <c r="G5273">
        <v>0.65600888213463404</v>
      </c>
      <c r="H5273">
        <v>0.64659308487580502</v>
      </c>
      <c r="I5273">
        <v>0.97352294208836099</v>
      </c>
      <c r="J5273">
        <v>0.67352871060504604</v>
      </c>
      <c r="K5273">
        <v>0.61002311400817599</v>
      </c>
      <c r="L5273">
        <v>11485.882879435099</v>
      </c>
      <c r="M5273">
        <v>250</v>
      </c>
      <c r="O5273">
        <v>45.940592018183899</v>
      </c>
      <c r="P5273">
        <v>-0.39726844442597598</v>
      </c>
      <c r="Q5273">
        <v>0.70798804360601897</v>
      </c>
      <c r="R5273">
        <v>0.61416511785663097</v>
      </c>
      <c r="S5273" t="s">
        <v>11134</v>
      </c>
      <c r="T5273" t="s">
        <v>11720</v>
      </c>
      <c r="U5273" t="s">
        <v>11720</v>
      </c>
      <c r="V5273" t="s">
        <v>11720</v>
      </c>
      <c r="W5273" t="s">
        <v>16935</v>
      </c>
      <c r="X5273">
        <v>7</v>
      </c>
      <c r="Y5273" t="s">
        <v>22637</v>
      </c>
      <c r="Z5273" t="s">
        <v>28480</v>
      </c>
      <c r="AA5273">
        <v>0.76586433079625726</v>
      </c>
      <c r="AB5273" t="str">
        <f>HYPERLINK("Melting_Curves/meltCurve_Q9NUQ6_SPATS2L.pdf", "Melting_Curves/meltCurve_Q9NUQ6_SPATS2L.pdf")</f>
        <v>Melting_Curves/meltCurve_Q9NUQ6_SPATS2L.pdf</v>
      </c>
    </row>
    <row r="5274" spans="1:28" x14ac:dyDescent="0.25">
      <c r="A5274" t="s">
        <v>5278</v>
      </c>
      <c r="B5274">
        <v>0.99334974765950101</v>
      </c>
      <c r="C5274">
        <v>0.955260421808522</v>
      </c>
      <c r="D5274">
        <v>0.85951966132357305</v>
      </c>
      <c r="E5274">
        <v>0.68823842378840305</v>
      </c>
      <c r="F5274">
        <v>0.231481119906048</v>
      </c>
      <c r="G5274">
        <v>0.16219762640646601</v>
      </c>
      <c r="H5274">
        <v>0.12695651969076699</v>
      </c>
      <c r="I5274">
        <v>0.109792415394035</v>
      </c>
      <c r="J5274">
        <v>0.11926230889237401</v>
      </c>
      <c r="K5274">
        <v>0.12275912131366901</v>
      </c>
      <c r="L5274">
        <v>1644.1923938996799</v>
      </c>
      <c r="M5274">
        <v>32.499028571644097</v>
      </c>
      <c r="N5274">
        <v>51.012027944244203</v>
      </c>
      <c r="O5274">
        <v>50.401665124161099</v>
      </c>
      <c r="P5274">
        <v>-0.14227936482610401</v>
      </c>
      <c r="Q5274">
        <v>0.117379141738545</v>
      </c>
      <c r="R5274">
        <v>0.98613839043829499</v>
      </c>
      <c r="S5274" t="s">
        <v>11135</v>
      </c>
      <c r="T5274" t="s">
        <v>11720</v>
      </c>
      <c r="U5274" t="s">
        <v>11720</v>
      </c>
      <c r="V5274" t="s">
        <v>11720</v>
      </c>
      <c r="W5274" t="s">
        <v>16936</v>
      </c>
      <c r="X5274">
        <v>12</v>
      </c>
      <c r="Y5274" t="s">
        <v>22638</v>
      </c>
      <c r="Z5274" t="s">
        <v>28481</v>
      </c>
      <c r="AA5274">
        <v>0.43369665023276238</v>
      </c>
      <c r="AB5274" t="str">
        <f>HYPERLINK("Melting_Curves/meltCurve_Q9NUQ7_UFSP2.pdf", "Melting_Curves/meltCurve_Q9NUQ7_UFSP2.pdf")</f>
        <v>Melting_Curves/meltCurve_Q9NUQ7_UFSP2.pdf</v>
      </c>
    </row>
    <row r="5275" spans="1:28" x14ac:dyDescent="0.25">
      <c r="A5275" t="s">
        <v>5279</v>
      </c>
      <c r="B5275">
        <v>0.99334974765950101</v>
      </c>
      <c r="C5275">
        <v>0.71828562331007295</v>
      </c>
      <c r="D5275">
        <v>0.274637259758991</v>
      </c>
      <c r="E5275">
        <v>0.16336261865744101</v>
      </c>
      <c r="F5275">
        <v>0.150223722918474</v>
      </c>
      <c r="G5275">
        <v>0.100201099192344</v>
      </c>
      <c r="H5275">
        <v>7.70193362155112E-2</v>
      </c>
      <c r="I5275">
        <v>7.0452106045143501E-2</v>
      </c>
      <c r="J5275">
        <v>6.9530823658678895E-2</v>
      </c>
      <c r="K5275">
        <v>6.3766629433139405E-2</v>
      </c>
      <c r="L5275">
        <v>1359.7258970486</v>
      </c>
      <c r="M5275">
        <v>30.876521466283901</v>
      </c>
      <c r="N5275">
        <v>44.335833842599399</v>
      </c>
      <c r="O5275">
        <v>43.854043188049801</v>
      </c>
      <c r="P5275">
        <v>-0.159509901130933</v>
      </c>
      <c r="Q5275">
        <v>9.3795019282942205E-2</v>
      </c>
      <c r="R5275">
        <v>0.99105109514525702</v>
      </c>
      <c r="S5275" t="s">
        <v>11136</v>
      </c>
      <c r="T5275" t="s">
        <v>11720</v>
      </c>
      <c r="U5275" t="s">
        <v>11720</v>
      </c>
      <c r="V5275" t="s">
        <v>11720</v>
      </c>
      <c r="W5275" t="s">
        <v>16937</v>
      </c>
      <c r="X5275">
        <v>19</v>
      </c>
      <c r="Y5275" t="s">
        <v>22639</v>
      </c>
      <c r="Z5275" t="s">
        <v>28482</v>
      </c>
      <c r="AA5275">
        <v>0.22187071926565019</v>
      </c>
      <c r="AB5275" t="str">
        <f>HYPERLINK("Melting_Curves/meltCurve_Q9NUQ8_2_ABCF3.pdf", "Melting_Curves/meltCurve_Q9NUQ8_2_ABCF3.pdf")</f>
        <v>Melting_Curves/meltCurve_Q9NUQ8_2_ABCF3.pdf</v>
      </c>
    </row>
    <row r="5276" spans="1:28" x14ac:dyDescent="0.25">
      <c r="A5276" t="s">
        <v>5280</v>
      </c>
      <c r="B5276">
        <v>0.99334974765950101</v>
      </c>
      <c r="C5276">
        <v>1.01459228955514</v>
      </c>
      <c r="D5276">
        <v>0.84681077510847103</v>
      </c>
      <c r="E5276">
        <v>0.75469391155805099</v>
      </c>
      <c r="F5276">
        <v>0.66971815968679604</v>
      </c>
      <c r="G5276">
        <v>0.36704728755814298</v>
      </c>
      <c r="H5276">
        <v>0.174230117704641</v>
      </c>
      <c r="I5276">
        <v>0.14783466931882799</v>
      </c>
      <c r="J5276">
        <v>0.27653035411041599</v>
      </c>
      <c r="K5276">
        <v>0.25199257015425502</v>
      </c>
      <c r="L5276">
        <v>883.03293595828302</v>
      </c>
      <c r="M5276">
        <v>16.667131410142701</v>
      </c>
      <c r="N5276">
        <v>54.4351069973007</v>
      </c>
      <c r="O5276">
        <v>52.235458503978997</v>
      </c>
      <c r="P5276">
        <v>-6.5438371729205594E-2</v>
      </c>
      <c r="Q5276">
        <v>0.17970917878936399</v>
      </c>
      <c r="R5276">
        <v>0.96323679014670804</v>
      </c>
      <c r="S5276" t="s">
        <v>11137</v>
      </c>
      <c r="T5276" t="s">
        <v>11720</v>
      </c>
      <c r="U5276" t="s">
        <v>11720</v>
      </c>
      <c r="V5276" t="s">
        <v>11720</v>
      </c>
      <c r="W5276" t="s">
        <v>16938</v>
      </c>
      <c r="X5276">
        <v>12</v>
      </c>
      <c r="Y5276" t="s">
        <v>22640</v>
      </c>
      <c r="Z5276" t="s">
        <v>28483</v>
      </c>
      <c r="AA5276">
        <v>0.54978652481984969</v>
      </c>
      <c r="AB5276" t="str">
        <f>HYPERLINK("Melting_Curves/meltCurve_Q9NUQ9_FAM49B.pdf", "Melting_Curves/meltCurve_Q9NUQ9_FAM49B.pdf")</f>
        <v>Melting_Curves/meltCurve_Q9NUQ9_FAM49B.pdf</v>
      </c>
    </row>
    <row r="5277" spans="1:28" x14ac:dyDescent="0.25">
      <c r="A5277" t="s">
        <v>5281</v>
      </c>
      <c r="B5277">
        <v>0.99334974765950101</v>
      </c>
      <c r="C5277">
        <v>1.0924465753866399</v>
      </c>
      <c r="D5277">
        <v>0.85961247432671195</v>
      </c>
      <c r="E5277">
        <v>0.70197500490570297</v>
      </c>
      <c r="F5277">
        <v>0.39330956835436198</v>
      </c>
      <c r="G5277">
        <v>0.32265357264694799</v>
      </c>
      <c r="H5277">
        <v>0.20839393934073</v>
      </c>
      <c r="I5277">
        <v>0.31640820973068501</v>
      </c>
      <c r="J5277">
        <v>0.22342920072629299</v>
      </c>
      <c r="K5277">
        <v>0.103037030541222</v>
      </c>
      <c r="L5277">
        <v>1032.3245122521701</v>
      </c>
      <c r="M5277">
        <v>20.329258991783</v>
      </c>
      <c r="N5277">
        <v>52.130181280482901</v>
      </c>
      <c r="O5277">
        <v>50.296552236156302</v>
      </c>
      <c r="P5277">
        <v>-8.0370396980554995E-2</v>
      </c>
      <c r="Q5277">
        <v>0.20464808454136299</v>
      </c>
      <c r="R5277">
        <v>0.96339639912489805</v>
      </c>
      <c r="S5277" t="s">
        <v>11138</v>
      </c>
      <c r="T5277" t="s">
        <v>11720</v>
      </c>
      <c r="U5277" t="s">
        <v>11720</v>
      </c>
      <c r="V5277" t="s">
        <v>11720</v>
      </c>
      <c r="W5277" t="s">
        <v>16939</v>
      </c>
      <c r="X5277">
        <v>1</v>
      </c>
      <c r="Y5277" t="s">
        <v>22641</v>
      </c>
      <c r="Z5277" t="s">
        <v>28484</v>
      </c>
      <c r="AA5277">
        <v>0.50116108963505068</v>
      </c>
      <c r="AB5277" t="str">
        <f>HYPERLINK("Melting_Curves/meltCurve_Q9NUS5_AP5S1.pdf", "Melting_Curves/meltCurve_Q9NUS5_AP5S1.pdf")</f>
        <v>Melting_Curves/meltCurve_Q9NUS5_AP5S1.pdf</v>
      </c>
    </row>
    <row r="5278" spans="1:28" x14ac:dyDescent="0.25">
      <c r="A5278" t="s">
        <v>5282</v>
      </c>
      <c r="B5278">
        <v>0.99334974765950101</v>
      </c>
      <c r="C5278">
        <v>1.00737436254533</v>
      </c>
      <c r="D5278">
        <v>0.79535613083779499</v>
      </c>
      <c r="E5278">
        <v>0.67945438173962902</v>
      </c>
      <c r="F5278">
        <v>0.157581247878367</v>
      </c>
      <c r="G5278">
        <v>9.0196605650592607E-2</v>
      </c>
      <c r="H5278">
        <v>7.6011700528922893E-2</v>
      </c>
      <c r="I5278">
        <v>7.00263168381456E-2</v>
      </c>
      <c r="J5278">
        <v>8.2974080522862995E-2</v>
      </c>
      <c r="K5278">
        <v>8.2604039416958694E-2</v>
      </c>
      <c r="L5278">
        <v>2018.05216708536</v>
      </c>
      <c r="M5278">
        <v>39.892826671498</v>
      </c>
      <c r="N5278">
        <v>50.786174663519297</v>
      </c>
      <c r="O5278">
        <v>50.4602257739988</v>
      </c>
      <c r="P5278">
        <v>-0.183321008283783</v>
      </c>
      <c r="Q5278">
        <v>7.2474841511576293E-2</v>
      </c>
      <c r="R5278">
        <v>0.97448583952952395</v>
      </c>
      <c r="S5278" t="s">
        <v>11139</v>
      </c>
      <c r="T5278" t="s">
        <v>11720</v>
      </c>
      <c r="U5278" t="s">
        <v>11720</v>
      </c>
      <c r="V5278" t="s">
        <v>11720</v>
      </c>
      <c r="W5278" t="s">
        <v>16940</v>
      </c>
      <c r="X5278">
        <v>26</v>
      </c>
      <c r="Y5278" t="s">
        <v>22642</v>
      </c>
      <c r="Z5278" t="s">
        <v>28485</v>
      </c>
      <c r="AA5278">
        <v>0.40305479698712487</v>
      </c>
      <c r="AB5278" t="str">
        <f>HYPERLINK("Melting_Curves/meltCurve_Q9NUU7_DDX19A.pdf", "Melting_Curves/meltCurve_Q9NUU7_DDX19A.pdf")</f>
        <v>Melting_Curves/meltCurve_Q9NUU7_DDX19A.pdf</v>
      </c>
    </row>
    <row r="5279" spans="1:28" x14ac:dyDescent="0.25">
      <c r="A5279" t="s">
        <v>5283</v>
      </c>
      <c r="B5279">
        <v>0.99334974765950101</v>
      </c>
      <c r="C5279">
        <v>1.00709929272083</v>
      </c>
      <c r="D5279">
        <v>0.86340962652972397</v>
      </c>
      <c r="E5279">
        <v>0.50986079156887398</v>
      </c>
      <c r="F5279">
        <v>0.16930496036988599</v>
      </c>
      <c r="G5279">
        <v>0.121633601493339</v>
      </c>
      <c r="H5279">
        <v>8.3192873224285993E-2</v>
      </c>
      <c r="I5279">
        <v>7.7031205890484095E-2</v>
      </c>
      <c r="J5279">
        <v>6.0795211634676299E-2</v>
      </c>
      <c r="K5279">
        <v>4.9484651032806498E-2</v>
      </c>
      <c r="L5279">
        <v>1298.26716482857</v>
      </c>
      <c r="M5279">
        <v>26.188232565336499</v>
      </c>
      <c r="N5279">
        <v>49.842518119560602</v>
      </c>
      <c r="O5279">
        <v>49.288091867652803</v>
      </c>
      <c r="P5279">
        <v>-0.12410816506151499</v>
      </c>
      <c r="Q5279">
        <v>6.5689391011666598E-2</v>
      </c>
      <c r="R5279">
        <v>0.99664111322612003</v>
      </c>
      <c r="S5279" t="s">
        <v>11140</v>
      </c>
      <c r="T5279" t="s">
        <v>11720</v>
      </c>
      <c r="U5279" t="s">
        <v>11720</v>
      </c>
      <c r="V5279" t="s">
        <v>11720</v>
      </c>
      <c r="W5279" t="s">
        <v>16941</v>
      </c>
      <c r="X5279">
        <v>12</v>
      </c>
      <c r="Y5279" t="s">
        <v>22643</v>
      </c>
      <c r="Z5279" t="s">
        <v>28486</v>
      </c>
      <c r="AA5279">
        <v>0.37144060276910312</v>
      </c>
      <c r="AB5279" t="str">
        <f>HYPERLINK("Melting_Curves/meltCurve_Q9NUY8_TBC1D23.pdf", "Melting_Curves/meltCurve_Q9NUY8_TBC1D23.pdf")</f>
        <v>Melting_Curves/meltCurve_Q9NUY8_TBC1D23.pdf</v>
      </c>
    </row>
    <row r="5280" spans="1:28" x14ac:dyDescent="0.25">
      <c r="A5280" t="s">
        <v>5284</v>
      </c>
      <c r="B5280">
        <v>0.99334974765950101</v>
      </c>
      <c r="C5280">
        <v>0.98939999970789805</v>
      </c>
      <c r="D5280">
        <v>0.81000210902981795</v>
      </c>
      <c r="E5280">
        <v>0.61895585102717199</v>
      </c>
      <c r="F5280">
        <v>0.41813119182651598</v>
      </c>
      <c r="G5280">
        <v>0.223410428448928</v>
      </c>
      <c r="H5280">
        <v>0.184736576576606</v>
      </c>
      <c r="I5280">
        <v>0.17456210684565801</v>
      </c>
      <c r="J5280">
        <v>0.161720129850633</v>
      </c>
      <c r="K5280">
        <v>0.125743769941359</v>
      </c>
      <c r="L5280">
        <v>810.43984247704702</v>
      </c>
      <c r="M5280">
        <v>16.046201999537701</v>
      </c>
      <c r="N5280">
        <v>51.4835823604285</v>
      </c>
      <c r="O5280">
        <v>49.741756092659003</v>
      </c>
      <c r="P5280">
        <v>-7.0068084220850396E-2</v>
      </c>
      <c r="Q5280">
        <v>0.131248984206953</v>
      </c>
      <c r="R5280">
        <v>0.995632200086353</v>
      </c>
      <c r="S5280" t="s">
        <v>11141</v>
      </c>
      <c r="T5280" t="s">
        <v>11720</v>
      </c>
      <c r="U5280" t="s">
        <v>11720</v>
      </c>
      <c r="V5280" t="s">
        <v>11720</v>
      </c>
      <c r="W5280" t="s">
        <v>16942</v>
      </c>
      <c r="X5280">
        <v>4</v>
      </c>
      <c r="Y5280" t="s">
        <v>22644</v>
      </c>
      <c r="Z5280" t="s">
        <v>28487</v>
      </c>
      <c r="AA5280">
        <v>0.4536324648789708</v>
      </c>
      <c r="AB5280" t="str">
        <f>HYPERLINK("Melting_Curves/meltCurve_Q9NV35_NUDT15.pdf", "Melting_Curves/meltCurve_Q9NV35_NUDT15.pdf")</f>
        <v>Melting_Curves/meltCurve_Q9NV35_NUDT15.pdf</v>
      </c>
    </row>
    <row r="5281" spans="1:28" x14ac:dyDescent="0.25">
      <c r="A5281" t="s">
        <v>5285</v>
      </c>
      <c r="B5281">
        <v>0.99334974765950101</v>
      </c>
      <c r="C5281">
        <v>1.03045723118857</v>
      </c>
      <c r="D5281">
        <v>1.0313358824324299</v>
      </c>
      <c r="E5281">
        <v>0.78604034713211202</v>
      </c>
      <c r="F5281">
        <v>0.52314241205030199</v>
      </c>
      <c r="G5281">
        <v>0.31680186025075602</v>
      </c>
      <c r="H5281">
        <v>0.23545460057922399</v>
      </c>
      <c r="I5281">
        <v>0.22413555489932899</v>
      </c>
      <c r="J5281">
        <v>0.13343025550349399</v>
      </c>
      <c r="K5281">
        <v>0.28616628621896301</v>
      </c>
      <c r="L5281">
        <v>1340.4614426945</v>
      </c>
      <c r="M5281">
        <v>25.721897269048799</v>
      </c>
      <c r="N5281">
        <v>53.291786108655998</v>
      </c>
      <c r="O5281">
        <v>51.8016764533429</v>
      </c>
      <c r="P5281">
        <v>-9.7218045962532806E-2</v>
      </c>
      <c r="Q5281">
        <v>0.21685410671921701</v>
      </c>
      <c r="R5281">
        <v>0.98592301362462498</v>
      </c>
      <c r="S5281" t="s">
        <v>11142</v>
      </c>
      <c r="T5281" t="s">
        <v>11720</v>
      </c>
      <c r="U5281" t="s">
        <v>11720</v>
      </c>
      <c r="V5281" t="s">
        <v>11720</v>
      </c>
      <c r="W5281" t="s">
        <v>16943</v>
      </c>
      <c r="X5281">
        <v>1</v>
      </c>
      <c r="Y5281" t="s">
        <v>22645</v>
      </c>
      <c r="Z5281" t="s">
        <v>28488</v>
      </c>
      <c r="AA5281">
        <v>0.53985411662223159</v>
      </c>
      <c r="AB5281" t="str">
        <f>HYPERLINK("Melting_Curves/meltCurve_Q9NV56_MRGBP.pdf", "Melting_Curves/meltCurve_Q9NV56_MRGBP.pdf")</f>
        <v>Melting_Curves/meltCurve_Q9NV56_MRGBP.pdf</v>
      </c>
    </row>
    <row r="5282" spans="1:28" x14ac:dyDescent="0.25">
      <c r="A5282" t="s">
        <v>5286</v>
      </c>
      <c r="B5282">
        <v>0.99334974765950101</v>
      </c>
      <c r="C5282">
        <v>1.0740440652804599</v>
      </c>
      <c r="D5282">
        <v>0.86935071873004</v>
      </c>
      <c r="E5282">
        <v>0.56005082589933097</v>
      </c>
      <c r="F5282">
        <v>0.35021853055337199</v>
      </c>
      <c r="G5282">
        <v>0.21415421103386101</v>
      </c>
      <c r="H5282">
        <v>0.213890519385528</v>
      </c>
      <c r="I5282">
        <v>0.195686417202492</v>
      </c>
      <c r="J5282">
        <v>0.23289712363631601</v>
      </c>
      <c r="K5282">
        <v>0.19186754508704901</v>
      </c>
      <c r="L5282">
        <v>1227.18643628009</v>
      </c>
      <c r="M5282">
        <v>24.7570511629409</v>
      </c>
      <c r="N5282">
        <v>50.636118803794702</v>
      </c>
      <c r="O5282">
        <v>49.249144324695202</v>
      </c>
      <c r="P5282">
        <v>-0.10013334009706799</v>
      </c>
      <c r="Q5282">
        <v>0.20323106149108799</v>
      </c>
      <c r="R5282">
        <v>0.99074753314576403</v>
      </c>
      <c r="S5282" t="s">
        <v>11143</v>
      </c>
      <c r="T5282" t="s">
        <v>11720</v>
      </c>
      <c r="U5282" t="s">
        <v>11720</v>
      </c>
      <c r="V5282" t="s">
        <v>11720</v>
      </c>
      <c r="W5282" t="s">
        <v>16944</v>
      </c>
      <c r="X5282">
        <v>3</v>
      </c>
      <c r="Y5282" t="s">
        <v>22646</v>
      </c>
      <c r="Z5282" t="s">
        <v>28489</v>
      </c>
      <c r="AA5282">
        <v>0.46461222829409582</v>
      </c>
      <c r="AB5282" t="str">
        <f>HYPERLINK("Melting_Curves/meltCurve_Q9NV70_2_EXOC1.pdf", "Melting_Curves/meltCurve_Q9NV70_2_EXOC1.pdf")</f>
        <v>Melting_Curves/meltCurve_Q9NV70_2_EXOC1.pdf</v>
      </c>
    </row>
    <row r="5283" spans="1:28" x14ac:dyDescent="0.25">
      <c r="A5283" t="s">
        <v>5287</v>
      </c>
      <c r="B5283">
        <v>0.99334974765950101</v>
      </c>
      <c r="C5283">
        <v>1.4498773742464299</v>
      </c>
      <c r="D5283">
        <v>1.3017493143216099</v>
      </c>
      <c r="E5283">
        <v>1.2606085057796399</v>
      </c>
      <c r="F5283">
        <v>0.79625431919373701</v>
      </c>
      <c r="G5283">
        <v>0.53200547223669603</v>
      </c>
      <c r="H5283">
        <v>0.44182937851501097</v>
      </c>
      <c r="I5283">
        <v>0.47677657476577801</v>
      </c>
      <c r="J5283">
        <v>0.50126809954251605</v>
      </c>
      <c r="K5283">
        <v>0.67606219915264498</v>
      </c>
      <c r="L5283">
        <v>13265.052805121901</v>
      </c>
      <c r="M5283">
        <v>250</v>
      </c>
      <c r="O5283">
        <v>53.056815636424197</v>
      </c>
      <c r="P5283">
        <v>-0.55884863996245204</v>
      </c>
      <c r="Q5283">
        <v>0.52558833167203101</v>
      </c>
      <c r="R5283">
        <v>0.70017656835281505</v>
      </c>
      <c r="S5283" t="s">
        <v>11144</v>
      </c>
      <c r="T5283" t="s">
        <v>11720</v>
      </c>
      <c r="U5283" t="s">
        <v>11720</v>
      </c>
      <c r="V5283" t="s">
        <v>11720</v>
      </c>
      <c r="W5283" t="s">
        <v>16945</v>
      </c>
      <c r="X5283">
        <v>4</v>
      </c>
      <c r="Y5283" t="s">
        <v>22647</v>
      </c>
      <c r="Z5283" t="s">
        <v>28490</v>
      </c>
      <c r="AA5283">
        <v>0.73216306194057346</v>
      </c>
      <c r="AB5283" t="str">
        <f>HYPERLINK("Melting_Curves/meltCurve_Q9NV88_3_INTS9.pdf", "Melting_Curves/meltCurve_Q9NV88_3_INTS9.pdf")</f>
        <v>Melting_Curves/meltCurve_Q9NV88_3_INTS9.pdf</v>
      </c>
    </row>
    <row r="5284" spans="1:28" x14ac:dyDescent="0.25">
      <c r="A5284" t="s">
        <v>5288</v>
      </c>
      <c r="B5284">
        <v>0.99334974765950101</v>
      </c>
      <c r="C5284">
        <v>0.96760514604821701</v>
      </c>
      <c r="D5284">
        <v>0.93338588176127701</v>
      </c>
      <c r="E5284">
        <v>1.07313011863168</v>
      </c>
      <c r="F5284">
        <v>0.89069413418260002</v>
      </c>
      <c r="G5284">
        <v>0.69999282838716603</v>
      </c>
      <c r="H5284">
        <v>0.62137597929043398</v>
      </c>
      <c r="I5284">
        <v>0.96853589775147697</v>
      </c>
      <c r="J5284">
        <v>0.78394287979544597</v>
      </c>
      <c r="K5284">
        <v>0.58885658984121703</v>
      </c>
      <c r="L5284">
        <v>13269.579033817599</v>
      </c>
      <c r="M5284">
        <v>250</v>
      </c>
      <c r="O5284">
        <v>53.074919528028097</v>
      </c>
      <c r="P5284">
        <v>-0.31495475104346399</v>
      </c>
      <c r="Q5284">
        <v>0.73254083151459204</v>
      </c>
      <c r="R5284">
        <v>0.59357977057681799</v>
      </c>
      <c r="S5284" t="s">
        <v>11145</v>
      </c>
      <c r="T5284" t="s">
        <v>11720</v>
      </c>
      <c r="U5284" t="s">
        <v>11720</v>
      </c>
      <c r="V5284" t="s">
        <v>11720</v>
      </c>
      <c r="W5284" t="s">
        <v>16946</v>
      </c>
      <c r="X5284">
        <v>6</v>
      </c>
      <c r="Y5284" t="s">
        <v>22648</v>
      </c>
      <c r="Z5284" t="s">
        <v>28491</v>
      </c>
      <c r="AA5284">
        <v>0.84916293106003948</v>
      </c>
      <c r="AB5284" t="str">
        <f>HYPERLINK("Melting_Curves/meltCurve_Q9NV96_TMEM30A.pdf", "Melting_Curves/meltCurve_Q9NV96_TMEM30A.pdf")</f>
        <v>Melting_Curves/meltCurve_Q9NV96_TMEM30A.pdf</v>
      </c>
    </row>
    <row r="5285" spans="1:28" x14ac:dyDescent="0.25">
      <c r="A5285" t="s">
        <v>5289</v>
      </c>
      <c r="B5285">
        <v>0.99334974765950101</v>
      </c>
      <c r="C5285">
        <v>0.98354870562908903</v>
      </c>
      <c r="D5285">
        <v>0.99231238968964497</v>
      </c>
      <c r="E5285">
        <v>1.0403683438963101</v>
      </c>
      <c r="F5285">
        <v>1.33609006456749</v>
      </c>
      <c r="G5285">
        <v>1.2128105241912299</v>
      </c>
      <c r="H5285">
        <v>0.91464876435176401</v>
      </c>
      <c r="I5285">
        <v>1.0639752339578801</v>
      </c>
      <c r="J5285">
        <v>0.38088057994177998</v>
      </c>
      <c r="K5285">
        <v>0.204174487570213</v>
      </c>
      <c r="L5285">
        <v>15000</v>
      </c>
      <c r="M5285">
        <v>225.13393534689399</v>
      </c>
      <c r="N5285">
        <v>66.782654118696101</v>
      </c>
      <c r="O5285">
        <v>66.6217483281293</v>
      </c>
      <c r="P5285">
        <v>-0.67236192760739999</v>
      </c>
      <c r="Q5285">
        <v>0.20413727121493699</v>
      </c>
      <c r="R5285">
        <v>0.84554174662047199</v>
      </c>
      <c r="S5285" t="s">
        <v>11146</v>
      </c>
      <c r="T5285" t="s">
        <v>11720</v>
      </c>
      <c r="U5285" t="s">
        <v>11720</v>
      </c>
      <c r="V5285" t="s">
        <v>11720</v>
      </c>
      <c r="W5285" t="s">
        <v>16947</v>
      </c>
      <c r="X5285">
        <v>28</v>
      </c>
      <c r="Y5285" t="s">
        <v>22649</v>
      </c>
      <c r="Z5285" t="s">
        <v>28492</v>
      </c>
      <c r="AA5285">
        <v>0.91063324024117365</v>
      </c>
      <c r="AB5285" t="str">
        <f>HYPERLINK("Melting_Curves/meltCurve_Q9NVA2_2_SEPT11.pdf", "Melting_Curves/meltCurve_Q9NVA2_2_SEPT11.pdf")</f>
        <v>Melting_Curves/meltCurve_Q9NVA2_2_SEPT11.pdf</v>
      </c>
    </row>
    <row r="5286" spans="1:28" x14ac:dyDescent="0.25">
      <c r="A5286" t="s">
        <v>5290</v>
      </c>
      <c r="B5286">
        <v>0.99334974765950101</v>
      </c>
      <c r="C5286">
        <v>0.974856505088319</v>
      </c>
      <c r="D5286">
        <v>0.95375098455012197</v>
      </c>
      <c r="E5286">
        <v>0.82112077199404498</v>
      </c>
      <c r="F5286">
        <v>0.98321892327601301</v>
      </c>
      <c r="G5286">
        <v>0.73885253462568901</v>
      </c>
      <c r="H5286">
        <v>0.70651803709782002</v>
      </c>
      <c r="I5286">
        <v>0.94880774549820801</v>
      </c>
      <c r="J5286">
        <v>0.70417594111196202</v>
      </c>
      <c r="K5286">
        <v>0.51183503451571599</v>
      </c>
      <c r="L5286">
        <v>333.555359498874</v>
      </c>
      <c r="M5286">
        <v>4.2344840895294498</v>
      </c>
      <c r="O5286">
        <v>65.804620252748094</v>
      </c>
      <c r="P5286">
        <v>-1.62592864394338E-2</v>
      </c>
      <c r="Q5286">
        <v>0</v>
      </c>
      <c r="R5286">
        <v>0.59862698869334796</v>
      </c>
      <c r="S5286" t="s">
        <v>11147</v>
      </c>
      <c r="T5286" t="s">
        <v>11720</v>
      </c>
      <c r="U5286" t="s">
        <v>11720</v>
      </c>
      <c r="V5286" t="s">
        <v>11720</v>
      </c>
      <c r="W5286" t="s">
        <v>16948</v>
      </c>
      <c r="X5286">
        <v>1</v>
      </c>
      <c r="Y5286" t="s">
        <v>22650</v>
      </c>
      <c r="Z5286" t="s">
        <v>28493</v>
      </c>
      <c r="AA5286">
        <v>0.84227021927529011</v>
      </c>
      <c r="AB5286" t="str">
        <f>HYPERLINK("Melting_Curves/meltCurve_Q9NVA4_TMEM184C.pdf", "Melting_Curves/meltCurve_Q9NVA4_TMEM184C.pdf")</f>
        <v>Melting_Curves/meltCurve_Q9NVA4_TMEM184C.pdf</v>
      </c>
    </row>
    <row r="5287" spans="1:28" x14ac:dyDescent="0.25">
      <c r="A5287" t="s">
        <v>5291</v>
      </c>
      <c r="B5287">
        <v>0.99334974765950101</v>
      </c>
      <c r="C5287">
        <v>0.87874447551244395</v>
      </c>
      <c r="D5287">
        <v>0.85942658926312598</v>
      </c>
      <c r="E5287">
        <v>0.72232173844419501</v>
      </c>
      <c r="F5287">
        <v>1.1386585359532</v>
      </c>
      <c r="G5287">
        <v>0.62199572662426195</v>
      </c>
      <c r="H5287">
        <v>0.58014668196526997</v>
      </c>
      <c r="I5287">
        <v>0.74040895054834199</v>
      </c>
      <c r="J5287">
        <v>0.58150865927831497</v>
      </c>
      <c r="K5287">
        <v>0.40003287518303698</v>
      </c>
      <c r="L5287">
        <v>334.43911326770802</v>
      </c>
      <c r="M5287">
        <v>4.8046935373848498</v>
      </c>
      <c r="N5287">
        <v>69.606752440029396</v>
      </c>
      <c r="O5287">
        <v>60.171607681928599</v>
      </c>
      <c r="P5287">
        <v>-2.0102572961031202E-2</v>
      </c>
      <c r="Q5287">
        <v>0</v>
      </c>
      <c r="R5287">
        <v>0.57836568809907196</v>
      </c>
      <c r="S5287" t="s">
        <v>11148</v>
      </c>
      <c r="T5287" t="s">
        <v>11720</v>
      </c>
      <c r="U5287" t="s">
        <v>11720</v>
      </c>
      <c r="V5287" t="s">
        <v>11720</v>
      </c>
      <c r="W5287" t="s">
        <v>16949</v>
      </c>
      <c r="X5287">
        <v>2</v>
      </c>
      <c r="Y5287" t="s">
        <v>22651</v>
      </c>
      <c r="Z5287" t="s">
        <v>28494</v>
      </c>
      <c r="AA5287">
        <v>0.76460929989646531</v>
      </c>
      <c r="AB5287" t="str">
        <f>HYPERLINK("Melting_Curves/meltCurve_Q9NVC3_SLC38A7.pdf", "Melting_Curves/meltCurve_Q9NVC3_SLC38A7.pdf")</f>
        <v>Melting_Curves/meltCurve_Q9NVC3_SLC38A7.pdf</v>
      </c>
    </row>
    <row r="5288" spans="1:28" x14ac:dyDescent="0.25">
      <c r="A5288" t="s">
        <v>5292</v>
      </c>
      <c r="B5288">
        <v>0.99334974765950101</v>
      </c>
      <c r="C5288">
        <v>0.945341174739873</v>
      </c>
      <c r="D5288">
        <v>0.89469614928137897</v>
      </c>
      <c r="E5288">
        <v>0.64506627227508395</v>
      </c>
      <c r="F5288">
        <v>0.31656077950521699</v>
      </c>
      <c r="G5288">
        <v>0.18648300969151599</v>
      </c>
      <c r="H5288">
        <v>0.149633130414428</v>
      </c>
      <c r="I5288">
        <v>0.14104807027749</v>
      </c>
      <c r="J5288">
        <v>0.13646357855198099</v>
      </c>
      <c r="K5288">
        <v>0.12087726272149101</v>
      </c>
      <c r="L5288">
        <v>1166.9620310984001</v>
      </c>
      <c r="M5288">
        <v>23.113935212860898</v>
      </c>
      <c r="N5288">
        <v>51.140095357108002</v>
      </c>
      <c r="O5288">
        <v>50.114028135875401</v>
      </c>
      <c r="P5288">
        <v>-0.10057995794987699</v>
      </c>
      <c r="Q5288">
        <v>0.127734122848563</v>
      </c>
      <c r="R5288">
        <v>0.99661115032411896</v>
      </c>
      <c r="S5288" t="s">
        <v>11149</v>
      </c>
      <c r="T5288" t="s">
        <v>11720</v>
      </c>
      <c r="U5288" t="s">
        <v>11720</v>
      </c>
      <c r="V5288" t="s">
        <v>11720</v>
      </c>
      <c r="W5288" t="s">
        <v>16950</v>
      </c>
      <c r="X5288">
        <v>9</v>
      </c>
      <c r="Y5288" t="s">
        <v>22652</v>
      </c>
      <c r="Z5288" t="s">
        <v>28495</v>
      </c>
      <c r="AA5288">
        <v>0.44181290189710631</v>
      </c>
      <c r="AB5288" t="str">
        <f>HYPERLINK("Melting_Curves/meltCurve_Q9NVE7_PANK4.pdf", "Melting_Curves/meltCurve_Q9NVE7_PANK4.pdf")</f>
        <v>Melting_Curves/meltCurve_Q9NVE7_PANK4.pdf</v>
      </c>
    </row>
    <row r="5289" spans="1:28" x14ac:dyDescent="0.25">
      <c r="A5289" t="s">
        <v>5293</v>
      </c>
      <c r="B5289">
        <v>0.99334974765950101</v>
      </c>
      <c r="C5289">
        <v>0.97626965732835402</v>
      </c>
      <c r="D5289">
        <v>0.94508857881088304</v>
      </c>
      <c r="E5289">
        <v>0.77119155591337796</v>
      </c>
      <c r="F5289">
        <v>0.57990526273683096</v>
      </c>
      <c r="G5289">
        <v>0.33848416519265601</v>
      </c>
      <c r="H5289">
        <v>0.15421059393978501</v>
      </c>
      <c r="I5289">
        <v>0.114861253156528</v>
      </c>
      <c r="J5289">
        <v>0.10524140371249301</v>
      </c>
      <c r="K5289">
        <v>8.3908132139521696E-2</v>
      </c>
      <c r="L5289">
        <v>862.66892211641903</v>
      </c>
      <c r="M5289">
        <v>16.067168792682399</v>
      </c>
      <c r="N5289">
        <v>54.0958679828478</v>
      </c>
      <c r="O5289">
        <v>52.880344219338902</v>
      </c>
      <c r="P5289">
        <v>-7.1666626415291396E-2</v>
      </c>
      <c r="Q5289">
        <v>5.6594583104759101E-2</v>
      </c>
      <c r="R5289">
        <v>0.999178365889975</v>
      </c>
      <c r="S5289" t="s">
        <v>11150</v>
      </c>
      <c r="T5289" t="s">
        <v>11720</v>
      </c>
      <c r="U5289" t="s">
        <v>11720</v>
      </c>
      <c r="V5289" t="s">
        <v>11720</v>
      </c>
      <c r="W5289" t="s">
        <v>16951</v>
      </c>
      <c r="X5289">
        <v>20</v>
      </c>
      <c r="Y5289" t="s">
        <v>22653</v>
      </c>
      <c r="Z5289" t="s">
        <v>28496</v>
      </c>
      <c r="AA5289">
        <v>0.50509103646262277</v>
      </c>
      <c r="AB5289" t="str">
        <f>HYPERLINK("Melting_Curves/meltCurve_Q9NVG8_TBC1D13.pdf", "Melting_Curves/meltCurve_Q9NVG8_TBC1D13.pdf")</f>
        <v>Melting_Curves/meltCurve_Q9NVG8_TBC1D13.pdf</v>
      </c>
    </row>
    <row r="5290" spans="1:28" x14ac:dyDescent="0.25">
      <c r="A5290" t="s">
        <v>5294</v>
      </c>
      <c r="B5290">
        <v>0.99334974765950101</v>
      </c>
      <c r="C5290">
        <v>0.97910458298494296</v>
      </c>
      <c r="D5290">
        <v>1.01268982528732</v>
      </c>
      <c r="E5290">
        <v>0.92582691915516302</v>
      </c>
      <c r="F5290">
        <v>0.97976942716687199</v>
      </c>
      <c r="G5290">
        <v>0.73272142765861004</v>
      </c>
      <c r="H5290">
        <v>0.516794316008371</v>
      </c>
      <c r="I5290">
        <v>0.24736437799375799</v>
      </c>
      <c r="J5290">
        <v>0.12824265567069701</v>
      </c>
      <c r="K5290">
        <v>9.4951215630360006E-2</v>
      </c>
      <c r="L5290">
        <v>1132.6750395884701</v>
      </c>
      <c r="M5290">
        <v>18.6744899133102</v>
      </c>
      <c r="N5290">
        <v>60.653601438865103</v>
      </c>
      <c r="O5290">
        <v>59.970917869435198</v>
      </c>
      <c r="P5290">
        <v>-7.7851430202514005E-2</v>
      </c>
      <c r="Q5290">
        <v>0</v>
      </c>
      <c r="R5290">
        <v>0.992272214508784</v>
      </c>
      <c r="S5290" t="s">
        <v>11151</v>
      </c>
      <c r="T5290" t="s">
        <v>11720</v>
      </c>
      <c r="U5290" t="s">
        <v>11720</v>
      </c>
      <c r="V5290" t="s">
        <v>11720</v>
      </c>
      <c r="W5290" t="s">
        <v>16952</v>
      </c>
      <c r="X5290">
        <v>8</v>
      </c>
      <c r="Y5290" t="s">
        <v>22654</v>
      </c>
      <c r="Z5290" t="s">
        <v>28497</v>
      </c>
      <c r="AA5290">
        <v>0.69510312073627567</v>
      </c>
      <c r="AB5290" t="str">
        <f>HYPERLINK("Melting_Curves/meltCurve_Q9NVH6_TMLHE.pdf", "Melting_Curves/meltCurve_Q9NVH6_TMLHE.pdf")</f>
        <v>Melting_Curves/meltCurve_Q9NVH6_TMLHE.pdf</v>
      </c>
    </row>
    <row r="5291" spans="1:28" x14ac:dyDescent="0.25">
      <c r="A5291" t="s">
        <v>5295</v>
      </c>
      <c r="B5291">
        <v>0.99334974765950101</v>
      </c>
      <c r="C5291">
        <v>1.0437664260241299</v>
      </c>
      <c r="D5291">
        <v>1.06020856481659</v>
      </c>
      <c r="E5291">
        <v>1.2611563373091601</v>
      </c>
      <c r="F5291">
        <v>2.7862882489581899</v>
      </c>
      <c r="G5291">
        <v>1.50635888943438</v>
      </c>
      <c r="H5291">
        <v>1.8097848051405301</v>
      </c>
      <c r="I5291">
        <v>1.82104180907246</v>
      </c>
      <c r="J5291">
        <v>2.6444252065587999</v>
      </c>
      <c r="K5291">
        <v>1.46821297705312</v>
      </c>
      <c r="L5291">
        <v>12495.533217661199</v>
      </c>
      <c r="M5291">
        <v>250</v>
      </c>
      <c r="O5291">
        <v>49.978913655821401</v>
      </c>
      <c r="P5291">
        <v>0.62526343072324597</v>
      </c>
      <c r="Q5291">
        <v>1.5</v>
      </c>
      <c r="R5291">
        <v>0.13981299367331099</v>
      </c>
      <c r="S5291" t="s">
        <v>11152</v>
      </c>
      <c r="T5291" t="s">
        <v>11720</v>
      </c>
      <c r="U5291" t="s">
        <v>11720</v>
      </c>
      <c r="V5291" t="s">
        <v>11720</v>
      </c>
      <c r="W5291" t="s">
        <v>16953</v>
      </c>
      <c r="X5291">
        <v>1</v>
      </c>
      <c r="Y5291" t="s">
        <v>22655</v>
      </c>
      <c r="Z5291" t="s">
        <v>28498</v>
      </c>
      <c r="AA5291">
        <v>1.333587259889943</v>
      </c>
      <c r="AB5291" t="str">
        <f>HYPERLINK("Melting_Curves/meltCurve_Q9NVI7_2_ATAD3A.pdf", "Melting_Curves/meltCurve_Q9NVI7_2_ATAD3A.pdf")</f>
        <v>Melting_Curves/meltCurve_Q9NVI7_2_ATAD3A.pdf</v>
      </c>
    </row>
    <row r="5292" spans="1:28" x14ac:dyDescent="0.25">
      <c r="A5292" t="s">
        <v>5296</v>
      </c>
      <c r="B5292">
        <v>0.99334974765950101</v>
      </c>
      <c r="C5292">
        <v>1.01003075704496</v>
      </c>
      <c r="D5292">
        <v>0.88680427034836196</v>
      </c>
      <c r="E5292">
        <v>0.72257473364693303</v>
      </c>
      <c r="F5292">
        <v>0.52381847402946502</v>
      </c>
      <c r="G5292">
        <v>0.376380782508212</v>
      </c>
      <c r="H5292">
        <v>0.34355555702942903</v>
      </c>
      <c r="I5292">
        <v>0.56655319580305397</v>
      </c>
      <c r="J5292">
        <v>0.33534111899021601</v>
      </c>
      <c r="K5292">
        <v>0.235159544724137</v>
      </c>
      <c r="L5292">
        <v>994.60894045597502</v>
      </c>
      <c r="M5292">
        <v>19.736727689982501</v>
      </c>
      <c r="N5292">
        <v>53.7220791480079</v>
      </c>
      <c r="O5292">
        <v>49.885024666745302</v>
      </c>
      <c r="P5292">
        <v>-6.4018291533189497E-2</v>
      </c>
      <c r="Q5292">
        <v>0.35279149065135201</v>
      </c>
      <c r="R5292">
        <v>0.91826459322868204</v>
      </c>
      <c r="S5292" t="s">
        <v>11153</v>
      </c>
      <c r="T5292" t="s">
        <v>11720</v>
      </c>
      <c r="U5292" t="s">
        <v>11720</v>
      </c>
      <c r="V5292" t="s">
        <v>11720</v>
      </c>
      <c r="W5292" t="s">
        <v>16954</v>
      </c>
      <c r="X5292">
        <v>13</v>
      </c>
      <c r="Y5292" t="s">
        <v>22656</v>
      </c>
      <c r="Z5292" t="s">
        <v>28499</v>
      </c>
      <c r="AA5292">
        <v>0.58625327408825778</v>
      </c>
      <c r="AB5292" t="str">
        <f>HYPERLINK("Melting_Curves/meltCurve_Q9NVJ2_ARL8B.pdf", "Melting_Curves/meltCurve_Q9NVJ2_ARL8B.pdf")</f>
        <v>Melting_Curves/meltCurve_Q9NVJ2_ARL8B.pdf</v>
      </c>
    </row>
    <row r="5293" spans="1:28" x14ac:dyDescent="0.25">
      <c r="A5293" t="s">
        <v>5297</v>
      </c>
      <c r="B5293">
        <v>0.99334974765950101</v>
      </c>
      <c r="C5293">
        <v>0.93436881789544202</v>
      </c>
      <c r="D5293">
        <v>0.89756613743734504</v>
      </c>
      <c r="E5293">
        <v>0.83191295565816104</v>
      </c>
      <c r="F5293">
        <v>0.90176531715211605</v>
      </c>
      <c r="G5293">
        <v>0.78598606847994201</v>
      </c>
      <c r="H5293">
        <v>0.86059400755817805</v>
      </c>
      <c r="I5293">
        <v>1.15638276460469</v>
      </c>
      <c r="J5293">
        <v>1.46133932004969</v>
      </c>
      <c r="K5293">
        <v>1.21340001464773</v>
      </c>
      <c r="L5293">
        <v>15000</v>
      </c>
      <c r="M5293">
        <v>234.22901412149901</v>
      </c>
      <c r="O5293">
        <v>64.035196313849397</v>
      </c>
      <c r="P5293">
        <v>0.308509201313656</v>
      </c>
      <c r="Q5293">
        <v>1.33736989803692</v>
      </c>
      <c r="R5293">
        <v>0.628819204864142</v>
      </c>
      <c r="S5293" t="s">
        <v>11154</v>
      </c>
      <c r="T5293" t="s">
        <v>11720</v>
      </c>
      <c r="U5293" t="s">
        <v>11720</v>
      </c>
      <c r="V5293" t="s">
        <v>11720</v>
      </c>
      <c r="W5293" t="s">
        <v>16955</v>
      </c>
      <c r="X5293">
        <v>3</v>
      </c>
      <c r="Y5293" t="s">
        <v>22657</v>
      </c>
      <c r="Z5293" t="s">
        <v>28500</v>
      </c>
      <c r="AA5293">
        <v>1.0669822086047891</v>
      </c>
      <c r="AB5293" t="str">
        <f>HYPERLINK("Melting_Curves/meltCurve_Q9NVM1_EVA1B.pdf", "Melting_Curves/meltCurve_Q9NVM1_EVA1B.pdf")</f>
        <v>Melting_Curves/meltCurve_Q9NVM1_EVA1B.pdf</v>
      </c>
    </row>
    <row r="5294" spans="1:28" x14ac:dyDescent="0.25">
      <c r="A5294" t="s">
        <v>5298</v>
      </c>
      <c r="B5294">
        <v>0.99334974765950101</v>
      </c>
      <c r="C5294">
        <v>0.98103525039587203</v>
      </c>
      <c r="D5294">
        <v>0.84523121859855899</v>
      </c>
      <c r="E5294">
        <v>0.49051312766495597</v>
      </c>
      <c r="F5294">
        <v>0.281889513701512</v>
      </c>
      <c r="G5294">
        <v>0.224017992686946</v>
      </c>
      <c r="H5294">
        <v>0.189043879281762</v>
      </c>
      <c r="I5294">
        <v>0.18574526134712299</v>
      </c>
      <c r="J5294">
        <v>0.14952665505512</v>
      </c>
      <c r="K5294">
        <v>0.106892792053931</v>
      </c>
      <c r="L5294">
        <v>1086.65653186089</v>
      </c>
      <c r="M5294">
        <v>22.143694309931099</v>
      </c>
      <c r="N5294">
        <v>49.924480651448</v>
      </c>
      <c r="O5294">
        <v>48.6780027478896</v>
      </c>
      <c r="P5294">
        <v>-9.5841053208905E-2</v>
      </c>
      <c r="Q5294">
        <v>0.15727716019955201</v>
      </c>
      <c r="R5294">
        <v>0.99569066060488898</v>
      </c>
      <c r="S5294" t="s">
        <v>11155</v>
      </c>
      <c r="T5294" t="s">
        <v>11720</v>
      </c>
      <c r="U5294" t="s">
        <v>11720</v>
      </c>
      <c r="V5294" t="s">
        <v>11720</v>
      </c>
      <c r="W5294" t="s">
        <v>16956</v>
      </c>
      <c r="X5294">
        <v>8</v>
      </c>
      <c r="Y5294" t="s">
        <v>22658</v>
      </c>
      <c r="Z5294" t="s">
        <v>28501</v>
      </c>
      <c r="AA5294">
        <v>0.42172880964765852</v>
      </c>
      <c r="AB5294" t="str">
        <f>HYPERLINK("Melting_Curves/meltCurve_Q9NVM4_3_PRMT7.pdf", "Melting_Curves/meltCurve_Q9NVM4_3_PRMT7.pdf")</f>
        <v>Melting_Curves/meltCurve_Q9NVM4_3_PRMT7.pdf</v>
      </c>
    </row>
    <row r="5295" spans="1:28" x14ac:dyDescent="0.25">
      <c r="A5295" t="s">
        <v>5299</v>
      </c>
      <c r="B5295">
        <v>0.99334974765950101</v>
      </c>
      <c r="C5295">
        <v>1.02841816776462</v>
      </c>
      <c r="D5295">
        <v>0.90315974821252298</v>
      </c>
      <c r="E5295">
        <v>0.73396131930086805</v>
      </c>
      <c r="F5295">
        <v>0.48893016667897998</v>
      </c>
      <c r="G5295">
        <v>0.36708061579819701</v>
      </c>
      <c r="H5295">
        <v>0.27922335609405602</v>
      </c>
      <c r="I5295">
        <v>0.20824153906206999</v>
      </c>
      <c r="J5295">
        <v>0.27397692565338899</v>
      </c>
      <c r="K5295">
        <v>0.19944244234568101</v>
      </c>
      <c r="L5295">
        <v>932.02639511879602</v>
      </c>
      <c r="M5295">
        <v>18.073044206405399</v>
      </c>
      <c r="N5295">
        <v>53.294138157236802</v>
      </c>
      <c r="O5295">
        <v>50.951036040370496</v>
      </c>
      <c r="P5295">
        <v>-6.9051733381122096E-2</v>
      </c>
      <c r="Q5295">
        <v>0.22136271200013</v>
      </c>
      <c r="R5295">
        <v>0.99168481654832297</v>
      </c>
      <c r="S5295" t="s">
        <v>11156</v>
      </c>
      <c r="T5295" t="s">
        <v>11720</v>
      </c>
      <c r="U5295" t="s">
        <v>11720</v>
      </c>
      <c r="V5295" t="s">
        <v>11720</v>
      </c>
      <c r="W5295" t="s">
        <v>16957</v>
      </c>
      <c r="X5295">
        <v>1</v>
      </c>
      <c r="Y5295" t="s">
        <v>22659</v>
      </c>
      <c r="Z5295" t="s">
        <v>28502</v>
      </c>
      <c r="AA5295">
        <v>0.53459471281434179</v>
      </c>
      <c r="AB5295" t="str">
        <f>HYPERLINK("Melting_Curves/meltCurve_Q9NVM6_DNAJC17.pdf", "Melting_Curves/meltCurve_Q9NVM6_DNAJC17.pdf")</f>
        <v>Melting_Curves/meltCurve_Q9NVM6_DNAJC17.pdf</v>
      </c>
    </row>
    <row r="5296" spans="1:28" x14ac:dyDescent="0.25">
      <c r="A5296" t="s">
        <v>5300</v>
      </c>
      <c r="B5296">
        <v>0.99334974765950101</v>
      </c>
      <c r="C5296">
        <v>0.97093219701747902</v>
      </c>
      <c r="D5296">
        <v>0.800810015532327</v>
      </c>
      <c r="E5296">
        <v>0.69156081335256203</v>
      </c>
      <c r="F5296">
        <v>0.47236106108904102</v>
      </c>
      <c r="G5296">
        <v>0.26167489268159</v>
      </c>
      <c r="H5296">
        <v>0.195577405633374</v>
      </c>
      <c r="I5296">
        <v>0.181541707654782</v>
      </c>
      <c r="J5296">
        <v>0.20520943493737601</v>
      </c>
      <c r="K5296">
        <v>0.15756886112621801</v>
      </c>
      <c r="L5296">
        <v>761.28667185153097</v>
      </c>
      <c r="M5296">
        <v>14.8802011768942</v>
      </c>
      <c r="N5296">
        <v>52.353568794752199</v>
      </c>
      <c r="O5296">
        <v>50.263709976546203</v>
      </c>
      <c r="P5296">
        <v>-6.3379077296459196E-2</v>
      </c>
      <c r="Q5296">
        <v>0.14373859792223001</v>
      </c>
      <c r="R5296">
        <v>0.99085706798412398</v>
      </c>
      <c r="S5296" t="s">
        <v>11157</v>
      </c>
      <c r="T5296" t="s">
        <v>11720</v>
      </c>
      <c r="U5296" t="s">
        <v>11720</v>
      </c>
      <c r="V5296" t="s">
        <v>11720</v>
      </c>
      <c r="W5296" t="s">
        <v>16958</v>
      </c>
      <c r="X5296">
        <v>3</v>
      </c>
      <c r="Y5296" t="s">
        <v>22660</v>
      </c>
      <c r="Z5296" t="s">
        <v>28503</v>
      </c>
      <c r="AA5296">
        <v>0.48223968654424199</v>
      </c>
      <c r="AB5296" t="str">
        <f>HYPERLINK("Melting_Curves/meltCurve_Q9NVR5_DNAAF2.pdf", "Melting_Curves/meltCurve_Q9NVR5_DNAAF2.pdf")</f>
        <v>Melting_Curves/meltCurve_Q9NVR5_DNAAF2.pdf</v>
      </c>
    </row>
    <row r="5297" spans="1:28" x14ac:dyDescent="0.25">
      <c r="A5297" t="s">
        <v>5301</v>
      </c>
      <c r="B5297">
        <v>0.99334974765950101</v>
      </c>
      <c r="C5297">
        <v>0.99548596033182302</v>
      </c>
      <c r="D5297">
        <v>0.92754284353080596</v>
      </c>
      <c r="E5297">
        <v>0.75972476911645304</v>
      </c>
      <c r="F5297">
        <v>0.43419342665274602</v>
      </c>
      <c r="G5297">
        <v>0.22908538733075701</v>
      </c>
      <c r="H5297">
        <v>0.156719630124287</v>
      </c>
      <c r="I5297">
        <v>0.13016510908475601</v>
      </c>
      <c r="J5297">
        <v>0.117868639129295</v>
      </c>
      <c r="K5297">
        <v>0.11131489533538701</v>
      </c>
      <c r="L5297">
        <v>1173.6033745811801</v>
      </c>
      <c r="M5297">
        <v>22.61989883032</v>
      </c>
      <c r="N5297">
        <v>52.502456270532903</v>
      </c>
      <c r="O5297">
        <v>51.4832665197642</v>
      </c>
      <c r="P5297">
        <v>-9.6990656760931104E-2</v>
      </c>
      <c r="Q5297">
        <v>0.11700825520191099</v>
      </c>
      <c r="R5297">
        <v>0.99851845816301299</v>
      </c>
      <c r="S5297" t="s">
        <v>11158</v>
      </c>
      <c r="T5297" t="s">
        <v>11720</v>
      </c>
      <c r="U5297" t="s">
        <v>11720</v>
      </c>
      <c r="V5297" t="s">
        <v>11720</v>
      </c>
      <c r="W5297" t="s">
        <v>16959</v>
      </c>
      <c r="X5297">
        <v>11</v>
      </c>
      <c r="Y5297" t="s">
        <v>22661</v>
      </c>
      <c r="Z5297" t="s">
        <v>28504</v>
      </c>
      <c r="AA5297">
        <v>0.47652471512634947</v>
      </c>
      <c r="AB5297" t="str">
        <f>HYPERLINK("Melting_Curves/meltCurve_Q9NVS9_PNPO.pdf", "Melting_Curves/meltCurve_Q9NVS9_PNPO.pdf")</f>
        <v>Melting_Curves/meltCurve_Q9NVS9_PNPO.pdf</v>
      </c>
    </row>
    <row r="5298" spans="1:28" x14ac:dyDescent="0.25">
      <c r="A5298" t="s">
        <v>5302</v>
      </c>
      <c r="B5298">
        <v>0.99334974765950101</v>
      </c>
      <c r="C5298">
        <v>0.90158956439703697</v>
      </c>
      <c r="D5298">
        <v>0.83765490967122302</v>
      </c>
      <c r="E5298">
        <v>0.80837429949609896</v>
      </c>
      <c r="F5298">
        <v>0.44911877876445599</v>
      </c>
      <c r="G5298">
        <v>0.45246446799078299</v>
      </c>
      <c r="H5298">
        <v>0.25215913313737398</v>
      </c>
      <c r="I5298">
        <v>0.15501845897101499</v>
      </c>
      <c r="J5298">
        <v>0.142041996179116</v>
      </c>
      <c r="K5298">
        <v>0.122290642213514</v>
      </c>
      <c r="L5298">
        <v>552.79863318603896</v>
      </c>
      <c r="M5298">
        <v>10.2087413593097</v>
      </c>
      <c r="N5298">
        <v>54.358817689786903</v>
      </c>
      <c r="O5298">
        <v>52.195090770061903</v>
      </c>
      <c r="P5298">
        <v>-4.7976320746234702E-2</v>
      </c>
      <c r="Q5298">
        <v>1.9270470314951799E-2</v>
      </c>
      <c r="R5298">
        <v>0.97057225176947004</v>
      </c>
      <c r="S5298" t="s">
        <v>11159</v>
      </c>
      <c r="T5298" t="s">
        <v>11720</v>
      </c>
      <c r="U5298" t="s">
        <v>11720</v>
      </c>
      <c r="V5298" t="s">
        <v>11720</v>
      </c>
      <c r="W5298" t="s">
        <v>16960</v>
      </c>
      <c r="X5298">
        <v>5</v>
      </c>
      <c r="Y5298" t="s">
        <v>22662</v>
      </c>
      <c r="Z5298" t="s">
        <v>28505</v>
      </c>
      <c r="AA5298">
        <v>0.5104598644474907</v>
      </c>
      <c r="AB5298" t="str">
        <f>HYPERLINK("Melting_Curves/meltCurve_Q9NVT9_ARMC1.pdf", "Melting_Curves/meltCurve_Q9NVT9_ARMC1.pdf")</f>
        <v>Melting_Curves/meltCurve_Q9NVT9_ARMC1.pdf</v>
      </c>
    </row>
    <row r="5299" spans="1:28" x14ac:dyDescent="0.25">
      <c r="A5299" t="s">
        <v>5303</v>
      </c>
      <c r="B5299">
        <v>0.99334974765950101</v>
      </c>
      <c r="C5299">
        <v>0.92260988656363296</v>
      </c>
      <c r="D5299">
        <v>0.89662302748617895</v>
      </c>
      <c r="E5299">
        <v>0.598755302155072</v>
      </c>
      <c r="F5299">
        <v>0.90698857713224201</v>
      </c>
      <c r="G5299">
        <v>0.55611745526984202</v>
      </c>
      <c r="H5299">
        <v>0.58298565729291396</v>
      </c>
      <c r="I5299">
        <v>0.52653380589358501</v>
      </c>
      <c r="J5299">
        <v>0.422335941018184</v>
      </c>
      <c r="K5299">
        <v>0.483455704518644</v>
      </c>
      <c r="L5299">
        <v>389.21827768776501</v>
      </c>
      <c r="M5299">
        <v>7.0581352185210502</v>
      </c>
      <c r="N5299">
        <v>65.128223495278704</v>
      </c>
      <c r="O5299">
        <v>51.230926643025199</v>
      </c>
      <c r="P5299">
        <v>-2.3099751163567099E-2</v>
      </c>
      <c r="Q5299">
        <v>0.330533072594351</v>
      </c>
      <c r="R5299">
        <v>0.79854716654401903</v>
      </c>
      <c r="S5299" t="s">
        <v>11160</v>
      </c>
      <c r="T5299" t="s">
        <v>11720</v>
      </c>
      <c r="U5299" t="s">
        <v>11720</v>
      </c>
      <c r="V5299" t="s">
        <v>11720</v>
      </c>
      <c r="W5299" t="s">
        <v>16961</v>
      </c>
      <c r="X5299">
        <v>1</v>
      </c>
      <c r="Y5299" t="s">
        <v>22663</v>
      </c>
      <c r="Z5299" t="s">
        <v>28506</v>
      </c>
      <c r="AA5299">
        <v>0.68575499579381727</v>
      </c>
      <c r="AB5299" t="str">
        <f>HYPERLINK("Melting_Curves/meltCurve_Q9NVW2_RLIM.pdf", "Melting_Curves/meltCurve_Q9NVW2_RLIM.pdf")</f>
        <v>Melting_Curves/meltCurve_Q9NVW2_RLIM.pdf</v>
      </c>
    </row>
    <row r="5300" spans="1:28" x14ac:dyDescent="0.25">
      <c r="A5300" t="s">
        <v>5304</v>
      </c>
      <c r="B5300">
        <v>0.99334974765950101</v>
      </c>
      <c r="C5300">
        <v>0.95304073572126102</v>
      </c>
      <c r="D5300">
        <v>0.97718368391134702</v>
      </c>
      <c r="E5300">
        <v>1.01208089040149</v>
      </c>
      <c r="F5300">
        <v>1.3072291224993799</v>
      </c>
      <c r="G5300">
        <v>0.69401657578014497</v>
      </c>
      <c r="H5300">
        <v>0.45862894144539901</v>
      </c>
      <c r="I5300">
        <v>0.37876417054948502</v>
      </c>
      <c r="J5300">
        <v>0.230184465201827</v>
      </c>
      <c r="K5300">
        <v>0.13464364594908901</v>
      </c>
      <c r="L5300">
        <v>1614.3871900189499</v>
      </c>
      <c r="M5300">
        <v>27.163200441567</v>
      </c>
      <c r="N5300">
        <v>60.491350250991502</v>
      </c>
      <c r="O5300">
        <v>59.113560702039202</v>
      </c>
      <c r="P5300">
        <v>-9.3149031725873493E-2</v>
      </c>
      <c r="Q5300">
        <v>0.189150387048516</v>
      </c>
      <c r="R5300">
        <v>0.89881089971769301</v>
      </c>
      <c r="S5300" t="s">
        <v>11161</v>
      </c>
      <c r="T5300" t="s">
        <v>11720</v>
      </c>
      <c r="U5300" t="s">
        <v>11720</v>
      </c>
      <c r="V5300" t="s">
        <v>11720</v>
      </c>
      <c r="W5300" t="s">
        <v>16962</v>
      </c>
      <c r="X5300">
        <v>5</v>
      </c>
      <c r="Y5300" t="s">
        <v>22664</v>
      </c>
      <c r="Z5300" t="s">
        <v>28507</v>
      </c>
      <c r="AA5300">
        <v>0.72020744587281438</v>
      </c>
      <c r="AB5300" t="str">
        <f>HYPERLINK("Melting_Curves/meltCurve_Q9NVX2_NLE1.pdf", "Melting_Curves/meltCurve_Q9NVX2_NLE1.pdf")</f>
        <v>Melting_Curves/meltCurve_Q9NVX2_NLE1.pdf</v>
      </c>
    </row>
    <row r="5301" spans="1:28" x14ac:dyDescent="0.25">
      <c r="A5301" t="s">
        <v>5305</v>
      </c>
      <c r="B5301">
        <v>0.99334974765950101</v>
      </c>
      <c r="C5301">
        <v>1.0431432327708501</v>
      </c>
      <c r="D5301">
        <v>0.86413113606907799</v>
      </c>
      <c r="E5301">
        <v>1.0292221188122399</v>
      </c>
      <c r="F5301">
        <v>0.76859255950847505</v>
      </c>
      <c r="G5301">
        <v>0.53094086629757697</v>
      </c>
      <c r="H5301">
        <v>0.46589632834065098</v>
      </c>
      <c r="I5301">
        <v>0.440979241673575</v>
      </c>
      <c r="J5301">
        <v>0.44013298002492601</v>
      </c>
      <c r="K5301">
        <v>0.29924561256457899</v>
      </c>
      <c r="L5301">
        <v>1408.2507893842301</v>
      </c>
      <c r="M5301">
        <v>25.862264307164999</v>
      </c>
      <c r="N5301">
        <v>57.9397308405185</v>
      </c>
      <c r="O5301">
        <v>54.129519828512898</v>
      </c>
      <c r="P5301">
        <v>-7.2313917401428701E-2</v>
      </c>
      <c r="Q5301">
        <v>0.39459723155265503</v>
      </c>
      <c r="R5301">
        <v>0.94345102610901599</v>
      </c>
      <c r="S5301" t="s">
        <v>11162</v>
      </c>
      <c r="T5301" t="s">
        <v>11720</v>
      </c>
      <c r="U5301" t="s">
        <v>11720</v>
      </c>
      <c r="V5301" t="s">
        <v>11720</v>
      </c>
      <c r="W5301" t="s">
        <v>16963</v>
      </c>
      <c r="X5301">
        <v>1</v>
      </c>
      <c r="Y5301" t="s">
        <v>22665</v>
      </c>
      <c r="Z5301" t="s">
        <v>28508</v>
      </c>
      <c r="AA5301">
        <v>0.69151213993658145</v>
      </c>
      <c r="AB5301" t="str">
        <f>HYPERLINK("Melting_Curves/meltCurve_Q9NVX7_KBTBD4.pdf", "Melting_Curves/meltCurve_Q9NVX7_KBTBD4.pdf")</f>
        <v>Melting_Curves/meltCurve_Q9NVX7_KBTBD4.pdf</v>
      </c>
    </row>
    <row r="5302" spans="1:28" x14ac:dyDescent="0.25">
      <c r="A5302" t="s">
        <v>5306</v>
      </c>
      <c r="B5302">
        <v>0.99334974765950101</v>
      </c>
      <c r="C5302">
        <v>0.98806188852483501</v>
      </c>
      <c r="D5302">
        <v>0.88957084044444101</v>
      </c>
      <c r="E5302">
        <v>0.76516787631132499</v>
      </c>
      <c r="F5302">
        <v>0.36708253033314298</v>
      </c>
      <c r="G5302">
        <v>0.17427465592376101</v>
      </c>
      <c r="H5302">
        <v>7.88011183710976E-2</v>
      </c>
      <c r="I5302">
        <v>5.4338856950112001E-2</v>
      </c>
      <c r="J5302">
        <v>4.0635272577880403E-2</v>
      </c>
      <c r="K5302">
        <v>3.34889903501919E-2</v>
      </c>
      <c r="L5302">
        <v>1168.3786558947199</v>
      </c>
      <c r="M5302">
        <v>22.509920635548699</v>
      </c>
      <c r="N5302">
        <v>52.094579605145597</v>
      </c>
      <c r="O5302">
        <v>51.500612734773902</v>
      </c>
      <c r="P5302">
        <v>-0.10497636273408199</v>
      </c>
      <c r="Q5302">
        <v>3.9314822746684401E-2</v>
      </c>
      <c r="R5302">
        <v>0.99453796675873096</v>
      </c>
      <c r="S5302" t="s">
        <v>11163</v>
      </c>
      <c r="T5302" t="s">
        <v>11720</v>
      </c>
      <c r="U5302" t="s">
        <v>11720</v>
      </c>
      <c r="V5302" t="s">
        <v>11720</v>
      </c>
      <c r="W5302" t="s">
        <v>16964</v>
      </c>
      <c r="X5302">
        <v>9</v>
      </c>
      <c r="Y5302" t="s">
        <v>22666</v>
      </c>
      <c r="Z5302" t="s">
        <v>28509</v>
      </c>
      <c r="AA5302">
        <v>0.4312480970636719</v>
      </c>
      <c r="AB5302" t="str">
        <f>HYPERLINK("Melting_Curves/meltCurve_Q9NVZ3_NECAP2.pdf", "Melting_Curves/meltCurve_Q9NVZ3_NECAP2.pdf")</f>
        <v>Melting_Curves/meltCurve_Q9NVZ3_NECAP2.pdf</v>
      </c>
    </row>
    <row r="5303" spans="1:28" x14ac:dyDescent="0.25">
      <c r="A5303" t="s">
        <v>5307</v>
      </c>
      <c r="B5303">
        <v>0.99334974765950101</v>
      </c>
      <c r="C5303">
        <v>0.94789159134154599</v>
      </c>
      <c r="D5303">
        <v>0.969529455482533</v>
      </c>
      <c r="E5303">
        <v>1.0583474924357601</v>
      </c>
      <c r="F5303">
        <v>0.50810452418823004</v>
      </c>
      <c r="G5303">
        <v>0.263210211438272</v>
      </c>
      <c r="H5303">
        <v>0.200270908773717</v>
      </c>
      <c r="I5303">
        <v>0.162599877887629</v>
      </c>
      <c r="J5303">
        <v>0.15977873258491401</v>
      </c>
      <c r="K5303">
        <v>0.129837501060862</v>
      </c>
      <c r="L5303">
        <v>13228.0289649101</v>
      </c>
      <c r="M5303">
        <v>250</v>
      </c>
      <c r="N5303">
        <v>53.008837471577799</v>
      </c>
      <c r="O5303">
        <v>52.908746154737003</v>
      </c>
      <c r="P5303">
        <v>-0.96494067289140795</v>
      </c>
      <c r="Q5303">
        <v>0.18313943384065401</v>
      </c>
      <c r="R5303">
        <v>0.98805043181906205</v>
      </c>
      <c r="S5303" t="s">
        <v>11164</v>
      </c>
      <c r="T5303" t="s">
        <v>11720</v>
      </c>
      <c r="U5303" t="s">
        <v>11720</v>
      </c>
      <c r="V5303" t="s">
        <v>11720</v>
      </c>
      <c r="W5303" t="s">
        <v>16965</v>
      </c>
      <c r="X5303">
        <v>10</v>
      </c>
      <c r="Y5303" t="s">
        <v>22667</v>
      </c>
      <c r="Z5303" t="s">
        <v>28510</v>
      </c>
      <c r="AA5303">
        <v>0.53479522984438366</v>
      </c>
      <c r="AB5303" t="str">
        <f>HYPERLINK("Melting_Curves/meltCurve_Q9NW15_ANO10.pdf", "Melting_Curves/meltCurve_Q9NW15_ANO10.pdf")</f>
        <v>Melting_Curves/meltCurve_Q9NW15_ANO10.pdf</v>
      </c>
    </row>
    <row r="5304" spans="1:28" x14ac:dyDescent="0.25">
      <c r="A5304" t="s">
        <v>5308</v>
      </c>
      <c r="B5304">
        <v>0.99334974765950101</v>
      </c>
      <c r="C5304">
        <v>0.738127715579043</v>
      </c>
      <c r="D5304">
        <v>0.73689923013520997</v>
      </c>
      <c r="E5304">
        <v>0.72372228559406504</v>
      </c>
      <c r="F5304">
        <v>0.666735033325763</v>
      </c>
      <c r="G5304">
        <v>0.59147396768792904</v>
      </c>
      <c r="H5304">
        <v>0.35908039264275499</v>
      </c>
      <c r="I5304">
        <v>0.37696351911621201</v>
      </c>
      <c r="J5304">
        <v>0.34347435022578698</v>
      </c>
      <c r="K5304">
        <v>0.34131508738272198</v>
      </c>
      <c r="L5304">
        <v>278.46289345417199</v>
      </c>
      <c r="M5304">
        <v>4.7739171568779399</v>
      </c>
      <c r="N5304">
        <v>58.330064033885797</v>
      </c>
      <c r="O5304">
        <v>50.342971711374197</v>
      </c>
      <c r="P5304">
        <v>-2.38770233258962E-2</v>
      </c>
      <c r="Q5304">
        <v>0</v>
      </c>
      <c r="R5304">
        <v>0.91170052148050396</v>
      </c>
      <c r="S5304" t="s">
        <v>11165</v>
      </c>
      <c r="T5304" t="s">
        <v>11720</v>
      </c>
      <c r="U5304" t="s">
        <v>11720</v>
      </c>
      <c r="V5304" t="s">
        <v>11720</v>
      </c>
      <c r="W5304" t="s">
        <v>16938</v>
      </c>
      <c r="X5304">
        <v>10</v>
      </c>
      <c r="Y5304" t="s">
        <v>22640</v>
      </c>
      <c r="Z5304" t="s">
        <v>28511</v>
      </c>
      <c r="AA5304">
        <v>0.58590303462445581</v>
      </c>
      <c r="AB5304" t="str">
        <f>HYPERLINK("Melting_Curves/meltCurve_Q9NW21_FAM49B.pdf", "Melting_Curves/meltCurve_Q9NW21_FAM49B.pdf")</f>
        <v>Melting_Curves/meltCurve_Q9NW21_FAM49B.pdf</v>
      </c>
    </row>
    <row r="5305" spans="1:28" x14ac:dyDescent="0.25">
      <c r="A5305" t="s">
        <v>5309</v>
      </c>
      <c r="B5305">
        <v>0.99334974765950101</v>
      </c>
      <c r="C5305">
        <v>1.3123606384687301</v>
      </c>
      <c r="D5305">
        <v>0.87761284958905605</v>
      </c>
      <c r="E5305">
        <v>0.74771307819644495</v>
      </c>
      <c r="F5305">
        <v>0.39129412754701598</v>
      </c>
      <c r="G5305">
        <v>0.15006165325770601</v>
      </c>
      <c r="H5305">
        <v>0.18255287398849701</v>
      </c>
      <c r="I5305">
        <v>6.6533823362251596E-2</v>
      </c>
      <c r="J5305">
        <v>0.30541275544350399</v>
      </c>
      <c r="K5305">
        <v>0.86021233024309496</v>
      </c>
      <c r="L5305">
        <v>2339.9111616990299</v>
      </c>
      <c r="M5305">
        <v>46.294887141829498</v>
      </c>
      <c r="N5305">
        <v>51.644644104497097</v>
      </c>
      <c r="O5305">
        <v>50.449579641972299</v>
      </c>
      <c r="P5305">
        <v>-0.157457292560404</v>
      </c>
      <c r="Q5305">
        <v>0.31364817764662101</v>
      </c>
      <c r="R5305">
        <v>0.68119091103308704</v>
      </c>
      <c r="S5305" t="s">
        <v>11166</v>
      </c>
      <c r="T5305" t="s">
        <v>11720</v>
      </c>
      <c r="U5305" t="s">
        <v>11720</v>
      </c>
      <c r="V5305" t="s">
        <v>11720</v>
      </c>
      <c r="W5305" t="s">
        <v>16966</v>
      </c>
      <c r="X5305">
        <v>8</v>
      </c>
      <c r="Y5305" t="s">
        <v>17795</v>
      </c>
      <c r="Z5305" t="s">
        <v>28512</v>
      </c>
      <c r="AA5305">
        <v>0.55665584362040266</v>
      </c>
      <c r="AB5305" t="str">
        <f>HYPERLINK("Melting_Curves/meltCurve_Q9NW68_4_BSDC1.pdf", "Melting_Curves/meltCurve_Q9NW68_4_BSDC1.pdf")</f>
        <v>Melting_Curves/meltCurve_Q9NW68_4_BSDC1.pdf</v>
      </c>
    </row>
    <row r="5306" spans="1:28" x14ac:dyDescent="0.25">
      <c r="A5306" t="s">
        <v>5310</v>
      </c>
      <c r="B5306">
        <v>0.99334974765950101</v>
      </c>
      <c r="C5306">
        <v>0.96170866655674903</v>
      </c>
      <c r="D5306">
        <v>0.99465686151549304</v>
      </c>
      <c r="E5306">
        <v>0.82435465445348899</v>
      </c>
      <c r="F5306">
        <v>0.74143721730393797</v>
      </c>
      <c r="G5306">
        <v>0.344775216046522</v>
      </c>
      <c r="H5306">
        <v>0.16801784279288401</v>
      </c>
      <c r="I5306">
        <v>0.146662885027664</v>
      </c>
      <c r="J5306">
        <v>0.13036681180054099</v>
      </c>
      <c r="K5306">
        <v>0.104470479336417</v>
      </c>
      <c r="L5306">
        <v>1141.1240906714399</v>
      </c>
      <c r="M5306">
        <v>20.887765372491899</v>
      </c>
      <c r="N5306">
        <v>55.2009867357446</v>
      </c>
      <c r="O5306">
        <v>54.137888111414902</v>
      </c>
      <c r="P5306">
        <v>-8.7105619431695896E-2</v>
      </c>
      <c r="Q5306">
        <v>9.6967209246234504E-2</v>
      </c>
      <c r="R5306">
        <v>0.993500529798099</v>
      </c>
      <c r="S5306" t="s">
        <v>11167</v>
      </c>
      <c r="T5306" t="s">
        <v>11720</v>
      </c>
      <c r="U5306" t="s">
        <v>11720</v>
      </c>
      <c r="V5306" t="s">
        <v>11720</v>
      </c>
      <c r="W5306" t="s">
        <v>16967</v>
      </c>
      <c r="X5306">
        <v>13</v>
      </c>
      <c r="Y5306" t="s">
        <v>22668</v>
      </c>
      <c r="Z5306" t="s">
        <v>28513</v>
      </c>
      <c r="AA5306">
        <v>0.54871439284168566</v>
      </c>
      <c r="AB5306" t="str">
        <f>HYPERLINK("Melting_Curves/meltCurve_Q9NW82_WDR70.pdf", "Melting_Curves/meltCurve_Q9NW82_WDR70.pdf")</f>
        <v>Melting_Curves/meltCurve_Q9NW82_WDR70.pdf</v>
      </c>
    </row>
    <row r="5307" spans="1:28" x14ac:dyDescent="0.25">
      <c r="A5307" t="s">
        <v>5311</v>
      </c>
      <c r="B5307">
        <v>0.99334974765950101</v>
      </c>
      <c r="C5307">
        <v>0.99680301002826999</v>
      </c>
      <c r="D5307">
        <v>0.76915720157822698</v>
      </c>
      <c r="E5307">
        <v>0.92718921382398001</v>
      </c>
      <c r="F5307">
        <v>1.3062677409394801</v>
      </c>
      <c r="G5307">
        <v>1.04211313954594</v>
      </c>
      <c r="H5307">
        <v>0.98273393896910499</v>
      </c>
      <c r="I5307">
        <v>1.3428706750621999</v>
      </c>
      <c r="J5307">
        <v>1.2451403480146901</v>
      </c>
      <c r="K5307">
        <v>0.81160331234559502</v>
      </c>
      <c r="L5307">
        <v>4565.2101199231502</v>
      </c>
      <c r="M5307">
        <v>89.185177111252997</v>
      </c>
      <c r="O5307">
        <v>51.162272713652101</v>
      </c>
      <c r="P5307">
        <v>5.2165005503079898E-2</v>
      </c>
      <c r="Q5307">
        <v>1.1197006063222501</v>
      </c>
      <c r="R5307">
        <v>0.19264431720087399</v>
      </c>
      <c r="S5307" t="s">
        <v>11168</v>
      </c>
      <c r="T5307" t="s">
        <v>11720</v>
      </c>
      <c r="U5307" t="s">
        <v>11720</v>
      </c>
      <c r="V5307" t="s">
        <v>11720</v>
      </c>
      <c r="W5307" t="s">
        <v>16968</v>
      </c>
      <c r="X5307">
        <v>4</v>
      </c>
      <c r="Y5307" t="s">
        <v>22669</v>
      </c>
      <c r="Z5307" t="s">
        <v>28514</v>
      </c>
      <c r="AA5307">
        <v>1.0749756687772209</v>
      </c>
      <c r="AB5307" t="str">
        <f>HYPERLINK("Melting_Curves/meltCurve_Q9NW97_TMEM51.pdf", "Melting_Curves/meltCurve_Q9NW97_TMEM51.pdf")</f>
        <v>Melting_Curves/meltCurve_Q9NW97_TMEM51.pdf</v>
      </c>
    </row>
    <row r="5308" spans="1:28" x14ac:dyDescent="0.25">
      <c r="A5308" t="s">
        <v>5312</v>
      </c>
      <c r="B5308">
        <v>0.99334974765950101</v>
      </c>
      <c r="C5308">
        <v>0.95054355475482999</v>
      </c>
      <c r="D5308">
        <v>1.01442985848951</v>
      </c>
      <c r="E5308">
        <v>1.04546238805644</v>
      </c>
      <c r="F5308">
        <v>1.4768443975363299</v>
      </c>
      <c r="G5308">
        <v>1.4908150584705799</v>
      </c>
      <c r="H5308">
        <v>1.4110959219833299</v>
      </c>
      <c r="I5308">
        <v>1.5479423583459599</v>
      </c>
      <c r="J5308">
        <v>1.5946758400849901</v>
      </c>
      <c r="K5308">
        <v>1.33350527129908</v>
      </c>
      <c r="L5308">
        <v>12612.3857345544</v>
      </c>
      <c r="M5308">
        <v>250</v>
      </c>
      <c r="O5308">
        <v>50.4463226477733</v>
      </c>
      <c r="P5308">
        <v>0.58950492330373006</v>
      </c>
      <c r="Q5308">
        <v>1.4758136118198899</v>
      </c>
      <c r="R5308">
        <v>0.92084931549419402</v>
      </c>
      <c r="S5308" t="s">
        <v>11169</v>
      </c>
      <c r="T5308" t="s">
        <v>11720</v>
      </c>
      <c r="U5308" t="s">
        <v>11720</v>
      </c>
      <c r="V5308" t="s">
        <v>11720</v>
      </c>
      <c r="W5308" t="s">
        <v>16969</v>
      </c>
      <c r="X5308">
        <v>2</v>
      </c>
      <c r="Y5308" t="s">
        <v>22670</v>
      </c>
      <c r="Z5308" t="s">
        <v>28515</v>
      </c>
      <c r="AA5308">
        <v>1.310036991913573</v>
      </c>
      <c r="AB5308" t="str">
        <f>HYPERLINK("Melting_Curves/meltCurve_Q9NWA0_MED9.pdf", "Melting_Curves/meltCurve_Q9NWA0_MED9.pdf")</f>
        <v>Melting_Curves/meltCurve_Q9NWA0_MED9.pdf</v>
      </c>
    </row>
    <row r="5309" spans="1:28" x14ac:dyDescent="0.25">
      <c r="A5309" t="s">
        <v>5313</v>
      </c>
      <c r="B5309">
        <v>0.99334974765950101</v>
      </c>
      <c r="C5309">
        <v>0.99750430677407498</v>
      </c>
      <c r="D5309">
        <v>0.91398399859394597</v>
      </c>
      <c r="E5309">
        <v>0.80304692347337003</v>
      </c>
      <c r="F5309">
        <v>0.71868727672100396</v>
      </c>
      <c r="G5309">
        <v>0.54398066487239605</v>
      </c>
      <c r="H5309">
        <v>0.39278855603167101</v>
      </c>
      <c r="I5309">
        <v>0.32439058062468601</v>
      </c>
      <c r="J5309">
        <v>0.33656172091185299</v>
      </c>
      <c r="K5309">
        <v>0.29898244665269902</v>
      </c>
      <c r="L5309">
        <v>676.86042915149596</v>
      </c>
      <c r="M5309">
        <v>12.3682038432793</v>
      </c>
      <c r="N5309">
        <v>57.864758387923203</v>
      </c>
      <c r="O5309">
        <v>53.354237279471</v>
      </c>
      <c r="P5309">
        <v>-4.3799978690750099E-2</v>
      </c>
      <c r="Q5309">
        <v>0.24438061481197501</v>
      </c>
      <c r="R5309">
        <v>0.99541464259825096</v>
      </c>
      <c r="S5309" t="s">
        <v>11170</v>
      </c>
      <c r="T5309" t="s">
        <v>11720</v>
      </c>
      <c r="U5309" t="s">
        <v>11720</v>
      </c>
      <c r="V5309" t="s">
        <v>11720</v>
      </c>
      <c r="W5309" t="s">
        <v>16970</v>
      </c>
      <c r="X5309">
        <v>5</v>
      </c>
      <c r="Y5309" t="s">
        <v>22671</v>
      </c>
      <c r="Z5309" t="s">
        <v>28516</v>
      </c>
      <c r="AA5309">
        <v>0.63315702631615522</v>
      </c>
      <c r="AB5309" t="str">
        <f>HYPERLINK("Melting_Curves/meltCurve_Q9NWB6_2_ARGLU1.pdf", "Melting_Curves/meltCurve_Q9NWB6_2_ARGLU1.pdf")</f>
        <v>Melting_Curves/meltCurve_Q9NWB6_2_ARGLU1.pdf</v>
      </c>
    </row>
    <row r="5310" spans="1:28" x14ac:dyDescent="0.25">
      <c r="A5310" t="s">
        <v>5314</v>
      </c>
      <c r="B5310">
        <v>0.99334974765950101</v>
      </c>
      <c r="C5310">
        <v>0.93037209649327601</v>
      </c>
      <c r="D5310">
        <v>0.78159549715587695</v>
      </c>
      <c r="E5310">
        <v>0.84875656138010203</v>
      </c>
      <c r="F5310">
        <v>0.77699738607895996</v>
      </c>
      <c r="G5310">
        <v>0.68690591782525301</v>
      </c>
      <c r="H5310">
        <v>0.62997491700555197</v>
      </c>
      <c r="I5310">
        <v>0.587385203899502</v>
      </c>
      <c r="J5310">
        <v>0.55848974336910595</v>
      </c>
      <c r="K5310">
        <v>0.41330969090901998</v>
      </c>
      <c r="L5310">
        <v>282.906278406225</v>
      </c>
      <c r="M5310">
        <v>4.1494100170146897</v>
      </c>
      <c r="N5310">
        <v>68.179885447215</v>
      </c>
      <c r="O5310">
        <v>56.612565364114303</v>
      </c>
      <c r="P5310">
        <v>-1.8532954490031998E-2</v>
      </c>
      <c r="Q5310">
        <v>0</v>
      </c>
      <c r="R5310">
        <v>0.93553949658015301</v>
      </c>
      <c r="S5310" t="s">
        <v>11171</v>
      </c>
      <c r="T5310" t="s">
        <v>11720</v>
      </c>
      <c r="U5310" t="s">
        <v>11720</v>
      </c>
      <c r="V5310" t="s">
        <v>11720</v>
      </c>
      <c r="W5310" t="s">
        <v>16971</v>
      </c>
      <c r="X5310">
        <v>3</v>
      </c>
      <c r="Y5310" t="s">
        <v>22672</v>
      </c>
      <c r="Z5310" t="s">
        <v>28517</v>
      </c>
      <c r="AA5310">
        <v>0.72418273045077219</v>
      </c>
      <c r="AB5310" t="str">
        <f>HYPERLINK("Melting_Curves/meltCurve_Q9NWD8_TMEM248.pdf", "Melting_Curves/meltCurve_Q9NWD8_TMEM248.pdf")</f>
        <v>Melting_Curves/meltCurve_Q9NWD8_TMEM248.pdf</v>
      </c>
    </row>
    <row r="5311" spans="1:28" x14ac:dyDescent="0.25">
      <c r="A5311" t="s">
        <v>5315</v>
      </c>
      <c r="B5311">
        <v>0.99334974765950101</v>
      </c>
      <c r="C5311">
        <v>1.0838226759729499</v>
      </c>
      <c r="D5311">
        <v>1.0521161685096201</v>
      </c>
      <c r="E5311">
        <v>0.99813358871071201</v>
      </c>
      <c r="F5311">
        <v>1.2751190955278</v>
      </c>
      <c r="G5311">
        <v>0.83035501002469203</v>
      </c>
      <c r="H5311">
        <v>0.74667362483351296</v>
      </c>
      <c r="I5311">
        <v>0.97604500997384303</v>
      </c>
      <c r="J5311">
        <v>0.94588070464301899</v>
      </c>
      <c r="K5311">
        <v>0.85981215663199695</v>
      </c>
      <c r="L5311">
        <v>3000.9460900683298</v>
      </c>
      <c r="M5311">
        <v>53.777926882953203</v>
      </c>
      <c r="O5311">
        <v>55.7255591153382</v>
      </c>
      <c r="P5311">
        <v>-3.0827395936999898E-2</v>
      </c>
      <c r="Q5311">
        <v>0.87222469287936</v>
      </c>
      <c r="R5311">
        <v>0.35089412301459999</v>
      </c>
      <c r="S5311" t="s">
        <v>11172</v>
      </c>
      <c r="T5311" t="s">
        <v>11720</v>
      </c>
      <c r="U5311" t="s">
        <v>11720</v>
      </c>
      <c r="V5311" t="s">
        <v>11720</v>
      </c>
      <c r="W5311" t="s">
        <v>16972</v>
      </c>
      <c r="X5311">
        <v>1</v>
      </c>
      <c r="Y5311" t="s">
        <v>22673</v>
      </c>
      <c r="Z5311" t="s">
        <v>28518</v>
      </c>
      <c r="AA5311">
        <v>0.93980213619632091</v>
      </c>
      <c r="AB5311" t="str">
        <f>HYPERLINK("Melting_Curves/meltCurve_Q9NWH2_TMEM242.pdf", "Melting_Curves/meltCurve_Q9NWH2_TMEM242.pdf")</f>
        <v>Melting_Curves/meltCurve_Q9NWH2_TMEM242.pdf</v>
      </c>
    </row>
    <row r="5312" spans="1:28" x14ac:dyDescent="0.25">
      <c r="A5312" t="s">
        <v>5316</v>
      </c>
      <c r="B5312">
        <v>0.99334974765950101</v>
      </c>
      <c r="C5312">
        <v>0.91165105408490599</v>
      </c>
      <c r="D5312">
        <v>0.85902896855531996</v>
      </c>
      <c r="E5312">
        <v>0.621552004310432</v>
      </c>
      <c r="F5312">
        <v>0.39805131623280199</v>
      </c>
      <c r="G5312">
        <v>0.30040213098295798</v>
      </c>
      <c r="H5312">
        <v>0.26512994852765398</v>
      </c>
      <c r="I5312">
        <v>0.35911709218146498</v>
      </c>
      <c r="J5312">
        <v>0.37175612064540198</v>
      </c>
      <c r="K5312">
        <v>0.31193368159381901</v>
      </c>
      <c r="L5312">
        <v>1055.5462812824901</v>
      </c>
      <c r="M5312">
        <v>21.5422762618504</v>
      </c>
      <c r="N5312">
        <v>51.326580926245299</v>
      </c>
      <c r="O5312">
        <v>48.582464842762597</v>
      </c>
      <c r="P5312">
        <v>-7.6294237823719302E-2</v>
      </c>
      <c r="Q5312">
        <v>0.31177718241824998</v>
      </c>
      <c r="R5312">
        <v>0.97796963959313299</v>
      </c>
      <c r="S5312" t="s">
        <v>11173</v>
      </c>
      <c r="T5312" t="s">
        <v>11720</v>
      </c>
      <c r="U5312" t="s">
        <v>11720</v>
      </c>
      <c r="V5312" t="s">
        <v>11720</v>
      </c>
      <c r="W5312" t="s">
        <v>16973</v>
      </c>
      <c r="X5312">
        <v>7</v>
      </c>
      <c r="Y5312" t="s">
        <v>22674</v>
      </c>
      <c r="Z5312" t="s">
        <v>28519</v>
      </c>
      <c r="AA5312">
        <v>0.52650083523580815</v>
      </c>
      <c r="AB5312" t="str">
        <f>HYPERLINK("Melting_Curves/meltCurve_Q9NWM3_CUEDC1.pdf", "Melting_Curves/meltCurve_Q9NWM3_CUEDC1.pdf")</f>
        <v>Melting_Curves/meltCurve_Q9NWM3_CUEDC1.pdf</v>
      </c>
    </row>
    <row r="5313" spans="1:28" x14ac:dyDescent="0.25">
      <c r="A5313" t="s">
        <v>5317</v>
      </c>
      <c r="B5313">
        <v>0.99334974765950101</v>
      </c>
      <c r="C5313">
        <v>1.00068146342757</v>
      </c>
      <c r="D5313">
        <v>0.87308048438886399</v>
      </c>
      <c r="E5313">
        <v>0.76635832194477704</v>
      </c>
      <c r="F5313">
        <v>0.58948952106179497</v>
      </c>
      <c r="G5313">
        <v>0.34378226217923702</v>
      </c>
      <c r="H5313">
        <v>0.23515072904287501</v>
      </c>
      <c r="I5313">
        <v>0.21923310346257399</v>
      </c>
      <c r="J5313">
        <v>0.20137269611978201</v>
      </c>
      <c r="K5313">
        <v>0.17558949771226001</v>
      </c>
      <c r="L5313">
        <v>814.58268928616496</v>
      </c>
      <c r="M5313">
        <v>15.4148203413526</v>
      </c>
      <c r="N5313">
        <v>54.170447433187498</v>
      </c>
      <c r="O5313">
        <v>51.978734106021697</v>
      </c>
      <c r="P5313">
        <v>-6.2492011147625703E-2</v>
      </c>
      <c r="Q5313">
        <v>0.15718492123748601</v>
      </c>
      <c r="R5313">
        <v>0.99569462073704196</v>
      </c>
      <c r="S5313" t="s">
        <v>11174</v>
      </c>
      <c r="T5313" t="s">
        <v>11720</v>
      </c>
      <c r="U5313" t="s">
        <v>11720</v>
      </c>
      <c r="V5313" t="s">
        <v>11720</v>
      </c>
      <c r="W5313" t="s">
        <v>16974</v>
      </c>
      <c r="X5313">
        <v>14</v>
      </c>
      <c r="Y5313" t="s">
        <v>22675</v>
      </c>
      <c r="Z5313" t="s">
        <v>28520</v>
      </c>
      <c r="AA5313">
        <v>0.53558118699528334</v>
      </c>
      <c r="AB5313" t="str">
        <f>HYPERLINK("Melting_Curves/meltCurve_Q9NWM8_FKBP14.pdf", "Melting_Curves/meltCurve_Q9NWM8_FKBP14.pdf")</f>
        <v>Melting_Curves/meltCurve_Q9NWM8_FKBP14.pdf</v>
      </c>
    </row>
    <row r="5314" spans="1:28" x14ac:dyDescent="0.25">
      <c r="A5314" t="s">
        <v>5318</v>
      </c>
      <c r="B5314">
        <v>0.99334974765950101</v>
      </c>
      <c r="C5314">
        <v>0.95832264542421597</v>
      </c>
      <c r="D5314">
        <v>0.874171352972822</v>
      </c>
      <c r="E5314">
        <v>0.86403465436209104</v>
      </c>
      <c r="F5314">
        <v>1.1108707676871401</v>
      </c>
      <c r="G5314">
        <v>0.88359268808386804</v>
      </c>
      <c r="H5314">
        <v>0.94195058626392103</v>
      </c>
      <c r="I5314">
        <v>1.16981966332364</v>
      </c>
      <c r="J5314">
        <v>1.2498912674329099</v>
      </c>
      <c r="K5314">
        <v>0.95490958932980097</v>
      </c>
      <c r="L5314">
        <v>15000</v>
      </c>
      <c r="M5314">
        <v>240.01086893516401</v>
      </c>
      <c r="O5314">
        <v>62.492830659699102</v>
      </c>
      <c r="P5314">
        <v>0.11993674444579901</v>
      </c>
      <c r="Q5314">
        <v>1.1249141201216799</v>
      </c>
      <c r="R5314">
        <v>0.29439366867387801</v>
      </c>
      <c r="S5314" t="s">
        <v>11175</v>
      </c>
      <c r="T5314" t="s">
        <v>11720</v>
      </c>
      <c r="U5314" t="s">
        <v>11720</v>
      </c>
      <c r="V5314" t="s">
        <v>11720</v>
      </c>
      <c r="W5314" t="s">
        <v>16975</v>
      </c>
      <c r="X5314">
        <v>13</v>
      </c>
      <c r="Y5314" t="s">
        <v>22676</v>
      </c>
      <c r="Z5314" t="s">
        <v>28521</v>
      </c>
      <c r="AA5314">
        <v>1.031225449717535</v>
      </c>
      <c r="AB5314" t="str">
        <f>HYPERLINK("Melting_Curves/meltCurve_Q9NWQ8_PAG1.pdf", "Melting_Curves/meltCurve_Q9NWQ8_PAG1.pdf")</f>
        <v>Melting_Curves/meltCurve_Q9NWQ8_PAG1.pdf</v>
      </c>
    </row>
    <row r="5315" spans="1:28" x14ac:dyDescent="0.25">
      <c r="A5315" t="s">
        <v>5319</v>
      </c>
      <c r="B5315">
        <v>0.99334974765950101</v>
      </c>
      <c r="C5315">
        <v>0.94231350825714799</v>
      </c>
      <c r="D5315">
        <v>0.81545220364492199</v>
      </c>
      <c r="E5315">
        <v>0.52647667440108703</v>
      </c>
      <c r="F5315">
        <v>0.42913150914666898</v>
      </c>
      <c r="G5315">
        <v>0.34453777191368101</v>
      </c>
      <c r="H5315">
        <v>0.23740474189890201</v>
      </c>
      <c r="I5315">
        <v>0.22532365067594001</v>
      </c>
      <c r="J5315">
        <v>0.23161148952095201</v>
      </c>
      <c r="K5315">
        <v>0.200550733909343</v>
      </c>
      <c r="L5315">
        <v>750.17622130439497</v>
      </c>
      <c r="M5315">
        <v>15.1989062527146</v>
      </c>
      <c r="N5315">
        <v>51.190231904916899</v>
      </c>
      <c r="O5315">
        <v>48.526475534691599</v>
      </c>
      <c r="P5315">
        <v>-6.1875965101321602E-2</v>
      </c>
      <c r="Q5315">
        <v>0.20985510985570499</v>
      </c>
      <c r="R5315">
        <v>0.99437570607506998</v>
      </c>
      <c r="S5315" t="s">
        <v>11176</v>
      </c>
      <c r="T5315" t="s">
        <v>11720</v>
      </c>
      <c r="U5315" t="s">
        <v>11720</v>
      </c>
      <c r="V5315" t="s">
        <v>11720</v>
      </c>
      <c r="W5315" t="s">
        <v>16976</v>
      </c>
      <c r="X5315">
        <v>5</v>
      </c>
      <c r="Y5315" t="s">
        <v>22677</v>
      </c>
      <c r="Z5315" t="s">
        <v>28522</v>
      </c>
      <c r="AA5315">
        <v>0.47509646461531568</v>
      </c>
      <c r="AB5315" t="str">
        <f>HYPERLINK("Melting_Curves/meltCurve_Q9NWQ9_C14orf119.pdf", "Melting_Curves/meltCurve_Q9NWQ9_C14orf119.pdf")</f>
        <v>Melting_Curves/meltCurve_Q9NWQ9_C14orf119.pdf</v>
      </c>
    </row>
    <row r="5316" spans="1:28" x14ac:dyDescent="0.25">
      <c r="A5316" t="s">
        <v>5320</v>
      </c>
      <c r="B5316">
        <v>0.99334974765950101</v>
      </c>
      <c r="C5316">
        <v>1.10925539972962</v>
      </c>
      <c r="D5316">
        <v>0.98988470839053799</v>
      </c>
      <c r="E5316">
        <v>0.79750220115554604</v>
      </c>
      <c r="F5316">
        <v>0.44597426746441499</v>
      </c>
      <c r="G5316">
        <v>0.260352212063795</v>
      </c>
      <c r="H5316">
        <v>0.20691463232593399</v>
      </c>
      <c r="I5316">
        <v>0.14851848178208699</v>
      </c>
      <c r="J5316">
        <v>0.188883161038222</v>
      </c>
      <c r="K5316">
        <v>0.16212901434195101</v>
      </c>
      <c r="L5316">
        <v>1536.0595960811399</v>
      </c>
      <c r="M5316">
        <v>29.632664877423299</v>
      </c>
      <c r="N5316">
        <v>52.619069075606902</v>
      </c>
      <c r="O5316">
        <v>51.602346298674902</v>
      </c>
      <c r="P5316">
        <v>-0.117984959091318</v>
      </c>
      <c r="Q5316">
        <v>0.178169221578626</v>
      </c>
      <c r="R5316">
        <v>0.98916864250606695</v>
      </c>
      <c r="S5316" t="s">
        <v>11177</v>
      </c>
      <c r="T5316" t="s">
        <v>11720</v>
      </c>
      <c r="U5316" t="s">
        <v>11720</v>
      </c>
      <c r="V5316" t="s">
        <v>11720</v>
      </c>
      <c r="W5316" t="s">
        <v>16977</v>
      </c>
      <c r="X5316">
        <v>3</v>
      </c>
      <c r="Y5316" t="s">
        <v>22678</v>
      </c>
      <c r="Z5316" t="s">
        <v>28523</v>
      </c>
      <c r="AA5316">
        <v>0.50779522740362737</v>
      </c>
      <c r="AB5316" t="str">
        <f>HYPERLINK("Melting_Curves/meltCurve_Q9NWS0_PIH1D1.pdf", "Melting_Curves/meltCurve_Q9NWS0_PIH1D1.pdf")</f>
        <v>Melting_Curves/meltCurve_Q9NWS0_PIH1D1.pdf</v>
      </c>
    </row>
    <row r="5317" spans="1:28" x14ac:dyDescent="0.25">
      <c r="A5317" t="s">
        <v>5321</v>
      </c>
      <c r="B5317">
        <v>0.99334974765950101</v>
      </c>
      <c r="C5317">
        <v>0.97184273451049497</v>
      </c>
      <c r="D5317">
        <v>0.82478420194632596</v>
      </c>
      <c r="E5317">
        <v>0.27386716824367002</v>
      </c>
      <c r="F5317">
        <v>0.36902341917600401</v>
      </c>
      <c r="G5317">
        <v>6.9605876870465003E-2</v>
      </c>
      <c r="H5317">
        <v>6.4599054354961799E-2</v>
      </c>
      <c r="I5317">
        <v>7.2223273823108794E-2</v>
      </c>
      <c r="J5317">
        <v>2.3308212667314299E-2</v>
      </c>
      <c r="K5317">
        <v>0</v>
      </c>
      <c r="L5317">
        <v>942.10412559037502</v>
      </c>
      <c r="M5317">
        <v>19.294898547977599</v>
      </c>
      <c r="N5317">
        <v>49.0329594917864</v>
      </c>
      <c r="O5317">
        <v>48.311211966441903</v>
      </c>
      <c r="P5317">
        <v>-9.5956617825346993E-2</v>
      </c>
      <c r="Q5317">
        <v>3.8998895237557701E-2</v>
      </c>
      <c r="R5317">
        <v>0.96579735468301897</v>
      </c>
      <c r="S5317" t="s">
        <v>11178</v>
      </c>
      <c r="T5317" t="s">
        <v>11720</v>
      </c>
      <c r="U5317" t="s">
        <v>11720</v>
      </c>
      <c r="V5317" t="s">
        <v>11720</v>
      </c>
      <c r="W5317" t="s">
        <v>16978</v>
      </c>
      <c r="X5317">
        <v>1</v>
      </c>
      <c r="Y5317" t="s">
        <v>22679</v>
      </c>
      <c r="Z5317" t="s">
        <v>28524</v>
      </c>
      <c r="AA5317">
        <v>0.33625507164944263</v>
      </c>
      <c r="AB5317" t="str">
        <f>HYPERLINK("Melting_Curves/meltCurve_Q9NWS6_FAM118A.pdf", "Melting_Curves/meltCurve_Q9NWS6_FAM118A.pdf")</f>
        <v>Melting_Curves/meltCurve_Q9NWS6_FAM118A.pdf</v>
      </c>
    </row>
    <row r="5318" spans="1:28" x14ac:dyDescent="0.25">
      <c r="A5318" t="s">
        <v>5322</v>
      </c>
      <c r="B5318">
        <v>0.99334974765950101</v>
      </c>
      <c r="C5318">
        <v>0.962480012548524</v>
      </c>
      <c r="D5318">
        <v>0.88055851678194097</v>
      </c>
      <c r="E5318">
        <v>0.76733896259174605</v>
      </c>
      <c r="F5318">
        <v>0.40568913594513101</v>
      </c>
      <c r="G5318">
        <v>0.326402394368282</v>
      </c>
      <c r="H5318">
        <v>0.229361404788824</v>
      </c>
      <c r="I5318">
        <v>0.104235904924366</v>
      </c>
      <c r="J5318">
        <v>8.8534502146553506E-2</v>
      </c>
      <c r="K5318">
        <v>5.9025951574174E-2</v>
      </c>
      <c r="L5318">
        <v>734.30367858050499</v>
      </c>
      <c r="M5318">
        <v>13.933280256493701</v>
      </c>
      <c r="N5318">
        <v>53.091493457837302</v>
      </c>
      <c r="O5318">
        <v>51.651430738683302</v>
      </c>
      <c r="P5318">
        <v>-6.4166575069724396E-2</v>
      </c>
      <c r="Q5318">
        <v>4.8652274096322501E-2</v>
      </c>
      <c r="R5318">
        <v>0.98448035124349798</v>
      </c>
      <c r="S5318" t="s">
        <v>11179</v>
      </c>
      <c r="T5318" t="s">
        <v>11720</v>
      </c>
      <c r="U5318" t="s">
        <v>11720</v>
      </c>
      <c r="V5318" t="s">
        <v>11720</v>
      </c>
      <c r="W5318" t="s">
        <v>16979</v>
      </c>
      <c r="X5318">
        <v>8</v>
      </c>
      <c r="Y5318" t="s">
        <v>22680</v>
      </c>
      <c r="Z5318" t="s">
        <v>28525</v>
      </c>
      <c r="AA5318">
        <v>0.47439654680124399</v>
      </c>
      <c r="AB5318" t="str">
        <f>HYPERLINK("Melting_Curves/meltCurve_Q9NWT6_HIF1AN.pdf", "Melting_Curves/meltCurve_Q9NWT6_HIF1AN.pdf")</f>
        <v>Melting_Curves/meltCurve_Q9NWT6_HIF1AN.pdf</v>
      </c>
    </row>
    <row r="5319" spans="1:28" x14ac:dyDescent="0.25">
      <c r="A5319" t="s">
        <v>5323</v>
      </c>
      <c r="B5319">
        <v>0.99334974765950101</v>
      </c>
      <c r="C5319">
        <v>0.99331879258788702</v>
      </c>
      <c r="D5319">
        <v>1.00962388458956</v>
      </c>
      <c r="E5319">
        <v>0.88798337942070404</v>
      </c>
      <c r="F5319">
        <v>1.13062813692</v>
      </c>
      <c r="G5319">
        <v>0.810508011883462</v>
      </c>
      <c r="H5319">
        <v>0.76952873490340201</v>
      </c>
      <c r="I5319">
        <v>0.88095570714646398</v>
      </c>
      <c r="J5319">
        <v>0.91748053216293102</v>
      </c>
      <c r="K5319">
        <v>0.44175817379893401</v>
      </c>
      <c r="L5319">
        <v>941.16501641864397</v>
      </c>
      <c r="M5319">
        <v>13.129655152831299</v>
      </c>
      <c r="Q5319">
        <v>0</v>
      </c>
      <c r="R5319">
        <v>0.56241212974447297</v>
      </c>
      <c r="S5319" t="s">
        <v>11180</v>
      </c>
      <c r="T5319" t="s">
        <v>11720</v>
      </c>
      <c r="U5319" t="s">
        <v>11720</v>
      </c>
      <c r="V5319" t="s">
        <v>11720</v>
      </c>
      <c r="W5319" t="s">
        <v>16980</v>
      </c>
      <c r="X5319">
        <v>9</v>
      </c>
      <c r="Y5319" t="s">
        <v>22681</v>
      </c>
      <c r="Z5319" t="s">
        <v>28526</v>
      </c>
      <c r="AA5319">
        <v>0.91813416952879023</v>
      </c>
      <c r="AB5319" t="str">
        <f>HYPERLINK("Melting_Curves/meltCurve_Q9NWU1_OXSM.pdf", "Melting_Curves/meltCurve_Q9NWU1_OXSM.pdf")</f>
        <v>Melting_Curves/meltCurve_Q9NWU1_OXSM.pdf</v>
      </c>
    </row>
    <row r="5320" spans="1:28" x14ac:dyDescent="0.25">
      <c r="A5320" t="s">
        <v>5324</v>
      </c>
      <c r="B5320">
        <v>0.99334974765950101</v>
      </c>
      <c r="C5320">
        <v>0.99787861679391499</v>
      </c>
      <c r="D5320">
        <v>0.96129428548658702</v>
      </c>
      <c r="E5320">
        <v>0.77150062656851703</v>
      </c>
      <c r="F5320">
        <v>1.3530090741002201</v>
      </c>
      <c r="G5320">
        <v>0.77258154123025902</v>
      </c>
      <c r="H5320">
        <v>0.847929659853076</v>
      </c>
      <c r="I5320">
        <v>0.70479477437743299</v>
      </c>
      <c r="J5320">
        <v>0.85432368062101804</v>
      </c>
      <c r="K5320">
        <v>0.68690138380962595</v>
      </c>
      <c r="L5320">
        <v>13892.899765276199</v>
      </c>
      <c r="M5320">
        <v>250</v>
      </c>
      <c r="O5320">
        <v>55.568042481655297</v>
      </c>
      <c r="P5320">
        <v>-0.25506915759015703</v>
      </c>
      <c r="Q5320">
        <v>0.77322089821748197</v>
      </c>
      <c r="R5320">
        <v>0.41763835865078702</v>
      </c>
      <c r="S5320" t="s">
        <v>11181</v>
      </c>
      <c r="T5320" t="s">
        <v>11720</v>
      </c>
      <c r="U5320" t="s">
        <v>11720</v>
      </c>
      <c r="V5320" t="s">
        <v>11720</v>
      </c>
      <c r="W5320" t="s">
        <v>16981</v>
      </c>
      <c r="X5320">
        <v>2</v>
      </c>
      <c r="Y5320" t="s">
        <v>22682</v>
      </c>
      <c r="Z5320" t="s">
        <v>28527</v>
      </c>
      <c r="AA5320">
        <v>0.89095345698220241</v>
      </c>
      <c r="AB5320" t="str">
        <f>HYPERLINK("Melting_Curves/meltCurve_Q9NWU2_GID8.pdf", "Melting_Curves/meltCurve_Q9NWU2_GID8.pdf")</f>
        <v>Melting_Curves/meltCurve_Q9NWU2_GID8.pdf</v>
      </c>
    </row>
    <row r="5321" spans="1:28" x14ac:dyDescent="0.25">
      <c r="A5321" t="s">
        <v>5325</v>
      </c>
      <c r="B5321">
        <v>0.99334974765950101</v>
      </c>
      <c r="C5321">
        <v>0.97477510129118194</v>
      </c>
      <c r="D5321">
        <v>0.82228897094619102</v>
      </c>
      <c r="E5321">
        <v>0.63561086331336203</v>
      </c>
      <c r="F5321">
        <v>0.252380331840938</v>
      </c>
      <c r="G5321">
        <v>0.11842436716568901</v>
      </c>
      <c r="H5321">
        <v>9.0072912328528196E-2</v>
      </c>
      <c r="I5321">
        <v>6.9512748989567399E-2</v>
      </c>
      <c r="J5321">
        <v>6.5975874483867006E-2</v>
      </c>
      <c r="K5321">
        <v>5.1711919763067903E-2</v>
      </c>
      <c r="L5321">
        <v>1047.6050650613399</v>
      </c>
      <c r="M5321">
        <v>20.782624997713199</v>
      </c>
      <c r="N5321">
        <v>50.674839891252503</v>
      </c>
      <c r="O5321">
        <v>49.947987248407699</v>
      </c>
      <c r="P5321">
        <v>-9.8627780272206297E-2</v>
      </c>
      <c r="Q5321">
        <v>5.1876958110304697E-2</v>
      </c>
      <c r="R5321">
        <v>0.99174444428081099</v>
      </c>
      <c r="S5321" t="s">
        <v>11182</v>
      </c>
      <c r="T5321" t="s">
        <v>11720</v>
      </c>
      <c r="U5321" t="s">
        <v>11720</v>
      </c>
      <c r="V5321" t="s">
        <v>11720</v>
      </c>
      <c r="W5321" t="s">
        <v>16982</v>
      </c>
      <c r="X5321">
        <v>11</v>
      </c>
      <c r="Y5321" t="s">
        <v>22683</v>
      </c>
      <c r="Z5321" t="s">
        <v>28528</v>
      </c>
      <c r="AA5321">
        <v>0.39304557744140822</v>
      </c>
      <c r="AB5321" t="str">
        <f>HYPERLINK("Melting_Curves/meltCurve_Q9NWV4_C1orf123.pdf", "Melting_Curves/meltCurve_Q9NWV4_C1orf123.pdf")</f>
        <v>Melting_Curves/meltCurve_Q9NWV4_C1orf123.pdf</v>
      </c>
    </row>
    <row r="5322" spans="1:28" x14ac:dyDescent="0.25">
      <c r="A5322" t="s">
        <v>5326</v>
      </c>
      <c r="B5322">
        <v>0.99334974765950101</v>
      </c>
      <c r="C5322">
        <v>0.99348192142080005</v>
      </c>
      <c r="D5322">
        <v>0.92173696667234895</v>
      </c>
      <c r="E5322">
        <v>0.68255459152338804</v>
      </c>
      <c r="F5322">
        <v>0.40328854618105298</v>
      </c>
      <c r="G5322">
        <v>0.18136565399148</v>
      </c>
      <c r="H5322">
        <v>0.165798184805307</v>
      </c>
      <c r="I5322">
        <v>0.14698820601526399</v>
      </c>
      <c r="J5322">
        <v>0.152865442618449</v>
      </c>
      <c r="K5322">
        <v>0.12841434134619201</v>
      </c>
      <c r="L5322">
        <v>1195.4164168390801</v>
      </c>
      <c r="M5322">
        <v>23.394269524168699</v>
      </c>
      <c r="N5322">
        <v>51.802588685022101</v>
      </c>
      <c r="O5322">
        <v>50.729693505478402</v>
      </c>
      <c r="P5322">
        <v>-9.9593509074831596E-2</v>
      </c>
      <c r="Q5322">
        <v>0.13615408768915299</v>
      </c>
      <c r="R5322">
        <v>0.99886823043241701</v>
      </c>
      <c r="S5322" t="s">
        <v>11183</v>
      </c>
      <c r="T5322" t="s">
        <v>11720</v>
      </c>
      <c r="U5322" t="s">
        <v>11720</v>
      </c>
      <c r="V5322" t="s">
        <v>11720</v>
      </c>
      <c r="W5322" t="s">
        <v>16983</v>
      </c>
      <c r="X5322">
        <v>3</v>
      </c>
      <c r="Y5322" t="s">
        <v>22684</v>
      </c>
      <c r="Z5322" t="s">
        <v>28529</v>
      </c>
      <c r="AA5322">
        <v>0.46463268275055519</v>
      </c>
      <c r="AB5322" t="str">
        <f>HYPERLINK("Melting_Curves/meltCurve_Q9NWW6_NMRK1.pdf", "Melting_Curves/meltCurve_Q9NWW6_NMRK1.pdf")</f>
        <v>Melting_Curves/meltCurve_Q9NWW6_NMRK1.pdf</v>
      </c>
    </row>
    <row r="5323" spans="1:28" x14ac:dyDescent="0.25">
      <c r="A5323" t="s">
        <v>5327</v>
      </c>
      <c r="B5323">
        <v>0.99334974765950101</v>
      </c>
      <c r="C5323">
        <v>0.92119685734233603</v>
      </c>
      <c r="D5323">
        <v>0.973638506917063</v>
      </c>
      <c r="E5323">
        <v>0.94498832318777903</v>
      </c>
      <c r="F5323">
        <v>0.73458002390557797</v>
      </c>
      <c r="G5323">
        <v>0.47234535357133001</v>
      </c>
      <c r="H5323">
        <v>0.33384847589612898</v>
      </c>
      <c r="I5323">
        <v>0.259230246585756</v>
      </c>
      <c r="J5323">
        <v>0.20280095351375599</v>
      </c>
      <c r="K5323">
        <v>0.13441117224985299</v>
      </c>
      <c r="L5323">
        <v>922.35116217169298</v>
      </c>
      <c r="M5323">
        <v>16.502260037553899</v>
      </c>
      <c r="N5323">
        <v>57.0239535848442</v>
      </c>
      <c r="O5323">
        <v>55.090994730273003</v>
      </c>
      <c r="P5323">
        <v>-6.4434984299447204E-2</v>
      </c>
      <c r="Q5323">
        <v>0.13962310338482001</v>
      </c>
      <c r="R5323">
        <v>0.98948141260385503</v>
      </c>
      <c r="S5323" t="s">
        <v>11184</v>
      </c>
      <c r="T5323" t="s">
        <v>11720</v>
      </c>
      <c r="U5323" t="s">
        <v>11720</v>
      </c>
      <c r="V5323" t="s">
        <v>11720</v>
      </c>
      <c r="W5323" t="s">
        <v>16984</v>
      </c>
      <c r="X5323">
        <v>3</v>
      </c>
      <c r="Y5323" t="s">
        <v>22685</v>
      </c>
      <c r="Z5323" t="s">
        <v>28530</v>
      </c>
      <c r="AA5323">
        <v>0.60947243518244343</v>
      </c>
      <c r="AB5323" t="str">
        <f>HYPERLINK("Melting_Curves/meltCurve_Q9NWX6_THG1L.pdf", "Melting_Curves/meltCurve_Q9NWX6_THG1L.pdf")</f>
        <v>Melting_Curves/meltCurve_Q9NWX6_THG1L.pdf</v>
      </c>
    </row>
    <row r="5324" spans="1:28" x14ac:dyDescent="0.25">
      <c r="A5324" t="s">
        <v>5328</v>
      </c>
      <c r="B5324">
        <v>0.99334974765950101</v>
      </c>
      <c r="C5324">
        <v>0.95128584692560902</v>
      </c>
      <c r="D5324">
        <v>0.55797749907234695</v>
      </c>
      <c r="E5324">
        <v>0.32781454580334302</v>
      </c>
      <c r="F5324">
        <v>0.26809488490247602</v>
      </c>
      <c r="G5324">
        <v>0.16804923304913</v>
      </c>
      <c r="H5324">
        <v>0.143672766673133</v>
      </c>
      <c r="I5324">
        <v>0.10822676879027</v>
      </c>
      <c r="J5324">
        <v>0.10584023236269199</v>
      </c>
      <c r="K5324">
        <v>7.2524985063313202E-2</v>
      </c>
      <c r="L5324">
        <v>885.74849658470896</v>
      </c>
      <c r="M5324">
        <v>18.907969176505901</v>
      </c>
      <c r="N5324">
        <v>47.519734274256997</v>
      </c>
      <c r="O5324">
        <v>46.330689826630703</v>
      </c>
      <c r="P5324">
        <v>-9.00233046151514E-2</v>
      </c>
      <c r="Q5324">
        <v>0.117690050714501</v>
      </c>
      <c r="R5324">
        <v>0.98105479182822197</v>
      </c>
      <c r="S5324" t="s">
        <v>11185</v>
      </c>
      <c r="T5324" t="s">
        <v>11720</v>
      </c>
      <c r="U5324" t="s">
        <v>11720</v>
      </c>
      <c r="V5324" t="s">
        <v>11720</v>
      </c>
      <c r="W5324" t="s">
        <v>16985</v>
      </c>
      <c r="X5324">
        <v>4</v>
      </c>
      <c r="Y5324" t="s">
        <v>22686</v>
      </c>
      <c r="Z5324" t="s">
        <v>28531</v>
      </c>
      <c r="AA5324">
        <v>0.33373545187297921</v>
      </c>
      <c r="AB5324" t="str">
        <f>HYPERLINK("Melting_Curves/meltCurve_Q9NWY4_C4orf27.pdf", "Melting_Curves/meltCurve_Q9NWY4_C4orf27.pdf")</f>
        <v>Melting_Curves/meltCurve_Q9NWY4_C4orf27.pdf</v>
      </c>
    </row>
    <row r="5325" spans="1:28" x14ac:dyDescent="0.25">
      <c r="A5325" t="s">
        <v>5329</v>
      </c>
      <c r="B5325">
        <v>0.99334974765950101</v>
      </c>
      <c r="C5325">
        <v>0.93601597629476097</v>
      </c>
      <c r="D5325">
        <v>0.78834359489592298</v>
      </c>
      <c r="E5325">
        <v>0.41854726327564201</v>
      </c>
      <c r="F5325">
        <v>0.137303596841402</v>
      </c>
      <c r="G5325">
        <v>0.110393609108694</v>
      </c>
      <c r="H5325">
        <v>7.8877725858133005E-2</v>
      </c>
      <c r="I5325">
        <v>6.3381448334100907E-2</v>
      </c>
      <c r="J5325">
        <v>5.3294875106966601E-2</v>
      </c>
      <c r="K5325">
        <v>4.4645818914446897E-2</v>
      </c>
      <c r="L5325">
        <v>1077.9065990122399</v>
      </c>
      <c r="M5325">
        <v>22.157080491556801</v>
      </c>
      <c r="N5325">
        <v>48.901191421378101</v>
      </c>
      <c r="O5325">
        <v>48.257332883467001</v>
      </c>
      <c r="P5325">
        <v>-0.10857726843221201</v>
      </c>
      <c r="Q5325">
        <v>5.4110857030468001E-2</v>
      </c>
      <c r="R5325">
        <v>0.99687755899908104</v>
      </c>
      <c r="S5325" t="s">
        <v>11186</v>
      </c>
      <c r="T5325" t="s">
        <v>11720</v>
      </c>
      <c r="U5325" t="s">
        <v>11720</v>
      </c>
      <c r="V5325" t="s">
        <v>11720</v>
      </c>
      <c r="W5325" t="s">
        <v>16986</v>
      </c>
      <c r="X5325">
        <v>17</v>
      </c>
      <c r="Y5325" t="s">
        <v>22687</v>
      </c>
      <c r="Z5325" t="s">
        <v>28532</v>
      </c>
      <c r="AA5325">
        <v>0.33754838737227971</v>
      </c>
      <c r="AB5325" t="str">
        <f>HYPERLINK("Melting_Curves/meltCurve_Q9NWZ3_IRAK4.pdf", "Melting_Curves/meltCurve_Q9NWZ3_IRAK4.pdf")</f>
        <v>Melting_Curves/meltCurve_Q9NWZ3_IRAK4.pdf</v>
      </c>
    </row>
    <row r="5326" spans="1:28" x14ac:dyDescent="0.25">
      <c r="A5326" t="s">
        <v>5330</v>
      </c>
      <c r="B5326">
        <v>0.99334974765950101</v>
      </c>
      <c r="C5326">
        <v>1.1516620968699001</v>
      </c>
      <c r="D5326">
        <v>1.08269957986679</v>
      </c>
      <c r="E5326">
        <v>1.1214595956139299</v>
      </c>
      <c r="F5326">
        <v>1.21779089232259</v>
      </c>
      <c r="G5326">
        <v>1.21117282629153</v>
      </c>
      <c r="H5326">
        <v>1.1193805891734501</v>
      </c>
      <c r="I5326">
        <v>1.35539541221475</v>
      </c>
      <c r="J5326">
        <v>1.25187969106841</v>
      </c>
      <c r="K5326">
        <v>1.15333677416425</v>
      </c>
      <c r="L5326">
        <v>450.16953359829103</v>
      </c>
      <c r="M5326">
        <v>9.6974466670005004</v>
      </c>
      <c r="O5326">
        <v>44.576361047556098</v>
      </c>
      <c r="P5326">
        <v>1.2907951546883199E-2</v>
      </c>
      <c r="Q5326">
        <v>1.2372068683877699</v>
      </c>
      <c r="R5326">
        <v>0.49034377677645902</v>
      </c>
      <c r="S5326" t="s">
        <v>11187</v>
      </c>
      <c r="T5326" t="s">
        <v>11720</v>
      </c>
      <c r="U5326" t="s">
        <v>11720</v>
      </c>
      <c r="V5326" t="s">
        <v>11720</v>
      </c>
      <c r="W5326" t="s">
        <v>16987</v>
      </c>
      <c r="X5326">
        <v>2</v>
      </c>
      <c r="Y5326" t="s">
        <v>22688</v>
      </c>
      <c r="Z5326" t="s">
        <v>28533</v>
      </c>
      <c r="AA5326">
        <v>1.1714017691524981</v>
      </c>
      <c r="AB5326" t="str">
        <f>HYPERLINK("Melting_Curves/meltCurve_Q9NX00_TMEM160.pdf", "Melting_Curves/meltCurve_Q9NX00_TMEM160.pdf")</f>
        <v>Melting_Curves/meltCurve_Q9NX00_TMEM160.pdf</v>
      </c>
    </row>
    <row r="5327" spans="1:28" x14ac:dyDescent="0.25">
      <c r="A5327" t="s">
        <v>5331</v>
      </c>
      <c r="B5327">
        <v>0.99334974765950101</v>
      </c>
      <c r="C5327">
        <v>0.94044974363471801</v>
      </c>
      <c r="D5327">
        <v>0.806921416445326</v>
      </c>
      <c r="E5327">
        <v>0.58460225141246602</v>
      </c>
      <c r="F5327">
        <v>0.31227664757386803</v>
      </c>
      <c r="G5327">
        <v>0.16947977763750299</v>
      </c>
      <c r="H5327">
        <v>0.10699714516690401</v>
      </c>
      <c r="I5327">
        <v>8.82167754509805E-2</v>
      </c>
      <c r="J5327">
        <v>0.118687380148707</v>
      </c>
      <c r="K5327">
        <v>0.12874364583201001</v>
      </c>
      <c r="L5327">
        <v>884.99701839521094</v>
      </c>
      <c r="M5327">
        <v>17.717336958666401</v>
      </c>
      <c r="N5327">
        <v>50.523671719649499</v>
      </c>
      <c r="O5327">
        <v>49.327583014815403</v>
      </c>
      <c r="P5327">
        <v>-8.1628699680373895E-2</v>
      </c>
      <c r="Q5327">
        <v>9.0984039798253105E-2</v>
      </c>
      <c r="R5327">
        <v>0.99541314076644605</v>
      </c>
      <c r="S5327" t="s">
        <v>11188</v>
      </c>
      <c r="T5327" t="s">
        <v>11720</v>
      </c>
      <c r="U5327" t="s">
        <v>11720</v>
      </c>
      <c r="V5327" t="s">
        <v>11720</v>
      </c>
      <c r="W5327" t="s">
        <v>16988</v>
      </c>
      <c r="X5327">
        <v>1</v>
      </c>
      <c r="Y5327" t="s">
        <v>22689</v>
      </c>
      <c r="Z5327" t="s">
        <v>28534</v>
      </c>
      <c r="AA5327">
        <v>0.40848704720321571</v>
      </c>
      <c r="AB5327" t="str">
        <f>HYPERLINK("Melting_Curves/meltCurve_Q9NX01_TXNL4B.pdf", "Melting_Curves/meltCurve_Q9NX01_TXNL4B.pdf")</f>
        <v>Melting_Curves/meltCurve_Q9NX01_TXNL4B.pdf</v>
      </c>
    </row>
    <row r="5328" spans="1:28" x14ac:dyDescent="0.25">
      <c r="A5328" t="s">
        <v>5332</v>
      </c>
      <c r="B5328">
        <v>0.99334974765950101</v>
      </c>
      <c r="C5328">
        <v>1.0754568730374201</v>
      </c>
      <c r="D5328">
        <v>0.77903039347326297</v>
      </c>
      <c r="E5328">
        <v>0.461447995722089</v>
      </c>
      <c r="F5328">
        <v>0.35937763982122101</v>
      </c>
      <c r="G5328">
        <v>0.18348632551764901</v>
      </c>
      <c r="H5328">
        <v>0.15855797276966099</v>
      </c>
      <c r="I5328">
        <v>9.78610730767389E-2</v>
      </c>
      <c r="J5328">
        <v>0.10377192749074</v>
      </c>
      <c r="K5328">
        <v>9.8456235558094102E-2</v>
      </c>
      <c r="L5328">
        <v>913.78142813793204</v>
      </c>
      <c r="M5328">
        <v>18.501245606947201</v>
      </c>
      <c r="N5328">
        <v>50.049419211014502</v>
      </c>
      <c r="O5328">
        <v>48.824072963901898</v>
      </c>
      <c r="P5328">
        <v>-8.4494923115760998E-2</v>
      </c>
      <c r="Q5328">
        <v>0.10812371048982999</v>
      </c>
      <c r="R5328">
        <v>0.98197734468694498</v>
      </c>
      <c r="S5328" t="s">
        <v>11189</v>
      </c>
      <c r="T5328" t="s">
        <v>11720</v>
      </c>
      <c r="U5328" t="s">
        <v>11720</v>
      </c>
      <c r="V5328" t="s">
        <v>11720</v>
      </c>
      <c r="W5328" t="s">
        <v>16989</v>
      </c>
      <c r="X5328">
        <v>1</v>
      </c>
      <c r="Y5328" t="s">
        <v>22690</v>
      </c>
      <c r="Z5328" t="s">
        <v>28535</v>
      </c>
      <c r="AA5328">
        <v>0.40182705103835548</v>
      </c>
      <c r="AB5328" t="str">
        <f>HYPERLINK("Melting_Curves/meltCurve_Q9NX07_TRNAU1AP.pdf", "Melting_Curves/meltCurve_Q9NX07_TRNAU1AP.pdf")</f>
        <v>Melting_Curves/meltCurve_Q9NX07_TRNAU1AP.pdf</v>
      </c>
    </row>
    <row r="5329" spans="1:28" x14ac:dyDescent="0.25">
      <c r="A5329" t="s">
        <v>5333</v>
      </c>
      <c r="B5329">
        <v>0.99334974765950101</v>
      </c>
      <c r="C5329">
        <v>0.92339043261751597</v>
      </c>
      <c r="D5329">
        <v>0.84530228894054205</v>
      </c>
      <c r="E5329">
        <v>0.71185171300761696</v>
      </c>
      <c r="F5329">
        <v>0.489136357635088</v>
      </c>
      <c r="G5329">
        <v>0.22589259731281799</v>
      </c>
      <c r="H5329">
        <v>0.13584571124946099</v>
      </c>
      <c r="I5329">
        <v>0.108787589189243</v>
      </c>
      <c r="J5329">
        <v>0.12321530573355501</v>
      </c>
      <c r="K5329">
        <v>0.1192915081253</v>
      </c>
      <c r="L5329">
        <v>806.87492576131501</v>
      </c>
      <c r="M5329">
        <v>15.529057087075</v>
      </c>
      <c r="N5329">
        <v>52.5144193939662</v>
      </c>
      <c r="O5329">
        <v>51.120285888964403</v>
      </c>
      <c r="P5329">
        <v>-7.0198925560536404E-2</v>
      </c>
      <c r="Q5329">
        <v>7.5726844975073801E-2</v>
      </c>
      <c r="R5329">
        <v>0.99260635138976505</v>
      </c>
      <c r="S5329" t="s">
        <v>11190</v>
      </c>
      <c r="T5329" t="s">
        <v>11720</v>
      </c>
      <c r="U5329" t="s">
        <v>11720</v>
      </c>
      <c r="V5329" t="s">
        <v>11720</v>
      </c>
      <c r="W5329" t="s">
        <v>16990</v>
      </c>
      <c r="X5329">
        <v>5</v>
      </c>
      <c r="Y5329" t="s">
        <v>22691</v>
      </c>
      <c r="Z5329" t="s">
        <v>28536</v>
      </c>
      <c r="AA5329">
        <v>0.46378390080372889</v>
      </c>
      <c r="AB5329" t="str">
        <f>HYPERLINK("Melting_Curves/meltCurve_Q9NX08_COMMD8.pdf", "Melting_Curves/meltCurve_Q9NX08_COMMD8.pdf")</f>
        <v>Melting_Curves/meltCurve_Q9NX08_COMMD8.pdf</v>
      </c>
    </row>
    <row r="5330" spans="1:28" x14ac:dyDescent="0.25">
      <c r="A5330" t="s">
        <v>5334</v>
      </c>
      <c r="B5330">
        <v>0.99334974765950101</v>
      </c>
      <c r="C5330">
        <v>0.95419413782733997</v>
      </c>
      <c r="D5330">
        <v>0.92744178766243301</v>
      </c>
      <c r="E5330">
        <v>1.0215938509898099</v>
      </c>
      <c r="F5330">
        <v>1.1464069798802801</v>
      </c>
      <c r="G5330">
        <v>0.91542362495959595</v>
      </c>
      <c r="H5330">
        <v>1.0570732846079101</v>
      </c>
      <c r="I5330">
        <v>1.6304731537311301</v>
      </c>
      <c r="J5330">
        <v>2.0868423411613302</v>
      </c>
      <c r="K5330">
        <v>1.7379790161628299</v>
      </c>
      <c r="L5330">
        <v>15000</v>
      </c>
      <c r="M5330">
        <v>243.85451699249799</v>
      </c>
      <c r="O5330">
        <v>61.507947880516497</v>
      </c>
      <c r="P5330">
        <v>0.49557521139844701</v>
      </c>
      <c r="Q5330">
        <v>1.5</v>
      </c>
      <c r="R5330">
        <v>0.70725331324818197</v>
      </c>
      <c r="S5330" t="s">
        <v>11191</v>
      </c>
      <c r="T5330" t="s">
        <v>11720</v>
      </c>
      <c r="U5330" t="s">
        <v>11720</v>
      </c>
      <c r="V5330" t="s">
        <v>11720</v>
      </c>
      <c r="W5330" t="s">
        <v>16991</v>
      </c>
      <c r="X5330">
        <v>2</v>
      </c>
      <c r="Y5330" t="s">
        <v>22692</v>
      </c>
      <c r="Z5330" t="s">
        <v>28537</v>
      </c>
      <c r="AA5330">
        <v>1.141408502887854</v>
      </c>
      <c r="AB5330" t="str">
        <f>HYPERLINK("Melting_Curves/meltCurve_Q9NX14_NDUFB11.pdf", "Melting_Curves/meltCurve_Q9NX14_NDUFB11.pdf")</f>
        <v>Melting_Curves/meltCurve_Q9NX14_NDUFB11.pdf</v>
      </c>
    </row>
    <row r="5331" spans="1:28" x14ac:dyDescent="0.25">
      <c r="A5331" t="s">
        <v>5335</v>
      </c>
      <c r="B5331">
        <v>0.99334974765950101</v>
      </c>
      <c r="C5331">
        <v>0.87960130501307399</v>
      </c>
      <c r="D5331">
        <v>0.80829973492735196</v>
      </c>
      <c r="E5331">
        <v>0.85594356566305096</v>
      </c>
      <c r="F5331">
        <v>0.89470877476768995</v>
      </c>
      <c r="G5331">
        <v>0.73601127033929004</v>
      </c>
      <c r="H5331">
        <v>0.75056935641656297</v>
      </c>
      <c r="I5331">
        <v>0.84043817972230395</v>
      </c>
      <c r="J5331">
        <v>0.88728297627573105</v>
      </c>
      <c r="K5331">
        <v>0.683673401854893</v>
      </c>
      <c r="L5331">
        <v>2237.3052382869701</v>
      </c>
      <c r="M5331">
        <v>52.6529043070447</v>
      </c>
      <c r="O5331">
        <v>42.430397273691298</v>
      </c>
      <c r="P5331">
        <v>-5.9973624082156299E-2</v>
      </c>
      <c r="Q5331">
        <v>0.80668079546831195</v>
      </c>
      <c r="R5331">
        <v>0.44731852095692798</v>
      </c>
      <c r="S5331" t="s">
        <v>11192</v>
      </c>
      <c r="T5331" t="s">
        <v>11720</v>
      </c>
      <c r="U5331" t="s">
        <v>11720</v>
      </c>
      <c r="V5331" t="s">
        <v>11720</v>
      </c>
      <c r="W5331" t="s">
        <v>16992</v>
      </c>
      <c r="X5331">
        <v>12</v>
      </c>
      <c r="Y5331" t="s">
        <v>22693</v>
      </c>
      <c r="Z5331" t="s">
        <v>28538</v>
      </c>
      <c r="AA5331">
        <v>0.82322748966918191</v>
      </c>
      <c r="AB5331" t="str">
        <f>HYPERLINK("Melting_Curves/meltCurve_Q9NX40_OCIAD1.pdf", "Melting_Curves/meltCurve_Q9NX40_OCIAD1.pdf")</f>
        <v>Melting_Curves/meltCurve_Q9NX40_OCIAD1.pdf</v>
      </c>
    </row>
    <row r="5332" spans="1:28" x14ac:dyDescent="0.25">
      <c r="A5332" t="s">
        <v>5336</v>
      </c>
      <c r="B5332">
        <v>0.99334974765950101</v>
      </c>
      <c r="C5332">
        <v>0.94818230018050598</v>
      </c>
      <c r="D5332">
        <v>0.75240844033812604</v>
      </c>
      <c r="E5332">
        <v>0.47101593373790102</v>
      </c>
      <c r="F5332">
        <v>0.26651404718306099</v>
      </c>
      <c r="G5332">
        <v>0.13841644579828699</v>
      </c>
      <c r="H5332">
        <v>0.109639891328018</v>
      </c>
      <c r="I5332">
        <v>9.6513928774946106E-2</v>
      </c>
      <c r="J5332">
        <v>0.10909985109727</v>
      </c>
      <c r="K5332">
        <v>9.0064690503953299E-2</v>
      </c>
      <c r="L5332">
        <v>875.99515764950695</v>
      </c>
      <c r="M5332">
        <v>17.919685444837398</v>
      </c>
      <c r="N5332">
        <v>49.409983413090202</v>
      </c>
      <c r="O5332">
        <v>48.287927783593901</v>
      </c>
      <c r="P5332">
        <v>-8.4730520941856999E-2</v>
      </c>
      <c r="Q5332">
        <v>8.6757196596226896E-2</v>
      </c>
      <c r="R5332">
        <v>0.99858266750009705</v>
      </c>
      <c r="S5332" t="s">
        <v>11193</v>
      </c>
      <c r="T5332" t="s">
        <v>11720</v>
      </c>
      <c r="U5332" t="s">
        <v>11720</v>
      </c>
      <c r="V5332" t="s">
        <v>11720</v>
      </c>
      <c r="W5332" t="s">
        <v>16993</v>
      </c>
      <c r="X5332">
        <v>12</v>
      </c>
      <c r="Y5332" t="s">
        <v>22694</v>
      </c>
      <c r="Z5332" t="s">
        <v>28539</v>
      </c>
      <c r="AA5332">
        <v>0.37321074662016801</v>
      </c>
      <c r="AB5332" t="str">
        <f>HYPERLINK("Melting_Curves/meltCurve_Q9NX46_ADPRHL2.pdf", "Melting_Curves/meltCurve_Q9NX46_ADPRHL2.pdf")</f>
        <v>Melting_Curves/meltCurve_Q9NX46_ADPRHL2.pdf</v>
      </c>
    </row>
    <row r="5333" spans="1:28" x14ac:dyDescent="0.25">
      <c r="A5333" t="s">
        <v>5337</v>
      </c>
      <c r="B5333">
        <v>0.99334974765950101</v>
      </c>
      <c r="C5333">
        <v>0.97609344949751198</v>
      </c>
      <c r="D5333">
        <v>0.87431961488140397</v>
      </c>
      <c r="E5333">
        <v>0.99718769104518501</v>
      </c>
      <c r="F5333">
        <v>0.93683739620728601</v>
      </c>
      <c r="G5333">
        <v>0.84221955132206106</v>
      </c>
      <c r="H5333">
        <v>0.53227612837486005</v>
      </c>
      <c r="I5333">
        <v>0.473527247487599</v>
      </c>
      <c r="J5333">
        <v>0.41136200601462802</v>
      </c>
      <c r="K5333">
        <v>0.31370892613229201</v>
      </c>
      <c r="L5333">
        <v>1233.9624606668301</v>
      </c>
      <c r="M5333">
        <v>20.696173344331701</v>
      </c>
      <c r="N5333">
        <v>62.623049516136199</v>
      </c>
      <c r="O5333">
        <v>59.074454785488498</v>
      </c>
      <c r="P5333">
        <v>-6.0041017807174399E-2</v>
      </c>
      <c r="Q5333">
        <v>0.31450327600959799</v>
      </c>
      <c r="R5333">
        <v>0.96605434328913198</v>
      </c>
      <c r="S5333" t="s">
        <v>11194</v>
      </c>
      <c r="T5333" t="s">
        <v>11720</v>
      </c>
      <c r="U5333" t="s">
        <v>11720</v>
      </c>
      <c r="V5333" t="s">
        <v>11720</v>
      </c>
      <c r="W5333" t="s">
        <v>16994</v>
      </c>
      <c r="X5333">
        <v>2</v>
      </c>
      <c r="Y5333" t="s">
        <v>22695</v>
      </c>
      <c r="Z5333" t="s">
        <v>28540</v>
      </c>
      <c r="AA5333">
        <v>0.76900614806556833</v>
      </c>
      <c r="AB5333" t="str">
        <f>HYPERLINK("Melting_Curves/meltCurve_Q9NX47_MARCH5.pdf", "Melting_Curves/meltCurve_Q9NX47_MARCH5.pdf")</f>
        <v>Melting_Curves/meltCurve_Q9NX47_MARCH5.pdf</v>
      </c>
    </row>
    <row r="5334" spans="1:28" x14ac:dyDescent="0.25">
      <c r="A5334" t="s">
        <v>5338</v>
      </c>
      <c r="B5334">
        <v>0.99334974765950101</v>
      </c>
      <c r="C5334">
        <v>1.06171139244327</v>
      </c>
      <c r="D5334">
        <v>0.99217119512635699</v>
      </c>
      <c r="E5334">
        <v>0.875266220049567</v>
      </c>
      <c r="F5334">
        <v>0.95278847725951199</v>
      </c>
      <c r="G5334">
        <v>0.64981760276512401</v>
      </c>
      <c r="H5334">
        <v>0.64660154386755697</v>
      </c>
      <c r="I5334">
        <v>0.822729472291716</v>
      </c>
      <c r="J5334">
        <v>0.88095201335690099</v>
      </c>
      <c r="K5334">
        <v>0.81095053219621704</v>
      </c>
      <c r="L5334">
        <v>1585.35338422769</v>
      </c>
      <c r="M5334">
        <v>30.398799791863802</v>
      </c>
      <c r="O5334">
        <v>51.927713222310899</v>
      </c>
      <c r="P5334">
        <v>-3.38121789596025E-2</v>
      </c>
      <c r="Q5334">
        <v>0.76896742521876105</v>
      </c>
      <c r="R5334">
        <v>0.60771027294812796</v>
      </c>
      <c r="S5334" t="s">
        <v>11195</v>
      </c>
      <c r="T5334" t="s">
        <v>11720</v>
      </c>
      <c r="U5334" t="s">
        <v>11720</v>
      </c>
      <c r="V5334" t="s">
        <v>11720</v>
      </c>
      <c r="W5334" t="s">
        <v>16995</v>
      </c>
      <c r="X5334">
        <v>10</v>
      </c>
      <c r="Y5334" t="s">
        <v>22696</v>
      </c>
      <c r="Z5334" t="s">
        <v>28541</v>
      </c>
      <c r="AA5334">
        <v>0.86399121837630277</v>
      </c>
      <c r="AB5334" t="str">
        <f>HYPERLINK("Melting_Curves/meltCurve_Q9NX55_HYPK.pdf", "Melting_Curves/meltCurve_Q9NX55_HYPK.pdf")</f>
        <v>Melting_Curves/meltCurve_Q9NX55_HYPK.pdf</v>
      </c>
    </row>
    <row r="5335" spans="1:28" x14ac:dyDescent="0.25">
      <c r="A5335" t="s">
        <v>5339</v>
      </c>
      <c r="B5335">
        <v>0.99334974765950101</v>
      </c>
      <c r="C5335">
        <v>0.91788502892691104</v>
      </c>
      <c r="D5335">
        <v>0.90218321608146501</v>
      </c>
      <c r="E5335">
        <v>0.84373447980082195</v>
      </c>
      <c r="F5335">
        <v>0.80545426993672198</v>
      </c>
      <c r="G5335">
        <v>0.64308837705301503</v>
      </c>
      <c r="H5335">
        <v>0.48116955398189798</v>
      </c>
      <c r="I5335">
        <v>0.28131031257341899</v>
      </c>
      <c r="J5335">
        <v>0.19592721242022099</v>
      </c>
      <c r="K5335">
        <v>0.14888354776520499</v>
      </c>
      <c r="L5335">
        <v>641.68459444152404</v>
      </c>
      <c r="M5335">
        <v>10.7981847508938</v>
      </c>
      <c r="N5335">
        <v>59.425242736659001</v>
      </c>
      <c r="O5335">
        <v>57.496024490550703</v>
      </c>
      <c r="P5335">
        <v>-4.6968886940609501E-2</v>
      </c>
      <c r="Q5335">
        <v>0</v>
      </c>
      <c r="R5335">
        <v>0.98323706085711904</v>
      </c>
      <c r="S5335" t="s">
        <v>11196</v>
      </c>
      <c r="T5335" t="s">
        <v>11720</v>
      </c>
      <c r="U5335" t="s">
        <v>11720</v>
      </c>
      <c r="V5335" t="s">
        <v>11720</v>
      </c>
      <c r="W5335" t="s">
        <v>16996</v>
      </c>
      <c r="X5335">
        <v>12</v>
      </c>
      <c r="Y5335" t="s">
        <v>22697</v>
      </c>
      <c r="Z5335" t="s">
        <v>28542</v>
      </c>
      <c r="AA5335">
        <v>0.65036952933187853</v>
      </c>
      <c r="AB5335" t="str">
        <f>HYPERLINK("Melting_Curves/meltCurve_Q9NX62_IMPAD1.pdf", "Melting_Curves/meltCurve_Q9NX62_IMPAD1.pdf")</f>
        <v>Melting_Curves/meltCurve_Q9NX62_IMPAD1.pdf</v>
      </c>
    </row>
    <row r="5336" spans="1:28" x14ac:dyDescent="0.25">
      <c r="A5336" t="s">
        <v>5340</v>
      </c>
      <c r="B5336">
        <v>0.99334974765950101</v>
      </c>
      <c r="C5336">
        <v>0.94814329649060702</v>
      </c>
      <c r="D5336">
        <v>0.75463360662372203</v>
      </c>
      <c r="E5336">
        <v>0.57541757050065701</v>
      </c>
      <c r="F5336">
        <v>0.44108588300353901</v>
      </c>
      <c r="G5336">
        <v>0.33030609086650098</v>
      </c>
      <c r="H5336">
        <v>0.25296439133116799</v>
      </c>
      <c r="I5336">
        <v>0.19776259364599599</v>
      </c>
      <c r="J5336">
        <v>0.232937317102798</v>
      </c>
      <c r="K5336">
        <v>0.18707165184456101</v>
      </c>
      <c r="L5336">
        <v>653.97491608589303</v>
      </c>
      <c r="M5336">
        <v>13.1460500741485</v>
      </c>
      <c r="N5336">
        <v>51.535011344168304</v>
      </c>
      <c r="O5336">
        <v>48.637987341712297</v>
      </c>
      <c r="P5336">
        <v>-5.5205616042869103E-2</v>
      </c>
      <c r="Q5336">
        <v>0.18313538068004501</v>
      </c>
      <c r="R5336">
        <v>0.99398501283121798</v>
      </c>
      <c r="S5336" t="s">
        <v>11197</v>
      </c>
      <c r="T5336" t="s">
        <v>11720</v>
      </c>
      <c r="U5336" t="s">
        <v>11720</v>
      </c>
      <c r="V5336" t="s">
        <v>11720</v>
      </c>
      <c r="W5336" t="s">
        <v>16997</v>
      </c>
      <c r="X5336">
        <v>4</v>
      </c>
      <c r="Y5336" t="s">
        <v>22698</v>
      </c>
      <c r="Z5336" t="s">
        <v>28543</v>
      </c>
      <c r="AA5336">
        <v>0.47325022407070783</v>
      </c>
      <c r="AB5336" t="str">
        <f>HYPERLINK("Melting_Curves/meltCurve_Q9NX70_MED29.pdf", "Melting_Curves/meltCurve_Q9NX70_MED29.pdf")</f>
        <v>Melting_Curves/meltCurve_Q9NX70_MED29.pdf</v>
      </c>
    </row>
    <row r="5337" spans="1:28" x14ac:dyDescent="0.25">
      <c r="A5337" t="s">
        <v>5341</v>
      </c>
      <c r="B5337">
        <v>0.99334974765950101</v>
      </c>
      <c r="C5337">
        <v>0.88795092956172805</v>
      </c>
      <c r="D5337">
        <v>0.72873876403150695</v>
      </c>
      <c r="E5337">
        <v>0.47007431983897202</v>
      </c>
      <c r="F5337">
        <v>0.21229931798093901</v>
      </c>
      <c r="G5337">
        <v>0.109235834291474</v>
      </c>
      <c r="H5337">
        <v>7.1365127156060304E-2</v>
      </c>
      <c r="I5337">
        <v>6.5641904058455394E-2</v>
      </c>
      <c r="J5337">
        <v>2.9626079344093101E-2</v>
      </c>
      <c r="K5337">
        <v>4.01793040113207E-2</v>
      </c>
      <c r="L5337">
        <v>782.86083922026796</v>
      </c>
      <c r="M5337">
        <v>16.0053622324298</v>
      </c>
      <c r="N5337">
        <v>49.08454170948</v>
      </c>
      <c r="O5337">
        <v>48.1679639510117</v>
      </c>
      <c r="P5337">
        <v>-8.0809821155973294E-2</v>
      </c>
      <c r="Q5337">
        <v>2.7291070848380498E-2</v>
      </c>
      <c r="R5337">
        <v>0.99674716750646997</v>
      </c>
      <c r="S5337" t="s">
        <v>11198</v>
      </c>
      <c r="T5337" t="s">
        <v>11720</v>
      </c>
      <c r="U5337" t="s">
        <v>11720</v>
      </c>
      <c r="V5337" t="s">
        <v>11720</v>
      </c>
      <c r="W5337" t="s">
        <v>16998</v>
      </c>
      <c r="X5337">
        <v>4</v>
      </c>
      <c r="Y5337" t="s">
        <v>22699</v>
      </c>
      <c r="Z5337" t="s">
        <v>28544</v>
      </c>
      <c r="AA5337">
        <v>0.33753745815529762</v>
      </c>
      <c r="AB5337" t="str">
        <f>HYPERLINK("Melting_Curves/meltCurve_Q9NX74_DUS2L.pdf", "Melting_Curves/meltCurve_Q9NX74_DUS2L.pdf")</f>
        <v>Melting_Curves/meltCurve_Q9NX74_DUS2L.pdf</v>
      </c>
    </row>
    <row r="5338" spans="1:28" x14ac:dyDescent="0.25">
      <c r="A5338" t="s">
        <v>5342</v>
      </c>
      <c r="B5338">
        <v>0.99334974765950101</v>
      </c>
      <c r="C5338">
        <v>0.94466042531675598</v>
      </c>
      <c r="D5338">
        <v>0.91317186113966498</v>
      </c>
      <c r="E5338">
        <v>1.1271131828802201</v>
      </c>
      <c r="F5338">
        <v>1.1909536410242101</v>
      </c>
      <c r="G5338">
        <v>1.1848800245390601</v>
      </c>
      <c r="H5338">
        <v>1.12240501981552</v>
      </c>
      <c r="I5338">
        <v>1.0142537304571</v>
      </c>
      <c r="J5338">
        <v>1.1272050456801199</v>
      </c>
      <c r="K5338">
        <v>0.75293889662069702</v>
      </c>
      <c r="L5338">
        <v>15000</v>
      </c>
      <c r="M5338">
        <v>213.17128377247801</v>
      </c>
      <c r="Q5338">
        <v>0</v>
      </c>
      <c r="R5338">
        <v>0.26846019027234103</v>
      </c>
      <c r="S5338" t="s">
        <v>11199</v>
      </c>
      <c r="T5338" t="s">
        <v>11720</v>
      </c>
      <c r="U5338" t="s">
        <v>11720</v>
      </c>
      <c r="V5338" t="s">
        <v>11720</v>
      </c>
      <c r="W5338" t="s">
        <v>16999</v>
      </c>
      <c r="X5338">
        <v>2</v>
      </c>
      <c r="Y5338" t="s">
        <v>22700</v>
      </c>
      <c r="Z5338" t="s">
        <v>28545</v>
      </c>
      <c r="AA5338">
        <v>0.99694077448314866</v>
      </c>
      <c r="AB5338" t="str">
        <f>HYPERLINK("Melting_Curves/meltCurve_Q9NX76_CMTM6.pdf", "Melting_Curves/meltCurve_Q9NX76_CMTM6.pdf")</f>
        <v>Melting_Curves/meltCurve_Q9NX76_CMTM6.pdf</v>
      </c>
    </row>
    <row r="5339" spans="1:28" x14ac:dyDescent="0.25">
      <c r="A5339" t="s">
        <v>5343</v>
      </c>
      <c r="B5339">
        <v>0.99334974765950101</v>
      </c>
      <c r="C5339">
        <v>0.97941080818802095</v>
      </c>
      <c r="D5339">
        <v>0.79918772929863102</v>
      </c>
      <c r="E5339">
        <v>0.81335175072477295</v>
      </c>
      <c r="F5339">
        <v>0.93070146070299398</v>
      </c>
      <c r="G5339">
        <v>0.62688841165841103</v>
      </c>
      <c r="H5339">
        <v>0.58872898075241797</v>
      </c>
      <c r="I5339">
        <v>0.64234634960348802</v>
      </c>
      <c r="J5339">
        <v>0.85528048826047098</v>
      </c>
      <c r="K5339">
        <v>0.79077345491871698</v>
      </c>
      <c r="L5339">
        <v>648.53556324432498</v>
      </c>
      <c r="M5339">
        <v>13.7778660665322</v>
      </c>
      <c r="O5339">
        <v>46.112456045516502</v>
      </c>
      <c r="P5339">
        <v>-2.11514445993027E-2</v>
      </c>
      <c r="Q5339">
        <v>0.71687700169214597</v>
      </c>
      <c r="R5339">
        <v>0.48579985273444098</v>
      </c>
      <c r="S5339" t="s">
        <v>11200</v>
      </c>
      <c r="T5339" t="s">
        <v>11720</v>
      </c>
      <c r="U5339" t="s">
        <v>11720</v>
      </c>
      <c r="V5339" t="s">
        <v>11720</v>
      </c>
      <c r="W5339" t="s">
        <v>17000</v>
      </c>
      <c r="X5339">
        <v>4</v>
      </c>
      <c r="Y5339" t="s">
        <v>22701</v>
      </c>
      <c r="Z5339" t="s">
        <v>28546</v>
      </c>
      <c r="AA5339">
        <v>0.7926970834000362</v>
      </c>
      <c r="AB5339" t="str">
        <f>HYPERLINK("Melting_Curves/meltCurve_Q9NX94_WBP1L.pdf", "Melting_Curves/meltCurve_Q9NX94_WBP1L.pdf")</f>
        <v>Melting_Curves/meltCurve_Q9NX94_WBP1L.pdf</v>
      </c>
    </row>
    <row r="5340" spans="1:28" x14ac:dyDescent="0.25">
      <c r="A5340" t="s">
        <v>5344</v>
      </c>
      <c r="B5340">
        <v>0.99334974765950101</v>
      </c>
      <c r="C5340">
        <v>0.91320504328844399</v>
      </c>
      <c r="D5340">
        <v>0.75072512654652401</v>
      </c>
      <c r="E5340">
        <v>0.53277122396753296</v>
      </c>
      <c r="F5340">
        <v>0.13935831794546499</v>
      </c>
      <c r="G5340">
        <v>7.6665887679822103E-2</v>
      </c>
      <c r="H5340">
        <v>5.1296444631413002E-2</v>
      </c>
      <c r="I5340">
        <v>5.4122556774683597E-2</v>
      </c>
      <c r="J5340">
        <v>5.27098536030048E-2</v>
      </c>
      <c r="K5340">
        <v>3.5010555016480101E-2</v>
      </c>
      <c r="L5340">
        <v>927.57859125217203</v>
      </c>
      <c r="M5340">
        <v>18.8633713847052</v>
      </c>
      <c r="N5340">
        <v>49.315703313506702</v>
      </c>
      <c r="O5340">
        <v>48.630891804309599</v>
      </c>
      <c r="P5340">
        <v>-9.4409733932005205E-2</v>
      </c>
      <c r="Q5340">
        <v>2.6464371705238299E-2</v>
      </c>
      <c r="R5340">
        <v>0.98590172437169998</v>
      </c>
      <c r="S5340" t="s">
        <v>11201</v>
      </c>
      <c r="T5340" t="s">
        <v>11720</v>
      </c>
      <c r="U5340" t="s">
        <v>11720</v>
      </c>
      <c r="V5340" t="s">
        <v>11720</v>
      </c>
      <c r="W5340" t="s">
        <v>17001</v>
      </c>
      <c r="X5340">
        <v>6</v>
      </c>
      <c r="Y5340" t="s">
        <v>22702</v>
      </c>
      <c r="Z5340" t="s">
        <v>28547</v>
      </c>
      <c r="AA5340">
        <v>0.33947089189917701</v>
      </c>
      <c r="AB5340" t="str">
        <f>HYPERLINK("Melting_Curves/meltCurve_Q9NXA8_SIRT5.pdf", "Melting_Curves/meltCurve_Q9NXA8_SIRT5.pdf")</f>
        <v>Melting_Curves/meltCurve_Q9NXA8_SIRT5.pdf</v>
      </c>
    </row>
    <row r="5341" spans="1:28" x14ac:dyDescent="0.25">
      <c r="A5341" t="s">
        <v>5345</v>
      </c>
      <c r="B5341">
        <v>0.99334974765950101</v>
      </c>
      <c r="C5341">
        <v>1.0283676753672699</v>
      </c>
      <c r="D5341">
        <v>0.86885890549368405</v>
      </c>
      <c r="E5341">
        <v>0.46028167440161799</v>
      </c>
      <c r="F5341">
        <v>0.27315429420735698</v>
      </c>
      <c r="G5341">
        <v>0.22723067644766601</v>
      </c>
      <c r="H5341">
        <v>0.13095907738416501</v>
      </c>
      <c r="I5341">
        <v>0.11446769273787399</v>
      </c>
      <c r="J5341">
        <v>3.4088855487621701E-2</v>
      </c>
      <c r="K5341">
        <v>0</v>
      </c>
      <c r="L5341">
        <v>994.08961296142695</v>
      </c>
      <c r="M5341">
        <v>20.015339561537399</v>
      </c>
      <c r="N5341">
        <v>50.0693118373594</v>
      </c>
      <c r="O5341">
        <v>49.1785697925378</v>
      </c>
      <c r="P5341">
        <v>-9.4182908179740996E-2</v>
      </c>
      <c r="Q5341">
        <v>7.43836129586401E-2</v>
      </c>
      <c r="R5341">
        <v>0.98297978997277802</v>
      </c>
      <c r="S5341" t="s">
        <v>11202</v>
      </c>
      <c r="T5341" t="s">
        <v>11720</v>
      </c>
      <c r="U5341" t="s">
        <v>11720</v>
      </c>
      <c r="V5341" t="s">
        <v>11720</v>
      </c>
      <c r="W5341" t="s">
        <v>17002</v>
      </c>
      <c r="X5341">
        <v>2</v>
      </c>
      <c r="Y5341" t="s">
        <v>22703</v>
      </c>
      <c r="Z5341" t="s">
        <v>28548</v>
      </c>
      <c r="AA5341">
        <v>0.38551458260753968</v>
      </c>
      <c r="AB5341" t="str">
        <f>HYPERLINK("Melting_Curves/meltCurve_Q9NXF7_DCAF16.pdf", "Melting_Curves/meltCurve_Q9NXF7_DCAF16.pdf")</f>
        <v>Melting_Curves/meltCurve_Q9NXF7_DCAF16.pdf</v>
      </c>
    </row>
    <row r="5342" spans="1:28" x14ac:dyDescent="0.25">
      <c r="A5342" t="s">
        <v>5346</v>
      </c>
      <c r="B5342">
        <v>0.99334974765950101</v>
      </c>
      <c r="C5342">
        <v>0.93789968370578103</v>
      </c>
      <c r="D5342">
        <v>0.81459746144064005</v>
      </c>
      <c r="E5342">
        <v>0.69353570563535805</v>
      </c>
      <c r="F5342">
        <v>0.641872026468993</v>
      </c>
      <c r="G5342">
        <v>0.52298148820976897</v>
      </c>
      <c r="H5342">
        <v>0.46268867093615501</v>
      </c>
      <c r="I5342">
        <v>0.53297699060132098</v>
      </c>
      <c r="J5342">
        <v>0.497345416348418</v>
      </c>
      <c r="K5342">
        <v>0.43947940890746201</v>
      </c>
      <c r="L5342">
        <v>624.94995675238999</v>
      </c>
      <c r="M5342">
        <v>12.731614076095299</v>
      </c>
      <c r="N5342">
        <v>61.154028511742197</v>
      </c>
      <c r="O5342">
        <v>47.922730024282203</v>
      </c>
      <c r="P5342">
        <v>-3.59080968664231E-2</v>
      </c>
      <c r="Q5342">
        <v>0.459460707018299</v>
      </c>
      <c r="R5342">
        <v>0.979284274918099</v>
      </c>
      <c r="S5342" t="s">
        <v>11203</v>
      </c>
      <c r="T5342" t="s">
        <v>11720</v>
      </c>
      <c r="U5342" t="s">
        <v>11720</v>
      </c>
      <c r="V5342" t="s">
        <v>11720</v>
      </c>
      <c r="W5342" t="s">
        <v>17003</v>
      </c>
      <c r="X5342">
        <v>9</v>
      </c>
      <c r="Y5342" t="s">
        <v>22704</v>
      </c>
      <c r="Z5342" t="s">
        <v>28549</v>
      </c>
      <c r="AA5342">
        <v>0.64104897016506712</v>
      </c>
      <c r="AB5342" t="str">
        <f>HYPERLINK("Melting_Curves/meltCurve_Q9NXG6_P4HTM.pdf", "Melting_Curves/meltCurve_Q9NXG6_P4HTM.pdf")</f>
        <v>Melting_Curves/meltCurve_Q9NXG6_P4HTM.pdf</v>
      </c>
    </row>
    <row r="5343" spans="1:28" x14ac:dyDescent="0.25">
      <c r="A5343" t="s">
        <v>5347</v>
      </c>
      <c r="B5343">
        <v>0.99334974765950101</v>
      </c>
      <c r="C5343">
        <v>1.0557258170253501</v>
      </c>
      <c r="D5343">
        <v>1.15727153627097</v>
      </c>
      <c r="E5343">
        <v>1.3977236978363099</v>
      </c>
      <c r="F5343">
        <v>1.45822424537286</v>
      </c>
      <c r="G5343">
        <v>1.47299689149397</v>
      </c>
      <c r="H5343">
        <v>1.0295119013621701</v>
      </c>
      <c r="I5343">
        <v>0.378203586954099</v>
      </c>
      <c r="J5343">
        <v>0.38579112308637997</v>
      </c>
      <c r="K5343">
        <v>0.28584675532953702</v>
      </c>
      <c r="L5343">
        <v>15000</v>
      </c>
      <c r="M5343">
        <v>237.05822137499001</v>
      </c>
      <c r="N5343">
        <v>63.574196745629401</v>
      </c>
      <c r="O5343">
        <v>63.271091709086498</v>
      </c>
      <c r="P5343">
        <v>-0.62215350409469805</v>
      </c>
      <c r="Q5343">
        <v>0.33578627105071801</v>
      </c>
      <c r="R5343">
        <v>0.66715953661157201</v>
      </c>
      <c r="S5343" t="s">
        <v>11204</v>
      </c>
      <c r="T5343" t="s">
        <v>11720</v>
      </c>
      <c r="U5343" t="s">
        <v>11720</v>
      </c>
      <c r="V5343" t="s">
        <v>11720</v>
      </c>
      <c r="W5343" t="s">
        <v>17004</v>
      </c>
      <c r="X5343">
        <v>12</v>
      </c>
      <c r="Y5343" t="s">
        <v>22705</v>
      </c>
      <c r="Z5343" t="s">
        <v>28550</v>
      </c>
      <c r="AA5343">
        <v>0.8512006301282431</v>
      </c>
      <c r="AB5343" t="str">
        <f>HYPERLINK("Melting_Curves/meltCurve_Q9NXH9_TRMT1.pdf", "Melting_Curves/meltCurve_Q9NXH9_TRMT1.pdf")</f>
        <v>Melting_Curves/meltCurve_Q9NXH9_TRMT1.pdf</v>
      </c>
    </row>
    <row r="5344" spans="1:28" x14ac:dyDescent="0.25">
      <c r="A5344" t="s">
        <v>5348</v>
      </c>
      <c r="B5344">
        <v>0.99334974765950101</v>
      </c>
      <c r="C5344">
        <v>1.13556631578367</v>
      </c>
      <c r="D5344">
        <v>0.87109881992034399</v>
      </c>
      <c r="E5344">
        <v>0.59577640360000605</v>
      </c>
      <c r="F5344">
        <v>0.32337533205555502</v>
      </c>
      <c r="G5344">
        <v>0.19367535428032001</v>
      </c>
      <c r="H5344">
        <v>0.159592331009411</v>
      </c>
      <c r="I5344">
        <v>0.12426278684549801</v>
      </c>
      <c r="J5344">
        <v>0.135794499523927</v>
      </c>
      <c r="K5344">
        <v>9.0366680438805705E-2</v>
      </c>
      <c r="L5344">
        <v>1175.01506589118</v>
      </c>
      <c r="M5344">
        <v>23.3609226589559</v>
      </c>
      <c r="N5344">
        <v>50.921682728710898</v>
      </c>
      <c r="O5344">
        <v>49.9340909770685</v>
      </c>
      <c r="P5344">
        <v>-0.102416024611115</v>
      </c>
      <c r="Q5344">
        <v>0.124356320592408</v>
      </c>
      <c r="R5344">
        <v>0.98187950756901099</v>
      </c>
      <c r="S5344" t="s">
        <v>11205</v>
      </c>
      <c r="T5344" t="s">
        <v>11720</v>
      </c>
      <c r="U5344" t="s">
        <v>11720</v>
      </c>
      <c r="V5344" t="s">
        <v>11720</v>
      </c>
      <c r="W5344" t="s">
        <v>17005</v>
      </c>
      <c r="X5344">
        <v>4</v>
      </c>
      <c r="Y5344" t="s">
        <v>22706</v>
      </c>
      <c r="Z5344" t="s">
        <v>28551</v>
      </c>
      <c r="AA5344">
        <v>0.43392985387331001</v>
      </c>
      <c r="AB5344" t="str">
        <f>HYPERLINK("Melting_Curves/meltCurve_Q9NXJ5_PGPEP1.pdf", "Melting_Curves/meltCurve_Q9NXJ5_PGPEP1.pdf")</f>
        <v>Melting_Curves/meltCurve_Q9NXJ5_PGPEP1.pdf</v>
      </c>
    </row>
    <row r="5345" spans="1:28" x14ac:dyDescent="0.25">
      <c r="A5345" t="s">
        <v>5349</v>
      </c>
      <c r="B5345">
        <v>0.99334974765950101</v>
      </c>
      <c r="C5345">
        <v>0.91385405998616698</v>
      </c>
      <c r="D5345">
        <v>0.48422939020738298</v>
      </c>
      <c r="E5345">
        <v>0.272148329119482</v>
      </c>
      <c r="F5345">
        <v>0.20177530717147199</v>
      </c>
      <c r="G5345">
        <v>0.154086616590528</v>
      </c>
      <c r="H5345">
        <v>0.120465540753648</v>
      </c>
      <c r="I5345">
        <v>0.10440244044111301</v>
      </c>
      <c r="J5345">
        <v>9.1856552709674799E-2</v>
      </c>
      <c r="K5345">
        <v>5.7017838024915203E-2</v>
      </c>
      <c r="L5345">
        <v>1061.22450120997</v>
      </c>
      <c r="M5345">
        <v>23.113251430311401</v>
      </c>
      <c r="N5345">
        <v>46.4371754769343</v>
      </c>
      <c r="O5345">
        <v>45.574553577275601</v>
      </c>
      <c r="P5345">
        <v>-0.112259427949812</v>
      </c>
      <c r="Q5345">
        <v>0.114606545989912</v>
      </c>
      <c r="R5345">
        <v>0.98423107518393804</v>
      </c>
      <c r="S5345" t="s">
        <v>11206</v>
      </c>
      <c r="T5345" t="s">
        <v>11720</v>
      </c>
      <c r="U5345" t="s">
        <v>11720</v>
      </c>
      <c r="V5345" t="s">
        <v>11720</v>
      </c>
      <c r="W5345" t="s">
        <v>17006</v>
      </c>
      <c r="X5345">
        <v>8</v>
      </c>
      <c r="Y5345" t="s">
        <v>22707</v>
      </c>
      <c r="Z5345" t="s">
        <v>28552</v>
      </c>
      <c r="AA5345">
        <v>0.29900714593864319</v>
      </c>
      <c r="AB5345" t="str">
        <f>HYPERLINK("Melting_Curves/meltCurve_Q9NXN4_2_GDAP2.pdf", "Melting_Curves/meltCurve_Q9NXN4_2_GDAP2.pdf")</f>
        <v>Melting_Curves/meltCurve_Q9NXN4_2_GDAP2.pdf</v>
      </c>
    </row>
    <row r="5346" spans="1:28" x14ac:dyDescent="0.25">
      <c r="A5346" t="s">
        <v>5350</v>
      </c>
      <c r="B5346">
        <v>0.99334974765950101</v>
      </c>
      <c r="C5346">
        <v>1.04126416718786</v>
      </c>
      <c r="D5346">
        <v>0.90687084786822703</v>
      </c>
      <c r="E5346">
        <v>0.83619515644350695</v>
      </c>
      <c r="F5346">
        <v>0.92381492404368104</v>
      </c>
      <c r="G5346">
        <v>0.62572179666352101</v>
      </c>
      <c r="H5346">
        <v>0.59736161776864904</v>
      </c>
      <c r="I5346">
        <v>0.79457480507185396</v>
      </c>
      <c r="J5346">
        <v>1.2078240247943299</v>
      </c>
      <c r="K5346">
        <v>1.3504261207992401</v>
      </c>
      <c r="L5346">
        <v>11316.981954831401</v>
      </c>
      <c r="M5346">
        <v>250</v>
      </c>
      <c r="O5346">
        <v>45.265030829810897</v>
      </c>
      <c r="P5346">
        <v>-0.13099120750108501</v>
      </c>
      <c r="Q5346">
        <v>0.90513086307722201</v>
      </c>
      <c r="R5346">
        <v>3.8822393650874101E-2</v>
      </c>
      <c r="S5346" t="s">
        <v>11207</v>
      </c>
      <c r="T5346" t="s">
        <v>11720</v>
      </c>
      <c r="U5346" t="s">
        <v>11720</v>
      </c>
      <c r="V5346" t="s">
        <v>11720</v>
      </c>
      <c r="W5346" t="s">
        <v>17007</v>
      </c>
      <c r="X5346">
        <v>9</v>
      </c>
      <c r="Y5346" t="s">
        <v>22708</v>
      </c>
      <c r="Z5346" t="s">
        <v>28553</v>
      </c>
      <c r="AA5346">
        <v>0.92179719209556887</v>
      </c>
      <c r="AB5346" t="str">
        <f>HYPERLINK("Melting_Curves/meltCurve_Q9NXR1_2_NDE1.pdf", "Melting_Curves/meltCurve_Q9NXR1_2_NDE1.pdf")</f>
        <v>Melting_Curves/meltCurve_Q9NXR1_2_NDE1.pdf</v>
      </c>
    </row>
    <row r="5347" spans="1:28" x14ac:dyDescent="0.25">
      <c r="A5347" t="s">
        <v>5351</v>
      </c>
      <c r="B5347">
        <v>0.99334974765950101</v>
      </c>
      <c r="C5347">
        <v>0.95766295517321098</v>
      </c>
      <c r="D5347">
        <v>1.02631234702384</v>
      </c>
      <c r="E5347">
        <v>1.1615099884240501</v>
      </c>
      <c r="F5347">
        <v>1.29836240529755</v>
      </c>
      <c r="G5347">
        <v>1.5620673003338701</v>
      </c>
      <c r="H5347">
        <v>1.1780134185687801</v>
      </c>
      <c r="I5347">
        <v>1.09823612607004</v>
      </c>
      <c r="J5347">
        <v>0.24938554463382101</v>
      </c>
      <c r="K5347">
        <v>0.193327258159776</v>
      </c>
      <c r="L5347">
        <v>15000</v>
      </c>
      <c r="M5347">
        <v>226.456334007496</v>
      </c>
      <c r="N5347">
        <v>66.380762984418297</v>
      </c>
      <c r="O5347">
        <v>66.232771261791001</v>
      </c>
      <c r="P5347">
        <v>-0.68992934670547401</v>
      </c>
      <c r="Q5347">
        <v>0.19285222967571999</v>
      </c>
      <c r="R5347">
        <v>0.71747512313142303</v>
      </c>
      <c r="S5347" t="s">
        <v>11208</v>
      </c>
      <c r="T5347" t="s">
        <v>11720</v>
      </c>
      <c r="U5347" t="s">
        <v>11720</v>
      </c>
      <c r="V5347" t="s">
        <v>11720</v>
      </c>
      <c r="W5347" t="s">
        <v>17008</v>
      </c>
      <c r="X5347">
        <v>10</v>
      </c>
      <c r="Y5347" t="s">
        <v>22709</v>
      </c>
      <c r="Z5347" t="s">
        <v>28554</v>
      </c>
      <c r="AA5347">
        <v>0.8988962405039338</v>
      </c>
      <c r="AB5347" t="str">
        <f>HYPERLINK("Melting_Curves/meltCurve_Q9NXR7_BRE.pdf", "Melting_Curves/meltCurve_Q9NXR7_BRE.pdf")</f>
        <v>Melting_Curves/meltCurve_Q9NXR7_BRE.pdf</v>
      </c>
    </row>
    <row r="5348" spans="1:28" x14ac:dyDescent="0.25">
      <c r="A5348" t="s">
        <v>5352</v>
      </c>
      <c r="B5348">
        <v>0.99334974765950101</v>
      </c>
      <c r="C5348">
        <v>0.87310387684823598</v>
      </c>
      <c r="D5348">
        <v>0.80811538080630396</v>
      </c>
      <c r="E5348">
        <v>0.71361388802776804</v>
      </c>
      <c r="F5348">
        <v>0.42566479853176098</v>
      </c>
      <c r="G5348">
        <v>0.334211613361867</v>
      </c>
      <c r="H5348">
        <v>0.21621207694452799</v>
      </c>
      <c r="I5348">
        <v>0.21749424408302401</v>
      </c>
      <c r="J5348">
        <v>0.11962271752170001</v>
      </c>
      <c r="K5348">
        <v>9.2463362857756803E-2</v>
      </c>
      <c r="L5348">
        <v>546.85393293601805</v>
      </c>
      <c r="M5348">
        <v>10.4386422152363</v>
      </c>
      <c r="N5348">
        <v>52.854631492419898</v>
      </c>
      <c r="O5348">
        <v>50.574335540387203</v>
      </c>
      <c r="P5348">
        <v>-4.9346827538023497E-2</v>
      </c>
      <c r="Q5348">
        <v>4.4070098983628202E-2</v>
      </c>
      <c r="R5348">
        <v>0.98473546640917498</v>
      </c>
      <c r="S5348" t="s">
        <v>11209</v>
      </c>
      <c r="T5348" t="s">
        <v>11720</v>
      </c>
      <c r="U5348" t="s">
        <v>11720</v>
      </c>
      <c r="V5348" t="s">
        <v>11720</v>
      </c>
      <c r="W5348" t="s">
        <v>17009</v>
      </c>
      <c r="X5348">
        <v>5</v>
      </c>
      <c r="Y5348" t="s">
        <v>22710</v>
      </c>
      <c r="Z5348" t="s">
        <v>28555</v>
      </c>
      <c r="AA5348">
        <v>0.47218674373170061</v>
      </c>
      <c r="AB5348" t="str">
        <f>HYPERLINK("Melting_Curves/meltCurve_Q9NXU5_ARL15.pdf", "Melting_Curves/meltCurve_Q9NXU5_ARL15.pdf")</f>
        <v>Melting_Curves/meltCurve_Q9NXU5_ARL15.pdf</v>
      </c>
    </row>
    <row r="5349" spans="1:28" x14ac:dyDescent="0.25">
      <c r="A5349" t="s">
        <v>5353</v>
      </c>
      <c r="B5349">
        <v>0.99334974765950101</v>
      </c>
      <c r="C5349">
        <v>0.96645949657953401</v>
      </c>
      <c r="D5349">
        <v>0.85511369574819296</v>
      </c>
      <c r="E5349">
        <v>0.77234099597314898</v>
      </c>
      <c r="F5349">
        <v>0.47011954397619499</v>
      </c>
      <c r="G5349">
        <v>0.31756042254780398</v>
      </c>
      <c r="H5349">
        <v>0.28731982116726601</v>
      </c>
      <c r="I5349">
        <v>0.27254632499625597</v>
      </c>
      <c r="J5349">
        <v>0.27213234475438702</v>
      </c>
      <c r="K5349">
        <v>0.206574523123252</v>
      </c>
      <c r="L5349">
        <v>931.49717876801503</v>
      </c>
      <c r="M5349">
        <v>18.167541719675601</v>
      </c>
      <c r="N5349">
        <v>53.119568702280503</v>
      </c>
      <c r="O5349">
        <v>50.663496191124302</v>
      </c>
      <c r="P5349">
        <v>-6.8660027867974205E-2</v>
      </c>
      <c r="Q5349">
        <v>0.23415250241209201</v>
      </c>
      <c r="R5349">
        <v>0.98613307034836795</v>
      </c>
      <c r="S5349" t="s">
        <v>11210</v>
      </c>
      <c r="T5349" t="s">
        <v>11720</v>
      </c>
      <c r="U5349" t="s">
        <v>11720</v>
      </c>
      <c r="V5349" t="s">
        <v>11720</v>
      </c>
      <c r="W5349" t="s">
        <v>17010</v>
      </c>
      <c r="X5349">
        <v>9</v>
      </c>
      <c r="Y5349" t="s">
        <v>22711</v>
      </c>
      <c r="Z5349" t="s">
        <v>28556</v>
      </c>
      <c r="AA5349">
        <v>0.53457459428199305</v>
      </c>
      <c r="AB5349" t="str">
        <f>HYPERLINK("Melting_Curves/meltCurve_Q9NXV6_CDKN2AIP.pdf", "Melting_Curves/meltCurve_Q9NXV6_CDKN2AIP.pdf")</f>
        <v>Melting_Curves/meltCurve_Q9NXV6_CDKN2AIP.pdf</v>
      </c>
    </row>
    <row r="5350" spans="1:28" x14ac:dyDescent="0.25">
      <c r="A5350" t="s">
        <v>5354</v>
      </c>
      <c r="B5350">
        <v>0.99334974765950101</v>
      </c>
      <c r="C5350">
        <v>0.93658442642357198</v>
      </c>
      <c r="D5350">
        <v>0.83225280287010395</v>
      </c>
      <c r="E5350">
        <v>0.54035997696983895</v>
      </c>
      <c r="F5350">
        <v>0.38878231311990402</v>
      </c>
      <c r="G5350">
        <v>0.33297337620324802</v>
      </c>
      <c r="H5350">
        <v>0.22979666266309101</v>
      </c>
      <c r="I5350">
        <v>0.18537998720393201</v>
      </c>
      <c r="J5350">
        <v>7.3648387452518005E-2</v>
      </c>
      <c r="K5350">
        <v>8.9171011195108896E-2</v>
      </c>
      <c r="L5350">
        <v>623.37604878295997</v>
      </c>
      <c r="M5350">
        <v>12.2711160746458</v>
      </c>
      <c r="N5350">
        <v>51.576812729634099</v>
      </c>
      <c r="O5350">
        <v>49.507682440000998</v>
      </c>
      <c r="P5350">
        <v>-5.6751741455684103E-2</v>
      </c>
      <c r="Q5350">
        <v>8.4345470972371397E-2</v>
      </c>
      <c r="R5350">
        <v>0.98555145681140799</v>
      </c>
      <c r="S5350" t="s">
        <v>11211</v>
      </c>
      <c r="T5350" t="s">
        <v>11720</v>
      </c>
      <c r="U5350" t="s">
        <v>11720</v>
      </c>
      <c r="V5350" t="s">
        <v>11720</v>
      </c>
      <c r="W5350" t="s">
        <v>17011</v>
      </c>
      <c r="X5350">
        <v>6</v>
      </c>
      <c r="Y5350" t="s">
        <v>22712</v>
      </c>
      <c r="Z5350" t="s">
        <v>28557</v>
      </c>
      <c r="AA5350">
        <v>0.44323983254591393</v>
      </c>
      <c r="AB5350" t="str">
        <f>HYPERLINK("Melting_Curves/meltCurve_Q9NXW9_ALKBH4.pdf", "Melting_Curves/meltCurve_Q9NXW9_ALKBH4.pdf")</f>
        <v>Melting_Curves/meltCurve_Q9NXW9_ALKBH4.pdf</v>
      </c>
    </row>
    <row r="5351" spans="1:28" x14ac:dyDescent="0.25">
      <c r="A5351" t="s">
        <v>5355</v>
      </c>
      <c r="B5351">
        <v>0.99334974765950101</v>
      </c>
      <c r="C5351">
        <v>0.93776809326888599</v>
      </c>
      <c r="D5351">
        <v>0.91296729762388396</v>
      </c>
      <c r="E5351">
        <v>0.69004606097789101</v>
      </c>
      <c r="F5351">
        <v>0.45701376172160302</v>
      </c>
      <c r="G5351">
        <v>0.27850373483159402</v>
      </c>
      <c r="H5351">
        <v>0.12876634647865301</v>
      </c>
      <c r="I5351">
        <v>9.3267673745819499E-2</v>
      </c>
      <c r="J5351">
        <v>8.3147516471358193E-2</v>
      </c>
      <c r="K5351">
        <v>6.3567355694961206E-2</v>
      </c>
      <c r="L5351">
        <v>797.968174995396</v>
      </c>
      <c r="M5351">
        <v>15.250099848202501</v>
      </c>
      <c r="N5351">
        <v>52.638630248850298</v>
      </c>
      <c r="O5351">
        <v>51.450446271172602</v>
      </c>
      <c r="P5351">
        <v>-7.0893840127139202E-2</v>
      </c>
      <c r="Q5351">
        <v>4.3370372604960301E-2</v>
      </c>
      <c r="R5351">
        <v>0.99828353095796596</v>
      </c>
      <c r="S5351" t="s">
        <v>11212</v>
      </c>
      <c r="T5351" t="s">
        <v>11720</v>
      </c>
      <c r="U5351" t="s">
        <v>11720</v>
      </c>
      <c r="V5351" t="s">
        <v>11720</v>
      </c>
      <c r="W5351" t="s">
        <v>17012</v>
      </c>
      <c r="X5351">
        <v>14</v>
      </c>
      <c r="Y5351" t="s">
        <v>22713</v>
      </c>
      <c r="Z5351" t="s">
        <v>28558</v>
      </c>
      <c r="AA5351">
        <v>0.45702289220425357</v>
      </c>
      <c r="AB5351" t="str">
        <f>HYPERLINK("Melting_Curves/meltCurve_Q9NY27_PPP4R2.pdf", "Melting_Curves/meltCurve_Q9NY27_PPP4R2.pdf")</f>
        <v>Melting_Curves/meltCurve_Q9NY27_PPP4R2.pdf</v>
      </c>
    </row>
    <row r="5352" spans="1:28" x14ac:dyDescent="0.25">
      <c r="A5352" t="s">
        <v>5356</v>
      </c>
      <c r="B5352">
        <v>0.99334974765950101</v>
      </c>
      <c r="C5352">
        <v>1.0112300411125199</v>
      </c>
      <c r="D5352">
        <v>0.97751438938391899</v>
      </c>
      <c r="E5352">
        <v>0.82072155394563895</v>
      </c>
      <c r="F5352">
        <v>0.48324765521270202</v>
      </c>
      <c r="G5352">
        <v>0.154410537185311</v>
      </c>
      <c r="H5352">
        <v>0.10695781789396799</v>
      </c>
      <c r="I5352">
        <v>7.6715788104881305E-2</v>
      </c>
      <c r="J5352">
        <v>9.08049298917665E-2</v>
      </c>
      <c r="K5352">
        <v>6.51948314257349E-2</v>
      </c>
      <c r="L5352">
        <v>1501.7781972262601</v>
      </c>
      <c r="M5352">
        <v>28.5958940269891</v>
      </c>
      <c r="N5352">
        <v>52.825117123853502</v>
      </c>
      <c r="O5352">
        <v>52.262447303052099</v>
      </c>
      <c r="P5352">
        <v>-0.126292024708234</v>
      </c>
      <c r="Q5352">
        <v>7.6751614036673493E-2</v>
      </c>
      <c r="R5352">
        <v>0.99945772598288696</v>
      </c>
      <c r="S5352" t="s">
        <v>11213</v>
      </c>
      <c r="T5352" t="s">
        <v>11720</v>
      </c>
      <c r="U5352" t="s">
        <v>11720</v>
      </c>
      <c r="V5352" t="s">
        <v>11720</v>
      </c>
      <c r="W5352" t="s">
        <v>17013</v>
      </c>
      <c r="X5352">
        <v>32</v>
      </c>
      <c r="Y5352" t="s">
        <v>22714</v>
      </c>
      <c r="Z5352" t="s">
        <v>28559</v>
      </c>
      <c r="AA5352">
        <v>0.46850251080343958</v>
      </c>
      <c r="AB5352" t="str">
        <f>HYPERLINK("Melting_Curves/meltCurve_Q9NY33_DPP3.pdf", "Melting_Curves/meltCurve_Q9NY33_DPP3.pdf")</f>
        <v>Melting_Curves/meltCurve_Q9NY33_DPP3.pdf</v>
      </c>
    </row>
    <row r="5353" spans="1:28" x14ac:dyDescent="0.25">
      <c r="A5353" t="s">
        <v>5357</v>
      </c>
      <c r="B5353">
        <v>0.99334974765950101</v>
      </c>
      <c r="C5353">
        <v>0.88113768846428597</v>
      </c>
      <c r="D5353">
        <v>0.86134146824181401</v>
      </c>
      <c r="E5353">
        <v>0.69400681631545202</v>
      </c>
      <c r="F5353">
        <v>0.78305153215126599</v>
      </c>
      <c r="G5353">
        <v>0.62951467244616699</v>
      </c>
      <c r="H5353">
        <v>0.52842811810232504</v>
      </c>
      <c r="I5353">
        <v>0.56299020518468901</v>
      </c>
      <c r="J5353">
        <v>0.49572682576294602</v>
      </c>
      <c r="K5353">
        <v>0.416174099093369</v>
      </c>
      <c r="L5353">
        <v>316.65454394093803</v>
      </c>
      <c r="M5353">
        <v>5.4297502338842403</v>
      </c>
      <c r="N5353">
        <v>65.350121590491895</v>
      </c>
      <c r="O5353">
        <v>51.829976410702997</v>
      </c>
      <c r="P5353">
        <v>-2.0489969446193801E-2</v>
      </c>
      <c r="Q5353">
        <v>0.22123560992018901</v>
      </c>
      <c r="R5353">
        <v>0.94092839705973097</v>
      </c>
      <c r="S5353" t="s">
        <v>11214</v>
      </c>
      <c r="T5353" t="s">
        <v>11720</v>
      </c>
      <c r="U5353" t="s">
        <v>11720</v>
      </c>
      <c r="V5353" t="s">
        <v>11720</v>
      </c>
      <c r="W5353" t="s">
        <v>17014</v>
      </c>
      <c r="X5353">
        <v>3</v>
      </c>
      <c r="Y5353" t="s">
        <v>22715</v>
      </c>
      <c r="Z5353" t="s">
        <v>28560</v>
      </c>
      <c r="AA5353">
        <v>0.68291078157672502</v>
      </c>
      <c r="AB5353" t="str">
        <f>HYPERLINK("Melting_Curves/meltCurve_Q9NYA1_2_SPHK1.pdf", "Melting_Curves/meltCurve_Q9NYA1_2_SPHK1.pdf")</f>
        <v>Melting_Curves/meltCurve_Q9NYA1_2_SPHK1.pdf</v>
      </c>
    </row>
    <row r="5354" spans="1:28" x14ac:dyDescent="0.25">
      <c r="A5354" t="s">
        <v>5358</v>
      </c>
      <c r="B5354">
        <v>0.99334974765950101</v>
      </c>
      <c r="C5354">
        <v>0.93833210202988404</v>
      </c>
      <c r="D5354">
        <v>0.82364100837119703</v>
      </c>
      <c r="E5354">
        <v>0.64517645082752495</v>
      </c>
      <c r="F5354">
        <v>0.61389557383458004</v>
      </c>
      <c r="G5354">
        <v>0.31533590313530102</v>
      </c>
      <c r="H5354">
        <v>0.22068091650524799</v>
      </c>
      <c r="I5354">
        <v>0.21089320419407701</v>
      </c>
      <c r="J5354">
        <v>0.27507826875390901</v>
      </c>
      <c r="K5354">
        <v>0.29520905573119899</v>
      </c>
      <c r="L5354">
        <v>701.33059766189899</v>
      </c>
      <c r="M5354">
        <v>13.7191427659015</v>
      </c>
      <c r="N5354">
        <v>53.247776597970201</v>
      </c>
      <c r="O5354">
        <v>50.071137060248098</v>
      </c>
      <c r="P5354">
        <v>-5.4055174325915403E-2</v>
      </c>
      <c r="Q5354">
        <v>0.21096640344065401</v>
      </c>
      <c r="R5354">
        <v>0.96820192483363499</v>
      </c>
      <c r="S5354" t="s">
        <v>11215</v>
      </c>
      <c r="T5354" t="s">
        <v>11720</v>
      </c>
      <c r="U5354" t="s">
        <v>11720</v>
      </c>
      <c r="V5354" t="s">
        <v>11720</v>
      </c>
      <c r="W5354" t="s">
        <v>17015</v>
      </c>
      <c r="X5354">
        <v>6</v>
      </c>
      <c r="Y5354" t="s">
        <v>22716</v>
      </c>
      <c r="Z5354" t="s">
        <v>28561</v>
      </c>
      <c r="AA5354">
        <v>0.52439217819041994</v>
      </c>
      <c r="AB5354" t="str">
        <f>HYPERLINK("Melting_Curves/meltCurve_Q9NYB0_TERF2IP.pdf", "Melting_Curves/meltCurve_Q9NYB0_TERF2IP.pdf")</f>
        <v>Melting_Curves/meltCurve_Q9NYB0_TERF2IP.pdf</v>
      </c>
    </row>
    <row r="5355" spans="1:28" x14ac:dyDescent="0.25">
      <c r="A5355" t="s">
        <v>5359</v>
      </c>
      <c r="B5355">
        <v>0.99334974765950101</v>
      </c>
      <c r="C5355">
        <v>0.99789647394724901</v>
      </c>
      <c r="D5355">
        <v>0.88544918776342196</v>
      </c>
      <c r="E5355">
        <v>0.82027190156559804</v>
      </c>
      <c r="F5355">
        <v>0.59293721274850597</v>
      </c>
      <c r="G5355">
        <v>0.477106365799494</v>
      </c>
      <c r="H5355">
        <v>0.37191107096069398</v>
      </c>
      <c r="I5355">
        <v>0.44389540664340399</v>
      </c>
      <c r="J5355">
        <v>0.43538985751037201</v>
      </c>
      <c r="K5355">
        <v>0.266437074574087</v>
      </c>
      <c r="L5355">
        <v>822.36973458830198</v>
      </c>
      <c r="M5355">
        <v>15.8202302680705</v>
      </c>
      <c r="N5355">
        <v>56.215035718214601</v>
      </c>
      <c r="O5355">
        <v>51.172846775254897</v>
      </c>
      <c r="P5355">
        <v>-5.0390133790082899E-2</v>
      </c>
      <c r="Q5355">
        <v>0.34807644855499897</v>
      </c>
      <c r="R5355">
        <v>0.964101722054165</v>
      </c>
      <c r="S5355" t="s">
        <v>11216</v>
      </c>
      <c r="T5355" t="s">
        <v>11720</v>
      </c>
      <c r="U5355" t="s">
        <v>11720</v>
      </c>
      <c r="V5355" t="s">
        <v>11720</v>
      </c>
      <c r="W5355" t="s">
        <v>17016</v>
      </c>
      <c r="X5355">
        <v>12</v>
      </c>
      <c r="Y5355" t="s">
        <v>22717</v>
      </c>
      <c r="Z5355" t="s">
        <v>28562</v>
      </c>
      <c r="AA5355">
        <v>0.62188118457607333</v>
      </c>
      <c r="AB5355" t="str">
        <f>HYPERLINK("Melting_Curves/meltCurve_Q9NYF8_2_BCLAF1.pdf", "Melting_Curves/meltCurve_Q9NYF8_2_BCLAF1.pdf")</f>
        <v>Melting_Curves/meltCurve_Q9NYF8_2_BCLAF1.pdf</v>
      </c>
    </row>
    <row r="5356" spans="1:28" x14ac:dyDescent="0.25">
      <c r="A5356" t="s">
        <v>5360</v>
      </c>
      <c r="B5356">
        <v>0.99334974765950101</v>
      </c>
      <c r="C5356">
        <v>0.97218938365754703</v>
      </c>
      <c r="D5356">
        <v>0.83898583318576203</v>
      </c>
      <c r="E5356">
        <v>0.81997043012693605</v>
      </c>
      <c r="F5356">
        <v>0.93951928210185998</v>
      </c>
      <c r="G5356">
        <v>0.76276392775945301</v>
      </c>
      <c r="H5356">
        <v>0.793581369081646</v>
      </c>
      <c r="I5356">
        <v>0.84726994113842602</v>
      </c>
      <c r="J5356">
        <v>1.0596389000241699</v>
      </c>
      <c r="K5356">
        <v>0.86516628202211199</v>
      </c>
      <c r="L5356">
        <v>10782.5333579092</v>
      </c>
      <c r="M5356">
        <v>250</v>
      </c>
      <c r="O5356">
        <v>43.1273733812301</v>
      </c>
      <c r="P5356">
        <v>-0.194392208927295</v>
      </c>
      <c r="Q5356">
        <v>0.86586199410357001</v>
      </c>
      <c r="R5356">
        <v>0.26217393954580598</v>
      </c>
      <c r="S5356" t="s">
        <v>11217</v>
      </c>
      <c r="T5356" t="s">
        <v>11720</v>
      </c>
      <c r="U5356" t="s">
        <v>11720</v>
      </c>
      <c r="V5356" t="s">
        <v>11720</v>
      </c>
      <c r="W5356" t="s">
        <v>17017</v>
      </c>
      <c r="X5356">
        <v>5</v>
      </c>
      <c r="Y5356" t="s">
        <v>22718</v>
      </c>
      <c r="Z5356" t="s">
        <v>28563</v>
      </c>
      <c r="AA5356">
        <v>0.87986780926555985</v>
      </c>
      <c r="AB5356" t="str">
        <f>HYPERLINK("Melting_Curves/meltCurve_Q9NYJ1_COA4.pdf", "Melting_Curves/meltCurve_Q9NYJ1_COA4.pdf")</f>
        <v>Melting_Curves/meltCurve_Q9NYJ1_COA4.pdf</v>
      </c>
    </row>
    <row r="5357" spans="1:28" x14ac:dyDescent="0.25">
      <c r="A5357" t="s">
        <v>5361</v>
      </c>
      <c r="B5357">
        <v>0.99334974765950101</v>
      </c>
      <c r="C5357">
        <v>0.88223628567352497</v>
      </c>
      <c r="D5357">
        <v>0.90098387700413296</v>
      </c>
      <c r="E5357">
        <v>0.46173620033722401</v>
      </c>
      <c r="F5357">
        <v>0.27296808538880601</v>
      </c>
      <c r="G5357">
        <v>0.23358794997071899</v>
      </c>
      <c r="H5357">
        <v>0.155701082822015</v>
      </c>
      <c r="I5357">
        <v>0.112930914432348</v>
      </c>
      <c r="J5357">
        <v>0.11042357103079301</v>
      </c>
      <c r="K5357">
        <v>0.117505810319274</v>
      </c>
      <c r="L5357">
        <v>1051.01432126646</v>
      </c>
      <c r="M5357">
        <v>21.355034641917602</v>
      </c>
      <c r="N5357">
        <v>49.906228517125598</v>
      </c>
      <c r="O5357">
        <v>48.790751805907</v>
      </c>
      <c r="P5357">
        <v>-9.5436867555820898E-2</v>
      </c>
      <c r="Q5357">
        <v>0.127827300192147</v>
      </c>
      <c r="R5357">
        <v>0.986203522942527</v>
      </c>
      <c r="S5357" t="s">
        <v>11218</v>
      </c>
      <c r="T5357" t="s">
        <v>11720</v>
      </c>
      <c r="U5357" t="s">
        <v>11720</v>
      </c>
      <c r="V5357" t="s">
        <v>11720</v>
      </c>
      <c r="W5357" t="s">
        <v>17018</v>
      </c>
      <c r="X5357">
        <v>7</v>
      </c>
      <c r="Y5357" t="s">
        <v>22719</v>
      </c>
      <c r="Z5357" t="s">
        <v>28564</v>
      </c>
      <c r="AA5357">
        <v>0.40644513388353048</v>
      </c>
      <c r="AB5357" t="str">
        <f>HYPERLINK("Melting_Curves/meltCurve_Q9NYJ8_TAB2.pdf", "Melting_Curves/meltCurve_Q9NYJ8_TAB2.pdf")</f>
        <v>Melting_Curves/meltCurve_Q9NYJ8_TAB2.pdf</v>
      </c>
    </row>
    <row r="5358" spans="1:28" x14ac:dyDescent="0.25">
      <c r="A5358" t="s">
        <v>5362</v>
      </c>
      <c r="B5358">
        <v>0.99334974765950101</v>
      </c>
      <c r="C5358">
        <v>1.1452357420474899</v>
      </c>
      <c r="D5358">
        <v>1.4035089857933001</v>
      </c>
      <c r="E5358">
        <v>1.88350415275867</v>
      </c>
      <c r="F5358">
        <v>0.463237555121981</v>
      </c>
      <c r="G5358">
        <v>0.25952551949547198</v>
      </c>
      <c r="H5358">
        <v>0.16493816310201601</v>
      </c>
      <c r="I5358">
        <v>0.15648469979693599</v>
      </c>
      <c r="J5358">
        <v>0.12398204473496401</v>
      </c>
      <c r="K5358">
        <v>0.110239975044849</v>
      </c>
      <c r="L5358">
        <v>13219.2026272562</v>
      </c>
      <c r="M5358">
        <v>250</v>
      </c>
      <c r="N5358">
        <v>52.960415526347298</v>
      </c>
      <c r="O5358">
        <v>52.873415597817299</v>
      </c>
      <c r="P5358">
        <v>-0.98935107559761803</v>
      </c>
      <c r="Q5358">
        <v>0.16303389448536099</v>
      </c>
      <c r="R5358">
        <v>0.73436497528618605</v>
      </c>
      <c r="S5358" t="s">
        <v>11219</v>
      </c>
      <c r="T5358" t="s">
        <v>11720</v>
      </c>
      <c r="U5358" t="s">
        <v>11720</v>
      </c>
      <c r="V5358" t="s">
        <v>11720</v>
      </c>
      <c r="W5358" t="s">
        <v>17019</v>
      </c>
      <c r="X5358">
        <v>10</v>
      </c>
      <c r="Y5358" t="s">
        <v>22720</v>
      </c>
      <c r="Z5358" t="s">
        <v>28565</v>
      </c>
      <c r="AA5358">
        <v>0.52236002802180936</v>
      </c>
      <c r="AB5358" t="str">
        <f>HYPERLINK("Melting_Curves/meltCurve_Q9NYK5_MRPL39.pdf", "Melting_Curves/meltCurve_Q9NYK5_MRPL39.pdf")</f>
        <v>Melting_Curves/meltCurve_Q9NYK5_MRPL39.pdf</v>
      </c>
    </row>
    <row r="5359" spans="1:28" x14ac:dyDescent="0.25">
      <c r="A5359" t="s">
        <v>5363</v>
      </c>
      <c r="B5359">
        <v>0.99334974765950101</v>
      </c>
      <c r="C5359">
        <v>0.97892704442266798</v>
      </c>
      <c r="D5359">
        <v>0.912434585682393</v>
      </c>
      <c r="E5359">
        <v>0.80986883221053696</v>
      </c>
      <c r="F5359">
        <v>0.67681919788358202</v>
      </c>
      <c r="G5359">
        <v>0.29432877740025698</v>
      </c>
      <c r="H5359">
        <v>0.15319214899536901</v>
      </c>
      <c r="I5359">
        <v>0.114209699814768</v>
      </c>
      <c r="J5359">
        <v>0.107619753554187</v>
      </c>
      <c r="K5359">
        <v>8.4402514009111196E-2</v>
      </c>
      <c r="L5359">
        <v>1012.5902632610801</v>
      </c>
      <c r="M5359">
        <v>18.715200009757599</v>
      </c>
      <c r="N5359">
        <v>54.519321939370798</v>
      </c>
      <c r="O5359">
        <v>53.498852524160696</v>
      </c>
      <c r="P5359">
        <v>-8.1665462977032602E-2</v>
      </c>
      <c r="Q5359">
        <v>6.6251226970546695E-2</v>
      </c>
      <c r="R5359">
        <v>0.99417016994321605</v>
      </c>
      <c r="S5359" t="s">
        <v>11220</v>
      </c>
      <c r="T5359" t="s">
        <v>11720</v>
      </c>
      <c r="U5359" t="s">
        <v>11720</v>
      </c>
      <c r="V5359" t="s">
        <v>11720</v>
      </c>
      <c r="W5359" t="s">
        <v>17020</v>
      </c>
      <c r="X5359">
        <v>17</v>
      </c>
      <c r="Y5359" t="s">
        <v>22721</v>
      </c>
      <c r="Z5359" t="s">
        <v>28566</v>
      </c>
      <c r="AA5359">
        <v>0.51932824319712356</v>
      </c>
      <c r="AB5359" t="str">
        <f>HYPERLINK("Melting_Curves/meltCurve_Q9NYL2_2_MLTK.pdf", "Melting_Curves/meltCurve_Q9NYL2_2_MLTK.pdf")</f>
        <v>Melting_Curves/meltCurve_Q9NYL2_2_MLTK.pdf</v>
      </c>
    </row>
    <row r="5360" spans="1:28" x14ac:dyDescent="0.25">
      <c r="A5360" t="s">
        <v>5364</v>
      </c>
      <c r="B5360">
        <v>0.99334974765950101</v>
      </c>
      <c r="C5360">
        <v>0.94006216870489601</v>
      </c>
      <c r="D5360">
        <v>0.85619101419241495</v>
      </c>
      <c r="E5360">
        <v>0.400974401304525</v>
      </c>
      <c r="F5360">
        <v>0.20776261552412201</v>
      </c>
      <c r="G5360">
        <v>0.16035409176127999</v>
      </c>
      <c r="H5360">
        <v>0.119187939513157</v>
      </c>
      <c r="I5360">
        <v>0.123436290815591</v>
      </c>
      <c r="J5360">
        <v>0.12714563810783</v>
      </c>
      <c r="K5360">
        <v>0.32578893180787299</v>
      </c>
      <c r="L5360">
        <v>1449.4595730333799</v>
      </c>
      <c r="M5360">
        <v>29.977447329333899</v>
      </c>
      <c r="N5360">
        <v>49.017364459586098</v>
      </c>
      <c r="O5360">
        <v>48.138032194249497</v>
      </c>
      <c r="P5360">
        <v>-0.12965247689072501</v>
      </c>
      <c r="Q5360">
        <v>0.16721739365157501</v>
      </c>
      <c r="R5360">
        <v>0.97147638677354597</v>
      </c>
      <c r="S5360" t="s">
        <v>11221</v>
      </c>
      <c r="T5360" t="s">
        <v>11720</v>
      </c>
      <c r="U5360" t="s">
        <v>11720</v>
      </c>
      <c r="V5360" t="s">
        <v>11720</v>
      </c>
      <c r="W5360" t="s">
        <v>17021</v>
      </c>
      <c r="X5360">
        <v>10</v>
      </c>
      <c r="Y5360" t="s">
        <v>22722</v>
      </c>
      <c r="Z5360" t="s">
        <v>28567</v>
      </c>
      <c r="AA5360">
        <v>0.40409266937993499</v>
      </c>
      <c r="AB5360" t="str">
        <f>HYPERLINK("Melting_Curves/meltCurve_Q9NYL9_TMOD3.pdf", "Melting_Curves/meltCurve_Q9NYL9_TMOD3.pdf")</f>
        <v>Melting_Curves/meltCurve_Q9NYL9_TMOD3.pdf</v>
      </c>
    </row>
    <row r="5361" spans="1:28" x14ac:dyDescent="0.25">
      <c r="A5361" t="s">
        <v>5365</v>
      </c>
      <c r="B5361">
        <v>0.99334974765950101</v>
      </c>
      <c r="C5361">
        <v>0.99114123042547098</v>
      </c>
      <c r="D5361">
        <v>0.92306090301764399</v>
      </c>
      <c r="E5361">
        <v>0.86641261679271797</v>
      </c>
      <c r="F5361">
        <v>0.94117821894311504</v>
      </c>
      <c r="G5361">
        <v>0.78702956129365798</v>
      </c>
      <c r="H5361">
        <v>0.817719882159197</v>
      </c>
      <c r="I5361">
        <v>0.61802448615696204</v>
      </c>
      <c r="J5361">
        <v>1.09299866151537</v>
      </c>
      <c r="K5361">
        <v>0.795541982090193</v>
      </c>
      <c r="L5361">
        <v>760.56153114787799</v>
      </c>
      <c r="M5361">
        <v>15.900387134486699</v>
      </c>
      <c r="O5361">
        <v>47.095458567806602</v>
      </c>
      <c r="P5361">
        <v>-1.44472625221029E-2</v>
      </c>
      <c r="Q5361">
        <v>0.82884792301079901</v>
      </c>
      <c r="R5361">
        <v>0.23039710864684801</v>
      </c>
      <c r="S5361" t="s">
        <v>11222</v>
      </c>
      <c r="T5361" t="s">
        <v>11720</v>
      </c>
      <c r="U5361" t="s">
        <v>11720</v>
      </c>
      <c r="V5361" t="s">
        <v>11720</v>
      </c>
      <c r="W5361" t="s">
        <v>17022</v>
      </c>
      <c r="X5361">
        <v>4</v>
      </c>
      <c r="Y5361" t="s">
        <v>22723</v>
      </c>
      <c r="Z5361" t="s">
        <v>28568</v>
      </c>
      <c r="AA5361">
        <v>0.87748285343539034</v>
      </c>
      <c r="AB5361" t="str">
        <f>HYPERLINK("Melting_Curves/meltCurve_Q9NYM9_BET1L.pdf", "Melting_Curves/meltCurve_Q9NYM9_BET1L.pdf")</f>
        <v>Melting_Curves/meltCurve_Q9NYM9_BET1L.pdf</v>
      </c>
    </row>
    <row r="5362" spans="1:28" x14ac:dyDescent="0.25">
      <c r="A5362" t="s">
        <v>5366</v>
      </c>
      <c r="B5362">
        <v>0.99334974765950101</v>
      </c>
      <c r="C5362">
        <v>1.0072384569881201</v>
      </c>
      <c r="D5362">
        <v>1.2109767258491899</v>
      </c>
      <c r="E5362">
        <v>1.4168544457398999</v>
      </c>
      <c r="F5362">
        <v>0.61424232006633495</v>
      </c>
      <c r="G5362">
        <v>0.28972155661634202</v>
      </c>
      <c r="H5362">
        <v>0.208642436148021</v>
      </c>
      <c r="I5362">
        <v>0.180496329157356</v>
      </c>
      <c r="J5362">
        <v>0.149477368490229</v>
      </c>
      <c r="K5362">
        <v>0.120342919148583</v>
      </c>
      <c r="L5362">
        <v>13255.0731465918</v>
      </c>
      <c r="M5362">
        <v>250</v>
      </c>
      <c r="N5362">
        <v>53.121689962987602</v>
      </c>
      <c r="O5362">
        <v>53.016894940196799</v>
      </c>
      <c r="P5362">
        <v>-0.95519531735457197</v>
      </c>
      <c r="Q5362">
        <v>0.18973609243169601</v>
      </c>
      <c r="R5362">
        <v>0.89384479726035804</v>
      </c>
      <c r="S5362" t="s">
        <v>11223</v>
      </c>
      <c r="T5362" t="s">
        <v>11720</v>
      </c>
      <c r="U5362" t="s">
        <v>11720</v>
      </c>
      <c r="V5362" t="s">
        <v>11720</v>
      </c>
      <c r="W5362" t="s">
        <v>17023</v>
      </c>
      <c r="X5362">
        <v>52</v>
      </c>
      <c r="Y5362" t="s">
        <v>22724</v>
      </c>
      <c r="Z5362" t="s">
        <v>28569</v>
      </c>
      <c r="AA5362">
        <v>0.54147392560718788</v>
      </c>
      <c r="AB5362" t="str">
        <f>HYPERLINK("Melting_Curves/meltCurve_Q9NYU2_2_UGGT1.pdf", "Melting_Curves/meltCurve_Q9NYU2_2_UGGT1.pdf")</f>
        <v>Melting_Curves/meltCurve_Q9NYU2_2_UGGT1.pdf</v>
      </c>
    </row>
    <row r="5363" spans="1:28" x14ac:dyDescent="0.25">
      <c r="A5363" t="s">
        <v>5367</v>
      </c>
      <c r="B5363">
        <v>0.99334974765950101</v>
      </c>
      <c r="C5363">
        <v>0.96670059524081897</v>
      </c>
      <c r="D5363">
        <v>1.1116897808188699</v>
      </c>
      <c r="E5363">
        <v>0.77246295364641204</v>
      </c>
      <c r="F5363">
        <v>0.25103808065120398</v>
      </c>
      <c r="G5363">
        <v>0.24307468747654701</v>
      </c>
      <c r="H5363">
        <v>0.155240360936788</v>
      </c>
      <c r="I5363">
        <v>0.132413026190974</v>
      </c>
      <c r="J5363">
        <v>0.104026867104588</v>
      </c>
      <c r="K5363">
        <v>7.4728311566851793E-2</v>
      </c>
      <c r="L5363">
        <v>2576.3122290338001</v>
      </c>
      <c r="M5363">
        <v>50.486645338884301</v>
      </c>
      <c r="N5363">
        <v>51.364469003434998</v>
      </c>
      <c r="O5363">
        <v>50.949706587968301</v>
      </c>
      <c r="P5363">
        <v>-0.21298629772946001</v>
      </c>
      <c r="Q5363">
        <v>0.14024151270117299</v>
      </c>
      <c r="R5363">
        <v>0.98153697264161499</v>
      </c>
      <c r="S5363" t="s">
        <v>11224</v>
      </c>
      <c r="T5363" t="s">
        <v>11720</v>
      </c>
      <c r="U5363" t="s">
        <v>11720</v>
      </c>
      <c r="V5363" t="s">
        <v>11720</v>
      </c>
      <c r="W5363" t="s">
        <v>17024</v>
      </c>
      <c r="X5363">
        <v>1</v>
      </c>
      <c r="Y5363" t="s">
        <v>22725</v>
      </c>
      <c r="Z5363" t="s">
        <v>28570</v>
      </c>
      <c r="AA5363">
        <v>0.45823184725737498</v>
      </c>
      <c r="AB5363" t="str">
        <f>HYPERLINK("Melting_Curves/meltCurve_Q9NYY8_2_FASTKD2.pdf", "Melting_Curves/meltCurve_Q9NYY8_2_FASTKD2.pdf")</f>
        <v>Melting_Curves/meltCurve_Q9NYY8_2_FASTKD2.pdf</v>
      </c>
    </row>
    <row r="5364" spans="1:28" x14ac:dyDescent="0.25">
      <c r="A5364" t="s">
        <v>5368</v>
      </c>
      <c r="B5364">
        <v>0.99334974765950101</v>
      </c>
      <c r="C5364">
        <v>1.1526636297294299</v>
      </c>
      <c r="D5364">
        <v>1.0269469981789801</v>
      </c>
      <c r="E5364">
        <v>1.1189602958200999</v>
      </c>
      <c r="F5364">
        <v>0.89438143641963497</v>
      </c>
      <c r="G5364">
        <v>0.49414701726941102</v>
      </c>
      <c r="H5364">
        <v>0.37130233426192899</v>
      </c>
      <c r="I5364">
        <v>0.219597163473399</v>
      </c>
      <c r="J5364">
        <v>0.29376030953045501</v>
      </c>
      <c r="K5364">
        <v>0.20780704571874301</v>
      </c>
      <c r="L5364">
        <v>1945.3429598164801</v>
      </c>
      <c r="M5364">
        <v>34.774798148464797</v>
      </c>
      <c r="N5364">
        <v>57.1232623371221</v>
      </c>
      <c r="O5364">
        <v>55.757147555082</v>
      </c>
      <c r="P5364">
        <v>-0.11592270655311999</v>
      </c>
      <c r="Q5364">
        <v>0.256531012132236</v>
      </c>
      <c r="R5364">
        <v>0.96191195577113098</v>
      </c>
      <c r="S5364" t="s">
        <v>11225</v>
      </c>
      <c r="T5364" t="s">
        <v>11720</v>
      </c>
      <c r="U5364" t="s">
        <v>11720</v>
      </c>
      <c r="V5364" t="s">
        <v>11720</v>
      </c>
      <c r="W5364" t="s">
        <v>17025</v>
      </c>
      <c r="X5364">
        <v>2</v>
      </c>
      <c r="Y5364" t="s">
        <v>22726</v>
      </c>
      <c r="Z5364" t="s">
        <v>28571</v>
      </c>
      <c r="AA5364">
        <v>0.6553432711590409</v>
      </c>
      <c r="AB5364" t="str">
        <f>HYPERLINK("Melting_Curves/meltCurve_Q9NZ01_TECR.pdf", "Melting_Curves/meltCurve_Q9NZ01_TECR.pdf")</f>
        <v>Melting_Curves/meltCurve_Q9NZ01_TECR.pdf</v>
      </c>
    </row>
    <row r="5365" spans="1:28" x14ac:dyDescent="0.25">
      <c r="A5365" t="s">
        <v>5369</v>
      </c>
      <c r="B5365">
        <v>0.99334974765950101</v>
      </c>
      <c r="C5365">
        <v>0.98571582842592698</v>
      </c>
      <c r="D5365">
        <v>0.93312370875361295</v>
      </c>
      <c r="E5365">
        <v>0.67560738600484505</v>
      </c>
      <c r="F5365">
        <v>0.30892840885994299</v>
      </c>
      <c r="G5365">
        <v>0.193070872232637</v>
      </c>
      <c r="H5365">
        <v>0.15710027339146901</v>
      </c>
      <c r="I5365">
        <v>0.121919167625688</v>
      </c>
      <c r="J5365">
        <v>9.8955806057425794E-2</v>
      </c>
      <c r="K5365">
        <v>9.7428675447591206E-2</v>
      </c>
      <c r="L5365">
        <v>1363.6757765105399</v>
      </c>
      <c r="M5365">
        <v>26.828740271242999</v>
      </c>
      <c r="N5365">
        <v>51.344259237845897</v>
      </c>
      <c r="O5365">
        <v>50.549016611305099</v>
      </c>
      <c r="P5365">
        <v>-0.117026497104927</v>
      </c>
      <c r="Q5365">
        <v>0.118032912546744</v>
      </c>
      <c r="R5365">
        <v>0.99695620498787396</v>
      </c>
      <c r="S5365" t="s">
        <v>11226</v>
      </c>
      <c r="T5365" t="s">
        <v>11720</v>
      </c>
      <c r="U5365" t="s">
        <v>11720</v>
      </c>
      <c r="V5365" t="s">
        <v>11720</v>
      </c>
      <c r="W5365" t="s">
        <v>17026</v>
      </c>
      <c r="X5365">
        <v>21</v>
      </c>
      <c r="Y5365" t="s">
        <v>22727</v>
      </c>
      <c r="Z5365" t="s">
        <v>28572</v>
      </c>
      <c r="AA5365">
        <v>0.44330493489770179</v>
      </c>
      <c r="AB5365" t="str">
        <f>HYPERLINK("Melting_Curves/meltCurve_Q9NZ08_ERAP1.pdf", "Melting_Curves/meltCurve_Q9NZ08_ERAP1.pdf")</f>
        <v>Melting_Curves/meltCurve_Q9NZ08_ERAP1.pdf</v>
      </c>
    </row>
    <row r="5366" spans="1:28" x14ac:dyDescent="0.25">
      <c r="A5366" t="s">
        <v>5370</v>
      </c>
      <c r="B5366">
        <v>0.99334974765950101</v>
      </c>
      <c r="C5366">
        <v>0.91322750578689205</v>
      </c>
      <c r="D5366">
        <v>0.79982355531038996</v>
      </c>
      <c r="E5366">
        <v>0.484322986563341</v>
      </c>
      <c r="F5366">
        <v>0.49847217697274898</v>
      </c>
      <c r="G5366">
        <v>0.204108113394215</v>
      </c>
      <c r="H5366">
        <v>0.16269585644328999</v>
      </c>
      <c r="I5366">
        <v>0.16462681773193799</v>
      </c>
      <c r="J5366">
        <v>0.185676442400664</v>
      </c>
      <c r="K5366">
        <v>0.13329868423658001</v>
      </c>
      <c r="L5366">
        <v>684.450740192588</v>
      </c>
      <c r="M5366">
        <v>13.729282556153001</v>
      </c>
      <c r="N5366">
        <v>50.910132081353296</v>
      </c>
      <c r="O5366">
        <v>48.831372582462201</v>
      </c>
      <c r="P5366">
        <v>-6.1582967771804803E-2</v>
      </c>
      <c r="Q5366">
        <v>0.123988761161286</v>
      </c>
      <c r="R5366">
        <v>0.97920938569576599</v>
      </c>
      <c r="S5366" t="s">
        <v>11227</v>
      </c>
      <c r="T5366" t="s">
        <v>11720</v>
      </c>
      <c r="U5366" t="s">
        <v>11720</v>
      </c>
      <c r="V5366" t="s">
        <v>11720</v>
      </c>
      <c r="W5366" t="s">
        <v>17027</v>
      </c>
      <c r="X5366">
        <v>21</v>
      </c>
      <c r="Y5366" t="s">
        <v>22727</v>
      </c>
      <c r="Z5366" t="s">
        <v>28573</v>
      </c>
      <c r="AA5366">
        <v>0.43621701864910689</v>
      </c>
      <c r="AB5366" t="str">
        <f>HYPERLINK("Melting_Curves/meltCurve_Q9NZ08_2_ERAP1.pdf", "Melting_Curves/meltCurve_Q9NZ08_2_ERAP1.pdf")</f>
        <v>Melting_Curves/meltCurve_Q9NZ08_2_ERAP1.pdf</v>
      </c>
    </row>
    <row r="5367" spans="1:28" x14ac:dyDescent="0.25">
      <c r="A5367" t="s">
        <v>5371</v>
      </c>
      <c r="B5367">
        <v>0.99334974765950101</v>
      </c>
      <c r="C5367">
        <v>1.0166131201800499</v>
      </c>
      <c r="D5367">
        <v>0.99351474600932999</v>
      </c>
      <c r="E5367">
        <v>0.75790156381706097</v>
      </c>
      <c r="F5367">
        <v>0.38441236724261901</v>
      </c>
      <c r="G5367">
        <v>0.21769226186378601</v>
      </c>
      <c r="H5367">
        <v>0.181788132252483</v>
      </c>
      <c r="I5367">
        <v>0.18843836012912801</v>
      </c>
      <c r="J5367">
        <v>0.224453546343513</v>
      </c>
      <c r="K5367">
        <v>0.28441392406882399</v>
      </c>
      <c r="L5367">
        <v>1923.71762139526</v>
      </c>
      <c r="M5367">
        <v>37.647472702966397</v>
      </c>
      <c r="N5367">
        <v>51.8811054913444</v>
      </c>
      <c r="O5367">
        <v>50.954661573829803</v>
      </c>
      <c r="P5367">
        <v>-0.14468387605345401</v>
      </c>
      <c r="Q5367">
        <v>0.216702031772777</v>
      </c>
      <c r="R5367">
        <v>0.99394065310827995</v>
      </c>
      <c r="S5367" t="s">
        <v>11228</v>
      </c>
      <c r="T5367" t="s">
        <v>11720</v>
      </c>
      <c r="U5367" t="s">
        <v>11720</v>
      </c>
      <c r="V5367" t="s">
        <v>11720</v>
      </c>
      <c r="W5367" t="s">
        <v>17028</v>
      </c>
      <c r="X5367">
        <v>12</v>
      </c>
      <c r="Y5367" t="s">
        <v>22728</v>
      </c>
      <c r="Z5367" t="s">
        <v>28574</v>
      </c>
      <c r="AA5367">
        <v>0.50960051526221251</v>
      </c>
      <c r="AB5367" t="str">
        <f>HYPERLINK("Melting_Curves/meltCurve_Q9NZ09_UBAP1.pdf", "Melting_Curves/meltCurve_Q9NZ09_UBAP1.pdf")</f>
        <v>Melting_Curves/meltCurve_Q9NZ09_UBAP1.pdf</v>
      </c>
    </row>
    <row r="5368" spans="1:28" x14ac:dyDescent="0.25">
      <c r="A5368" t="s">
        <v>5372</v>
      </c>
      <c r="B5368">
        <v>0.99334974765950101</v>
      </c>
      <c r="C5368">
        <v>0.992837046070008</v>
      </c>
      <c r="D5368">
        <v>0.97429134663370998</v>
      </c>
      <c r="E5368">
        <v>0.92198302204887195</v>
      </c>
      <c r="F5368">
        <v>1.0267221600152201</v>
      </c>
      <c r="G5368">
        <v>1.01534478405727</v>
      </c>
      <c r="H5368">
        <v>0.89698565710509104</v>
      </c>
      <c r="I5368">
        <v>1.4853093964630799</v>
      </c>
      <c r="J5368">
        <v>0.46559115209136898</v>
      </c>
      <c r="K5368">
        <v>0.25264090945333001</v>
      </c>
      <c r="L5368">
        <v>15000</v>
      </c>
      <c r="M5368">
        <v>224.79912425270501</v>
      </c>
      <c r="N5368">
        <v>66.935685891495496</v>
      </c>
      <c r="O5368">
        <v>66.720957848415694</v>
      </c>
      <c r="P5368">
        <v>-0.62959677940340497</v>
      </c>
      <c r="Q5368">
        <v>0.25253623444579998</v>
      </c>
      <c r="R5368">
        <v>0.74678364110983098</v>
      </c>
      <c r="S5368" t="s">
        <v>11229</v>
      </c>
      <c r="T5368" t="s">
        <v>11720</v>
      </c>
      <c r="U5368" t="s">
        <v>11720</v>
      </c>
      <c r="V5368" t="s">
        <v>11720</v>
      </c>
      <c r="W5368" t="s">
        <v>17029</v>
      </c>
      <c r="X5368">
        <v>10</v>
      </c>
      <c r="Y5368" t="s">
        <v>22729</v>
      </c>
      <c r="Z5368" t="s">
        <v>28575</v>
      </c>
      <c r="AA5368">
        <v>0.91854077049519889</v>
      </c>
      <c r="AB5368" t="str">
        <f>HYPERLINK("Melting_Curves/meltCurve_Q9NZ32_ACTR10.pdf", "Melting_Curves/meltCurve_Q9NZ32_ACTR10.pdf")</f>
        <v>Melting_Curves/meltCurve_Q9NZ32_ACTR10.pdf</v>
      </c>
    </row>
    <row r="5369" spans="1:28" x14ac:dyDescent="0.25">
      <c r="A5369" t="s">
        <v>5373</v>
      </c>
      <c r="B5369">
        <v>0.99334974765950101</v>
      </c>
      <c r="C5369">
        <v>0.96758018842536098</v>
      </c>
      <c r="D5369">
        <v>1.4020571649357201</v>
      </c>
      <c r="E5369">
        <v>0.813298582119518</v>
      </c>
      <c r="F5369">
        <v>0.40840948986233599</v>
      </c>
      <c r="G5369">
        <v>0.28445330201644298</v>
      </c>
      <c r="H5369">
        <v>0.23571941762207299</v>
      </c>
      <c r="I5369">
        <v>0.23665757095749401</v>
      </c>
      <c r="J5369">
        <v>0.209380710142683</v>
      </c>
      <c r="K5369">
        <v>0.204690873133721</v>
      </c>
      <c r="L5369">
        <v>2313.6283239834102</v>
      </c>
      <c r="M5369">
        <v>44.949046446486904</v>
      </c>
      <c r="N5369">
        <v>52.200612514469199</v>
      </c>
      <c r="O5369">
        <v>51.370675958695301</v>
      </c>
      <c r="P5369">
        <v>-0.16779055643581101</v>
      </c>
      <c r="Q5369">
        <v>0.23295342464845101</v>
      </c>
      <c r="R5369">
        <v>0.89922374288705498</v>
      </c>
      <c r="S5369" t="s">
        <v>11230</v>
      </c>
      <c r="T5369" t="s">
        <v>11720</v>
      </c>
      <c r="U5369" t="s">
        <v>11720</v>
      </c>
      <c r="V5369" t="s">
        <v>11720</v>
      </c>
      <c r="W5369" t="s">
        <v>17030</v>
      </c>
      <c r="X5369">
        <v>8</v>
      </c>
      <c r="Y5369" t="s">
        <v>22730</v>
      </c>
      <c r="Z5369" t="s">
        <v>28576</v>
      </c>
      <c r="AA5369">
        <v>0.52843577884418402</v>
      </c>
      <c r="AB5369" t="str">
        <f>HYPERLINK("Melting_Curves/meltCurve_Q9NZ43_USE1.pdf", "Melting_Curves/meltCurve_Q9NZ43_USE1.pdf")</f>
        <v>Melting_Curves/meltCurve_Q9NZ43_USE1.pdf</v>
      </c>
    </row>
    <row r="5370" spans="1:28" x14ac:dyDescent="0.25">
      <c r="A5370" t="s">
        <v>5374</v>
      </c>
      <c r="B5370">
        <v>0.99334974765950101</v>
      </c>
      <c r="C5370">
        <v>0.87737405035303395</v>
      </c>
      <c r="D5370">
        <v>0.77187649199411201</v>
      </c>
      <c r="E5370">
        <v>0.80653695148430005</v>
      </c>
      <c r="F5370">
        <v>0.81104549015128902</v>
      </c>
      <c r="G5370">
        <v>0.70014025475181696</v>
      </c>
      <c r="H5370">
        <v>0.64130704701978603</v>
      </c>
      <c r="I5370">
        <v>0.55268095401823403</v>
      </c>
      <c r="J5370">
        <v>0.47348817977570501</v>
      </c>
      <c r="K5370">
        <v>0.32611249989312702</v>
      </c>
      <c r="L5370">
        <v>315.84446723566202</v>
      </c>
      <c r="M5370">
        <v>4.83123636335774</v>
      </c>
      <c r="N5370">
        <v>65.375482256974806</v>
      </c>
      <c r="O5370">
        <v>56.5906937057159</v>
      </c>
      <c r="P5370">
        <v>-2.1489920505419501E-2</v>
      </c>
      <c r="Q5370">
        <v>0</v>
      </c>
      <c r="R5370">
        <v>0.90801403090225496</v>
      </c>
      <c r="S5370" t="s">
        <v>11231</v>
      </c>
      <c r="T5370" t="s">
        <v>11720</v>
      </c>
      <c r="U5370" t="s">
        <v>11720</v>
      </c>
      <c r="V5370" t="s">
        <v>11720</v>
      </c>
      <c r="W5370" t="s">
        <v>17031</v>
      </c>
      <c r="X5370">
        <v>8</v>
      </c>
      <c r="Y5370" t="s">
        <v>22731</v>
      </c>
      <c r="Z5370" t="s">
        <v>28577</v>
      </c>
      <c r="AA5370">
        <v>0.7054269354872178</v>
      </c>
      <c r="AB5370" t="str">
        <f>HYPERLINK("Melting_Curves/meltCurve_Q9NZ45_CISD1.pdf", "Melting_Curves/meltCurve_Q9NZ45_CISD1.pdf")</f>
        <v>Melting_Curves/meltCurve_Q9NZ45_CISD1.pdf</v>
      </c>
    </row>
    <row r="5371" spans="1:28" x14ac:dyDescent="0.25">
      <c r="A5371" t="s">
        <v>5375</v>
      </c>
      <c r="B5371">
        <v>0.99334974765950101</v>
      </c>
      <c r="C5371">
        <v>0.90450308482543995</v>
      </c>
      <c r="D5371">
        <v>0.84300884848156299</v>
      </c>
      <c r="E5371">
        <v>0.72398641239460804</v>
      </c>
      <c r="F5371">
        <v>0.95265981161630497</v>
      </c>
      <c r="G5371">
        <v>0.61168498009464101</v>
      </c>
      <c r="H5371">
        <v>0.54716678329208501</v>
      </c>
      <c r="I5371">
        <v>0.42725503922379698</v>
      </c>
      <c r="J5371">
        <v>0.48784850846279798</v>
      </c>
      <c r="K5371">
        <v>0.488427215687956</v>
      </c>
      <c r="L5371">
        <v>387.16912050912202</v>
      </c>
      <c r="M5371">
        <v>6.6671812176867702</v>
      </c>
      <c r="N5371">
        <v>65.125951524079795</v>
      </c>
      <c r="O5371">
        <v>53.514618492425697</v>
      </c>
      <c r="P5371">
        <v>-2.31877731169721E-2</v>
      </c>
      <c r="Q5371">
        <v>0.25717181871051797</v>
      </c>
      <c r="R5371">
        <v>0.83218435145450997</v>
      </c>
      <c r="S5371" t="s">
        <v>11232</v>
      </c>
      <c r="T5371" t="s">
        <v>11720</v>
      </c>
      <c r="U5371" t="s">
        <v>11720</v>
      </c>
      <c r="V5371" t="s">
        <v>11720</v>
      </c>
      <c r="W5371" t="s">
        <v>17032</v>
      </c>
      <c r="X5371">
        <v>2</v>
      </c>
      <c r="Y5371" t="s">
        <v>22732</v>
      </c>
      <c r="Z5371" t="s">
        <v>28578</v>
      </c>
      <c r="AA5371">
        <v>0.70131371981808754</v>
      </c>
      <c r="AB5371" t="str">
        <f>HYPERLINK("Melting_Curves/meltCurve_Q9NZ53_PODXL2.pdf", "Melting_Curves/meltCurve_Q9NZ53_PODXL2.pdf")</f>
        <v>Melting_Curves/meltCurve_Q9NZ53_PODXL2.pdf</v>
      </c>
    </row>
    <row r="5372" spans="1:28" x14ac:dyDescent="0.25">
      <c r="A5372" t="s">
        <v>5376</v>
      </c>
      <c r="B5372">
        <v>0.99334974765950101</v>
      </c>
      <c r="C5372">
        <v>0.93597584274466905</v>
      </c>
      <c r="D5372">
        <v>0.79831282748020105</v>
      </c>
      <c r="E5372">
        <v>0.71895336834037904</v>
      </c>
      <c r="F5372">
        <v>0.71778097042677103</v>
      </c>
      <c r="G5372">
        <v>0.52915855495681396</v>
      </c>
      <c r="H5372">
        <v>0.46494559849987299</v>
      </c>
      <c r="I5372">
        <v>0.40662626756200199</v>
      </c>
      <c r="J5372">
        <v>0.48654392916607397</v>
      </c>
      <c r="K5372">
        <v>0.39550592413639402</v>
      </c>
      <c r="L5372">
        <v>481.28471861623001</v>
      </c>
      <c r="M5372">
        <v>9.2657616213832608</v>
      </c>
      <c r="N5372">
        <v>59.8860595757968</v>
      </c>
      <c r="O5372">
        <v>49.694823838075699</v>
      </c>
      <c r="P5372">
        <v>-3.0144828301028999E-2</v>
      </c>
      <c r="Q5372">
        <v>0.35372035640931898</v>
      </c>
      <c r="R5372">
        <v>0.96332216873486598</v>
      </c>
      <c r="S5372" t="s">
        <v>11233</v>
      </c>
      <c r="T5372" t="s">
        <v>11720</v>
      </c>
      <c r="U5372" t="s">
        <v>11720</v>
      </c>
      <c r="V5372" t="s">
        <v>11720</v>
      </c>
      <c r="W5372" t="s">
        <v>17033</v>
      </c>
      <c r="X5372">
        <v>5</v>
      </c>
      <c r="Y5372" t="s">
        <v>22733</v>
      </c>
      <c r="Z5372" t="s">
        <v>28579</v>
      </c>
      <c r="AA5372">
        <v>0.63772314392096163</v>
      </c>
      <c r="AB5372" t="str">
        <f>HYPERLINK("Melting_Curves/meltCurve_Q9NZ56_FMN2.pdf", "Melting_Curves/meltCurve_Q9NZ56_FMN2.pdf")</f>
        <v>Melting_Curves/meltCurve_Q9NZ56_FMN2.pdf</v>
      </c>
    </row>
    <row r="5373" spans="1:28" x14ac:dyDescent="0.25">
      <c r="A5373" t="s">
        <v>5377</v>
      </c>
      <c r="B5373">
        <v>0.99334974765950101</v>
      </c>
      <c r="C5373">
        <v>1.0391403467618401</v>
      </c>
      <c r="D5373">
        <v>0.93050948565279901</v>
      </c>
      <c r="E5373">
        <v>0.89933393419083096</v>
      </c>
      <c r="F5373">
        <v>0.90247507882000499</v>
      </c>
      <c r="G5373">
        <v>0.68048276734093305</v>
      </c>
      <c r="H5373">
        <v>0.64315679255725</v>
      </c>
      <c r="I5373">
        <v>0.76688050559643195</v>
      </c>
      <c r="J5373">
        <v>0.81903685723717101</v>
      </c>
      <c r="K5373">
        <v>0.69686856252717699</v>
      </c>
      <c r="L5373">
        <v>1349.04899895631</v>
      </c>
      <c r="M5373">
        <v>25.791167308323601</v>
      </c>
      <c r="O5373">
        <v>51.995206108562797</v>
      </c>
      <c r="P5373">
        <v>-3.4647608126281697E-2</v>
      </c>
      <c r="Q5373">
        <v>0.72060386763764495</v>
      </c>
      <c r="R5373">
        <v>0.79307574651046497</v>
      </c>
      <c r="S5373" t="s">
        <v>11234</v>
      </c>
      <c r="T5373" t="s">
        <v>11720</v>
      </c>
      <c r="U5373" t="s">
        <v>11720</v>
      </c>
      <c r="V5373" t="s">
        <v>11720</v>
      </c>
      <c r="W5373" t="s">
        <v>17034</v>
      </c>
      <c r="X5373">
        <v>11</v>
      </c>
      <c r="Y5373" t="s">
        <v>22734</v>
      </c>
      <c r="Z5373" t="s">
        <v>28580</v>
      </c>
      <c r="AA5373">
        <v>0.8376276110196883</v>
      </c>
      <c r="AB5373" t="str">
        <f>HYPERLINK("Melting_Curves/meltCurve_Q9NZ63_C9orf78.pdf", "Melting_Curves/meltCurve_Q9NZ63_C9orf78.pdf")</f>
        <v>Melting_Curves/meltCurve_Q9NZ63_C9orf78.pdf</v>
      </c>
    </row>
    <row r="5374" spans="1:28" x14ac:dyDescent="0.25">
      <c r="A5374" t="s">
        <v>5378</v>
      </c>
      <c r="B5374">
        <v>0.99334974765950101</v>
      </c>
      <c r="C5374">
        <v>0.99610390882356104</v>
      </c>
      <c r="D5374">
        <v>0.88050063804940804</v>
      </c>
      <c r="E5374">
        <v>0.81833956107551897</v>
      </c>
      <c r="F5374">
        <v>0.82461434903624797</v>
      </c>
      <c r="G5374">
        <v>0.58703863204796203</v>
      </c>
      <c r="H5374">
        <v>0.51161039906720895</v>
      </c>
      <c r="I5374">
        <v>0.528088374752539</v>
      </c>
      <c r="J5374">
        <v>0.56016600690725404</v>
      </c>
      <c r="K5374">
        <v>0.43206782088642798</v>
      </c>
      <c r="L5374">
        <v>611.58909969664398</v>
      </c>
      <c r="M5374">
        <v>11.3420571740394</v>
      </c>
      <c r="N5374">
        <v>65.634460735978806</v>
      </c>
      <c r="O5374">
        <v>52.327603047673001</v>
      </c>
      <c r="P5374">
        <v>-3.0683059562744499E-2</v>
      </c>
      <c r="Q5374">
        <v>0.43393357252781001</v>
      </c>
      <c r="R5374">
        <v>0.94942076983107504</v>
      </c>
      <c r="S5374" t="s">
        <v>11235</v>
      </c>
      <c r="T5374" t="s">
        <v>11720</v>
      </c>
      <c r="U5374" t="s">
        <v>11720</v>
      </c>
      <c r="V5374" t="s">
        <v>11720</v>
      </c>
      <c r="W5374" t="s">
        <v>17035</v>
      </c>
      <c r="X5374">
        <v>6</v>
      </c>
      <c r="Y5374" t="s">
        <v>22735</v>
      </c>
      <c r="Z5374" t="s">
        <v>28581</v>
      </c>
      <c r="AA5374">
        <v>0.71230024024564764</v>
      </c>
      <c r="AB5374" t="str">
        <f>HYPERLINK("Melting_Curves/meltCurve_Q9NZB2_4_FAM120A.pdf", "Melting_Curves/meltCurve_Q9NZB2_4_FAM120A.pdf")</f>
        <v>Melting_Curves/meltCurve_Q9NZB2_4_FAM120A.pdf</v>
      </c>
    </row>
    <row r="5375" spans="1:28" x14ac:dyDescent="0.25">
      <c r="A5375" t="s">
        <v>5379</v>
      </c>
      <c r="B5375">
        <v>0.99334974765950101</v>
      </c>
      <c r="C5375">
        <v>1.1135198745200701</v>
      </c>
      <c r="D5375">
        <v>1.05953032923893</v>
      </c>
      <c r="E5375">
        <v>1.07386111699619</v>
      </c>
      <c r="F5375">
        <v>1.38899671875371</v>
      </c>
      <c r="G5375">
        <v>0.86079821107271604</v>
      </c>
      <c r="H5375">
        <v>0.81027894492482999</v>
      </c>
      <c r="I5375">
        <v>1.3641439408968501</v>
      </c>
      <c r="J5375">
        <v>1.2934289447351699</v>
      </c>
      <c r="K5375">
        <v>0.88145926995580304</v>
      </c>
      <c r="L5375">
        <v>10328.8966209638</v>
      </c>
      <c r="M5375">
        <v>250</v>
      </c>
      <c r="O5375">
        <v>41.312942588979702</v>
      </c>
      <c r="P5375">
        <v>0.14220143565964799</v>
      </c>
      <c r="Q5375">
        <v>1.0939961557843501</v>
      </c>
      <c r="R5375">
        <v>2.32090070747549E-2</v>
      </c>
      <c r="S5375" t="s">
        <v>11236</v>
      </c>
      <c r="T5375" t="s">
        <v>11720</v>
      </c>
      <c r="U5375" t="s">
        <v>11720</v>
      </c>
      <c r="V5375" t="s">
        <v>11720</v>
      </c>
      <c r="W5375" t="s">
        <v>17036</v>
      </c>
      <c r="X5375">
        <v>1</v>
      </c>
      <c r="Y5375" t="s">
        <v>22736</v>
      </c>
      <c r="Z5375" t="s">
        <v>28582</v>
      </c>
      <c r="AA5375">
        <v>1.0898672085556349</v>
      </c>
      <c r="AB5375" t="str">
        <f>HYPERLINK("Melting_Curves/meltCurve_Q9NZB8_7_MOCS1.pdf", "Melting_Curves/meltCurve_Q9NZB8_7_MOCS1.pdf")</f>
        <v>Melting_Curves/meltCurve_Q9NZB8_7_MOCS1.pdf</v>
      </c>
    </row>
    <row r="5376" spans="1:28" x14ac:dyDescent="0.25">
      <c r="A5376" t="s">
        <v>5380</v>
      </c>
      <c r="B5376">
        <v>0.99334974765950101</v>
      </c>
      <c r="C5376">
        <v>0.93025140385488103</v>
      </c>
      <c r="D5376">
        <v>0.98888976895007996</v>
      </c>
      <c r="E5376">
        <v>0.76229124556430705</v>
      </c>
      <c r="F5376">
        <v>0.54323825833241202</v>
      </c>
      <c r="G5376">
        <v>0.41363050481732999</v>
      </c>
      <c r="H5376">
        <v>0.278632172546316</v>
      </c>
      <c r="I5376">
        <v>0.13351738219186701</v>
      </c>
      <c r="J5376">
        <v>0.15745487615204801</v>
      </c>
      <c r="K5376">
        <v>0.124351169113328</v>
      </c>
      <c r="L5376">
        <v>736.96567621574002</v>
      </c>
      <c r="M5376">
        <v>13.686208945304699</v>
      </c>
      <c r="N5376">
        <v>54.629321413970601</v>
      </c>
      <c r="O5376">
        <v>52.7367327630053</v>
      </c>
      <c r="P5376">
        <v>-5.91167016735804E-2</v>
      </c>
      <c r="Q5376">
        <v>8.8959768433140504E-2</v>
      </c>
      <c r="R5376">
        <v>0.98789307349462596</v>
      </c>
      <c r="S5376" t="s">
        <v>11237</v>
      </c>
      <c r="T5376" t="s">
        <v>11720</v>
      </c>
      <c r="U5376" t="s">
        <v>11720</v>
      </c>
      <c r="V5376" t="s">
        <v>11720</v>
      </c>
      <c r="W5376" t="s">
        <v>17037</v>
      </c>
      <c r="X5376">
        <v>3</v>
      </c>
      <c r="Y5376" t="s">
        <v>22737</v>
      </c>
      <c r="Z5376" t="s">
        <v>28583</v>
      </c>
      <c r="AA5376">
        <v>0.53051179254624803</v>
      </c>
      <c r="AB5376" t="str">
        <f>HYPERLINK("Melting_Curves/meltCurve_Q9NZC3_GDE1.pdf", "Melting_Curves/meltCurve_Q9NZC3_GDE1.pdf")</f>
        <v>Melting_Curves/meltCurve_Q9NZC3_GDE1.pdf</v>
      </c>
    </row>
    <row r="5377" spans="1:28" x14ac:dyDescent="0.25">
      <c r="A5377" t="s">
        <v>5381</v>
      </c>
      <c r="B5377">
        <v>0.99334974765950101</v>
      </c>
      <c r="C5377">
        <v>0.96795453423451505</v>
      </c>
      <c r="D5377">
        <v>0.71401031180759</v>
      </c>
      <c r="E5377">
        <v>0.52771154647136798</v>
      </c>
      <c r="F5377">
        <v>0.42953873151390398</v>
      </c>
      <c r="G5377">
        <v>0.39225551594552899</v>
      </c>
      <c r="H5377">
        <v>0.26558280769229498</v>
      </c>
      <c r="I5377">
        <v>0.26698160158834</v>
      </c>
      <c r="J5377">
        <v>0.28425582434776098</v>
      </c>
      <c r="K5377">
        <v>0.16977584902266199</v>
      </c>
      <c r="L5377">
        <v>666.01406728417101</v>
      </c>
      <c r="M5377">
        <v>13.654656914121301</v>
      </c>
      <c r="N5377">
        <v>51.098207625344102</v>
      </c>
      <c r="O5377">
        <v>47.7651230862011</v>
      </c>
      <c r="P5377">
        <v>-5.4952104129716101E-2</v>
      </c>
      <c r="Q5377">
        <v>0.23120396377183999</v>
      </c>
      <c r="R5377">
        <v>0.97413124911628302</v>
      </c>
      <c r="S5377" t="s">
        <v>11238</v>
      </c>
      <c r="T5377" t="s">
        <v>11720</v>
      </c>
      <c r="U5377" t="s">
        <v>11720</v>
      </c>
      <c r="V5377" t="s">
        <v>11720</v>
      </c>
      <c r="W5377" t="s">
        <v>17038</v>
      </c>
      <c r="X5377">
        <v>1</v>
      </c>
      <c r="Y5377" t="s">
        <v>22738</v>
      </c>
      <c r="Z5377" t="s">
        <v>28584</v>
      </c>
      <c r="AA5377">
        <v>0.4788965869247514</v>
      </c>
      <c r="AB5377" t="str">
        <f>HYPERLINK("Melting_Curves/meltCurve_Q9NZC9_SMARCAL1.pdf", "Melting_Curves/meltCurve_Q9NZC9_SMARCAL1.pdf")</f>
        <v>Melting_Curves/meltCurve_Q9NZC9_SMARCAL1.pdf</v>
      </c>
    </row>
    <row r="5378" spans="1:28" x14ac:dyDescent="0.25">
      <c r="A5378" t="s">
        <v>5382</v>
      </c>
      <c r="B5378">
        <v>0.99334974765950101</v>
      </c>
      <c r="C5378">
        <v>0.99359607436711095</v>
      </c>
      <c r="D5378">
        <v>0.806581588153375</v>
      </c>
      <c r="E5378">
        <v>0.73279651109792399</v>
      </c>
      <c r="F5378">
        <v>0.365607349710528</v>
      </c>
      <c r="G5378">
        <v>0.16268527960818699</v>
      </c>
      <c r="H5378">
        <v>0.123741689565062</v>
      </c>
      <c r="I5378">
        <v>9.5014359606653206E-2</v>
      </c>
      <c r="J5378">
        <v>9.1015376853013696E-2</v>
      </c>
      <c r="K5378">
        <v>6.7975795021083696E-2</v>
      </c>
      <c r="L5378">
        <v>963.28561411610599</v>
      </c>
      <c r="M5378">
        <v>18.7546116254297</v>
      </c>
      <c r="N5378">
        <v>51.752675922688901</v>
      </c>
      <c r="O5378">
        <v>50.789329315027103</v>
      </c>
      <c r="P5378">
        <v>-8.6234740111468894E-2</v>
      </c>
      <c r="Q5378">
        <v>6.5910622394827895E-2</v>
      </c>
      <c r="R5378">
        <v>0.98600339415387594</v>
      </c>
      <c r="S5378" t="s">
        <v>11239</v>
      </c>
      <c r="T5378" t="s">
        <v>11720</v>
      </c>
      <c r="U5378" t="s">
        <v>11720</v>
      </c>
      <c r="V5378" t="s">
        <v>11720</v>
      </c>
      <c r="W5378" t="s">
        <v>17039</v>
      </c>
      <c r="X5378">
        <v>10</v>
      </c>
      <c r="Y5378" t="s">
        <v>22739</v>
      </c>
      <c r="Z5378" t="s">
        <v>28585</v>
      </c>
      <c r="AA5378">
        <v>0.43426434261038382</v>
      </c>
      <c r="AB5378" t="str">
        <f>HYPERLINK("Melting_Curves/meltCurve_Q9NZD2_GLTP.pdf", "Melting_Curves/meltCurve_Q9NZD2_GLTP.pdf")</f>
        <v>Melting_Curves/meltCurve_Q9NZD2_GLTP.pdf</v>
      </c>
    </row>
    <row r="5379" spans="1:28" x14ac:dyDescent="0.25">
      <c r="A5379" t="s">
        <v>5383</v>
      </c>
      <c r="B5379">
        <v>0.99334974765950101</v>
      </c>
      <c r="C5379">
        <v>1.07297483907535</v>
      </c>
      <c r="D5379">
        <v>0.85941384971246504</v>
      </c>
      <c r="E5379">
        <v>0.650206696482452</v>
      </c>
      <c r="F5379">
        <v>0.29571051740582799</v>
      </c>
      <c r="G5379">
        <v>0.27004081124924501</v>
      </c>
      <c r="H5379">
        <v>0.208235662538168</v>
      </c>
      <c r="I5379">
        <v>0.145685410512262</v>
      </c>
      <c r="J5379">
        <v>0.12186122967098401</v>
      </c>
      <c r="K5379">
        <v>4.6291240347302802E-2</v>
      </c>
      <c r="L5379">
        <v>1027.3478390841001</v>
      </c>
      <c r="M5379">
        <v>20.320579492727699</v>
      </c>
      <c r="N5379">
        <v>51.2745067592586</v>
      </c>
      <c r="O5379">
        <v>50.075023845625601</v>
      </c>
      <c r="P5379">
        <v>-8.8899188615541705E-2</v>
      </c>
      <c r="Q5379">
        <v>0.123746688215479</v>
      </c>
      <c r="R5379">
        <v>0.97651346689894403</v>
      </c>
      <c r="S5379" t="s">
        <v>11240</v>
      </c>
      <c r="T5379" t="s">
        <v>11720</v>
      </c>
      <c r="U5379" t="s">
        <v>11720</v>
      </c>
      <c r="V5379" t="s">
        <v>11720</v>
      </c>
      <c r="W5379" t="s">
        <v>17040</v>
      </c>
      <c r="X5379">
        <v>3</v>
      </c>
      <c r="Y5379" t="s">
        <v>22740</v>
      </c>
      <c r="Z5379" t="s">
        <v>28586</v>
      </c>
      <c r="AA5379">
        <v>0.44391350336644442</v>
      </c>
      <c r="AB5379" t="str">
        <f>HYPERLINK("Melting_Curves/meltCurve_Q9NZD8_2_SPG21.pdf", "Melting_Curves/meltCurve_Q9NZD8_2_SPG21.pdf")</f>
        <v>Melting_Curves/meltCurve_Q9NZD8_2_SPG21.pdf</v>
      </c>
    </row>
    <row r="5380" spans="1:28" x14ac:dyDescent="0.25">
      <c r="A5380" t="s">
        <v>5384</v>
      </c>
      <c r="B5380">
        <v>0.99334974765950101</v>
      </c>
      <c r="C5380">
        <v>0.81129203243720904</v>
      </c>
      <c r="D5380">
        <v>0.45432953758990902</v>
      </c>
      <c r="E5380">
        <v>0.24211466003037899</v>
      </c>
      <c r="F5380">
        <v>0.14967729245006001</v>
      </c>
      <c r="G5380">
        <v>0.15557658426459001</v>
      </c>
      <c r="H5380">
        <v>0.12087506525687899</v>
      </c>
      <c r="I5380">
        <v>0.125474154388034</v>
      </c>
      <c r="J5380">
        <v>7.8354214306120398E-2</v>
      </c>
      <c r="K5380">
        <v>6.9445907932053699E-2</v>
      </c>
      <c r="L5380">
        <v>1014.06936990245</v>
      </c>
      <c r="M5380">
        <v>22.378346077217099</v>
      </c>
      <c r="N5380">
        <v>45.831075378272899</v>
      </c>
      <c r="O5380">
        <v>44.957576578012002</v>
      </c>
      <c r="P5380">
        <v>-0.11057868350677499</v>
      </c>
      <c r="Q5380">
        <v>0.11141887580917301</v>
      </c>
      <c r="R5380">
        <v>0.99209203530493995</v>
      </c>
      <c r="S5380" t="s">
        <v>11241</v>
      </c>
      <c r="T5380" t="s">
        <v>11720</v>
      </c>
      <c r="U5380" t="s">
        <v>11720</v>
      </c>
      <c r="V5380" t="s">
        <v>11720</v>
      </c>
      <c r="W5380" t="s">
        <v>17041</v>
      </c>
      <c r="X5380">
        <v>1</v>
      </c>
      <c r="Y5380" t="s">
        <v>22741</v>
      </c>
      <c r="Z5380" t="s">
        <v>28587</v>
      </c>
      <c r="AA5380">
        <v>0.28001701672606671</v>
      </c>
      <c r="AB5380" t="str">
        <f>HYPERLINK("Melting_Curves/meltCurve_Q9NZI7_4_UBP1.pdf", "Melting_Curves/meltCurve_Q9NZI7_4_UBP1.pdf")</f>
        <v>Melting_Curves/meltCurve_Q9NZI7_4_UBP1.pdf</v>
      </c>
    </row>
    <row r="5381" spans="1:28" x14ac:dyDescent="0.25">
      <c r="A5381" t="s">
        <v>5385</v>
      </c>
      <c r="B5381">
        <v>0.99334974765950101</v>
      </c>
      <c r="C5381">
        <v>0.96936183557137001</v>
      </c>
      <c r="D5381">
        <v>1.0064109295105701</v>
      </c>
      <c r="E5381">
        <v>0.68487710715241601</v>
      </c>
      <c r="F5381">
        <v>0.44242532966228898</v>
      </c>
      <c r="G5381">
        <v>0.28337549110648402</v>
      </c>
      <c r="H5381">
        <v>0.15350505871510001</v>
      </c>
      <c r="I5381">
        <v>6.9748951407536203E-2</v>
      </c>
      <c r="J5381">
        <v>9.2511763670236002E-2</v>
      </c>
      <c r="K5381">
        <v>5.5219010470537198E-2</v>
      </c>
      <c r="L5381">
        <v>943.39464234347997</v>
      </c>
      <c r="M5381">
        <v>18.062038238991899</v>
      </c>
      <c r="N5381">
        <v>52.648297167739599</v>
      </c>
      <c r="O5381">
        <v>51.603179883448</v>
      </c>
      <c r="P5381">
        <v>-8.1669863629622905E-2</v>
      </c>
      <c r="Q5381">
        <v>6.6723372440124801E-2</v>
      </c>
      <c r="R5381">
        <v>0.99148300979263904</v>
      </c>
      <c r="S5381" t="s">
        <v>11242</v>
      </c>
      <c r="T5381" t="s">
        <v>11720</v>
      </c>
      <c r="U5381" t="s">
        <v>11720</v>
      </c>
      <c r="V5381" t="s">
        <v>11720</v>
      </c>
      <c r="W5381" t="s">
        <v>17042</v>
      </c>
      <c r="X5381">
        <v>3</v>
      </c>
      <c r="Y5381" t="s">
        <v>22742</v>
      </c>
      <c r="Z5381" t="s">
        <v>28588</v>
      </c>
      <c r="AA5381">
        <v>0.46260406836711088</v>
      </c>
      <c r="AB5381" t="str">
        <f>HYPERLINK("Melting_Curves/meltCurve_Q9NZJ6_COQ3.pdf", "Melting_Curves/meltCurve_Q9NZJ6_COQ3.pdf")</f>
        <v>Melting_Curves/meltCurve_Q9NZJ6_COQ3.pdf</v>
      </c>
    </row>
    <row r="5382" spans="1:28" x14ac:dyDescent="0.25">
      <c r="A5382" t="s">
        <v>5386</v>
      </c>
      <c r="B5382">
        <v>0.99334974765950101</v>
      </c>
      <c r="C5382">
        <v>0.79205663571785001</v>
      </c>
      <c r="D5382">
        <v>0.67736687437684495</v>
      </c>
      <c r="E5382">
        <v>0.77626506910321402</v>
      </c>
      <c r="F5382">
        <v>0.51173855162670201</v>
      </c>
      <c r="G5382">
        <v>0.23271473515226199</v>
      </c>
      <c r="H5382">
        <v>0.116619557629178</v>
      </c>
      <c r="I5382">
        <v>8.0926991865364201E-2</v>
      </c>
      <c r="J5382">
        <v>6.9089861240382494E-2</v>
      </c>
      <c r="K5382">
        <v>4.4131115679759102E-2</v>
      </c>
      <c r="L5382">
        <v>567.77971826747103</v>
      </c>
      <c r="M5382">
        <v>10.8909591063105</v>
      </c>
      <c r="N5382">
        <v>52.1331157156689</v>
      </c>
      <c r="O5382">
        <v>50.467883392513301</v>
      </c>
      <c r="P5382">
        <v>-5.3968887141777402E-2</v>
      </c>
      <c r="Q5382">
        <v>0</v>
      </c>
      <c r="R5382">
        <v>0.94078262727179096</v>
      </c>
      <c r="S5382" t="s">
        <v>11243</v>
      </c>
      <c r="T5382" t="s">
        <v>11720</v>
      </c>
      <c r="U5382" t="s">
        <v>11720</v>
      </c>
      <c r="V5382" t="s">
        <v>11720</v>
      </c>
      <c r="W5382" t="s">
        <v>17043</v>
      </c>
      <c r="X5382">
        <v>8</v>
      </c>
      <c r="Y5382" t="s">
        <v>22743</v>
      </c>
      <c r="Z5382" t="s">
        <v>28589</v>
      </c>
      <c r="AA5382">
        <v>0.43853584496221643</v>
      </c>
      <c r="AB5382" t="str">
        <f>HYPERLINK("Melting_Curves/meltCurve_Q9NZJ7_2_MTCH1.pdf", "Melting_Curves/meltCurve_Q9NZJ7_2_MTCH1.pdf")</f>
        <v>Melting_Curves/meltCurve_Q9NZJ7_2_MTCH1.pdf</v>
      </c>
    </row>
    <row r="5383" spans="1:28" x14ac:dyDescent="0.25">
      <c r="A5383" t="s">
        <v>5387</v>
      </c>
      <c r="B5383">
        <v>0.99334974765950101</v>
      </c>
      <c r="C5383">
        <v>0.968021054993778</v>
      </c>
      <c r="D5383">
        <v>0.84914923824286104</v>
      </c>
      <c r="E5383">
        <v>0.59095399045799202</v>
      </c>
      <c r="F5383">
        <v>0.27253616126733399</v>
      </c>
      <c r="G5383">
        <v>0.16044843777766901</v>
      </c>
      <c r="H5383">
        <v>0.13611286692921401</v>
      </c>
      <c r="I5383">
        <v>9.2489053004554705E-2</v>
      </c>
      <c r="J5383">
        <v>0.10315859349359301</v>
      </c>
      <c r="K5383">
        <v>9.7754386762272202E-2</v>
      </c>
      <c r="L5383">
        <v>1051.58119813861</v>
      </c>
      <c r="M5383">
        <v>21.011506113536001</v>
      </c>
      <c r="N5383">
        <v>50.555749702172697</v>
      </c>
      <c r="O5383">
        <v>49.601151929543903</v>
      </c>
      <c r="P5383">
        <v>-9.5828869767435002E-2</v>
      </c>
      <c r="Q5383">
        <v>9.5144343423024094E-2</v>
      </c>
      <c r="R5383">
        <v>0.99678594395795495</v>
      </c>
      <c r="S5383" t="s">
        <v>11244</v>
      </c>
      <c r="T5383" t="s">
        <v>11720</v>
      </c>
      <c r="U5383" t="s">
        <v>11720</v>
      </c>
      <c r="V5383" t="s">
        <v>11720</v>
      </c>
      <c r="W5383" t="s">
        <v>17044</v>
      </c>
      <c r="X5383">
        <v>11</v>
      </c>
      <c r="Y5383" t="s">
        <v>22744</v>
      </c>
      <c r="Z5383" t="s">
        <v>28590</v>
      </c>
      <c r="AA5383">
        <v>0.40964231734942769</v>
      </c>
      <c r="AB5383" t="str">
        <f>HYPERLINK("Melting_Curves/meltCurve_Q9NZJ9_NUDT4.pdf", "Melting_Curves/meltCurve_Q9NZJ9_NUDT4.pdf")</f>
        <v>Melting_Curves/meltCurve_Q9NZJ9_NUDT4.pdf</v>
      </c>
    </row>
    <row r="5384" spans="1:28" x14ac:dyDescent="0.25">
      <c r="A5384" t="s">
        <v>5388</v>
      </c>
      <c r="B5384">
        <v>0.99334974765950101</v>
      </c>
      <c r="C5384">
        <v>0.90686157498114695</v>
      </c>
      <c r="D5384">
        <v>0.67543543792053395</v>
      </c>
      <c r="E5384">
        <v>0.48764087346690499</v>
      </c>
      <c r="F5384">
        <v>0.52043581302471797</v>
      </c>
      <c r="G5384">
        <v>0.42795729433825602</v>
      </c>
      <c r="H5384">
        <v>0.39344053921120897</v>
      </c>
      <c r="I5384">
        <v>0.264624664877597</v>
      </c>
      <c r="J5384">
        <v>0.532637711935667</v>
      </c>
      <c r="K5384">
        <v>0.22120343984996199</v>
      </c>
      <c r="L5384">
        <v>728.39754822034695</v>
      </c>
      <c r="M5384">
        <v>15.5946396099576</v>
      </c>
      <c r="N5384">
        <v>50.826434939926997</v>
      </c>
      <c r="O5384">
        <v>45.960371264806703</v>
      </c>
      <c r="P5384">
        <v>-5.4405931198932403E-2</v>
      </c>
      <c r="Q5384">
        <v>0.35867714961247499</v>
      </c>
      <c r="R5384">
        <v>0.87445229890411502</v>
      </c>
      <c r="S5384" t="s">
        <v>11245</v>
      </c>
      <c r="T5384" t="s">
        <v>11720</v>
      </c>
      <c r="U5384" t="s">
        <v>11720</v>
      </c>
      <c r="V5384" t="s">
        <v>11720</v>
      </c>
      <c r="W5384" t="s">
        <v>17045</v>
      </c>
      <c r="X5384">
        <v>11</v>
      </c>
      <c r="Y5384" t="s">
        <v>22744</v>
      </c>
      <c r="Z5384" t="s">
        <v>28591</v>
      </c>
      <c r="AA5384">
        <v>0.51845290984204928</v>
      </c>
      <c r="AB5384" t="str">
        <f>HYPERLINK("Melting_Curves/meltCurve_Q9NZJ9_2_NUDT4.pdf", "Melting_Curves/meltCurve_Q9NZJ9_2_NUDT4.pdf")</f>
        <v>Melting_Curves/meltCurve_Q9NZJ9_2_NUDT4.pdf</v>
      </c>
    </row>
    <row r="5385" spans="1:28" x14ac:dyDescent="0.25">
      <c r="A5385" t="s">
        <v>5389</v>
      </c>
      <c r="B5385">
        <v>0.99334974765950101</v>
      </c>
      <c r="C5385">
        <v>1.03406854583182</v>
      </c>
      <c r="D5385">
        <v>1.1018367577433099</v>
      </c>
      <c r="E5385">
        <v>0.81282691475992697</v>
      </c>
      <c r="F5385">
        <v>0.38975289588039103</v>
      </c>
      <c r="G5385">
        <v>0.20131968783826401</v>
      </c>
      <c r="H5385">
        <v>0.124029249633706</v>
      </c>
      <c r="I5385">
        <v>7.9325738030979601E-2</v>
      </c>
      <c r="J5385">
        <v>5.92942476756338E-2</v>
      </c>
      <c r="K5385">
        <v>4.5149314579431603E-2</v>
      </c>
      <c r="L5385">
        <v>1699.30907986437</v>
      </c>
      <c r="M5385">
        <v>32.644868935420099</v>
      </c>
      <c r="N5385">
        <v>52.357718433723598</v>
      </c>
      <c r="O5385">
        <v>51.860230617037999</v>
      </c>
      <c r="P5385">
        <v>-0.14381188049187699</v>
      </c>
      <c r="Q5385">
        <v>8.6155611239993199E-2</v>
      </c>
      <c r="R5385">
        <v>0.98757242305936699</v>
      </c>
      <c r="S5385" t="s">
        <v>11246</v>
      </c>
      <c r="T5385" t="s">
        <v>11720</v>
      </c>
      <c r="U5385" t="s">
        <v>11720</v>
      </c>
      <c r="V5385" t="s">
        <v>11720</v>
      </c>
      <c r="W5385" t="s">
        <v>17046</v>
      </c>
      <c r="X5385">
        <v>14</v>
      </c>
      <c r="Y5385" t="s">
        <v>22745</v>
      </c>
      <c r="Z5385" t="s">
        <v>28592</v>
      </c>
      <c r="AA5385">
        <v>0.45829013356434412</v>
      </c>
      <c r="AB5385" t="str">
        <f>HYPERLINK("Melting_Curves/meltCurve_Q9NZL4_HSPBP1.pdf", "Melting_Curves/meltCurve_Q9NZL4_HSPBP1.pdf")</f>
        <v>Melting_Curves/meltCurve_Q9NZL4_HSPBP1.pdf</v>
      </c>
    </row>
    <row r="5386" spans="1:28" x14ac:dyDescent="0.25">
      <c r="A5386" t="s">
        <v>5390</v>
      </c>
      <c r="B5386">
        <v>0.99334974765950101</v>
      </c>
      <c r="C5386">
        <v>0.97346600885649304</v>
      </c>
      <c r="D5386">
        <v>1.08029778458689</v>
      </c>
      <c r="E5386">
        <v>1.03987584121832</v>
      </c>
      <c r="F5386">
        <v>1.09727478852727</v>
      </c>
      <c r="G5386">
        <v>0.84101818296332798</v>
      </c>
      <c r="H5386">
        <v>0.28102913541548102</v>
      </c>
      <c r="I5386">
        <v>0.167501541633018</v>
      </c>
      <c r="J5386">
        <v>0.174467498316911</v>
      </c>
      <c r="K5386">
        <v>0.15211948168978501</v>
      </c>
      <c r="L5386">
        <v>2918.7126714348301</v>
      </c>
      <c r="M5386">
        <v>49.694857817016803</v>
      </c>
      <c r="N5386">
        <v>59.195046205621701</v>
      </c>
      <c r="O5386">
        <v>58.637816048528201</v>
      </c>
      <c r="P5386">
        <v>-0.17779486973856401</v>
      </c>
      <c r="Q5386">
        <v>0.16083923131379499</v>
      </c>
      <c r="R5386">
        <v>0.98810798454467696</v>
      </c>
      <c r="S5386" t="s">
        <v>11247</v>
      </c>
      <c r="T5386" t="s">
        <v>11720</v>
      </c>
      <c r="U5386" t="s">
        <v>11720</v>
      </c>
      <c r="V5386" t="s">
        <v>11720</v>
      </c>
      <c r="W5386" t="s">
        <v>17047</v>
      </c>
      <c r="X5386">
        <v>12</v>
      </c>
      <c r="Y5386" t="s">
        <v>22746</v>
      </c>
      <c r="Z5386" t="s">
        <v>28593</v>
      </c>
      <c r="AA5386">
        <v>0.68701489644173075</v>
      </c>
      <c r="AB5386" t="str">
        <f>HYPERLINK("Melting_Curves/meltCurve_Q9NZL9_MAT2B.pdf", "Melting_Curves/meltCurve_Q9NZL9_MAT2B.pdf")</f>
        <v>Melting_Curves/meltCurve_Q9NZL9_MAT2B.pdf</v>
      </c>
    </row>
    <row r="5387" spans="1:28" x14ac:dyDescent="0.25">
      <c r="A5387" t="s">
        <v>5391</v>
      </c>
      <c r="B5387">
        <v>0.99334974765950101</v>
      </c>
      <c r="C5387">
        <v>0.98400937261023702</v>
      </c>
      <c r="D5387">
        <v>0.93878067755644801</v>
      </c>
      <c r="E5387">
        <v>0.69232894612013596</v>
      </c>
      <c r="F5387">
        <v>0.55388532158737103</v>
      </c>
      <c r="G5387">
        <v>0.326101026986027</v>
      </c>
      <c r="H5387">
        <v>0.27231703706588001</v>
      </c>
      <c r="I5387">
        <v>0.31961918482464802</v>
      </c>
      <c r="J5387">
        <v>0.25606841603610098</v>
      </c>
      <c r="K5387">
        <v>0.30608352427642599</v>
      </c>
      <c r="L5387">
        <v>1026.7854401606101</v>
      </c>
      <c r="M5387">
        <v>20.082350361272301</v>
      </c>
      <c r="N5387">
        <v>53.237160887744999</v>
      </c>
      <c r="O5387">
        <v>50.6298710206921</v>
      </c>
      <c r="P5387">
        <v>-7.1965939744436394E-2</v>
      </c>
      <c r="Q5387">
        <v>0.27428621845207801</v>
      </c>
      <c r="R5387">
        <v>0.992529274642451</v>
      </c>
      <c r="S5387" t="s">
        <v>11248</v>
      </c>
      <c r="T5387" t="s">
        <v>11720</v>
      </c>
      <c r="U5387" t="s">
        <v>11720</v>
      </c>
      <c r="V5387" t="s">
        <v>11720</v>
      </c>
      <c r="W5387" t="s">
        <v>17048</v>
      </c>
      <c r="X5387">
        <v>11</v>
      </c>
      <c r="Y5387" t="s">
        <v>22746</v>
      </c>
      <c r="Z5387" t="s">
        <v>28594</v>
      </c>
      <c r="AA5387">
        <v>0.55348976749720857</v>
      </c>
      <c r="AB5387" t="str">
        <f>HYPERLINK("Melting_Curves/meltCurve_Q9NZL9_2_MAT2B.pdf", "Melting_Curves/meltCurve_Q9NZL9_2_MAT2B.pdf")</f>
        <v>Melting_Curves/meltCurve_Q9NZL9_2_MAT2B.pdf</v>
      </c>
    </row>
    <row r="5388" spans="1:28" x14ac:dyDescent="0.25">
      <c r="A5388" t="s">
        <v>5392</v>
      </c>
      <c r="B5388">
        <v>0.99334974765950101</v>
      </c>
      <c r="C5388">
        <v>0.98471740413050601</v>
      </c>
      <c r="D5388">
        <v>1.13434419140565</v>
      </c>
      <c r="E5388">
        <v>1.6140785799402799</v>
      </c>
      <c r="F5388">
        <v>0.809929361027663</v>
      </c>
      <c r="G5388">
        <v>0.317071057288557</v>
      </c>
      <c r="H5388">
        <v>0.175509748605017</v>
      </c>
      <c r="I5388">
        <v>0.14505549242640201</v>
      </c>
      <c r="J5388">
        <v>0.12751292578946699</v>
      </c>
      <c r="K5388">
        <v>0.10355626606291</v>
      </c>
      <c r="L5388">
        <v>2589.8650966915802</v>
      </c>
      <c r="M5388">
        <v>46.9663935822024</v>
      </c>
      <c r="N5388">
        <v>55.527778978846499</v>
      </c>
      <c r="O5388">
        <v>55.0432618306262</v>
      </c>
      <c r="P5388">
        <v>-0.183682709531855</v>
      </c>
      <c r="Q5388">
        <v>0.13891774976701801</v>
      </c>
      <c r="R5388">
        <v>0.84011042334147301</v>
      </c>
      <c r="S5388" t="s">
        <v>11249</v>
      </c>
      <c r="T5388" t="s">
        <v>11720</v>
      </c>
      <c r="U5388" t="s">
        <v>11720</v>
      </c>
      <c r="V5388" t="s">
        <v>11720</v>
      </c>
      <c r="W5388" t="s">
        <v>17049</v>
      </c>
      <c r="X5388">
        <v>97</v>
      </c>
      <c r="Y5388" t="s">
        <v>22747</v>
      </c>
      <c r="Z5388" t="s">
        <v>28595</v>
      </c>
      <c r="AA5388">
        <v>0.57593456932035836</v>
      </c>
      <c r="AB5388" t="str">
        <f>HYPERLINK("Melting_Curves/meltCurve_Q9NZM1_6_MYOF.pdf", "Melting_Curves/meltCurve_Q9NZM1_6_MYOF.pdf")</f>
        <v>Melting_Curves/meltCurve_Q9NZM1_6_MYOF.pdf</v>
      </c>
    </row>
    <row r="5389" spans="1:28" x14ac:dyDescent="0.25">
      <c r="A5389" t="s">
        <v>5393</v>
      </c>
      <c r="B5389">
        <v>0.99334974765950101</v>
      </c>
      <c r="C5389">
        <v>0.87024007648809398</v>
      </c>
      <c r="D5389">
        <v>0.58248225175539903</v>
      </c>
      <c r="E5389">
        <v>0.32812569239760597</v>
      </c>
      <c r="F5389">
        <v>0.22443484040648801</v>
      </c>
      <c r="G5389">
        <v>0.124657454259626</v>
      </c>
      <c r="H5389">
        <v>0.102968335439292</v>
      </c>
      <c r="I5389">
        <v>0.109600345800067</v>
      </c>
      <c r="J5389">
        <v>0.13448370682202301</v>
      </c>
      <c r="K5389">
        <v>0.148172327594769</v>
      </c>
      <c r="L5389">
        <v>885.61309295617502</v>
      </c>
      <c r="M5389">
        <v>19.013072697303201</v>
      </c>
      <c r="N5389">
        <v>47.265222113390699</v>
      </c>
      <c r="O5389">
        <v>46.073049278807503</v>
      </c>
      <c r="P5389">
        <v>-9.0731249576234005E-2</v>
      </c>
      <c r="Q5389">
        <v>0.12058376997159299</v>
      </c>
      <c r="R5389">
        <v>0.99477033362843503</v>
      </c>
      <c r="S5389" t="s">
        <v>11250</v>
      </c>
      <c r="T5389" t="s">
        <v>11720</v>
      </c>
      <c r="U5389" t="s">
        <v>11720</v>
      </c>
      <c r="V5389" t="s">
        <v>11720</v>
      </c>
      <c r="W5389" t="s">
        <v>17050</v>
      </c>
      <c r="X5389">
        <v>13</v>
      </c>
      <c r="Y5389" t="s">
        <v>22748</v>
      </c>
      <c r="Z5389" t="s">
        <v>28596</v>
      </c>
      <c r="AA5389">
        <v>0.32814404297134431</v>
      </c>
      <c r="AB5389" t="str">
        <f>HYPERLINK("Melting_Curves/meltCurve_Q9NZM3_2_ITSN2.pdf", "Melting_Curves/meltCurve_Q9NZM3_2_ITSN2.pdf")</f>
        <v>Melting_Curves/meltCurve_Q9NZM3_2_ITSN2.pdf</v>
      </c>
    </row>
    <row r="5390" spans="1:28" x14ac:dyDescent="0.25">
      <c r="A5390" t="s">
        <v>5394</v>
      </c>
      <c r="B5390">
        <v>0.99334974765950101</v>
      </c>
      <c r="C5390">
        <v>0.88784079858535303</v>
      </c>
      <c r="D5390">
        <v>0.64794090339842902</v>
      </c>
      <c r="E5390">
        <v>0.43187146644941699</v>
      </c>
      <c r="F5390">
        <v>0.26904884062763501</v>
      </c>
      <c r="G5390">
        <v>0.182539533844643</v>
      </c>
      <c r="H5390">
        <v>0.164753185308983</v>
      </c>
      <c r="I5390">
        <v>0.113850678300196</v>
      </c>
      <c r="J5390">
        <v>0.115979044744824</v>
      </c>
      <c r="K5390">
        <v>0.15026239132478</v>
      </c>
      <c r="L5390">
        <v>755.91077069145695</v>
      </c>
      <c r="M5390">
        <v>15.855399502432601</v>
      </c>
      <c r="N5390">
        <v>48.541154468099798</v>
      </c>
      <c r="O5390">
        <v>46.936236440121803</v>
      </c>
      <c r="P5390">
        <v>-7.4055552201132899E-2</v>
      </c>
      <c r="Q5390">
        <v>0.123174068128846</v>
      </c>
      <c r="R5390">
        <v>0.99509052064754</v>
      </c>
      <c r="S5390" t="s">
        <v>11251</v>
      </c>
      <c r="T5390" t="s">
        <v>11720</v>
      </c>
      <c r="U5390" t="s">
        <v>11720</v>
      </c>
      <c r="V5390" t="s">
        <v>11720</v>
      </c>
      <c r="W5390" t="s">
        <v>17051</v>
      </c>
      <c r="X5390">
        <v>2</v>
      </c>
      <c r="Y5390" t="s">
        <v>22749</v>
      </c>
      <c r="Z5390" t="s">
        <v>28597</v>
      </c>
      <c r="AA5390">
        <v>0.36799207210934831</v>
      </c>
      <c r="AB5390" t="str">
        <f>HYPERLINK("Melting_Curves/meltCurve_Q9NZM4_2_GLTSCR1.pdf", "Melting_Curves/meltCurve_Q9NZM4_2_GLTSCR1.pdf")</f>
        <v>Melting_Curves/meltCurve_Q9NZM4_2_GLTSCR1.pdf</v>
      </c>
    </row>
    <row r="5391" spans="1:28" x14ac:dyDescent="0.25">
      <c r="A5391" t="s">
        <v>5395</v>
      </c>
      <c r="B5391">
        <v>0.99334974765950101</v>
      </c>
      <c r="C5391">
        <v>0.970384183875728</v>
      </c>
      <c r="D5391">
        <v>0.97475351625346995</v>
      </c>
      <c r="E5391">
        <v>0.67693375977287595</v>
      </c>
      <c r="F5391">
        <v>0.246175103579935</v>
      </c>
      <c r="G5391">
        <v>0.16387568445804401</v>
      </c>
      <c r="H5391">
        <v>0.11365855487321</v>
      </c>
      <c r="I5391">
        <v>0.100743745100732</v>
      </c>
      <c r="J5391">
        <v>9.2921015395636297E-2</v>
      </c>
      <c r="K5391">
        <v>6.9389883708272204E-2</v>
      </c>
      <c r="L5391">
        <v>1844.77848355228</v>
      </c>
      <c r="M5391">
        <v>36.348443109623801</v>
      </c>
      <c r="N5391">
        <v>51.073861627187902</v>
      </c>
      <c r="O5391">
        <v>50.599753346500698</v>
      </c>
      <c r="P5391">
        <v>-0.161237150815534</v>
      </c>
      <c r="Q5391">
        <v>0.102186422417576</v>
      </c>
      <c r="R5391">
        <v>0.99709206664908001</v>
      </c>
      <c r="S5391" t="s">
        <v>11252</v>
      </c>
      <c r="T5391" t="s">
        <v>11720</v>
      </c>
      <c r="U5391" t="s">
        <v>11720</v>
      </c>
      <c r="V5391" t="s">
        <v>11720</v>
      </c>
      <c r="W5391" t="s">
        <v>17052</v>
      </c>
      <c r="X5391">
        <v>28</v>
      </c>
      <c r="Y5391" t="s">
        <v>22750</v>
      </c>
      <c r="Z5391" t="s">
        <v>28598</v>
      </c>
      <c r="AA5391">
        <v>0.42780125466408297</v>
      </c>
      <c r="AB5391" t="str">
        <f>HYPERLINK("Melting_Curves/meltCurve_Q9NZN3_EHD3.pdf", "Melting_Curves/meltCurve_Q9NZN3_EHD3.pdf")</f>
        <v>Melting_Curves/meltCurve_Q9NZN3_EHD3.pdf</v>
      </c>
    </row>
    <row r="5392" spans="1:28" x14ac:dyDescent="0.25">
      <c r="A5392" t="s">
        <v>5396</v>
      </c>
      <c r="B5392">
        <v>0.99334974765950101</v>
      </c>
      <c r="C5392">
        <v>0.872871207094711</v>
      </c>
      <c r="D5392">
        <v>0.74568719261178695</v>
      </c>
      <c r="E5392">
        <v>0.31392617546484702</v>
      </c>
      <c r="F5392">
        <v>0.12697368483806401</v>
      </c>
      <c r="G5392">
        <v>8.3411605142366896E-2</v>
      </c>
      <c r="H5392">
        <v>6.1278622084111001E-2</v>
      </c>
      <c r="I5392">
        <v>5.46642273089709E-2</v>
      </c>
      <c r="J5392">
        <v>4.9714275310077001E-2</v>
      </c>
      <c r="K5392">
        <v>4.2782019554394798E-2</v>
      </c>
      <c r="L5392">
        <v>1030.6076524622199</v>
      </c>
      <c r="M5392">
        <v>21.541639322365999</v>
      </c>
      <c r="N5392">
        <v>48.056597786321397</v>
      </c>
      <c r="O5392">
        <v>47.4360124320512</v>
      </c>
      <c r="P5392">
        <v>-0.108339925339721</v>
      </c>
      <c r="Q5392">
        <v>4.5738490128825998E-2</v>
      </c>
      <c r="R5392">
        <v>0.99662604109591302</v>
      </c>
      <c r="S5392" t="s">
        <v>11253</v>
      </c>
      <c r="T5392" t="s">
        <v>11720</v>
      </c>
      <c r="U5392" t="s">
        <v>11720</v>
      </c>
      <c r="V5392" t="s">
        <v>11720</v>
      </c>
      <c r="W5392" t="s">
        <v>17053</v>
      </c>
      <c r="X5392">
        <v>35</v>
      </c>
      <c r="Y5392" t="s">
        <v>22751</v>
      </c>
      <c r="Z5392" t="s">
        <v>28599</v>
      </c>
      <c r="AA5392">
        <v>0.30680972992111549</v>
      </c>
      <c r="AB5392" t="str">
        <f>HYPERLINK("Melting_Curves/meltCurve_Q9NZN4_EHD2.pdf", "Melting_Curves/meltCurve_Q9NZN4_EHD2.pdf")</f>
        <v>Melting_Curves/meltCurve_Q9NZN4_EHD2.pdf</v>
      </c>
    </row>
    <row r="5393" spans="1:28" x14ac:dyDescent="0.25">
      <c r="A5393" t="s">
        <v>5397</v>
      </c>
      <c r="B5393">
        <v>0.99334974765950101</v>
      </c>
      <c r="C5393">
        <v>1.0945196209508601</v>
      </c>
      <c r="D5393">
        <v>0.99724968301136196</v>
      </c>
      <c r="E5393">
        <v>1.4541762126445299</v>
      </c>
      <c r="F5393">
        <v>1.03811046848199</v>
      </c>
      <c r="G5393">
        <v>0.44564813167087203</v>
      </c>
      <c r="H5393">
        <v>7.7574693463646094E-2</v>
      </c>
      <c r="I5393">
        <v>5.0457264226182602E-2</v>
      </c>
      <c r="J5393">
        <v>3.4154365655363797E-2</v>
      </c>
      <c r="K5393">
        <v>1.4816044320150301E-2</v>
      </c>
      <c r="L5393">
        <v>5688.3624664231602</v>
      </c>
      <c r="M5393">
        <v>100.116837212978</v>
      </c>
      <c r="N5393">
        <v>56.869518158994403</v>
      </c>
      <c r="O5393">
        <v>56.794581634889099</v>
      </c>
      <c r="P5393">
        <v>-0.42132443555075499</v>
      </c>
      <c r="Q5393">
        <v>4.3959251121035402E-2</v>
      </c>
      <c r="R5393">
        <v>0.92002177353690995</v>
      </c>
      <c r="S5393" t="s">
        <v>11254</v>
      </c>
      <c r="T5393" t="s">
        <v>11720</v>
      </c>
      <c r="U5393" t="s">
        <v>11720</v>
      </c>
      <c r="V5393" t="s">
        <v>11720</v>
      </c>
      <c r="W5393" t="s">
        <v>17054</v>
      </c>
      <c r="X5393">
        <v>1</v>
      </c>
      <c r="Y5393" t="s">
        <v>22752</v>
      </c>
      <c r="Z5393" t="s">
        <v>28600</v>
      </c>
      <c r="AA5393">
        <v>0.58048661973488103</v>
      </c>
      <c r="AB5393" t="str">
        <f>HYPERLINK("Melting_Curves/meltCurve_Q9NZN9_3_AIPL1.pdf", "Melting_Curves/meltCurve_Q9NZN9_3_AIPL1.pdf")</f>
        <v>Melting_Curves/meltCurve_Q9NZN9_3_AIPL1.pdf</v>
      </c>
    </row>
    <row r="5394" spans="1:28" x14ac:dyDescent="0.25">
      <c r="A5394" t="s">
        <v>5398</v>
      </c>
      <c r="B5394">
        <v>0.99334974765950101</v>
      </c>
      <c r="C5394">
        <v>0.90350090246382897</v>
      </c>
      <c r="D5394">
        <v>0.65930206202580899</v>
      </c>
      <c r="E5394">
        <v>0.230264867889696</v>
      </c>
      <c r="F5394">
        <v>0.1693825364539</v>
      </c>
      <c r="G5394">
        <v>0.116769110940561</v>
      </c>
      <c r="H5394">
        <v>0.13916875911104101</v>
      </c>
      <c r="I5394">
        <v>9.3589046446323904E-2</v>
      </c>
      <c r="J5394">
        <v>0.10104776664225899</v>
      </c>
      <c r="K5394">
        <v>8.3943610352466905E-2</v>
      </c>
      <c r="L5394">
        <v>1189.73619549201</v>
      </c>
      <c r="M5394">
        <v>25.435369217799199</v>
      </c>
      <c r="N5394">
        <v>47.214859898058897</v>
      </c>
      <c r="O5394">
        <v>46.488639905584499</v>
      </c>
      <c r="P5394">
        <v>-0.12235197747299301</v>
      </c>
      <c r="Q5394">
        <v>0.105512770437729</v>
      </c>
      <c r="R5394">
        <v>0.99750126730756705</v>
      </c>
      <c r="S5394" t="s">
        <v>11255</v>
      </c>
      <c r="T5394" t="s">
        <v>11720</v>
      </c>
      <c r="U5394" t="s">
        <v>11720</v>
      </c>
      <c r="V5394" t="s">
        <v>11720</v>
      </c>
      <c r="W5394" t="s">
        <v>17055</v>
      </c>
      <c r="X5394">
        <v>11</v>
      </c>
      <c r="Y5394" t="s">
        <v>22753</v>
      </c>
      <c r="Z5394" t="s">
        <v>28601</v>
      </c>
      <c r="AA5394">
        <v>0.31523832993887829</v>
      </c>
      <c r="AB5394" t="str">
        <f>HYPERLINK("Melting_Curves/meltCurve_Q9NZQ3_3_NCKIPSD.pdf", "Melting_Curves/meltCurve_Q9NZQ3_3_NCKIPSD.pdf")</f>
        <v>Melting_Curves/meltCurve_Q9NZQ3_3_NCKIPSD.pdf</v>
      </c>
    </row>
    <row r="5395" spans="1:28" x14ac:dyDescent="0.25">
      <c r="A5395" t="s">
        <v>5399</v>
      </c>
      <c r="B5395">
        <v>0.99334974765950101</v>
      </c>
      <c r="C5395">
        <v>0.91984246114061297</v>
      </c>
      <c r="D5395">
        <v>0.83457310627572501</v>
      </c>
      <c r="E5395">
        <v>0.79760466333781799</v>
      </c>
      <c r="F5395">
        <v>0.53970030582377104</v>
      </c>
      <c r="G5395">
        <v>0.61029783323457498</v>
      </c>
      <c r="H5395">
        <v>0.43548405350362102</v>
      </c>
      <c r="I5395">
        <v>0.34022500676780398</v>
      </c>
      <c r="J5395">
        <v>0.311885940706571</v>
      </c>
      <c r="K5395">
        <v>0.27235831836404401</v>
      </c>
      <c r="L5395">
        <v>412.89952005102901</v>
      </c>
      <c r="M5395">
        <v>7.3251053678935003</v>
      </c>
      <c r="N5395">
        <v>58.094449863964599</v>
      </c>
      <c r="O5395">
        <v>52.622903451712098</v>
      </c>
      <c r="P5395">
        <v>-3.1444921926138E-2</v>
      </c>
      <c r="Q5395">
        <v>9.7825537116723399E-2</v>
      </c>
      <c r="R5395">
        <v>0.96237549000932099</v>
      </c>
      <c r="S5395" t="s">
        <v>11256</v>
      </c>
      <c r="T5395" t="s">
        <v>11720</v>
      </c>
      <c r="U5395" t="s">
        <v>11720</v>
      </c>
      <c r="V5395" t="s">
        <v>11720</v>
      </c>
      <c r="W5395" t="s">
        <v>17056</v>
      </c>
      <c r="X5395">
        <v>2</v>
      </c>
      <c r="Y5395" t="s">
        <v>22754</v>
      </c>
      <c r="Z5395" t="s">
        <v>28602</v>
      </c>
      <c r="AA5395">
        <v>0.60397207906786321</v>
      </c>
      <c r="AB5395" t="str">
        <f>HYPERLINK("Melting_Curves/meltCurve_Q9NZQ7_3_CD274.pdf", "Melting_Curves/meltCurve_Q9NZQ7_3_CD274.pdf")</f>
        <v>Melting_Curves/meltCurve_Q9NZQ7_3_CD274.pdf</v>
      </c>
    </row>
    <row r="5396" spans="1:28" x14ac:dyDescent="0.25">
      <c r="A5396" t="s">
        <v>5400</v>
      </c>
      <c r="B5396">
        <v>0.99334974765950101</v>
      </c>
      <c r="C5396">
        <v>1.12093877207151</v>
      </c>
      <c r="D5396">
        <v>0.87501214995405097</v>
      </c>
      <c r="E5396">
        <v>0.41722776712875997</v>
      </c>
      <c r="F5396">
        <v>0.14036839668363099</v>
      </c>
      <c r="G5396">
        <v>0.13605533210868401</v>
      </c>
      <c r="H5396">
        <v>0.11176925496025999</v>
      </c>
      <c r="I5396">
        <v>0.13333180848231799</v>
      </c>
      <c r="J5396">
        <v>4.8402828802572899E-2</v>
      </c>
      <c r="K5396">
        <v>8.4531403685335502E-2</v>
      </c>
      <c r="L5396">
        <v>1621.5592625373099</v>
      </c>
      <c r="M5396">
        <v>33.100998945642601</v>
      </c>
      <c r="N5396">
        <v>49.311285155620403</v>
      </c>
      <c r="O5396">
        <v>48.8104661677338</v>
      </c>
      <c r="P5396">
        <v>-0.15301260724950699</v>
      </c>
      <c r="Q5396">
        <v>9.7479350411135895E-2</v>
      </c>
      <c r="R5396">
        <v>0.985475170191209</v>
      </c>
      <c r="S5396" t="s">
        <v>11257</v>
      </c>
      <c r="T5396" t="s">
        <v>11720</v>
      </c>
      <c r="U5396" t="s">
        <v>11720</v>
      </c>
      <c r="V5396" t="s">
        <v>11720</v>
      </c>
      <c r="W5396" t="s">
        <v>17057</v>
      </c>
      <c r="X5396">
        <v>1</v>
      </c>
      <c r="Y5396" t="s">
        <v>22755</v>
      </c>
      <c r="Z5396" t="s">
        <v>28603</v>
      </c>
      <c r="AA5396">
        <v>0.37237578906190483</v>
      </c>
      <c r="AB5396" t="str">
        <f>HYPERLINK("Melting_Curves/meltCurve_Q9NZS9_BFAR.pdf", "Melting_Curves/meltCurve_Q9NZS9_BFAR.pdf")</f>
        <v>Melting_Curves/meltCurve_Q9NZS9_BFAR.pdf</v>
      </c>
    </row>
    <row r="5397" spans="1:28" x14ac:dyDescent="0.25">
      <c r="A5397" t="s">
        <v>5401</v>
      </c>
      <c r="B5397">
        <v>0.99334974765950101</v>
      </c>
      <c r="C5397">
        <v>0.86017762838478595</v>
      </c>
      <c r="D5397">
        <v>0.53925752528675597</v>
      </c>
      <c r="E5397">
        <v>0.221024415347465</v>
      </c>
      <c r="F5397">
        <v>0.13651540360733699</v>
      </c>
      <c r="G5397">
        <v>8.1454516060617502E-2</v>
      </c>
      <c r="H5397">
        <v>7.0651168201828096E-2</v>
      </c>
      <c r="I5397">
        <v>6.1691611203936098E-2</v>
      </c>
      <c r="J5397">
        <v>5.9897402686504703E-2</v>
      </c>
      <c r="K5397">
        <v>4.8773113174510101E-2</v>
      </c>
      <c r="L5397">
        <v>1000.29682145715</v>
      </c>
      <c r="M5397">
        <v>21.6472428868931</v>
      </c>
      <c r="N5397">
        <v>46.4986464847332</v>
      </c>
      <c r="O5397">
        <v>45.820049603705002</v>
      </c>
      <c r="P5397">
        <v>-0.110662489549538</v>
      </c>
      <c r="Q5397">
        <v>6.3078767928497106E-2</v>
      </c>
      <c r="R5397">
        <v>0.99865160381614104</v>
      </c>
      <c r="S5397" t="s">
        <v>11258</v>
      </c>
      <c r="T5397" t="s">
        <v>11720</v>
      </c>
      <c r="U5397" t="s">
        <v>11720</v>
      </c>
      <c r="V5397" t="s">
        <v>11720</v>
      </c>
      <c r="W5397" t="s">
        <v>17058</v>
      </c>
      <c r="X5397">
        <v>16</v>
      </c>
      <c r="Y5397" t="s">
        <v>22756</v>
      </c>
      <c r="Z5397" t="s">
        <v>28604</v>
      </c>
      <c r="AA5397">
        <v>0.2689095327770829</v>
      </c>
      <c r="AB5397" t="str">
        <f>HYPERLINK("Melting_Curves/meltCurve_Q9NZT2_2_OGFR.pdf", "Melting_Curves/meltCurve_Q9NZT2_2_OGFR.pdf")</f>
        <v>Melting_Curves/meltCurve_Q9NZT2_2_OGFR.pdf</v>
      </c>
    </row>
    <row r="5398" spans="1:28" x14ac:dyDescent="0.25">
      <c r="A5398" t="s">
        <v>5402</v>
      </c>
      <c r="B5398">
        <v>0.99334974765950101</v>
      </c>
      <c r="C5398">
        <v>0.948615253539421</v>
      </c>
      <c r="D5398">
        <v>0.80221487174926498</v>
      </c>
      <c r="E5398">
        <v>0.54837138381942896</v>
      </c>
      <c r="F5398">
        <v>0.18635301778123201</v>
      </c>
      <c r="G5398">
        <v>0.12963863335228701</v>
      </c>
      <c r="H5398">
        <v>9.5269168388188302E-2</v>
      </c>
      <c r="I5398">
        <v>9.2110394311534796E-2</v>
      </c>
      <c r="J5398">
        <v>8.4194732006315096E-2</v>
      </c>
      <c r="K5398">
        <v>8.2503691336061599E-2</v>
      </c>
      <c r="L5398">
        <v>1039.4855586741601</v>
      </c>
      <c r="M5398">
        <v>21.033497784376902</v>
      </c>
      <c r="N5398">
        <v>49.805758598651401</v>
      </c>
      <c r="O5398">
        <v>48.980256573648802</v>
      </c>
      <c r="P5398">
        <v>-9.9299304789729495E-2</v>
      </c>
      <c r="Q5398">
        <v>7.5079798796073405E-2</v>
      </c>
      <c r="R5398">
        <v>0.99180710170207198</v>
      </c>
      <c r="S5398" t="s">
        <v>11259</v>
      </c>
      <c r="T5398" t="s">
        <v>11720</v>
      </c>
      <c r="U5398" t="s">
        <v>11720</v>
      </c>
      <c r="V5398" t="s">
        <v>11720</v>
      </c>
      <c r="W5398" t="s">
        <v>17059</v>
      </c>
      <c r="X5398">
        <v>26</v>
      </c>
      <c r="Y5398" t="s">
        <v>22757</v>
      </c>
      <c r="Z5398" t="s">
        <v>28605</v>
      </c>
      <c r="AA5398">
        <v>0.37719202921449368</v>
      </c>
      <c r="AB5398" t="str">
        <f>HYPERLINK("Melting_Curves/meltCurve_Q9NZU5_LMCD1.pdf", "Melting_Curves/meltCurve_Q9NZU5_LMCD1.pdf")</f>
        <v>Melting_Curves/meltCurve_Q9NZU5_LMCD1.pdf</v>
      </c>
    </row>
    <row r="5399" spans="1:28" x14ac:dyDescent="0.25">
      <c r="A5399" t="s">
        <v>5403</v>
      </c>
      <c r="B5399">
        <v>0.99334974765950101</v>
      </c>
      <c r="C5399">
        <v>0.91493230283094396</v>
      </c>
      <c r="D5399">
        <v>0.87928417180754603</v>
      </c>
      <c r="E5399">
        <v>0.84489996918153698</v>
      </c>
      <c r="F5399">
        <v>0.98191231113325805</v>
      </c>
      <c r="G5399">
        <v>0.75952806493873803</v>
      </c>
      <c r="H5399">
        <v>0.82276254720733799</v>
      </c>
      <c r="I5399">
        <v>0.97050770316923396</v>
      </c>
      <c r="J5399">
        <v>1.1171824258543701</v>
      </c>
      <c r="K5399">
        <v>0.91543483206548504</v>
      </c>
      <c r="L5399">
        <v>3443.5924365785399</v>
      </c>
      <c r="M5399">
        <v>83.567366771157396</v>
      </c>
      <c r="O5399">
        <v>41.183802430441098</v>
      </c>
      <c r="P5399">
        <v>-4.4908009225992897E-2</v>
      </c>
      <c r="Q5399">
        <v>0.91147346443619603</v>
      </c>
      <c r="R5399">
        <v>6.4285366616212203E-2</v>
      </c>
      <c r="S5399" t="s">
        <v>11260</v>
      </c>
      <c r="T5399" t="s">
        <v>11720</v>
      </c>
      <c r="U5399" t="s">
        <v>11720</v>
      </c>
      <c r="V5399" t="s">
        <v>11720</v>
      </c>
      <c r="W5399" t="s">
        <v>17060</v>
      </c>
      <c r="X5399">
        <v>12</v>
      </c>
      <c r="Y5399" t="s">
        <v>22758</v>
      </c>
      <c r="Z5399" t="s">
        <v>28606</v>
      </c>
      <c r="AA5399">
        <v>0.91519713868206254</v>
      </c>
      <c r="AB5399" t="str">
        <f>HYPERLINK("Melting_Curves/meltCurve_Q9NZV1_CRIM1.pdf", "Melting_Curves/meltCurve_Q9NZV1_CRIM1.pdf")</f>
        <v>Melting_Curves/meltCurve_Q9NZV1_CRIM1.pdf</v>
      </c>
    </row>
    <row r="5400" spans="1:28" x14ac:dyDescent="0.25">
      <c r="A5400" t="s">
        <v>5404</v>
      </c>
      <c r="B5400">
        <v>0.99334974765950101</v>
      </c>
      <c r="C5400">
        <v>0.91680452045537197</v>
      </c>
      <c r="D5400">
        <v>0.87962975909622299</v>
      </c>
      <c r="E5400">
        <v>0.60682007614668998</v>
      </c>
      <c r="F5400">
        <v>0.240058996298815</v>
      </c>
      <c r="G5400">
        <v>0.160186184078463</v>
      </c>
      <c r="H5400">
        <v>0.128699275137417</v>
      </c>
      <c r="I5400">
        <v>0.123940788215974</v>
      </c>
      <c r="J5400">
        <v>0.12452023289765</v>
      </c>
      <c r="K5400">
        <v>0.109448825863036</v>
      </c>
      <c r="L5400">
        <v>1232.8063748787499</v>
      </c>
      <c r="M5400">
        <v>24.6402997205372</v>
      </c>
      <c r="N5400">
        <v>50.558690833864503</v>
      </c>
      <c r="O5400">
        <v>49.706069184688999</v>
      </c>
      <c r="P5400">
        <v>-0.109906487230422</v>
      </c>
      <c r="Q5400">
        <v>0.113169607854106</v>
      </c>
      <c r="R5400">
        <v>0.99169947543646397</v>
      </c>
      <c r="S5400" t="s">
        <v>11261</v>
      </c>
      <c r="T5400" t="s">
        <v>11720</v>
      </c>
      <c r="U5400" t="s">
        <v>11720</v>
      </c>
      <c r="V5400" t="s">
        <v>11720</v>
      </c>
      <c r="W5400" t="s">
        <v>17061</v>
      </c>
      <c r="X5400">
        <v>20</v>
      </c>
      <c r="Y5400" t="s">
        <v>22759</v>
      </c>
      <c r="Z5400" t="s">
        <v>28607</v>
      </c>
      <c r="AA5400">
        <v>0.41789217892753711</v>
      </c>
      <c r="AB5400" t="str">
        <f>HYPERLINK("Melting_Curves/meltCurve_Q9NZW5_MPP6.pdf", "Melting_Curves/meltCurve_Q9NZW5_MPP6.pdf")</f>
        <v>Melting_Curves/meltCurve_Q9NZW5_MPP6.pdf</v>
      </c>
    </row>
    <row r="5401" spans="1:28" x14ac:dyDescent="0.25">
      <c r="A5401" t="s">
        <v>5405</v>
      </c>
      <c r="B5401">
        <v>0.99334974765950101</v>
      </c>
      <c r="C5401">
        <v>1.0127310754082499</v>
      </c>
      <c r="D5401">
        <v>1.0234891379231099</v>
      </c>
      <c r="E5401">
        <v>0.86079357651145005</v>
      </c>
      <c r="F5401">
        <v>0.93102909686000102</v>
      </c>
      <c r="G5401">
        <v>0.80240423357017598</v>
      </c>
      <c r="H5401">
        <v>0.91186390736161305</v>
      </c>
      <c r="I5401">
        <v>0.85712726550315299</v>
      </c>
      <c r="J5401">
        <v>1.2259077852117699</v>
      </c>
      <c r="K5401">
        <v>1.0708651147680499</v>
      </c>
      <c r="L5401">
        <v>11948.752027625</v>
      </c>
      <c r="M5401">
        <v>250</v>
      </c>
      <c r="O5401">
        <v>47.791949990676002</v>
      </c>
      <c r="P5401">
        <v>-6.3520667743249701E-2</v>
      </c>
      <c r="Q5401">
        <v>0.95142757528923805</v>
      </c>
      <c r="R5401">
        <v>4.9644795337174301E-2</v>
      </c>
      <c r="S5401" t="s">
        <v>11262</v>
      </c>
      <c r="T5401" t="s">
        <v>11720</v>
      </c>
      <c r="U5401" t="s">
        <v>11720</v>
      </c>
      <c r="V5401" t="s">
        <v>11720</v>
      </c>
      <c r="W5401" t="s">
        <v>17062</v>
      </c>
      <c r="X5401">
        <v>14</v>
      </c>
      <c r="Y5401" t="s">
        <v>22760</v>
      </c>
      <c r="Z5401" t="s">
        <v>28608</v>
      </c>
      <c r="AA5401">
        <v>0.96405239767194595</v>
      </c>
      <c r="AB5401" t="str">
        <f>HYPERLINK("Melting_Curves/meltCurve_Q9NZZ3_CHMP5.pdf", "Melting_Curves/meltCurve_Q9NZZ3_CHMP5.pdf")</f>
        <v>Melting_Curves/meltCurve_Q9NZZ3_CHMP5.pdf</v>
      </c>
    </row>
    <row r="5402" spans="1:28" x14ac:dyDescent="0.25">
      <c r="A5402" t="s">
        <v>5406</v>
      </c>
      <c r="B5402">
        <v>0.99334974765950101</v>
      </c>
      <c r="C5402">
        <v>0.91886761655094196</v>
      </c>
      <c r="D5402">
        <v>0.92691816459305398</v>
      </c>
      <c r="E5402">
        <v>0.800141429313039</v>
      </c>
      <c r="F5402">
        <v>1.2209915230188899</v>
      </c>
      <c r="G5402">
        <v>0.61991369372509697</v>
      </c>
      <c r="H5402">
        <v>0.38475633370713702</v>
      </c>
      <c r="I5402">
        <v>0.33589819283113997</v>
      </c>
      <c r="J5402">
        <v>0.32286141747434499</v>
      </c>
      <c r="K5402">
        <v>0.25469022580640399</v>
      </c>
      <c r="L5402">
        <v>11149.8132127471</v>
      </c>
      <c r="M5402">
        <v>195.86294684005</v>
      </c>
      <c r="N5402">
        <v>57.232625055854299</v>
      </c>
      <c r="O5402">
        <v>56.920681966370303</v>
      </c>
      <c r="P5402">
        <v>-0.58105171880357198</v>
      </c>
      <c r="Q5402">
        <v>0.32455105871984002</v>
      </c>
      <c r="R5402">
        <v>0.89491241677151101</v>
      </c>
      <c r="S5402" t="s">
        <v>11263</v>
      </c>
      <c r="T5402" t="s">
        <v>11720</v>
      </c>
      <c r="U5402" t="s">
        <v>11720</v>
      </c>
      <c r="V5402" t="s">
        <v>11720</v>
      </c>
      <c r="W5402" t="s">
        <v>17063</v>
      </c>
      <c r="X5402">
        <v>9</v>
      </c>
      <c r="Y5402" t="s">
        <v>22761</v>
      </c>
      <c r="Z5402" t="s">
        <v>28609</v>
      </c>
      <c r="AA5402">
        <v>0.70576299787462327</v>
      </c>
      <c r="AB5402" t="str">
        <f>HYPERLINK("Melting_Curves/meltCurve_Q9P000_COMMD9.pdf", "Melting_Curves/meltCurve_Q9P000_COMMD9.pdf")</f>
        <v>Melting_Curves/meltCurve_Q9P000_COMMD9.pdf</v>
      </c>
    </row>
    <row r="5403" spans="1:28" x14ac:dyDescent="0.25">
      <c r="A5403" t="s">
        <v>5407</v>
      </c>
      <c r="B5403">
        <v>0.99334974765950101</v>
      </c>
      <c r="C5403">
        <v>0.99961032944820905</v>
      </c>
      <c r="D5403">
        <v>0.936344884122147</v>
      </c>
      <c r="E5403">
        <v>0.98609406201206595</v>
      </c>
      <c r="F5403">
        <v>1.0104095420150201</v>
      </c>
      <c r="G5403">
        <v>0.960716636252537</v>
      </c>
      <c r="H5403">
        <v>0.94946781079045395</v>
      </c>
      <c r="I5403">
        <v>0.94827201832697705</v>
      </c>
      <c r="J5403">
        <v>1.24325988275709</v>
      </c>
      <c r="K5403">
        <v>1.1384440024371201</v>
      </c>
      <c r="L5403">
        <v>15000</v>
      </c>
      <c r="M5403">
        <v>229.13200408334799</v>
      </c>
      <c r="O5403">
        <v>65.459460286391604</v>
      </c>
      <c r="P5403">
        <v>0.16720612275003</v>
      </c>
      <c r="Q5403">
        <v>1.1910727848475899</v>
      </c>
      <c r="R5403">
        <v>0.80550863076739099</v>
      </c>
      <c r="S5403" t="s">
        <v>11264</v>
      </c>
      <c r="T5403" t="s">
        <v>11720</v>
      </c>
      <c r="U5403" t="s">
        <v>11720</v>
      </c>
      <c r="V5403" t="s">
        <v>11720</v>
      </c>
      <c r="W5403" t="s">
        <v>17064</v>
      </c>
      <c r="X5403">
        <v>10</v>
      </c>
      <c r="Y5403" t="s">
        <v>22762</v>
      </c>
      <c r="Z5403" t="s">
        <v>28610</v>
      </c>
      <c r="AA5403">
        <v>1.028861223179667</v>
      </c>
      <c r="AB5403" t="str">
        <f>HYPERLINK("Melting_Curves/meltCurve_Q9P013_CWC15.pdf", "Melting_Curves/meltCurve_Q9P013_CWC15.pdf")</f>
        <v>Melting_Curves/meltCurve_Q9P013_CWC15.pdf</v>
      </c>
    </row>
    <row r="5404" spans="1:28" x14ac:dyDescent="0.25">
      <c r="A5404" t="s">
        <v>5408</v>
      </c>
      <c r="B5404">
        <v>0.99334974765950101</v>
      </c>
      <c r="C5404">
        <v>0.90935327080359496</v>
      </c>
      <c r="D5404">
        <v>0.82465330090144795</v>
      </c>
      <c r="E5404">
        <v>0.63773572368515696</v>
      </c>
      <c r="F5404">
        <v>0.38774769826920602</v>
      </c>
      <c r="G5404">
        <v>0.181255916395926</v>
      </c>
      <c r="H5404">
        <v>0.143243586248054</v>
      </c>
      <c r="I5404">
        <v>0.104869805821951</v>
      </c>
      <c r="J5404">
        <v>0.114818517880659</v>
      </c>
      <c r="K5404">
        <v>8.51660623546871E-2</v>
      </c>
      <c r="L5404">
        <v>778.36191568384595</v>
      </c>
      <c r="M5404">
        <v>15.3122440543306</v>
      </c>
      <c r="N5404">
        <v>51.343574866075997</v>
      </c>
      <c r="O5404">
        <v>49.989314228078896</v>
      </c>
      <c r="P5404">
        <v>-7.1172747813571205E-2</v>
      </c>
      <c r="Q5404">
        <v>7.0666504772888106E-2</v>
      </c>
      <c r="R5404">
        <v>0.99514118609829105</v>
      </c>
      <c r="S5404" t="s">
        <v>11265</v>
      </c>
      <c r="T5404" t="s">
        <v>11720</v>
      </c>
      <c r="U5404" t="s">
        <v>11720</v>
      </c>
      <c r="V5404" t="s">
        <v>11720</v>
      </c>
      <c r="W5404" t="s">
        <v>17065</v>
      </c>
      <c r="X5404">
        <v>6</v>
      </c>
      <c r="Y5404" t="s">
        <v>22763</v>
      </c>
      <c r="Z5404" t="s">
        <v>28611</v>
      </c>
      <c r="AA5404">
        <v>0.42708785874657879</v>
      </c>
      <c r="AB5404" t="str">
        <f>HYPERLINK("Melting_Curves/meltCurve_Q9P016_THYN1.pdf", "Melting_Curves/meltCurve_Q9P016_THYN1.pdf")</f>
        <v>Melting_Curves/meltCurve_Q9P016_THYN1.pdf</v>
      </c>
    </row>
    <row r="5405" spans="1:28" x14ac:dyDescent="0.25">
      <c r="A5405" t="s">
        <v>5409</v>
      </c>
      <c r="B5405">
        <v>0.99334974765950101</v>
      </c>
      <c r="C5405">
        <v>0.94740989487166305</v>
      </c>
      <c r="D5405">
        <v>0.92932321624159497</v>
      </c>
      <c r="E5405">
        <v>1.0651181746567</v>
      </c>
      <c r="F5405">
        <v>0.75003042699280897</v>
      </c>
      <c r="G5405">
        <v>0.41784346438327802</v>
      </c>
      <c r="H5405">
        <v>0.22307263152192999</v>
      </c>
      <c r="I5405">
        <v>0.21094810030448199</v>
      </c>
      <c r="J5405">
        <v>0.15610006781497399</v>
      </c>
      <c r="K5405">
        <v>0.122855340316147</v>
      </c>
      <c r="L5405">
        <v>1506.56224101358</v>
      </c>
      <c r="M5405">
        <v>27.280555801754598</v>
      </c>
      <c r="N5405">
        <v>55.992715370290597</v>
      </c>
      <c r="O5405">
        <v>54.930579037288901</v>
      </c>
      <c r="P5405">
        <v>-0.104783180400431</v>
      </c>
      <c r="Q5405">
        <v>0.15606615929457501</v>
      </c>
      <c r="R5405">
        <v>0.98211252155308504</v>
      </c>
      <c r="S5405" t="s">
        <v>11266</v>
      </c>
      <c r="T5405" t="s">
        <v>11720</v>
      </c>
      <c r="U5405" t="s">
        <v>11720</v>
      </c>
      <c r="V5405" t="s">
        <v>11720</v>
      </c>
      <c r="W5405" t="s">
        <v>17066</v>
      </c>
      <c r="X5405">
        <v>4</v>
      </c>
      <c r="Y5405" t="s">
        <v>22764</v>
      </c>
      <c r="Z5405" t="s">
        <v>28612</v>
      </c>
      <c r="AA5405">
        <v>0.59103768997216022</v>
      </c>
      <c r="AB5405" t="str">
        <f>HYPERLINK("Melting_Curves/meltCurve_Q9P032_NDUFAF4.pdf", "Melting_Curves/meltCurve_Q9P032_NDUFAF4.pdf")</f>
        <v>Melting_Curves/meltCurve_Q9P032_NDUFAF4.pdf</v>
      </c>
    </row>
    <row r="5406" spans="1:28" x14ac:dyDescent="0.25">
      <c r="A5406" t="s">
        <v>5410</v>
      </c>
      <c r="B5406">
        <v>0.99334974765950101</v>
      </c>
      <c r="C5406">
        <v>1.1308664282357901</v>
      </c>
      <c r="D5406">
        <v>1.0797373579907099</v>
      </c>
      <c r="E5406">
        <v>1.1843852101957499</v>
      </c>
      <c r="F5406">
        <v>0.98954763051252703</v>
      </c>
      <c r="G5406">
        <v>0.55893533512072302</v>
      </c>
      <c r="H5406">
        <v>0.24304802418146801</v>
      </c>
      <c r="I5406">
        <v>0.24027639253000199</v>
      </c>
      <c r="J5406">
        <v>0.14907633822988001</v>
      </c>
      <c r="K5406">
        <v>0.11814900565561701</v>
      </c>
      <c r="L5406">
        <v>2458.5947836811501</v>
      </c>
      <c r="M5406">
        <v>43.2065703114718</v>
      </c>
      <c r="N5406">
        <v>57.468375222146101</v>
      </c>
      <c r="O5406">
        <v>56.781769610801199</v>
      </c>
      <c r="P5406">
        <v>-0.157307762386553</v>
      </c>
      <c r="Q5406">
        <v>0.17307026392049399</v>
      </c>
      <c r="R5406">
        <v>0.96289930664301304</v>
      </c>
      <c r="S5406" t="s">
        <v>11267</v>
      </c>
      <c r="T5406" t="s">
        <v>11720</v>
      </c>
      <c r="U5406" t="s">
        <v>11720</v>
      </c>
      <c r="V5406" t="s">
        <v>11720</v>
      </c>
      <c r="W5406" t="s">
        <v>17067</v>
      </c>
      <c r="X5406">
        <v>1</v>
      </c>
      <c r="Y5406" t="s">
        <v>22765</v>
      </c>
      <c r="Z5406" t="s">
        <v>28613</v>
      </c>
      <c r="AA5406">
        <v>0.64176422961572777</v>
      </c>
      <c r="AB5406" t="str">
        <f>HYPERLINK("Melting_Curves/meltCurve_Q9P035_PTPLAD1.pdf", "Melting_Curves/meltCurve_Q9P035_PTPLAD1.pdf")</f>
        <v>Melting_Curves/meltCurve_Q9P035_PTPLAD1.pdf</v>
      </c>
    </row>
    <row r="5407" spans="1:28" x14ac:dyDescent="0.25">
      <c r="A5407" t="s">
        <v>5411</v>
      </c>
      <c r="B5407">
        <v>0.99334974765950101</v>
      </c>
      <c r="C5407">
        <v>0.95116887470463496</v>
      </c>
      <c r="D5407">
        <v>0.93718268827325701</v>
      </c>
      <c r="E5407">
        <v>1.84852333751422</v>
      </c>
      <c r="F5407">
        <v>1.3365415439641799</v>
      </c>
      <c r="G5407">
        <v>0.60367652328816601</v>
      </c>
      <c r="H5407">
        <v>0.40247959426340002</v>
      </c>
      <c r="I5407">
        <v>0.37354958764456397</v>
      </c>
      <c r="J5407">
        <v>0.37685570579927602</v>
      </c>
      <c r="K5407">
        <v>0.39881098660758901</v>
      </c>
      <c r="L5407">
        <v>14215.338394861899</v>
      </c>
      <c r="M5407">
        <v>250</v>
      </c>
      <c r="N5407">
        <v>57.203550081235001</v>
      </c>
      <c r="O5407">
        <v>56.857714845610403</v>
      </c>
      <c r="P5407">
        <v>-0.67281552066206796</v>
      </c>
      <c r="Q5407">
        <v>0.387923952605712</v>
      </c>
      <c r="R5407">
        <v>0.61451710668895798</v>
      </c>
      <c r="S5407" t="s">
        <v>11268</v>
      </c>
      <c r="T5407" t="s">
        <v>11720</v>
      </c>
      <c r="U5407" t="s">
        <v>11720</v>
      </c>
      <c r="V5407" t="s">
        <v>11720</v>
      </c>
      <c r="W5407" t="s">
        <v>17068</v>
      </c>
      <c r="X5407">
        <v>2</v>
      </c>
      <c r="Y5407" t="s">
        <v>22766</v>
      </c>
      <c r="Z5407" t="s">
        <v>28614</v>
      </c>
      <c r="AA5407">
        <v>0.73199938724589986</v>
      </c>
      <c r="AB5407" t="str">
        <f>HYPERLINK("Melting_Curves/meltCurve_Q9P0I2_EMC3.pdf", "Melting_Curves/meltCurve_Q9P0I2_EMC3.pdf")</f>
        <v>Melting_Curves/meltCurve_Q9P0I2_EMC3.pdf</v>
      </c>
    </row>
    <row r="5408" spans="1:28" x14ac:dyDescent="0.25">
      <c r="A5408" t="s">
        <v>5412</v>
      </c>
      <c r="B5408">
        <v>0.99334974765950101</v>
      </c>
      <c r="C5408">
        <v>0.91204260073983601</v>
      </c>
      <c r="D5408">
        <v>0.95671278134966897</v>
      </c>
      <c r="E5408">
        <v>0.79116265988583401</v>
      </c>
      <c r="F5408">
        <v>0.208976706276298</v>
      </c>
      <c r="G5408">
        <v>0.15632391757023001</v>
      </c>
      <c r="H5408">
        <v>0.13520614631764999</v>
      </c>
      <c r="I5408">
        <v>0.105385311322823</v>
      </c>
      <c r="J5408">
        <v>6.7012983349037103E-2</v>
      </c>
      <c r="K5408">
        <v>3.8675302401772402E-2</v>
      </c>
      <c r="L5408">
        <v>2731.17601813897</v>
      </c>
      <c r="M5408">
        <v>53.443941499914402</v>
      </c>
      <c r="N5408">
        <v>51.314996214001297</v>
      </c>
      <c r="O5408">
        <v>51.032166046326097</v>
      </c>
      <c r="P5408">
        <v>-0.235939988941996</v>
      </c>
      <c r="Q5408">
        <v>9.8829879379995295E-2</v>
      </c>
      <c r="R5408">
        <v>0.98820017298556695</v>
      </c>
      <c r="S5408" t="s">
        <v>11269</v>
      </c>
      <c r="T5408" t="s">
        <v>11720</v>
      </c>
      <c r="U5408" t="s">
        <v>11720</v>
      </c>
      <c r="V5408" t="s">
        <v>11720</v>
      </c>
      <c r="W5408" t="s">
        <v>17069</v>
      </c>
      <c r="X5408">
        <v>7</v>
      </c>
      <c r="Y5408" t="s">
        <v>22767</v>
      </c>
      <c r="Z5408" t="s">
        <v>28615</v>
      </c>
      <c r="AA5408">
        <v>0.43414672885245059</v>
      </c>
      <c r="AB5408" t="str">
        <f>HYPERLINK("Melting_Curves/meltCurve_Q9P0J1_PDP1.pdf", "Melting_Curves/meltCurve_Q9P0J1_PDP1.pdf")</f>
        <v>Melting_Curves/meltCurve_Q9P0J1_PDP1.pdf</v>
      </c>
    </row>
    <row r="5409" spans="1:28" x14ac:dyDescent="0.25">
      <c r="A5409" t="s">
        <v>5413</v>
      </c>
      <c r="B5409">
        <v>0.99334974765950101</v>
      </c>
      <c r="C5409">
        <v>0.94251650621558403</v>
      </c>
      <c r="D5409">
        <v>0.77339658214808704</v>
      </c>
      <c r="E5409">
        <v>0.95284813381356603</v>
      </c>
      <c r="F5409">
        <v>0.81050454365382696</v>
      </c>
      <c r="G5409">
        <v>0.422116877971495</v>
      </c>
      <c r="H5409">
        <v>0.40368703626535402</v>
      </c>
      <c r="I5409">
        <v>0.53661364859890304</v>
      </c>
      <c r="J5409">
        <v>0.68739967706181104</v>
      </c>
      <c r="K5409">
        <v>0.62655007983685596</v>
      </c>
      <c r="L5409">
        <v>9268.4775699164893</v>
      </c>
      <c r="M5409">
        <v>174.50375046752399</v>
      </c>
      <c r="O5409">
        <v>53.106368103528098</v>
      </c>
      <c r="P5409">
        <v>-0.38176467069658399</v>
      </c>
      <c r="Q5409">
        <v>0.53527337112574402</v>
      </c>
      <c r="R5409">
        <v>0.71878913878185702</v>
      </c>
      <c r="S5409" t="s">
        <v>11270</v>
      </c>
      <c r="T5409" t="s">
        <v>11720</v>
      </c>
      <c r="U5409" t="s">
        <v>11720</v>
      </c>
      <c r="V5409" t="s">
        <v>11720</v>
      </c>
      <c r="W5409" t="s">
        <v>17070</v>
      </c>
      <c r="X5409">
        <v>3</v>
      </c>
      <c r="Y5409" t="s">
        <v>22768</v>
      </c>
      <c r="Z5409" t="s">
        <v>28616</v>
      </c>
      <c r="AA5409">
        <v>0.738499625005545</v>
      </c>
      <c r="AB5409" t="str">
        <f>HYPERLINK("Melting_Curves/meltCurve_Q9P0J7_KCMF1.pdf", "Melting_Curves/meltCurve_Q9P0J7_KCMF1.pdf")</f>
        <v>Melting_Curves/meltCurve_Q9P0J7_KCMF1.pdf</v>
      </c>
    </row>
    <row r="5410" spans="1:28" x14ac:dyDescent="0.25">
      <c r="A5410" t="s">
        <v>5414</v>
      </c>
      <c r="B5410">
        <v>0.99334974765950101</v>
      </c>
      <c r="C5410">
        <v>1.0759775185848299</v>
      </c>
      <c r="D5410">
        <v>0.85964489089454099</v>
      </c>
      <c r="E5410">
        <v>0.46647649097069399</v>
      </c>
      <c r="F5410">
        <v>0.27544046757871998</v>
      </c>
      <c r="G5410">
        <v>0.19633010813732099</v>
      </c>
      <c r="H5410">
        <v>0.20718414085415901</v>
      </c>
      <c r="I5410">
        <v>0.20863629879288501</v>
      </c>
      <c r="J5410">
        <v>0.212053840921684</v>
      </c>
      <c r="K5410">
        <v>0.13868960368980501</v>
      </c>
      <c r="L5410">
        <v>1399.14913246183</v>
      </c>
      <c r="M5410">
        <v>28.6531078722712</v>
      </c>
      <c r="N5410">
        <v>49.662300098732103</v>
      </c>
      <c r="O5410">
        <v>48.594642680084299</v>
      </c>
      <c r="P5410">
        <v>-0.119319554637833</v>
      </c>
      <c r="Q5410">
        <v>0.19055981213721099</v>
      </c>
      <c r="R5410">
        <v>0.98968904100036004</v>
      </c>
      <c r="S5410" t="s">
        <v>11271</v>
      </c>
      <c r="T5410" t="s">
        <v>11720</v>
      </c>
      <c r="U5410" t="s">
        <v>11720</v>
      </c>
      <c r="V5410" t="s">
        <v>11720</v>
      </c>
      <c r="W5410" t="s">
        <v>17071</v>
      </c>
      <c r="X5410">
        <v>44</v>
      </c>
      <c r="Y5410" t="s">
        <v>22769</v>
      </c>
      <c r="Z5410" t="s">
        <v>28617</v>
      </c>
      <c r="AA5410">
        <v>0.4342278697078949</v>
      </c>
      <c r="AB5410" t="str">
        <f>HYPERLINK("Melting_Curves/meltCurve_Q9P0K7_4_RAI14.pdf", "Melting_Curves/meltCurve_Q9P0K7_4_RAI14.pdf")</f>
        <v>Melting_Curves/meltCurve_Q9P0K7_4_RAI14.pdf</v>
      </c>
    </row>
    <row r="5411" spans="1:28" x14ac:dyDescent="0.25">
      <c r="A5411" t="s">
        <v>5415</v>
      </c>
      <c r="B5411">
        <v>0.99334974765950101</v>
      </c>
      <c r="C5411">
        <v>0.93768740932583305</v>
      </c>
      <c r="D5411">
        <v>0.83765765776107703</v>
      </c>
      <c r="E5411">
        <v>0.92876388251804098</v>
      </c>
      <c r="F5411">
        <v>0.91194202783757095</v>
      </c>
      <c r="G5411">
        <v>0.64271034256172799</v>
      </c>
      <c r="H5411">
        <v>0.28670114348001102</v>
      </c>
      <c r="I5411">
        <v>0.15038526572418801</v>
      </c>
      <c r="J5411">
        <v>0.13901967506704299</v>
      </c>
      <c r="K5411">
        <v>0.115903855722054</v>
      </c>
      <c r="L5411">
        <v>1386.87413761944</v>
      </c>
      <c r="M5411">
        <v>23.976288584762301</v>
      </c>
      <c r="N5411">
        <v>58.339142855284202</v>
      </c>
      <c r="O5411">
        <v>57.445690024112103</v>
      </c>
      <c r="P5411">
        <v>-9.4730978009193501E-2</v>
      </c>
      <c r="Q5411">
        <v>9.2136380032403098E-2</v>
      </c>
      <c r="R5411">
        <v>0.97385177491587904</v>
      </c>
      <c r="S5411" t="s">
        <v>11272</v>
      </c>
      <c r="T5411" t="s">
        <v>11720</v>
      </c>
      <c r="U5411" t="s">
        <v>11720</v>
      </c>
      <c r="V5411" t="s">
        <v>11720</v>
      </c>
      <c r="W5411" t="s">
        <v>17072</v>
      </c>
      <c r="X5411">
        <v>16</v>
      </c>
      <c r="Y5411" t="s">
        <v>22770</v>
      </c>
      <c r="Z5411" t="s">
        <v>28618</v>
      </c>
      <c r="AA5411">
        <v>0.64054533094799315</v>
      </c>
      <c r="AB5411" t="str">
        <f>HYPERLINK("Melting_Curves/meltCurve_Q9P0L0_VAPA.pdf", "Melting_Curves/meltCurve_Q9P0L0_VAPA.pdf")</f>
        <v>Melting_Curves/meltCurve_Q9P0L0_VAPA.pdf</v>
      </c>
    </row>
    <row r="5412" spans="1:28" x14ac:dyDescent="0.25">
      <c r="A5412" t="s">
        <v>5416</v>
      </c>
      <c r="B5412">
        <v>0.99334974765950101</v>
      </c>
      <c r="C5412">
        <v>1.00567124865679</v>
      </c>
      <c r="D5412">
        <v>0.795269392035724</v>
      </c>
      <c r="E5412">
        <v>0.77742944541070902</v>
      </c>
      <c r="F5412">
        <v>0.55280376072068405</v>
      </c>
      <c r="G5412">
        <v>0.43862804584661902</v>
      </c>
      <c r="H5412">
        <v>0.39372142466760002</v>
      </c>
      <c r="I5412">
        <v>0.53759820071964803</v>
      </c>
      <c r="J5412">
        <v>0.48069239277696502</v>
      </c>
      <c r="K5412">
        <v>0.423299963521579</v>
      </c>
      <c r="L5412">
        <v>852.63884043215796</v>
      </c>
      <c r="M5412">
        <v>17.234772417406699</v>
      </c>
      <c r="N5412">
        <v>56.401222090779797</v>
      </c>
      <c r="O5412">
        <v>48.8203806196464</v>
      </c>
      <c r="P5412">
        <v>-4.9441511024951403E-2</v>
      </c>
      <c r="Q5412">
        <v>0.43982734301203302</v>
      </c>
      <c r="R5412">
        <v>0.93333671337593005</v>
      </c>
      <c r="S5412" t="s">
        <v>11273</v>
      </c>
      <c r="T5412" t="s">
        <v>11720</v>
      </c>
      <c r="U5412" t="s">
        <v>11720</v>
      </c>
      <c r="V5412" t="s">
        <v>11720</v>
      </c>
      <c r="W5412" t="s">
        <v>17073</v>
      </c>
      <c r="X5412">
        <v>11</v>
      </c>
      <c r="Y5412" t="s">
        <v>22771</v>
      </c>
      <c r="Z5412" t="s">
        <v>28619</v>
      </c>
      <c r="AA5412">
        <v>0.62716262333784667</v>
      </c>
      <c r="AB5412" t="str">
        <f>HYPERLINK("Melting_Curves/meltCurve_Q9P0P0_RNF181.pdf", "Melting_Curves/meltCurve_Q9P0P0_RNF181.pdf")</f>
        <v>Melting_Curves/meltCurve_Q9P0P0_RNF181.pdf</v>
      </c>
    </row>
    <row r="5413" spans="1:28" x14ac:dyDescent="0.25">
      <c r="A5413" t="s">
        <v>5417</v>
      </c>
      <c r="B5413">
        <v>0.99334974765950101</v>
      </c>
      <c r="C5413">
        <v>0.99044606374339605</v>
      </c>
      <c r="D5413">
        <v>0.877918206770958</v>
      </c>
      <c r="E5413">
        <v>0.74258621452479001</v>
      </c>
      <c r="F5413">
        <v>0.61939855292454105</v>
      </c>
      <c r="G5413">
        <v>0.391787118941055</v>
      </c>
      <c r="H5413">
        <v>0.24248594906993501</v>
      </c>
      <c r="I5413">
        <v>0.220817564216261</v>
      </c>
      <c r="J5413">
        <v>0.18463345236383399</v>
      </c>
      <c r="K5413">
        <v>0.16058930561988599</v>
      </c>
      <c r="L5413">
        <v>694.22048952545299</v>
      </c>
      <c r="M5413">
        <v>12.9479032181232</v>
      </c>
      <c r="N5413">
        <v>54.736419092059201</v>
      </c>
      <c r="O5413">
        <v>52.385829756256101</v>
      </c>
      <c r="P5413">
        <v>-5.4610199278675199E-2</v>
      </c>
      <c r="Q5413">
        <v>0.116370502678436</v>
      </c>
      <c r="R5413">
        <v>0.99701056445240799</v>
      </c>
      <c r="S5413" t="s">
        <v>11274</v>
      </c>
      <c r="T5413" t="s">
        <v>11720</v>
      </c>
      <c r="U5413" t="s">
        <v>11720</v>
      </c>
      <c r="V5413" t="s">
        <v>11720</v>
      </c>
      <c r="W5413" t="s">
        <v>17074</v>
      </c>
      <c r="X5413">
        <v>5</v>
      </c>
      <c r="Y5413" t="s">
        <v>22772</v>
      </c>
      <c r="Z5413" t="s">
        <v>28620</v>
      </c>
      <c r="AA5413">
        <v>0.53950014324420159</v>
      </c>
      <c r="AB5413" t="str">
        <f>HYPERLINK("Melting_Curves/meltCurve_Q9P0R6_GSKIP.pdf", "Melting_Curves/meltCurve_Q9P0R6_GSKIP.pdf")</f>
        <v>Melting_Curves/meltCurve_Q9P0R6_GSKIP.pdf</v>
      </c>
    </row>
    <row r="5414" spans="1:28" x14ac:dyDescent="0.25">
      <c r="A5414" t="s">
        <v>5418</v>
      </c>
      <c r="B5414">
        <v>0.99334974765950101</v>
      </c>
      <c r="C5414">
        <v>1.07966585427297</v>
      </c>
      <c r="D5414">
        <v>0.80153334188988801</v>
      </c>
      <c r="E5414">
        <v>0.86361733455396705</v>
      </c>
      <c r="F5414">
        <v>0.55160604483501396</v>
      </c>
      <c r="G5414">
        <v>0.57574012956783205</v>
      </c>
      <c r="H5414">
        <v>0.411678599545719</v>
      </c>
      <c r="I5414">
        <v>0.49558836602052497</v>
      </c>
      <c r="J5414">
        <v>0.37409332686583502</v>
      </c>
      <c r="K5414">
        <v>0.35110676775722999</v>
      </c>
      <c r="L5414">
        <v>686.36664033542104</v>
      </c>
      <c r="M5414">
        <v>13.1549674234597</v>
      </c>
      <c r="N5414">
        <v>57.906923022274498</v>
      </c>
      <c r="O5414">
        <v>51.013964803032103</v>
      </c>
      <c r="P5414">
        <v>-4.1007488084023699E-2</v>
      </c>
      <c r="Q5414">
        <v>0.36401159179533399</v>
      </c>
      <c r="R5414">
        <v>0.91322588141823702</v>
      </c>
      <c r="S5414" t="s">
        <v>11275</v>
      </c>
      <c r="T5414" t="s">
        <v>11720</v>
      </c>
      <c r="U5414" t="s">
        <v>11720</v>
      </c>
      <c r="V5414" t="s">
        <v>11720</v>
      </c>
      <c r="W5414" t="s">
        <v>17075</v>
      </c>
      <c r="X5414">
        <v>5</v>
      </c>
      <c r="Y5414" t="s">
        <v>22773</v>
      </c>
      <c r="Z5414" t="s">
        <v>28621</v>
      </c>
      <c r="AA5414">
        <v>0.63918168624372884</v>
      </c>
      <c r="AB5414" t="str">
        <f>HYPERLINK("Melting_Curves/meltCurve_Q9P0S2_COX16.pdf", "Melting_Curves/meltCurve_Q9P0S2_COX16.pdf")</f>
        <v>Melting_Curves/meltCurve_Q9P0S2_COX16.pdf</v>
      </c>
    </row>
    <row r="5415" spans="1:28" x14ac:dyDescent="0.25">
      <c r="A5415" t="s">
        <v>5419</v>
      </c>
      <c r="B5415">
        <v>0.99334974765950101</v>
      </c>
      <c r="C5415">
        <v>1.00920868041334</v>
      </c>
      <c r="D5415">
        <v>0.794875743532243</v>
      </c>
      <c r="E5415">
        <v>0.43007819885085702</v>
      </c>
      <c r="F5415">
        <v>0.26992558692135599</v>
      </c>
      <c r="G5415">
        <v>0.14960777564053901</v>
      </c>
      <c r="H5415">
        <v>0.14631270985970601</v>
      </c>
      <c r="I5415">
        <v>9.4110241578881301E-2</v>
      </c>
      <c r="J5415">
        <v>9.8144619566105998E-2</v>
      </c>
      <c r="K5415">
        <v>8.6447754714927494E-2</v>
      </c>
      <c r="L5415">
        <v>1030.0585331540999</v>
      </c>
      <c r="M5415">
        <v>21.083516992045698</v>
      </c>
      <c r="N5415">
        <v>49.398678988545903</v>
      </c>
      <c r="O5415">
        <v>48.4229562911299</v>
      </c>
      <c r="P5415">
        <v>-9.7602916594350705E-2</v>
      </c>
      <c r="Q5415">
        <v>0.103357098712514</v>
      </c>
      <c r="R5415">
        <v>0.995809696783997</v>
      </c>
      <c r="S5415" t="s">
        <v>11276</v>
      </c>
      <c r="T5415" t="s">
        <v>11720</v>
      </c>
      <c r="U5415" t="s">
        <v>11720</v>
      </c>
      <c r="V5415" t="s">
        <v>11720</v>
      </c>
      <c r="W5415" t="s">
        <v>17076</v>
      </c>
      <c r="X5415">
        <v>4</v>
      </c>
      <c r="Y5415" t="s">
        <v>22774</v>
      </c>
      <c r="Z5415" t="s">
        <v>28622</v>
      </c>
      <c r="AA5415">
        <v>0.37933692018078119</v>
      </c>
      <c r="AB5415" t="str">
        <f>HYPERLINK("Melting_Curves/meltCurve_Q9P0V3_SH3BP4.pdf", "Melting_Curves/meltCurve_Q9P0V3_SH3BP4.pdf")</f>
        <v>Melting_Curves/meltCurve_Q9P0V3_SH3BP4.pdf</v>
      </c>
    </row>
    <row r="5416" spans="1:28" x14ac:dyDescent="0.25">
      <c r="A5416" t="s">
        <v>5420</v>
      </c>
      <c r="B5416">
        <v>0.99334974765950101</v>
      </c>
      <c r="C5416">
        <v>0.912902888844491</v>
      </c>
      <c r="D5416">
        <v>0.78229177830501795</v>
      </c>
      <c r="E5416">
        <v>0.65318717895407097</v>
      </c>
      <c r="F5416">
        <v>0.44173832535861102</v>
      </c>
      <c r="G5416">
        <v>0.30483560311169899</v>
      </c>
      <c r="H5416">
        <v>0.25753244738101799</v>
      </c>
      <c r="I5416">
        <v>0.16863344026788199</v>
      </c>
      <c r="J5416">
        <v>0.293133605886986</v>
      </c>
      <c r="K5416">
        <v>0.17178347672626701</v>
      </c>
      <c r="L5416">
        <v>663.48613164421204</v>
      </c>
      <c r="M5416">
        <v>13.1895254803703</v>
      </c>
      <c r="N5416">
        <v>52.044004554876501</v>
      </c>
      <c r="O5416">
        <v>49.1898373127894</v>
      </c>
      <c r="P5416">
        <v>-5.5091439863381601E-2</v>
      </c>
      <c r="Q5416">
        <v>0.178291742842075</v>
      </c>
      <c r="R5416">
        <v>0.982423684994567</v>
      </c>
      <c r="S5416" t="s">
        <v>11277</v>
      </c>
      <c r="T5416" t="s">
        <v>11720</v>
      </c>
      <c r="U5416" t="s">
        <v>11720</v>
      </c>
      <c r="V5416" t="s">
        <v>11720</v>
      </c>
      <c r="W5416" t="s">
        <v>17077</v>
      </c>
      <c r="X5416">
        <v>3</v>
      </c>
      <c r="Y5416" t="s">
        <v>22775</v>
      </c>
      <c r="Z5416" t="s">
        <v>28623</v>
      </c>
      <c r="AA5416">
        <v>0.484604451755345</v>
      </c>
      <c r="AB5416" t="str">
        <f>HYPERLINK("Melting_Curves/meltCurve_Q9P1F3_ABRACL.pdf", "Melting_Curves/meltCurve_Q9P1F3_ABRACL.pdf")</f>
        <v>Melting_Curves/meltCurve_Q9P1F3_ABRACL.pdf</v>
      </c>
    </row>
    <row r="5417" spans="1:28" x14ac:dyDescent="0.25">
      <c r="A5417" t="s">
        <v>5421</v>
      </c>
      <c r="B5417">
        <v>0.99334974765950101</v>
      </c>
      <c r="C5417">
        <v>1.1299534183551501</v>
      </c>
      <c r="D5417">
        <v>1.1311067800750301</v>
      </c>
      <c r="E5417">
        <v>1.37451243585455</v>
      </c>
      <c r="F5417">
        <v>1.8532561208540801</v>
      </c>
      <c r="G5417">
        <v>1.38362005902959</v>
      </c>
      <c r="H5417">
        <v>1.44729967524728</v>
      </c>
      <c r="I5417">
        <v>1.918242683031</v>
      </c>
      <c r="J5417">
        <v>2.65224494057238</v>
      </c>
      <c r="K5417">
        <v>2.3697754882627899</v>
      </c>
      <c r="L5417">
        <v>1758.23211785117</v>
      </c>
      <c r="M5417">
        <v>37.265057838066298</v>
      </c>
      <c r="O5417">
        <v>47.0465380135077</v>
      </c>
      <c r="P5417">
        <v>9.9011436984414503E-2</v>
      </c>
      <c r="Q5417">
        <v>1.5</v>
      </c>
      <c r="R5417">
        <v>0.130368884504868</v>
      </c>
      <c r="S5417" t="s">
        <v>11278</v>
      </c>
      <c r="T5417" t="s">
        <v>11720</v>
      </c>
      <c r="U5417" t="s">
        <v>11720</v>
      </c>
      <c r="V5417" t="s">
        <v>11720</v>
      </c>
      <c r="W5417" t="s">
        <v>17078</v>
      </c>
      <c r="X5417">
        <v>1</v>
      </c>
      <c r="Y5417" t="s">
        <v>22776</v>
      </c>
      <c r="Z5417" t="s">
        <v>28624</v>
      </c>
      <c r="AA5417">
        <v>1.3784038404095409</v>
      </c>
      <c r="AB5417" t="str">
        <f>HYPERLINK("Melting_Curves/meltCurve_Q9P1U0_ZNRD1.pdf", "Melting_Curves/meltCurve_Q9P1U0_ZNRD1.pdf")</f>
        <v>Melting_Curves/meltCurve_Q9P1U0_ZNRD1.pdf</v>
      </c>
    </row>
    <row r="5418" spans="1:28" x14ac:dyDescent="0.25">
      <c r="A5418" t="s">
        <v>5422</v>
      </c>
      <c r="B5418">
        <v>0.99334974765950101</v>
      </c>
      <c r="C5418">
        <v>1.0172851793226001</v>
      </c>
      <c r="D5418">
        <v>0.89932587220377502</v>
      </c>
      <c r="E5418">
        <v>0.641412678826633</v>
      </c>
      <c r="F5418">
        <v>0.24474290074156799</v>
      </c>
      <c r="G5418">
        <v>0.14559470895989601</v>
      </c>
      <c r="H5418">
        <v>0.113196834858111</v>
      </c>
      <c r="I5418">
        <v>0.111445709708008</v>
      </c>
      <c r="J5418">
        <v>0.121779328075918</v>
      </c>
      <c r="K5418">
        <v>0.117949551028593</v>
      </c>
      <c r="L5418">
        <v>1566.32294079753</v>
      </c>
      <c r="M5418">
        <v>31.063711593866699</v>
      </c>
      <c r="N5418">
        <v>50.842586025497297</v>
      </c>
      <c r="O5418">
        <v>50.215334106758</v>
      </c>
      <c r="P5418">
        <v>-0.13716407719974</v>
      </c>
      <c r="Q5418">
        <v>0.11308722293357699</v>
      </c>
      <c r="R5418">
        <v>0.99609930479340103</v>
      </c>
      <c r="S5418" t="s">
        <v>11279</v>
      </c>
      <c r="T5418" t="s">
        <v>11720</v>
      </c>
      <c r="U5418" t="s">
        <v>11720</v>
      </c>
      <c r="V5418" t="s">
        <v>11720</v>
      </c>
      <c r="W5418" t="s">
        <v>17079</v>
      </c>
      <c r="X5418">
        <v>24</v>
      </c>
      <c r="Y5418" t="s">
        <v>22777</v>
      </c>
      <c r="Z5418" t="s">
        <v>28625</v>
      </c>
      <c r="AA5418">
        <v>0.42637695138761039</v>
      </c>
      <c r="AB5418" t="str">
        <f>HYPERLINK("Melting_Curves/meltCurve_Q9P1Z2_2_CALCOCO1.pdf", "Melting_Curves/meltCurve_Q9P1Z2_2_CALCOCO1.pdf")</f>
        <v>Melting_Curves/meltCurve_Q9P1Z2_2_CALCOCO1.pdf</v>
      </c>
    </row>
    <row r="5419" spans="1:28" x14ac:dyDescent="0.25">
      <c r="A5419" t="s">
        <v>5423</v>
      </c>
      <c r="B5419">
        <v>0.99334974765950101</v>
      </c>
      <c r="C5419">
        <v>1.0216771002730201</v>
      </c>
      <c r="D5419">
        <v>0.89059442759539398</v>
      </c>
      <c r="E5419">
        <v>0.785633800267031</v>
      </c>
      <c r="F5419">
        <v>0.286335562662344</v>
      </c>
      <c r="G5419">
        <v>0.16863536258433501</v>
      </c>
      <c r="H5419">
        <v>0.116223362094663</v>
      </c>
      <c r="I5419">
        <v>0.125981743016154</v>
      </c>
      <c r="J5419">
        <v>0.308677153836519</v>
      </c>
      <c r="K5419">
        <v>0.18395925624304499</v>
      </c>
      <c r="L5419">
        <v>2526.24632010509</v>
      </c>
      <c r="M5419">
        <v>49.518690438956497</v>
      </c>
      <c r="N5419">
        <v>51.477480718326099</v>
      </c>
      <c r="O5419">
        <v>50.933015902883703</v>
      </c>
      <c r="P5419">
        <v>-0.199491372870539</v>
      </c>
      <c r="Q5419">
        <v>0.179244089699615</v>
      </c>
      <c r="R5419">
        <v>0.97319277186840203</v>
      </c>
      <c r="S5419" t="s">
        <v>11280</v>
      </c>
      <c r="T5419" t="s">
        <v>11720</v>
      </c>
      <c r="U5419" t="s">
        <v>11720</v>
      </c>
      <c r="V5419" t="s">
        <v>11720</v>
      </c>
      <c r="W5419" t="s">
        <v>17080</v>
      </c>
      <c r="X5419">
        <v>3</v>
      </c>
      <c r="Y5419" t="s">
        <v>22778</v>
      </c>
      <c r="Z5419" t="s">
        <v>28626</v>
      </c>
      <c r="AA5419">
        <v>0.48250930963410937</v>
      </c>
      <c r="AB5419" t="str">
        <f>HYPERLINK("Melting_Curves/meltCurve_Q9P253_VPS18.pdf", "Melting_Curves/meltCurve_Q9P253_VPS18.pdf")</f>
        <v>Melting_Curves/meltCurve_Q9P253_VPS18.pdf</v>
      </c>
    </row>
    <row r="5420" spans="1:28" x14ac:dyDescent="0.25">
      <c r="A5420" t="s">
        <v>5424</v>
      </c>
      <c r="B5420">
        <v>0.99334974765950101</v>
      </c>
      <c r="C5420">
        <v>1.0571978767677499</v>
      </c>
      <c r="D5420">
        <v>0.92577418383945198</v>
      </c>
      <c r="E5420">
        <v>0.739972886714101</v>
      </c>
      <c r="F5420">
        <v>0.42677005014043201</v>
      </c>
      <c r="G5420">
        <v>0.28149355058216702</v>
      </c>
      <c r="H5420">
        <v>0.22763218402638699</v>
      </c>
      <c r="I5420">
        <v>0.20529296368712099</v>
      </c>
      <c r="J5420">
        <v>0.185503914502263</v>
      </c>
      <c r="K5420">
        <v>0.12624455766704801</v>
      </c>
      <c r="L5420">
        <v>1167.6250218733001</v>
      </c>
      <c r="M5420">
        <v>22.695177215519401</v>
      </c>
      <c r="N5420">
        <v>52.464815668520401</v>
      </c>
      <c r="O5420">
        <v>51.053721346912702</v>
      </c>
      <c r="P5420">
        <v>-9.1363479049564905E-2</v>
      </c>
      <c r="Q5420">
        <v>0.17791301336604801</v>
      </c>
      <c r="R5420">
        <v>0.99142902339885197</v>
      </c>
      <c r="S5420" t="s">
        <v>11281</v>
      </c>
      <c r="T5420" t="s">
        <v>11720</v>
      </c>
      <c r="U5420" t="s">
        <v>11720</v>
      </c>
      <c r="V5420" t="s">
        <v>11720</v>
      </c>
      <c r="W5420" t="s">
        <v>17081</v>
      </c>
      <c r="X5420">
        <v>7</v>
      </c>
      <c r="Y5420" t="s">
        <v>22779</v>
      </c>
      <c r="Z5420" t="s">
        <v>28627</v>
      </c>
      <c r="AA5420">
        <v>0.5006195087034554</v>
      </c>
      <c r="AB5420" t="str">
        <f>HYPERLINK("Melting_Curves/meltCurve_Q9P258_RCC2.pdf", "Melting_Curves/meltCurve_Q9P258_RCC2.pdf")</f>
        <v>Melting_Curves/meltCurve_Q9P258_RCC2.pdf</v>
      </c>
    </row>
    <row r="5421" spans="1:28" x14ac:dyDescent="0.25">
      <c r="A5421" t="s">
        <v>5425</v>
      </c>
      <c r="B5421">
        <v>0.99334974765950101</v>
      </c>
      <c r="C5421">
        <v>0.93359817152285296</v>
      </c>
      <c r="D5421">
        <v>1.06022162384633</v>
      </c>
      <c r="E5421">
        <v>1.28962190574393</v>
      </c>
      <c r="F5421">
        <v>0.346706021326319</v>
      </c>
      <c r="G5421">
        <v>0.222331086252329</v>
      </c>
      <c r="H5421">
        <v>0.16208146012039701</v>
      </c>
      <c r="I5421">
        <v>6.8003590040161793E-2</v>
      </c>
      <c r="J5421">
        <v>7.3598658273814094E-2</v>
      </c>
      <c r="K5421">
        <v>4.6942597238915501E-2</v>
      </c>
      <c r="L5421">
        <v>13195.1562873885</v>
      </c>
      <c r="M5421">
        <v>250</v>
      </c>
      <c r="N5421">
        <v>52.835638948906499</v>
      </c>
      <c r="O5421">
        <v>52.777235743275497</v>
      </c>
      <c r="P5421">
        <v>-1.0485208204868099</v>
      </c>
      <c r="Q5421">
        <v>0.11459131405277199</v>
      </c>
      <c r="R5421">
        <v>0.94694309671938204</v>
      </c>
      <c r="S5421" t="s">
        <v>11282</v>
      </c>
      <c r="T5421" t="s">
        <v>11720</v>
      </c>
      <c r="U5421" t="s">
        <v>11720</v>
      </c>
      <c r="V5421" t="s">
        <v>11720</v>
      </c>
      <c r="W5421" t="s">
        <v>17082</v>
      </c>
      <c r="X5421">
        <v>6</v>
      </c>
      <c r="Y5421" t="s">
        <v>22780</v>
      </c>
      <c r="Z5421" t="s">
        <v>28628</v>
      </c>
      <c r="AA5421">
        <v>0.49187587937118959</v>
      </c>
      <c r="AB5421" t="str">
        <f>HYPERLINK("Melting_Curves/meltCurve_Q9P260_2_KIAA1468.pdf", "Melting_Curves/meltCurve_Q9P260_2_KIAA1468.pdf")</f>
        <v>Melting_Curves/meltCurve_Q9P260_2_KIAA1468.pdf</v>
      </c>
    </row>
    <row r="5422" spans="1:28" x14ac:dyDescent="0.25">
      <c r="A5422" t="s">
        <v>5426</v>
      </c>
      <c r="B5422">
        <v>0.99334974765950101</v>
      </c>
      <c r="C5422">
        <v>0.92195773243187595</v>
      </c>
      <c r="D5422">
        <v>1.04145059765823</v>
      </c>
      <c r="E5422">
        <v>0.96155162558934204</v>
      </c>
      <c r="F5422">
        <v>0.91535235844335605</v>
      </c>
      <c r="G5422">
        <v>0.53071219642334599</v>
      </c>
      <c r="H5422">
        <v>0.34696211860828702</v>
      </c>
      <c r="I5422">
        <v>0.32126427345019398</v>
      </c>
      <c r="J5422">
        <v>0.30073628245927703</v>
      </c>
      <c r="K5422">
        <v>0.27202876612556898</v>
      </c>
      <c r="L5422">
        <v>1859.50821084465</v>
      </c>
      <c r="M5422">
        <v>33.258732362766999</v>
      </c>
      <c r="N5422">
        <v>57.451676188857498</v>
      </c>
      <c r="O5422">
        <v>55.709404361076103</v>
      </c>
      <c r="P5422">
        <v>-0.105202271269122</v>
      </c>
      <c r="Q5422">
        <v>0.295134828072739</v>
      </c>
      <c r="R5422">
        <v>0.990209982344746</v>
      </c>
      <c r="S5422" t="s">
        <v>11283</v>
      </c>
      <c r="T5422" t="s">
        <v>11720</v>
      </c>
      <c r="U5422" t="s">
        <v>11720</v>
      </c>
      <c r="V5422" t="s">
        <v>11720</v>
      </c>
      <c r="W5422" t="s">
        <v>17083</v>
      </c>
      <c r="X5422">
        <v>17</v>
      </c>
      <c r="Y5422" t="s">
        <v>22781</v>
      </c>
      <c r="Z5422" t="s">
        <v>28629</v>
      </c>
      <c r="AA5422">
        <v>0.67283130785697243</v>
      </c>
      <c r="AB5422" t="str">
        <f>HYPERLINK("Melting_Curves/meltCurve_Q9P265_DIP2B.pdf", "Melting_Curves/meltCurve_Q9P265_DIP2B.pdf")</f>
        <v>Melting_Curves/meltCurve_Q9P265_DIP2B.pdf</v>
      </c>
    </row>
    <row r="5423" spans="1:28" x14ac:dyDescent="0.25">
      <c r="A5423" t="s">
        <v>5427</v>
      </c>
      <c r="B5423">
        <v>0.99334974765950101</v>
      </c>
      <c r="C5423">
        <v>1.0157232726808201</v>
      </c>
      <c r="D5423">
        <v>0.87811685648054205</v>
      </c>
      <c r="E5423">
        <v>0.75477260615672304</v>
      </c>
      <c r="F5423">
        <v>0.53978957233556302</v>
      </c>
      <c r="G5423">
        <v>0.462653338365144</v>
      </c>
      <c r="H5423">
        <v>0.40053467512153901</v>
      </c>
      <c r="I5423">
        <v>0.44912622591183898</v>
      </c>
      <c r="J5423">
        <v>0.51806126406749597</v>
      </c>
      <c r="K5423">
        <v>0.59329004586831402</v>
      </c>
      <c r="L5423">
        <v>1247.0116285377101</v>
      </c>
      <c r="M5423">
        <v>25.167139001723601</v>
      </c>
      <c r="N5423">
        <v>56.747017795993202</v>
      </c>
      <c r="O5423">
        <v>49.239538768754798</v>
      </c>
      <c r="P5423">
        <v>-6.6515070091554496E-2</v>
      </c>
      <c r="Q5423">
        <v>0.47945955218325698</v>
      </c>
      <c r="R5423">
        <v>0.93790133147022603</v>
      </c>
      <c r="S5423" t="s">
        <v>11284</v>
      </c>
      <c r="T5423" t="s">
        <v>11720</v>
      </c>
      <c r="U5423" t="s">
        <v>11720</v>
      </c>
      <c r="V5423" t="s">
        <v>11720</v>
      </c>
      <c r="W5423" t="s">
        <v>17084</v>
      </c>
      <c r="X5423">
        <v>23</v>
      </c>
      <c r="Y5423" t="s">
        <v>22782</v>
      </c>
      <c r="Z5423" t="s">
        <v>28630</v>
      </c>
      <c r="AA5423">
        <v>0.64972118216955266</v>
      </c>
      <c r="AB5423" t="str">
        <f>HYPERLINK("Melting_Curves/meltCurve_Q9P266_KIAA1462.pdf", "Melting_Curves/meltCurve_Q9P266_KIAA1462.pdf")</f>
        <v>Melting_Curves/meltCurve_Q9P266_KIAA1462.pdf</v>
      </c>
    </row>
    <row r="5424" spans="1:28" x14ac:dyDescent="0.25">
      <c r="A5424" t="s">
        <v>5428</v>
      </c>
      <c r="B5424">
        <v>0.99334974765950101</v>
      </c>
      <c r="C5424">
        <v>0.93894797822396703</v>
      </c>
      <c r="D5424">
        <v>0.85420599784858098</v>
      </c>
      <c r="E5424">
        <v>0.76261084613763497</v>
      </c>
      <c r="F5424">
        <v>0.89880440499080805</v>
      </c>
      <c r="G5424">
        <v>0.60342442127146001</v>
      </c>
      <c r="H5424">
        <v>0.50899072199802098</v>
      </c>
      <c r="I5424">
        <v>0.59895905774911096</v>
      </c>
      <c r="J5424">
        <v>0.76735928059333103</v>
      </c>
      <c r="K5424">
        <v>0.855062475227928</v>
      </c>
      <c r="L5424">
        <v>703.55007918465901</v>
      </c>
      <c r="M5424">
        <v>14.825600374879199</v>
      </c>
      <c r="O5424">
        <v>46.616794950197701</v>
      </c>
      <c r="P5424">
        <v>-2.5318630943582301E-2</v>
      </c>
      <c r="Q5424">
        <v>0.68159176908318797</v>
      </c>
      <c r="R5424">
        <v>0.50618961870132495</v>
      </c>
      <c r="S5424" t="s">
        <v>11285</v>
      </c>
      <c r="T5424" t="s">
        <v>11720</v>
      </c>
      <c r="U5424" t="s">
        <v>11720</v>
      </c>
      <c r="V5424" t="s">
        <v>11720</v>
      </c>
      <c r="W5424" t="s">
        <v>17085</v>
      </c>
      <c r="X5424">
        <v>12</v>
      </c>
      <c r="Y5424" t="s">
        <v>22783</v>
      </c>
      <c r="Z5424" t="s">
        <v>28631</v>
      </c>
      <c r="AA5424">
        <v>0.76934230781920665</v>
      </c>
      <c r="AB5424" t="str">
        <f>HYPERLINK("Melting_Curves/meltCurve_Q9P270_SLAIN2.pdf", "Melting_Curves/meltCurve_Q9P270_SLAIN2.pdf")</f>
        <v>Melting_Curves/meltCurve_Q9P270_SLAIN2.pdf</v>
      </c>
    </row>
    <row r="5425" spans="1:28" x14ac:dyDescent="0.25">
      <c r="A5425" t="s">
        <v>5429</v>
      </c>
      <c r="B5425">
        <v>0.99334974765950101</v>
      </c>
      <c r="C5425">
        <v>1.01170156774259</v>
      </c>
      <c r="D5425">
        <v>0.92122838971683796</v>
      </c>
      <c r="E5425">
        <v>0.67935568568189997</v>
      </c>
      <c r="F5425">
        <v>0.32861824321147698</v>
      </c>
      <c r="G5425">
        <v>0.16385721203199299</v>
      </c>
      <c r="H5425">
        <v>0.115689907366493</v>
      </c>
      <c r="I5425">
        <v>8.3275678496935804E-2</v>
      </c>
      <c r="J5425">
        <v>7.1407982160086203E-2</v>
      </c>
      <c r="K5425">
        <v>4.3134162593856301E-2</v>
      </c>
      <c r="L5425">
        <v>1214.1223514056001</v>
      </c>
      <c r="M5425">
        <v>23.733637409206398</v>
      </c>
      <c r="N5425">
        <v>51.489827500021804</v>
      </c>
      <c r="O5425">
        <v>50.797142770436302</v>
      </c>
      <c r="P5425">
        <v>-0.108482359363908</v>
      </c>
      <c r="Q5425">
        <v>7.1275210219619994E-2</v>
      </c>
      <c r="R5425">
        <v>0.99761437299829703</v>
      </c>
      <c r="S5425" t="s">
        <v>11286</v>
      </c>
      <c r="T5425" t="s">
        <v>11720</v>
      </c>
      <c r="U5425" t="s">
        <v>11720</v>
      </c>
      <c r="V5425" t="s">
        <v>11720</v>
      </c>
      <c r="W5425" t="s">
        <v>17086</v>
      </c>
      <c r="X5425">
        <v>8</v>
      </c>
      <c r="Y5425" t="s">
        <v>22784</v>
      </c>
      <c r="Z5425" t="s">
        <v>28632</v>
      </c>
      <c r="AA5425">
        <v>0.42594476630253653</v>
      </c>
      <c r="AB5425" t="str">
        <f>HYPERLINK("Melting_Curves/meltCurve_Q9P287_BCCIP.pdf", "Melting_Curves/meltCurve_Q9P287_BCCIP.pdf")</f>
        <v>Melting_Curves/meltCurve_Q9P287_BCCIP.pdf</v>
      </c>
    </row>
    <row r="5426" spans="1:28" x14ac:dyDescent="0.25">
      <c r="A5426" t="s">
        <v>5430</v>
      </c>
      <c r="B5426">
        <v>0.99334974765950101</v>
      </c>
      <c r="C5426">
        <v>0.88671471928550005</v>
      </c>
      <c r="D5426">
        <v>0.84384266383790396</v>
      </c>
      <c r="E5426">
        <v>0.63082953328692504</v>
      </c>
      <c r="F5426">
        <v>0.35331752587835002</v>
      </c>
      <c r="G5426">
        <v>0.17280068897085701</v>
      </c>
      <c r="H5426">
        <v>9.8082836339847101E-2</v>
      </c>
      <c r="I5426">
        <v>8.1886149532471905E-2</v>
      </c>
      <c r="J5426">
        <v>6.6666244004261299E-2</v>
      </c>
      <c r="K5426">
        <v>7.3942007856377195E-2</v>
      </c>
      <c r="L5426">
        <v>806.29022061797002</v>
      </c>
      <c r="M5426">
        <v>15.853899506915701</v>
      </c>
      <c r="N5426">
        <v>51.153578918249799</v>
      </c>
      <c r="O5426">
        <v>50.0690028966455</v>
      </c>
      <c r="P5426">
        <v>-7.5696445913682103E-2</v>
      </c>
      <c r="Q5426">
        <v>4.3834628508738198E-2</v>
      </c>
      <c r="R5426">
        <v>0.99426832929188402</v>
      </c>
      <c r="S5426" t="s">
        <v>11287</v>
      </c>
      <c r="T5426" t="s">
        <v>11720</v>
      </c>
      <c r="U5426" t="s">
        <v>11720</v>
      </c>
      <c r="V5426" t="s">
        <v>11720</v>
      </c>
      <c r="W5426" t="s">
        <v>17087</v>
      </c>
      <c r="X5426">
        <v>6</v>
      </c>
      <c r="Y5426" t="s">
        <v>22784</v>
      </c>
      <c r="Z5426" t="s">
        <v>28633</v>
      </c>
      <c r="AA5426">
        <v>0.4100911407819034</v>
      </c>
      <c r="AB5426" t="str">
        <f>HYPERLINK("Melting_Curves/meltCurve_Q9P287_2_BCCIP.pdf", "Melting_Curves/meltCurve_Q9P287_2_BCCIP.pdf")</f>
        <v>Melting_Curves/meltCurve_Q9P287_2_BCCIP.pdf</v>
      </c>
    </row>
    <row r="5427" spans="1:28" x14ac:dyDescent="0.25">
      <c r="A5427" t="s">
        <v>5431</v>
      </c>
      <c r="B5427">
        <v>0.99334974765950101</v>
      </c>
      <c r="C5427">
        <v>0.89300716377113898</v>
      </c>
      <c r="D5427">
        <v>0.85764627297220797</v>
      </c>
      <c r="E5427">
        <v>0.73444139834433597</v>
      </c>
      <c r="F5427">
        <v>0.58524258729087397</v>
      </c>
      <c r="G5427">
        <v>0.25694423966888902</v>
      </c>
      <c r="H5427">
        <v>0.112187731889171</v>
      </c>
      <c r="I5427">
        <v>8.5419613856400997E-2</v>
      </c>
      <c r="J5427">
        <v>7.4301689612357197E-2</v>
      </c>
      <c r="K5427">
        <v>5.7454637194325399E-2</v>
      </c>
      <c r="L5427">
        <v>736.63935176524501</v>
      </c>
      <c r="M5427">
        <v>13.796268528115601</v>
      </c>
      <c r="N5427">
        <v>53.3941035946347</v>
      </c>
      <c r="O5427">
        <v>52.309788081219402</v>
      </c>
      <c r="P5427">
        <v>-6.5944647597678097E-2</v>
      </c>
      <c r="Q5427">
        <v>0</v>
      </c>
      <c r="R5427">
        <v>0.98875144260985903</v>
      </c>
      <c r="S5427" t="s">
        <v>11288</v>
      </c>
      <c r="T5427" t="s">
        <v>11720</v>
      </c>
      <c r="U5427" t="s">
        <v>11720</v>
      </c>
      <c r="V5427" t="s">
        <v>11720</v>
      </c>
      <c r="W5427" t="s">
        <v>17088</v>
      </c>
      <c r="X5427">
        <v>10</v>
      </c>
      <c r="Y5427" t="s">
        <v>22785</v>
      </c>
      <c r="Z5427" t="s">
        <v>28634</v>
      </c>
      <c r="AA5427">
        <v>0.47000790622987781</v>
      </c>
      <c r="AB5427" t="str">
        <f>HYPERLINK("Melting_Curves/meltCurve_Q9P299_COPZ2.pdf", "Melting_Curves/meltCurve_Q9P299_COPZ2.pdf")</f>
        <v>Melting_Curves/meltCurve_Q9P299_COPZ2.pdf</v>
      </c>
    </row>
    <row r="5428" spans="1:28" x14ac:dyDescent="0.25">
      <c r="A5428" t="s">
        <v>5432</v>
      </c>
      <c r="B5428">
        <v>0.99334974765950101</v>
      </c>
      <c r="C5428">
        <v>0.99617558088116598</v>
      </c>
      <c r="D5428">
        <v>0.88348660501661302</v>
      </c>
      <c r="E5428">
        <v>0.86726686655205898</v>
      </c>
      <c r="F5428">
        <v>0.53132434838874998</v>
      </c>
      <c r="G5428">
        <v>0.40685290755505099</v>
      </c>
      <c r="H5428">
        <v>0.28405128706446298</v>
      </c>
      <c r="I5428">
        <v>0.32908971931706699</v>
      </c>
      <c r="J5428">
        <v>0.30286603831487302</v>
      </c>
      <c r="K5428">
        <v>0.32011811224370101</v>
      </c>
      <c r="L5428">
        <v>1350.2616168058701</v>
      </c>
      <c r="M5428">
        <v>25.977838640494301</v>
      </c>
      <c r="N5428">
        <v>53.967006967069203</v>
      </c>
      <c r="O5428">
        <v>51.672345150143499</v>
      </c>
      <c r="P5428">
        <v>-8.6960929839384596E-2</v>
      </c>
      <c r="Q5428">
        <v>0.30811406550569798</v>
      </c>
      <c r="R5428">
        <v>0.98123759785797504</v>
      </c>
      <c r="S5428" t="s">
        <v>11289</v>
      </c>
      <c r="T5428" t="s">
        <v>11720</v>
      </c>
      <c r="U5428" t="s">
        <v>11720</v>
      </c>
      <c r="V5428" t="s">
        <v>11720</v>
      </c>
      <c r="W5428" t="s">
        <v>17089</v>
      </c>
      <c r="X5428">
        <v>17</v>
      </c>
      <c r="Y5428" t="s">
        <v>22786</v>
      </c>
      <c r="Z5428" t="s">
        <v>28635</v>
      </c>
      <c r="AA5428">
        <v>0.59021148965050929</v>
      </c>
      <c r="AB5428" t="str">
        <f>HYPERLINK("Melting_Curves/meltCurve_Q9P2B4_CTTNBP2NL.pdf", "Melting_Curves/meltCurve_Q9P2B4_CTTNBP2NL.pdf")</f>
        <v>Melting_Curves/meltCurve_Q9P2B4_CTTNBP2NL.pdf</v>
      </c>
    </row>
    <row r="5429" spans="1:28" x14ac:dyDescent="0.25">
      <c r="A5429" t="s">
        <v>5433</v>
      </c>
      <c r="B5429">
        <v>0.99334974765950101</v>
      </c>
      <c r="C5429">
        <v>1.1464513073550899</v>
      </c>
      <c r="D5429">
        <v>0.95399002013943102</v>
      </c>
      <c r="E5429">
        <v>0.58086754890210002</v>
      </c>
      <c r="F5429">
        <v>0.16308567648203201</v>
      </c>
      <c r="G5429">
        <v>7.1338865543828803E-2</v>
      </c>
      <c r="H5429">
        <v>3.40065975496395E-2</v>
      </c>
      <c r="I5429">
        <v>3.4892340338402703E-2</v>
      </c>
      <c r="J5429">
        <v>4.7160961126777902E-2</v>
      </c>
      <c r="K5429">
        <v>3.7820347760644003E-2</v>
      </c>
      <c r="L5429">
        <v>1879.1262784593</v>
      </c>
      <c r="M5429">
        <v>37.341146323417597</v>
      </c>
      <c r="N5429">
        <v>50.4405382171784</v>
      </c>
      <c r="O5429">
        <v>50.179532581645198</v>
      </c>
      <c r="P5429">
        <v>-0.178300801959241</v>
      </c>
      <c r="Q5429">
        <v>4.1590588591757301E-2</v>
      </c>
      <c r="R5429">
        <v>0.98822936851294996</v>
      </c>
      <c r="S5429" t="s">
        <v>11290</v>
      </c>
      <c r="T5429" t="s">
        <v>11720</v>
      </c>
      <c r="U5429" t="s">
        <v>11720</v>
      </c>
      <c r="V5429" t="s">
        <v>11720</v>
      </c>
      <c r="W5429" t="s">
        <v>17090</v>
      </c>
      <c r="X5429">
        <v>2</v>
      </c>
      <c r="Y5429" t="s">
        <v>22787</v>
      </c>
      <c r="Z5429" t="s">
        <v>28636</v>
      </c>
      <c r="AA5429">
        <v>0.37521675251397679</v>
      </c>
      <c r="AB5429" t="str">
        <f>HYPERLINK("Melting_Curves/meltCurve_Q9P2B7_KIAA1430.pdf", "Melting_Curves/meltCurve_Q9P2B7_KIAA1430.pdf")</f>
        <v>Melting_Curves/meltCurve_Q9P2B7_KIAA1430.pdf</v>
      </c>
    </row>
    <row r="5430" spans="1:28" x14ac:dyDescent="0.25">
      <c r="A5430" t="s">
        <v>5434</v>
      </c>
      <c r="B5430">
        <v>0.99334974765950101</v>
      </c>
      <c r="C5430">
        <v>0.80779971170801101</v>
      </c>
      <c r="D5430">
        <v>0.72380315409320894</v>
      </c>
      <c r="E5430">
        <v>0.758957367989186</v>
      </c>
      <c r="F5430">
        <v>0.764769602734928</v>
      </c>
      <c r="G5430">
        <v>0.53112813488035904</v>
      </c>
      <c r="H5430">
        <v>0.52741772839380596</v>
      </c>
      <c r="I5430">
        <v>0.79489198124086802</v>
      </c>
      <c r="J5430">
        <v>0.41137180081399699</v>
      </c>
      <c r="K5430">
        <v>0.26668460837961</v>
      </c>
      <c r="L5430">
        <v>244.84486554908301</v>
      </c>
      <c r="M5430">
        <v>3.8121084279361699</v>
      </c>
      <c r="N5430">
        <v>64.228201713112398</v>
      </c>
      <c r="O5430">
        <v>51.904903308440403</v>
      </c>
      <c r="P5430">
        <v>-1.8636090965936498E-2</v>
      </c>
      <c r="Q5430">
        <v>0</v>
      </c>
      <c r="R5430">
        <v>0.65996080722449302</v>
      </c>
      <c r="S5430" t="s">
        <v>11291</v>
      </c>
      <c r="T5430" t="s">
        <v>11720</v>
      </c>
      <c r="U5430" t="s">
        <v>11720</v>
      </c>
      <c r="V5430" t="s">
        <v>11720</v>
      </c>
      <c r="W5430" t="s">
        <v>17091</v>
      </c>
      <c r="X5430">
        <v>1</v>
      </c>
      <c r="Y5430" t="s">
        <v>22788</v>
      </c>
      <c r="Z5430" t="s">
        <v>28637</v>
      </c>
      <c r="AA5430">
        <v>0.65986600599530587</v>
      </c>
      <c r="AB5430" t="str">
        <f>HYPERLINK("Melting_Curves/meltCurve_Q9P2C4_TMEM181.pdf", "Melting_Curves/meltCurve_Q9P2C4_TMEM181.pdf")</f>
        <v>Melting_Curves/meltCurve_Q9P2C4_TMEM181.pdf</v>
      </c>
    </row>
    <row r="5431" spans="1:28" x14ac:dyDescent="0.25">
      <c r="A5431" t="s">
        <v>5435</v>
      </c>
      <c r="B5431">
        <v>0.99334974765950101</v>
      </c>
      <c r="C5431">
        <v>0.90758958116131105</v>
      </c>
      <c r="D5431">
        <v>0.860248795327479</v>
      </c>
      <c r="E5431">
        <v>0.88852521825284903</v>
      </c>
      <c r="F5431">
        <v>0.86990214603959404</v>
      </c>
      <c r="G5431">
        <v>0.585956784172603</v>
      </c>
      <c r="H5431">
        <v>0.53305515987016905</v>
      </c>
      <c r="I5431">
        <v>0.60166182905347398</v>
      </c>
      <c r="J5431">
        <v>0.59736529543927497</v>
      </c>
      <c r="K5431">
        <v>0.51482942816590804</v>
      </c>
      <c r="L5431">
        <v>553.86107395247802</v>
      </c>
      <c r="M5431">
        <v>10.2545971168975</v>
      </c>
      <c r="O5431">
        <v>52.077932257545001</v>
      </c>
      <c r="P5431">
        <v>-2.5498039363546599E-2</v>
      </c>
      <c r="Q5431">
        <v>0.48226193763897202</v>
      </c>
      <c r="R5431">
        <v>0.876466604301948</v>
      </c>
      <c r="S5431" t="s">
        <v>11292</v>
      </c>
      <c r="T5431" t="s">
        <v>11720</v>
      </c>
      <c r="U5431" t="s">
        <v>11720</v>
      </c>
      <c r="V5431" t="s">
        <v>11720</v>
      </c>
      <c r="W5431" t="s">
        <v>17092</v>
      </c>
      <c r="X5431">
        <v>3</v>
      </c>
      <c r="Y5431" t="s">
        <v>22789</v>
      </c>
      <c r="Z5431" t="s">
        <v>28638</v>
      </c>
      <c r="AA5431">
        <v>0.73941166496678612</v>
      </c>
      <c r="AB5431" t="str">
        <f>HYPERLINK("Melting_Curves/meltCurve_Q9P2E7_PCDH10.pdf", "Melting_Curves/meltCurve_Q9P2E7_PCDH10.pdf")</f>
        <v>Melting_Curves/meltCurve_Q9P2E7_PCDH10.pdf</v>
      </c>
    </row>
    <row r="5432" spans="1:28" x14ac:dyDescent="0.25">
      <c r="A5432" t="s">
        <v>5436</v>
      </c>
      <c r="B5432">
        <v>0.99334974765950101</v>
      </c>
      <c r="C5432">
        <v>1.0308110351037301</v>
      </c>
      <c r="D5432">
        <v>0.98269872677627501</v>
      </c>
      <c r="E5432">
        <v>0.72859808748313104</v>
      </c>
      <c r="F5432">
        <v>0.59471559450181</v>
      </c>
      <c r="G5432">
        <v>0.35734906088704799</v>
      </c>
      <c r="H5432">
        <v>0.29329139860273301</v>
      </c>
      <c r="I5432">
        <v>0.30247401686536901</v>
      </c>
      <c r="J5432">
        <v>0.35290298421155802</v>
      </c>
      <c r="K5432">
        <v>0.25726872734453898</v>
      </c>
      <c r="L5432">
        <v>1110.18119489233</v>
      </c>
      <c r="M5432">
        <v>21.465142966130301</v>
      </c>
      <c r="N5432">
        <v>53.895603352625898</v>
      </c>
      <c r="O5432">
        <v>51.277570699788299</v>
      </c>
      <c r="P5432">
        <v>-7.4328517249526202E-2</v>
      </c>
      <c r="Q5432">
        <v>0.28977095863243402</v>
      </c>
      <c r="R5432">
        <v>0.98791290431001</v>
      </c>
      <c r="S5432" t="s">
        <v>11293</v>
      </c>
      <c r="T5432" t="s">
        <v>11720</v>
      </c>
      <c r="U5432" t="s">
        <v>11720</v>
      </c>
      <c r="V5432" t="s">
        <v>11720</v>
      </c>
      <c r="W5432" t="s">
        <v>17093</v>
      </c>
      <c r="X5432">
        <v>95</v>
      </c>
      <c r="Y5432" t="s">
        <v>22790</v>
      </c>
      <c r="Z5432" t="s">
        <v>28639</v>
      </c>
      <c r="AA5432">
        <v>0.5758780658110626</v>
      </c>
      <c r="AB5432" t="str">
        <f>HYPERLINK("Melting_Curves/meltCurve_Q9P2E9_RRBP1.pdf", "Melting_Curves/meltCurve_Q9P2E9_RRBP1.pdf")</f>
        <v>Melting_Curves/meltCurve_Q9P2E9_RRBP1.pdf</v>
      </c>
    </row>
    <row r="5433" spans="1:28" x14ac:dyDescent="0.25">
      <c r="A5433" t="s">
        <v>5437</v>
      </c>
      <c r="B5433">
        <v>0.99334974765950101</v>
      </c>
      <c r="C5433">
        <v>1.14463776151977</v>
      </c>
      <c r="D5433">
        <v>1.03115499830093</v>
      </c>
      <c r="E5433">
        <v>0.84397892776612904</v>
      </c>
      <c r="F5433">
        <v>0.73811844880144095</v>
      </c>
      <c r="G5433">
        <v>0.494244378109363</v>
      </c>
      <c r="H5433">
        <v>0.37280241914317402</v>
      </c>
      <c r="I5433">
        <v>0.42614804818271002</v>
      </c>
      <c r="J5433">
        <v>0.41790723186165202</v>
      </c>
      <c r="K5433">
        <v>0.37864127544811199</v>
      </c>
      <c r="L5433">
        <v>1266.4498445466199</v>
      </c>
      <c r="M5433">
        <v>23.791080957990602</v>
      </c>
      <c r="N5433">
        <v>56.834738645591102</v>
      </c>
      <c r="O5433">
        <v>52.860313566568003</v>
      </c>
      <c r="P5433">
        <v>-6.8712860694362804E-2</v>
      </c>
      <c r="Q5433">
        <v>0.38933019795928198</v>
      </c>
      <c r="R5433">
        <v>0.96335359969193002</v>
      </c>
      <c r="S5433" t="s">
        <v>11294</v>
      </c>
      <c r="T5433" t="s">
        <v>11720</v>
      </c>
      <c r="U5433" t="s">
        <v>11720</v>
      </c>
      <c r="V5433" t="s">
        <v>11720</v>
      </c>
      <c r="W5433" t="s">
        <v>17094</v>
      </c>
      <c r="X5433">
        <v>94</v>
      </c>
      <c r="Y5433" t="s">
        <v>22790</v>
      </c>
      <c r="Z5433" t="s">
        <v>28640</v>
      </c>
      <c r="AA5433">
        <v>0.66485061897056719</v>
      </c>
      <c r="AB5433" t="str">
        <f>HYPERLINK("Melting_Curves/meltCurve_Q9P2E9_2_RRBP1.pdf", "Melting_Curves/meltCurve_Q9P2E9_2_RRBP1.pdf")</f>
        <v>Melting_Curves/meltCurve_Q9P2E9_2_RRBP1.pdf</v>
      </c>
    </row>
    <row r="5434" spans="1:28" x14ac:dyDescent="0.25">
      <c r="A5434" t="s">
        <v>5438</v>
      </c>
      <c r="B5434">
        <v>0.99334974765950101</v>
      </c>
      <c r="C5434">
        <v>0.91786782936893896</v>
      </c>
      <c r="D5434">
        <v>0.68790929128695899</v>
      </c>
      <c r="E5434">
        <v>0.336619391881543</v>
      </c>
      <c r="F5434">
        <v>0.33186793019286198</v>
      </c>
      <c r="G5434">
        <v>0.194814206501257</v>
      </c>
      <c r="H5434">
        <v>0.18329722180042399</v>
      </c>
      <c r="I5434">
        <v>0.149932125444625</v>
      </c>
      <c r="J5434">
        <v>0.21473283751528499</v>
      </c>
      <c r="K5434">
        <v>0</v>
      </c>
      <c r="L5434">
        <v>823.56998638130096</v>
      </c>
      <c r="M5434">
        <v>17.301082913417101</v>
      </c>
      <c r="N5434">
        <v>48.485533372341798</v>
      </c>
      <c r="O5434">
        <v>46.979926769117597</v>
      </c>
      <c r="P5434">
        <v>-7.9625970946054295E-2</v>
      </c>
      <c r="Q5434">
        <v>0.135174251630753</v>
      </c>
      <c r="R5434">
        <v>0.96605442571937294</v>
      </c>
      <c r="S5434" t="s">
        <v>11295</v>
      </c>
      <c r="T5434" t="s">
        <v>11720</v>
      </c>
      <c r="U5434" t="s">
        <v>11720</v>
      </c>
      <c r="V5434" t="s">
        <v>11720</v>
      </c>
      <c r="W5434" t="s">
        <v>17095</v>
      </c>
      <c r="X5434">
        <v>1</v>
      </c>
      <c r="Y5434" t="s">
        <v>22791</v>
      </c>
      <c r="Z5434" t="s">
        <v>28641</v>
      </c>
      <c r="AA5434">
        <v>0.37123675365067949</v>
      </c>
      <c r="AB5434" t="str">
        <f>HYPERLINK("Melting_Curves/meltCurve_Q9P2G1_ANKIB1.pdf", "Melting_Curves/meltCurve_Q9P2G1_ANKIB1.pdf")</f>
        <v>Melting_Curves/meltCurve_Q9P2G1_ANKIB1.pdf</v>
      </c>
    </row>
    <row r="5435" spans="1:28" x14ac:dyDescent="0.25">
      <c r="A5435" t="s">
        <v>5439</v>
      </c>
      <c r="B5435">
        <v>0.99334974765950101</v>
      </c>
      <c r="C5435">
        <v>0.88708906961381895</v>
      </c>
      <c r="D5435">
        <v>0.58489578452214397</v>
      </c>
      <c r="E5435">
        <v>0.32143924890810999</v>
      </c>
      <c r="F5435">
        <v>0.34969043565465902</v>
      </c>
      <c r="G5435">
        <v>0.24265061376822</v>
      </c>
      <c r="H5435">
        <v>0.225004191246512</v>
      </c>
      <c r="I5435">
        <v>0.279804999472686</v>
      </c>
      <c r="J5435">
        <v>0.35342237746606803</v>
      </c>
      <c r="K5435">
        <v>0.318601487097949</v>
      </c>
      <c r="L5435">
        <v>1314.4243316772299</v>
      </c>
      <c r="M5435">
        <v>28.935012368972298</v>
      </c>
      <c r="N5435">
        <v>46.832634812351799</v>
      </c>
      <c r="O5435">
        <v>45.211457614305402</v>
      </c>
      <c r="P5435">
        <v>-0.11356290155845999</v>
      </c>
      <c r="Q5435">
        <v>0.29022936327190801</v>
      </c>
      <c r="R5435">
        <v>0.97893567274209903</v>
      </c>
      <c r="S5435" t="s">
        <v>11296</v>
      </c>
      <c r="T5435" t="s">
        <v>11720</v>
      </c>
      <c r="U5435" t="s">
        <v>11720</v>
      </c>
      <c r="V5435" t="s">
        <v>11720</v>
      </c>
      <c r="W5435" t="s">
        <v>17096</v>
      </c>
      <c r="X5435">
        <v>3</v>
      </c>
      <c r="Y5435" t="s">
        <v>22792</v>
      </c>
      <c r="Z5435" t="s">
        <v>28642</v>
      </c>
      <c r="AA5435">
        <v>0.42344448220455883</v>
      </c>
      <c r="AB5435" t="str">
        <f>HYPERLINK("Melting_Curves/meltCurve_Q9P2H5_USP35.pdf", "Melting_Curves/meltCurve_Q9P2H5_USP35.pdf")</f>
        <v>Melting_Curves/meltCurve_Q9P2H5_USP35.pdf</v>
      </c>
    </row>
    <row r="5436" spans="1:28" x14ac:dyDescent="0.25">
      <c r="A5436" t="s">
        <v>5440</v>
      </c>
      <c r="B5436">
        <v>0.99334974765950101</v>
      </c>
      <c r="C5436">
        <v>1.04203453783588</v>
      </c>
      <c r="D5436">
        <v>0.96739631192640096</v>
      </c>
      <c r="E5436">
        <v>0.866713235477511</v>
      </c>
      <c r="F5436">
        <v>0.42980661401927001</v>
      </c>
      <c r="G5436">
        <v>0.24967272834037199</v>
      </c>
      <c r="H5436">
        <v>0.196213046690459</v>
      </c>
      <c r="I5436">
        <v>0.17262493881274199</v>
      </c>
      <c r="J5436">
        <v>0.18341671145625299</v>
      </c>
      <c r="K5436">
        <v>0.125418317375667</v>
      </c>
      <c r="L5436">
        <v>1973.78233516313</v>
      </c>
      <c r="M5436">
        <v>37.962621574930601</v>
      </c>
      <c r="N5436">
        <v>52.598296434110203</v>
      </c>
      <c r="O5436">
        <v>51.849127348970299</v>
      </c>
      <c r="P5436">
        <v>-0.150641084113427</v>
      </c>
      <c r="Q5436">
        <v>0.177023060067584</v>
      </c>
      <c r="R5436">
        <v>0.99424623803518097</v>
      </c>
      <c r="S5436" t="s">
        <v>11297</v>
      </c>
      <c r="T5436" t="s">
        <v>11720</v>
      </c>
      <c r="U5436" t="s">
        <v>11720</v>
      </c>
      <c r="V5436" t="s">
        <v>11720</v>
      </c>
      <c r="W5436" t="s">
        <v>17097</v>
      </c>
      <c r="X5436">
        <v>7</v>
      </c>
      <c r="Y5436" t="s">
        <v>22793</v>
      </c>
      <c r="Z5436" t="s">
        <v>28643</v>
      </c>
      <c r="AA5436">
        <v>0.50929972717436578</v>
      </c>
      <c r="AB5436" t="str">
        <f>HYPERLINK("Melting_Curves/meltCurve_Q9P2I0_CPSF2.pdf", "Melting_Curves/meltCurve_Q9P2I0_CPSF2.pdf")</f>
        <v>Melting_Curves/meltCurve_Q9P2I0_CPSF2.pdf</v>
      </c>
    </row>
    <row r="5437" spans="1:28" x14ac:dyDescent="0.25">
      <c r="A5437" t="s">
        <v>5441</v>
      </c>
      <c r="B5437">
        <v>0.99334974765950101</v>
      </c>
      <c r="C5437">
        <v>1.0467039068092101</v>
      </c>
      <c r="D5437">
        <v>0.79673306664986498</v>
      </c>
      <c r="E5437">
        <v>0.70024462093898399</v>
      </c>
      <c r="F5437">
        <v>0.403525083347608</v>
      </c>
      <c r="G5437">
        <v>0.25313819758759698</v>
      </c>
      <c r="H5437">
        <v>0.16637479099651101</v>
      </c>
      <c r="I5437">
        <v>0.13309116404145299</v>
      </c>
      <c r="J5437">
        <v>0.173138162173572</v>
      </c>
      <c r="K5437">
        <v>0.117763377695357</v>
      </c>
      <c r="L5437">
        <v>866.68317137253996</v>
      </c>
      <c r="M5437">
        <v>16.953479556491502</v>
      </c>
      <c r="N5437">
        <v>51.968779519571797</v>
      </c>
      <c r="O5437">
        <v>50.425881606101697</v>
      </c>
      <c r="P5437">
        <v>-7.3904666133014094E-2</v>
      </c>
      <c r="Q5437">
        <v>0.120776346343411</v>
      </c>
      <c r="R5437">
        <v>0.98387267785614596</v>
      </c>
      <c r="S5437" t="s">
        <v>11298</v>
      </c>
      <c r="T5437" t="s">
        <v>11720</v>
      </c>
      <c r="U5437" t="s">
        <v>11720</v>
      </c>
      <c r="V5437" t="s">
        <v>11720</v>
      </c>
      <c r="W5437" t="s">
        <v>17098</v>
      </c>
      <c r="X5437">
        <v>3</v>
      </c>
      <c r="Y5437" t="s">
        <v>22794</v>
      </c>
      <c r="Z5437" t="s">
        <v>28644</v>
      </c>
      <c r="AA5437">
        <v>0.46315919923509757</v>
      </c>
      <c r="AB5437" t="str">
        <f>HYPERLINK("Melting_Curves/meltCurve_Q9P2K8_2_EIF2AK4.pdf", "Melting_Curves/meltCurve_Q9P2K8_2_EIF2AK4.pdf")</f>
        <v>Melting_Curves/meltCurve_Q9P2K8_2_EIF2AK4.pdf</v>
      </c>
    </row>
    <row r="5438" spans="1:28" x14ac:dyDescent="0.25">
      <c r="A5438" t="s">
        <v>5442</v>
      </c>
      <c r="B5438">
        <v>0.99334974765950101</v>
      </c>
      <c r="C5438">
        <v>0.95131023026294503</v>
      </c>
      <c r="D5438">
        <v>0.71762020871979104</v>
      </c>
      <c r="E5438">
        <v>0.58424977040888704</v>
      </c>
      <c r="F5438">
        <v>0.48689494156670898</v>
      </c>
      <c r="G5438">
        <v>0.25894106186302002</v>
      </c>
      <c r="H5438">
        <v>0.25092709396438101</v>
      </c>
      <c r="I5438">
        <v>0.21867920739010099</v>
      </c>
      <c r="J5438">
        <v>0.21717371962877399</v>
      </c>
      <c r="K5438">
        <v>0.192603012448126</v>
      </c>
      <c r="L5438">
        <v>636.00891984374505</v>
      </c>
      <c r="M5438">
        <v>12.779778410144999</v>
      </c>
      <c r="N5438">
        <v>51.497378605359401</v>
      </c>
      <c r="O5438">
        <v>48.595498099809198</v>
      </c>
      <c r="P5438">
        <v>-5.4278721192174299E-2</v>
      </c>
      <c r="Q5438">
        <v>0.17457007372861699</v>
      </c>
      <c r="R5438">
        <v>0.98483439896414904</v>
      </c>
      <c r="S5438" t="s">
        <v>11299</v>
      </c>
      <c r="T5438" t="s">
        <v>11720</v>
      </c>
      <c r="U5438" t="s">
        <v>11720</v>
      </c>
      <c r="V5438" t="s">
        <v>11720</v>
      </c>
      <c r="W5438" t="s">
        <v>17099</v>
      </c>
      <c r="X5438">
        <v>4</v>
      </c>
      <c r="Y5438" t="s">
        <v>22795</v>
      </c>
      <c r="Z5438" t="s">
        <v>28645</v>
      </c>
      <c r="AA5438">
        <v>0.46945508031830768</v>
      </c>
      <c r="AB5438" t="str">
        <f>HYPERLINK("Melting_Curves/meltCurve_Q9P2N5_RBM27.pdf", "Melting_Curves/meltCurve_Q9P2N5_RBM27.pdf")</f>
        <v>Melting_Curves/meltCurve_Q9P2N5_RBM27.pdf</v>
      </c>
    </row>
    <row r="5439" spans="1:28" x14ac:dyDescent="0.25">
      <c r="A5439" t="s">
        <v>5443</v>
      </c>
      <c r="B5439">
        <v>0.99334974765950101</v>
      </c>
      <c r="C5439">
        <v>0.91514882161732802</v>
      </c>
      <c r="D5439">
        <v>0.66722412952781496</v>
      </c>
      <c r="E5439">
        <v>0.17391827226287601</v>
      </c>
      <c r="F5439">
        <v>0.11970046098669</v>
      </c>
      <c r="G5439">
        <v>9.1462826679507503E-2</v>
      </c>
      <c r="H5439">
        <v>6.4536542328085103E-2</v>
      </c>
      <c r="I5439">
        <v>4.9375226701737197E-2</v>
      </c>
      <c r="J5439">
        <v>4.4477317001371801E-2</v>
      </c>
      <c r="K5439">
        <v>3.50996627739006E-2</v>
      </c>
      <c r="L5439">
        <v>1305.65163957094</v>
      </c>
      <c r="M5439">
        <v>27.841363287069001</v>
      </c>
      <c r="N5439">
        <v>47.099708183668</v>
      </c>
      <c r="O5439">
        <v>46.6561707891466</v>
      </c>
      <c r="P5439">
        <v>-0.140727012864059</v>
      </c>
      <c r="Q5439">
        <v>5.6694757403267203E-2</v>
      </c>
      <c r="R5439">
        <v>0.99745875119781502</v>
      </c>
      <c r="S5439" t="s">
        <v>11300</v>
      </c>
      <c r="T5439" t="s">
        <v>11720</v>
      </c>
      <c r="U5439" t="s">
        <v>11720</v>
      </c>
      <c r="V5439" t="s">
        <v>11720</v>
      </c>
      <c r="W5439" t="s">
        <v>17100</v>
      </c>
      <c r="X5439">
        <v>17</v>
      </c>
      <c r="Y5439" t="s">
        <v>22796</v>
      </c>
      <c r="Z5439" t="s">
        <v>28646</v>
      </c>
      <c r="AA5439">
        <v>0.28019193296525879</v>
      </c>
      <c r="AB5439" t="str">
        <f>HYPERLINK("Melting_Curves/meltCurve_Q9P2R3_ANKFY1.pdf", "Melting_Curves/meltCurve_Q9P2R3_ANKFY1.pdf")</f>
        <v>Melting_Curves/meltCurve_Q9P2R3_ANKFY1.pdf</v>
      </c>
    </row>
    <row r="5440" spans="1:28" x14ac:dyDescent="0.25">
      <c r="A5440" t="s">
        <v>5444</v>
      </c>
      <c r="B5440">
        <v>0.99334974765950101</v>
      </c>
      <c r="C5440">
        <v>0.91915832881609705</v>
      </c>
      <c r="D5440">
        <v>0.837271461494423</v>
      </c>
      <c r="E5440">
        <v>0.775105938629712</v>
      </c>
      <c r="F5440">
        <v>0.870012743890486</v>
      </c>
      <c r="G5440">
        <v>0.64536805150641896</v>
      </c>
      <c r="H5440">
        <v>0.39370352449326101</v>
      </c>
      <c r="I5440">
        <v>0.32250599594878299</v>
      </c>
      <c r="J5440">
        <v>0.238393385112041</v>
      </c>
      <c r="K5440">
        <v>0.16773677603809101</v>
      </c>
      <c r="L5440">
        <v>568.60307981531105</v>
      </c>
      <c r="M5440">
        <v>9.5926902902923494</v>
      </c>
      <c r="N5440">
        <v>59.274616572430098</v>
      </c>
      <c r="O5440">
        <v>56.870403099724101</v>
      </c>
      <c r="P5440">
        <v>-4.2193135445698499E-2</v>
      </c>
      <c r="Q5440">
        <v>0</v>
      </c>
      <c r="R5440">
        <v>0.95571928932197003</v>
      </c>
      <c r="S5440" t="s">
        <v>11301</v>
      </c>
      <c r="T5440" t="s">
        <v>11720</v>
      </c>
      <c r="U5440" t="s">
        <v>11720</v>
      </c>
      <c r="V5440" t="s">
        <v>11720</v>
      </c>
      <c r="W5440" t="s">
        <v>17101</v>
      </c>
      <c r="X5440">
        <v>2</v>
      </c>
      <c r="Y5440" t="s">
        <v>22797</v>
      </c>
      <c r="Z5440" t="s">
        <v>28647</v>
      </c>
      <c r="AA5440">
        <v>0.6423990417639398</v>
      </c>
      <c r="AB5440" t="str">
        <f>HYPERLINK("Melting_Curves/meltCurve_Q9P2X0_DPM3.pdf", "Melting_Curves/meltCurve_Q9P2X0_DPM3.pdf")</f>
        <v>Melting_Curves/meltCurve_Q9P2X0_DPM3.pdf</v>
      </c>
    </row>
    <row r="5441" spans="1:28" x14ac:dyDescent="0.25">
      <c r="A5441" t="s">
        <v>5445</v>
      </c>
      <c r="B5441">
        <v>0.99334974765950101</v>
      </c>
      <c r="C5441">
        <v>0.86226507674633801</v>
      </c>
      <c r="D5441">
        <v>0.55483996028018101</v>
      </c>
      <c r="E5441">
        <v>0.24165759293957101</v>
      </c>
      <c r="F5441">
        <v>0.15289876501156499</v>
      </c>
      <c r="G5441">
        <v>0.115819759778488</v>
      </c>
      <c r="H5441">
        <v>9.6599576012719304E-2</v>
      </c>
      <c r="I5441">
        <v>8.4462826515570702E-2</v>
      </c>
      <c r="J5441">
        <v>6.3237676252598504E-2</v>
      </c>
      <c r="K5441">
        <v>4.7977457469372098E-2</v>
      </c>
      <c r="L5441">
        <v>971.02640768592505</v>
      </c>
      <c r="M5441">
        <v>20.9735267181156</v>
      </c>
      <c r="N5441">
        <v>46.675101418039901</v>
      </c>
      <c r="O5441">
        <v>45.882990890576799</v>
      </c>
      <c r="P5441">
        <v>-0.105367722058706</v>
      </c>
      <c r="Q5441">
        <v>7.7988902336947594E-2</v>
      </c>
      <c r="R5441">
        <v>0.99732338503423701</v>
      </c>
      <c r="S5441" t="s">
        <v>11302</v>
      </c>
      <c r="T5441" t="s">
        <v>11720</v>
      </c>
      <c r="U5441" t="s">
        <v>11720</v>
      </c>
      <c r="V5441" t="s">
        <v>11720</v>
      </c>
      <c r="W5441" t="s">
        <v>17102</v>
      </c>
      <c r="X5441">
        <v>8</v>
      </c>
      <c r="Y5441" t="s">
        <v>22798</v>
      </c>
      <c r="Z5441" t="s">
        <v>28648</v>
      </c>
      <c r="AA5441">
        <v>0.28408716846508769</v>
      </c>
      <c r="AB5441" t="str">
        <f>HYPERLINK("Melting_Curves/meltCurve_Q9P2X3_IMPACT.pdf", "Melting_Curves/meltCurve_Q9P2X3_IMPACT.pdf")</f>
        <v>Melting_Curves/meltCurve_Q9P2X3_IMPACT.pdf</v>
      </c>
    </row>
    <row r="5442" spans="1:28" x14ac:dyDescent="0.25">
      <c r="A5442" t="s">
        <v>5446</v>
      </c>
      <c r="B5442">
        <v>0.99334974765950101</v>
      </c>
      <c r="C5442">
        <v>0.99849808020558595</v>
      </c>
      <c r="D5442">
        <v>0.95877153126383197</v>
      </c>
      <c r="E5442">
        <v>0.77100909711714105</v>
      </c>
      <c r="F5442">
        <v>0.26820731322546898</v>
      </c>
      <c r="G5442">
        <v>0.106380696307023</v>
      </c>
      <c r="H5442">
        <v>6.8812021998706105E-2</v>
      </c>
      <c r="I5442">
        <v>5.3675413687218398E-2</v>
      </c>
      <c r="J5442">
        <v>4.7358390744421802E-2</v>
      </c>
      <c r="K5442">
        <v>3.8462162930341499E-2</v>
      </c>
      <c r="L5442">
        <v>2006.04998692596</v>
      </c>
      <c r="M5442">
        <v>39.030938278877898</v>
      </c>
      <c r="N5442">
        <v>51.556528872103499</v>
      </c>
      <c r="O5442">
        <v>51.262044774119701</v>
      </c>
      <c r="P5442">
        <v>-0.17948517899508001</v>
      </c>
      <c r="Q5442">
        <v>5.7080712990079503E-2</v>
      </c>
      <c r="R5442">
        <v>0.99848206005533302</v>
      </c>
      <c r="S5442" t="s">
        <v>11303</v>
      </c>
      <c r="T5442" t="s">
        <v>11720</v>
      </c>
      <c r="U5442" t="s">
        <v>11720</v>
      </c>
      <c r="V5442" t="s">
        <v>11720</v>
      </c>
      <c r="W5442" t="s">
        <v>17103</v>
      </c>
      <c r="X5442">
        <v>20</v>
      </c>
      <c r="Y5442" t="s">
        <v>22799</v>
      </c>
      <c r="Z5442" t="s">
        <v>28649</v>
      </c>
      <c r="AA5442">
        <v>0.41879575713844303</v>
      </c>
      <c r="AB5442" t="str">
        <f>HYPERLINK("Melting_Curves/meltCurve_Q9UBB4_ATXN10.pdf", "Melting_Curves/meltCurve_Q9UBB4_ATXN10.pdf")</f>
        <v>Melting_Curves/meltCurve_Q9UBB4_ATXN10.pdf</v>
      </c>
    </row>
    <row r="5443" spans="1:28" x14ac:dyDescent="0.25">
      <c r="A5443" t="s">
        <v>5447</v>
      </c>
      <c r="B5443">
        <v>0.99334974765950101</v>
      </c>
      <c r="C5443">
        <v>1.0021729493156899</v>
      </c>
      <c r="D5443">
        <v>0.98175810207389103</v>
      </c>
      <c r="E5443">
        <v>0.66467079799909001</v>
      </c>
      <c r="F5443">
        <v>0.17533903006447299</v>
      </c>
      <c r="G5443">
        <v>0.12872864868488501</v>
      </c>
      <c r="H5443">
        <v>9.5365181753556696E-2</v>
      </c>
      <c r="I5443">
        <v>7.5791534051834406E-2</v>
      </c>
      <c r="J5443">
        <v>8.1712700167579103E-2</v>
      </c>
      <c r="K5443">
        <v>6.1079907929588402E-2</v>
      </c>
      <c r="L5443">
        <v>2379.7468422340198</v>
      </c>
      <c r="M5443">
        <v>47.059357195312302</v>
      </c>
      <c r="N5443">
        <v>50.774260666218296</v>
      </c>
      <c r="O5443">
        <v>50.477975779635798</v>
      </c>
      <c r="P5443">
        <v>-0.21288400332288401</v>
      </c>
      <c r="Q5443">
        <v>8.66051697648723E-2</v>
      </c>
      <c r="R5443">
        <v>0.99851027835626704</v>
      </c>
      <c r="S5443" t="s">
        <v>11304</v>
      </c>
      <c r="T5443" t="s">
        <v>11720</v>
      </c>
      <c r="U5443" t="s">
        <v>11720</v>
      </c>
      <c r="V5443" t="s">
        <v>11720</v>
      </c>
      <c r="W5443" t="s">
        <v>17104</v>
      </c>
      <c r="X5443">
        <v>18</v>
      </c>
      <c r="Y5443" t="s">
        <v>22800</v>
      </c>
      <c r="Z5443" t="s">
        <v>28650</v>
      </c>
      <c r="AA5443">
        <v>0.41069723487203319</v>
      </c>
      <c r="AB5443" t="str">
        <f>HYPERLINK("Melting_Curves/meltCurve_Q9UBB6_NCDN.pdf", "Melting_Curves/meltCurve_Q9UBB6_NCDN.pdf")</f>
        <v>Melting_Curves/meltCurve_Q9UBB6_NCDN.pdf</v>
      </c>
    </row>
    <row r="5444" spans="1:28" x14ac:dyDescent="0.25">
      <c r="A5444" t="s">
        <v>5448</v>
      </c>
      <c r="B5444">
        <v>0.99334974765950101</v>
      </c>
      <c r="C5444">
        <v>0.89090020682263404</v>
      </c>
      <c r="D5444">
        <v>0.85442715803039204</v>
      </c>
      <c r="E5444">
        <v>0.49458605146005702</v>
      </c>
      <c r="F5444">
        <v>0.25999101870877001</v>
      </c>
      <c r="G5444">
        <v>0.140851255869306</v>
      </c>
      <c r="H5444">
        <v>0.109941474755219</v>
      </c>
      <c r="I5444">
        <v>0.109133042675989</v>
      </c>
      <c r="J5444">
        <v>0.11279856661298</v>
      </c>
      <c r="K5444">
        <v>0.10074325688049</v>
      </c>
      <c r="L5444">
        <v>1004.97264906391</v>
      </c>
      <c r="M5444">
        <v>20.375844638972598</v>
      </c>
      <c r="N5444">
        <v>49.8460875597289</v>
      </c>
      <c r="O5444">
        <v>48.854069593401903</v>
      </c>
      <c r="P5444">
        <v>-9.4214150604632202E-2</v>
      </c>
      <c r="Q5444">
        <v>9.6458490548731304E-2</v>
      </c>
      <c r="R5444">
        <v>0.99535970599018597</v>
      </c>
      <c r="S5444" t="s">
        <v>11305</v>
      </c>
      <c r="T5444" t="s">
        <v>11720</v>
      </c>
      <c r="U5444" t="s">
        <v>11720</v>
      </c>
      <c r="V5444" t="s">
        <v>11720</v>
      </c>
      <c r="W5444" t="s">
        <v>17105</v>
      </c>
      <c r="X5444">
        <v>21</v>
      </c>
      <c r="Y5444" t="s">
        <v>22801</v>
      </c>
      <c r="Z5444" t="s">
        <v>28651</v>
      </c>
      <c r="AA5444">
        <v>0.38937198582877042</v>
      </c>
      <c r="AB5444" t="str">
        <f>HYPERLINK("Melting_Curves/meltCurve_Q9UBC2_2_EPS15L1.pdf", "Melting_Curves/meltCurve_Q9UBC2_2_EPS15L1.pdf")</f>
        <v>Melting_Curves/meltCurve_Q9UBC2_2_EPS15L1.pdf</v>
      </c>
    </row>
    <row r="5445" spans="1:28" x14ac:dyDescent="0.25">
      <c r="A5445" t="s">
        <v>5449</v>
      </c>
      <c r="B5445">
        <v>0.99334974765950101</v>
      </c>
      <c r="C5445">
        <v>0.92514322400489102</v>
      </c>
      <c r="D5445">
        <v>0.83100931833209002</v>
      </c>
      <c r="E5445">
        <v>0.74373366182700995</v>
      </c>
      <c r="F5445">
        <v>0.80530957897342303</v>
      </c>
      <c r="G5445">
        <v>0.80412158005446099</v>
      </c>
      <c r="H5445">
        <v>0.84300422538547903</v>
      </c>
      <c r="I5445">
        <v>0.985351714788953</v>
      </c>
      <c r="J5445">
        <v>0.89902287726896102</v>
      </c>
      <c r="K5445">
        <v>0.59059552021451001</v>
      </c>
      <c r="L5445">
        <v>1870.7904106153101</v>
      </c>
      <c r="M5445">
        <v>43.170608999184097</v>
      </c>
      <c r="O5445">
        <v>43.242139749885297</v>
      </c>
      <c r="P5445">
        <v>-4.7215058365850202E-2</v>
      </c>
      <c r="Q5445">
        <v>0.81082712778241794</v>
      </c>
      <c r="R5445">
        <v>0.28530542598419201</v>
      </c>
      <c r="S5445" t="s">
        <v>11306</v>
      </c>
      <c r="T5445" t="s">
        <v>11720</v>
      </c>
      <c r="U5445" t="s">
        <v>11720</v>
      </c>
      <c r="V5445" t="s">
        <v>11720</v>
      </c>
      <c r="W5445" t="s">
        <v>17106</v>
      </c>
      <c r="X5445">
        <v>2</v>
      </c>
      <c r="Y5445" t="s">
        <v>22802</v>
      </c>
      <c r="Z5445" t="s">
        <v>28652</v>
      </c>
      <c r="AA5445">
        <v>0.83248129968643714</v>
      </c>
      <c r="AB5445" t="str">
        <f>HYPERLINK("Melting_Curves/meltCurve_Q9UBD8_CLN3.pdf", "Melting_Curves/meltCurve_Q9UBD8_CLN3.pdf")</f>
        <v>Melting_Curves/meltCurve_Q9UBD8_CLN3.pdf</v>
      </c>
    </row>
    <row r="5446" spans="1:28" x14ac:dyDescent="0.25">
      <c r="A5446" t="s">
        <v>5450</v>
      </c>
      <c r="B5446">
        <v>0.99334974765950101</v>
      </c>
      <c r="C5446">
        <v>0.98813323403765296</v>
      </c>
      <c r="D5446">
        <v>0.98341419926617302</v>
      </c>
      <c r="E5446">
        <v>0.84437728821815405</v>
      </c>
      <c r="F5446">
        <v>0.34775331814938099</v>
      </c>
      <c r="G5446">
        <v>0.15456621115891001</v>
      </c>
      <c r="H5446">
        <v>0.104359180466499</v>
      </c>
      <c r="I5446">
        <v>9.0503455042378597E-2</v>
      </c>
      <c r="J5446">
        <v>9.1732935191061293E-2</v>
      </c>
      <c r="K5446">
        <v>7.2753814918009405E-2</v>
      </c>
      <c r="L5446">
        <v>2131.6189547850699</v>
      </c>
      <c r="M5446">
        <v>41.122737844427697</v>
      </c>
      <c r="N5446">
        <v>52.1082353827642</v>
      </c>
      <c r="O5446">
        <v>51.713402968252403</v>
      </c>
      <c r="P5446">
        <v>-0.17955451346930501</v>
      </c>
      <c r="Q5446">
        <v>9.6815225203663396E-2</v>
      </c>
      <c r="R5446">
        <v>0.99848362886171405</v>
      </c>
      <c r="S5446" t="s">
        <v>11307</v>
      </c>
      <c r="T5446" t="s">
        <v>11720</v>
      </c>
      <c r="U5446" t="s">
        <v>11720</v>
      </c>
      <c r="V5446" t="s">
        <v>11720</v>
      </c>
      <c r="W5446" t="s">
        <v>17107</v>
      </c>
      <c r="X5446">
        <v>20</v>
      </c>
      <c r="Y5446" t="s">
        <v>22803</v>
      </c>
      <c r="Z5446" t="s">
        <v>28653</v>
      </c>
      <c r="AA5446">
        <v>0.45619724624286151</v>
      </c>
      <c r="AB5446" t="str">
        <f>HYPERLINK("Melting_Curves/meltCurve_Q9UBE0_SAE1.pdf", "Melting_Curves/meltCurve_Q9UBE0_SAE1.pdf")</f>
        <v>Melting_Curves/meltCurve_Q9UBE0_SAE1.pdf</v>
      </c>
    </row>
    <row r="5447" spans="1:28" x14ac:dyDescent="0.25">
      <c r="A5447" t="s">
        <v>5451</v>
      </c>
      <c r="B5447">
        <v>0.99334974765950101</v>
      </c>
      <c r="C5447">
        <v>0.87585177310023798</v>
      </c>
      <c r="D5447">
        <v>0.87187899325563201</v>
      </c>
      <c r="E5447">
        <v>0.91264671353874305</v>
      </c>
      <c r="F5447">
        <v>0.63925293765247904</v>
      </c>
      <c r="G5447">
        <v>0.240681486630897</v>
      </c>
      <c r="H5447">
        <v>0.144407550142199</v>
      </c>
      <c r="I5447">
        <v>0.10672071054049</v>
      </c>
      <c r="J5447">
        <v>0.10809348992540201</v>
      </c>
      <c r="K5447">
        <v>0.102319991037762</v>
      </c>
      <c r="L5447">
        <v>1465.4470127363199</v>
      </c>
      <c r="M5447">
        <v>27.2757932182977</v>
      </c>
      <c r="N5447">
        <v>54.171982565027598</v>
      </c>
      <c r="O5447">
        <v>53.4407226919934</v>
      </c>
      <c r="P5447">
        <v>-0.11479381108310199</v>
      </c>
      <c r="Q5447">
        <v>0.100359116473503</v>
      </c>
      <c r="R5447">
        <v>0.97808517753428703</v>
      </c>
      <c r="S5447" t="s">
        <v>11308</v>
      </c>
      <c r="T5447" t="s">
        <v>11720</v>
      </c>
      <c r="U5447" t="s">
        <v>11720</v>
      </c>
      <c r="V5447" t="s">
        <v>11720</v>
      </c>
      <c r="W5447" t="s">
        <v>17108</v>
      </c>
      <c r="X5447">
        <v>15</v>
      </c>
      <c r="Y5447" t="s">
        <v>22804</v>
      </c>
      <c r="Z5447" t="s">
        <v>28654</v>
      </c>
      <c r="AA5447">
        <v>0.51907449051465193</v>
      </c>
      <c r="AB5447" t="str">
        <f>HYPERLINK("Melting_Curves/meltCurve_Q9UBF2_COPG2.pdf", "Melting_Curves/meltCurve_Q9UBF2_COPG2.pdf")</f>
        <v>Melting_Curves/meltCurve_Q9UBF2_COPG2.pdf</v>
      </c>
    </row>
    <row r="5448" spans="1:28" x14ac:dyDescent="0.25">
      <c r="A5448" t="s">
        <v>5452</v>
      </c>
      <c r="B5448">
        <v>0.99334974765950101</v>
      </c>
      <c r="C5448">
        <v>1.0113699539832</v>
      </c>
      <c r="D5448">
        <v>1.0195647307711599</v>
      </c>
      <c r="E5448">
        <v>1.29363799427833</v>
      </c>
      <c r="F5448">
        <v>1.64634633145642</v>
      </c>
      <c r="G5448">
        <v>2.07518455403866</v>
      </c>
      <c r="H5448">
        <v>2.1480488591944802</v>
      </c>
      <c r="I5448">
        <v>1.5971288214263</v>
      </c>
      <c r="J5448">
        <v>1.59087467051959</v>
      </c>
      <c r="K5448">
        <v>1.18832665279534</v>
      </c>
      <c r="L5448">
        <v>12482.364091473601</v>
      </c>
      <c r="M5448">
        <v>250</v>
      </c>
      <c r="O5448">
        <v>49.926244389367099</v>
      </c>
      <c r="P5448">
        <v>0.625923095833541</v>
      </c>
      <c r="Q5448">
        <v>1.5</v>
      </c>
      <c r="R5448">
        <v>0.45774475469555198</v>
      </c>
      <c r="S5448" t="s">
        <v>11309</v>
      </c>
      <c r="T5448" t="s">
        <v>11720</v>
      </c>
      <c r="U5448" t="s">
        <v>11720</v>
      </c>
      <c r="V5448" t="s">
        <v>11720</v>
      </c>
      <c r="W5448" t="s">
        <v>17109</v>
      </c>
      <c r="X5448">
        <v>3</v>
      </c>
      <c r="Y5448" t="s">
        <v>22805</v>
      </c>
      <c r="Z5448" t="s">
        <v>28655</v>
      </c>
      <c r="AA5448">
        <v>1.3344652478590029</v>
      </c>
      <c r="AB5448" t="str">
        <f>HYPERLINK("Melting_Curves/meltCurve_Q9UBF6_RNF7.pdf", "Melting_Curves/meltCurve_Q9UBF6_RNF7.pdf")</f>
        <v>Melting_Curves/meltCurve_Q9UBF6_RNF7.pdf</v>
      </c>
    </row>
    <row r="5449" spans="1:28" x14ac:dyDescent="0.25">
      <c r="A5449" t="s">
        <v>5453</v>
      </c>
      <c r="B5449">
        <v>0.99334974765950101</v>
      </c>
      <c r="C5449">
        <v>1.03232682709487</v>
      </c>
      <c r="D5449">
        <v>1.01343939439047</v>
      </c>
      <c r="E5449">
        <v>0.92968251958725301</v>
      </c>
      <c r="F5449">
        <v>0.48429693244470601</v>
      </c>
      <c r="G5449">
        <v>0.20371608605240801</v>
      </c>
      <c r="H5449">
        <v>0.141164173727375</v>
      </c>
      <c r="I5449">
        <v>0.12048580696864999</v>
      </c>
      <c r="J5449">
        <v>0.11570623027867299</v>
      </c>
      <c r="K5449">
        <v>9.20974575954535E-2</v>
      </c>
      <c r="L5449">
        <v>2158.3124966113501</v>
      </c>
      <c r="M5449">
        <v>41.013249068042398</v>
      </c>
      <c r="N5449">
        <v>52.996508171319398</v>
      </c>
      <c r="O5449">
        <v>52.500115172331</v>
      </c>
      <c r="P5449">
        <v>-0.17088799195774601</v>
      </c>
      <c r="Q5449">
        <v>0.125002522728798</v>
      </c>
      <c r="R5449">
        <v>0.99684789119384898</v>
      </c>
      <c r="S5449" t="s">
        <v>11310</v>
      </c>
      <c r="T5449" t="s">
        <v>11720</v>
      </c>
      <c r="U5449" t="s">
        <v>11720</v>
      </c>
      <c r="V5449" t="s">
        <v>11720</v>
      </c>
      <c r="W5449" t="s">
        <v>17110</v>
      </c>
      <c r="X5449">
        <v>10</v>
      </c>
      <c r="Y5449" t="s">
        <v>22806</v>
      </c>
      <c r="Z5449" t="s">
        <v>28656</v>
      </c>
      <c r="AA5449">
        <v>0.49624816253702642</v>
      </c>
      <c r="AB5449" t="str">
        <f>HYPERLINK("Melting_Curves/meltCurve_Q9UBF8_2_PI4KB.pdf", "Melting_Curves/meltCurve_Q9UBF8_2_PI4KB.pdf")</f>
        <v>Melting_Curves/meltCurve_Q9UBF8_2_PI4KB.pdf</v>
      </c>
    </row>
    <row r="5450" spans="1:28" x14ac:dyDescent="0.25">
      <c r="A5450" t="s">
        <v>5454</v>
      </c>
      <c r="B5450">
        <v>0.99334974765950101</v>
      </c>
      <c r="C5450">
        <v>0.95944144668419196</v>
      </c>
      <c r="D5450">
        <v>1.0444319027039199</v>
      </c>
      <c r="E5450">
        <v>0.81937497432009498</v>
      </c>
      <c r="F5450">
        <v>0.46564500438411299</v>
      </c>
      <c r="G5450">
        <v>0.34973088448203099</v>
      </c>
      <c r="H5450">
        <v>0.26342650917275401</v>
      </c>
      <c r="I5450">
        <v>0.28137112755669402</v>
      </c>
      <c r="J5450">
        <v>0.215522304532444</v>
      </c>
      <c r="K5450">
        <v>0.15801769839451599</v>
      </c>
      <c r="L5450">
        <v>1544.6188791590801</v>
      </c>
      <c r="M5450">
        <v>29.7970665358303</v>
      </c>
      <c r="N5450">
        <v>52.981163120570301</v>
      </c>
      <c r="O5450">
        <v>51.606150251352901</v>
      </c>
      <c r="P5450">
        <v>-0.110119511036957</v>
      </c>
      <c r="Q5450">
        <v>0.23713215803159199</v>
      </c>
      <c r="R5450">
        <v>0.98298495151623899</v>
      </c>
      <c r="S5450" t="s">
        <v>11311</v>
      </c>
      <c r="T5450" t="s">
        <v>11720</v>
      </c>
      <c r="U5450" t="s">
        <v>11720</v>
      </c>
      <c r="V5450" t="s">
        <v>11720</v>
      </c>
      <c r="W5450" t="s">
        <v>17111</v>
      </c>
      <c r="X5450">
        <v>36</v>
      </c>
      <c r="Y5450" t="s">
        <v>22807</v>
      </c>
      <c r="Z5450" t="s">
        <v>28657</v>
      </c>
      <c r="AA5450">
        <v>0.5430863564235795</v>
      </c>
      <c r="AB5450" t="str">
        <f>HYPERLINK("Melting_Curves/meltCurve_Q9UBG0_MRC2.pdf", "Melting_Curves/meltCurve_Q9UBG0_MRC2.pdf")</f>
        <v>Melting_Curves/meltCurve_Q9UBG0_MRC2.pdf</v>
      </c>
    </row>
    <row r="5451" spans="1:28" x14ac:dyDescent="0.25">
      <c r="A5451" t="s">
        <v>5455</v>
      </c>
      <c r="B5451">
        <v>0.99334974765950101</v>
      </c>
      <c r="C5451">
        <v>1.0622919996450699</v>
      </c>
      <c r="D5451">
        <v>0.95723419428380097</v>
      </c>
      <c r="E5451">
        <v>1.10098029309235</v>
      </c>
      <c r="F5451">
        <v>1.3033694923043999</v>
      </c>
      <c r="G5451">
        <v>0.73620039258876802</v>
      </c>
      <c r="H5451">
        <v>0.44606288443606301</v>
      </c>
      <c r="I5451">
        <v>0.40369012219049799</v>
      </c>
      <c r="J5451">
        <v>0.39339497322697897</v>
      </c>
      <c r="K5451">
        <v>0.29281624259641498</v>
      </c>
      <c r="L5451">
        <v>6605.2980455928</v>
      </c>
      <c r="M5451">
        <v>115.590895236246</v>
      </c>
      <c r="N5451">
        <v>57.874629211818799</v>
      </c>
      <c r="O5451">
        <v>57.126658723480901</v>
      </c>
      <c r="P5451">
        <v>-0.31168066090923702</v>
      </c>
      <c r="Q5451">
        <v>0.38385202157648401</v>
      </c>
      <c r="R5451">
        <v>0.89727486574070503</v>
      </c>
      <c r="S5451" t="s">
        <v>11312</v>
      </c>
      <c r="T5451" t="s">
        <v>11720</v>
      </c>
      <c r="U5451" t="s">
        <v>11720</v>
      </c>
      <c r="V5451" t="s">
        <v>11720</v>
      </c>
      <c r="W5451" t="s">
        <v>17112</v>
      </c>
      <c r="X5451">
        <v>8</v>
      </c>
      <c r="Y5451" t="s">
        <v>22808</v>
      </c>
      <c r="Z5451" t="s">
        <v>28658</v>
      </c>
      <c r="AA5451">
        <v>0.73624434204945099</v>
      </c>
      <c r="AB5451" t="str">
        <f>HYPERLINK("Melting_Curves/meltCurve_Q9UBI6_GNG12.pdf", "Melting_Curves/meltCurve_Q9UBI6_GNG12.pdf")</f>
        <v>Melting_Curves/meltCurve_Q9UBI6_GNG12.pdf</v>
      </c>
    </row>
    <row r="5452" spans="1:28" x14ac:dyDescent="0.25">
      <c r="A5452" t="s">
        <v>5456</v>
      </c>
      <c r="B5452">
        <v>0.99334974765950101</v>
      </c>
      <c r="C5452">
        <v>0.89802958643013298</v>
      </c>
      <c r="D5452">
        <v>0.61633923633621301</v>
      </c>
      <c r="E5452">
        <v>0.27428950824370901</v>
      </c>
      <c r="F5452">
        <v>0.242109767698409</v>
      </c>
      <c r="G5452">
        <v>0.140067306744727</v>
      </c>
      <c r="H5452">
        <v>0.104048678653047</v>
      </c>
      <c r="I5452">
        <v>7.90104054806645E-2</v>
      </c>
      <c r="J5452">
        <v>8.5456958512369396E-2</v>
      </c>
      <c r="K5452">
        <v>7.1037367281239897E-2</v>
      </c>
      <c r="L5452">
        <v>904.64668220101896</v>
      </c>
      <c r="M5452">
        <v>19.2737523267411</v>
      </c>
      <c r="N5452">
        <v>47.434572421557498</v>
      </c>
      <c r="O5452">
        <v>46.440199204447403</v>
      </c>
      <c r="P5452">
        <v>-9.4258309500940704E-2</v>
      </c>
      <c r="Q5452">
        <v>9.15708177614665E-2</v>
      </c>
      <c r="R5452">
        <v>0.99345481488389598</v>
      </c>
      <c r="S5452" t="s">
        <v>11313</v>
      </c>
      <c r="T5452" t="s">
        <v>11720</v>
      </c>
      <c r="U5452" t="s">
        <v>11720</v>
      </c>
      <c r="V5452" t="s">
        <v>11720</v>
      </c>
      <c r="W5452" t="s">
        <v>17113</v>
      </c>
      <c r="X5452">
        <v>9</v>
      </c>
      <c r="Y5452" t="s">
        <v>22809</v>
      </c>
      <c r="Z5452" t="s">
        <v>28659</v>
      </c>
      <c r="AA5452">
        <v>0.31609147327873588</v>
      </c>
      <c r="AB5452" t="str">
        <f>HYPERLINK("Melting_Curves/meltCurve_Q9UBK8_2_MTRR.pdf", "Melting_Curves/meltCurve_Q9UBK8_2_MTRR.pdf")</f>
        <v>Melting_Curves/meltCurve_Q9UBK8_2_MTRR.pdf</v>
      </c>
    </row>
    <row r="5453" spans="1:28" x14ac:dyDescent="0.25">
      <c r="A5453" t="s">
        <v>5457</v>
      </c>
      <c r="B5453">
        <v>0.99334974765950101</v>
      </c>
      <c r="C5453">
        <v>0.93726769237350505</v>
      </c>
      <c r="D5453">
        <v>1.02736239377892</v>
      </c>
      <c r="E5453">
        <v>1.30670564592414</v>
      </c>
      <c r="F5453">
        <v>1.75347673524003</v>
      </c>
      <c r="G5453">
        <v>1.1468997810939601</v>
      </c>
      <c r="H5453">
        <v>0.71796028549167101</v>
      </c>
      <c r="I5453">
        <v>0.51835471823917101</v>
      </c>
      <c r="J5453">
        <v>0.53455997464308702</v>
      </c>
      <c r="K5453">
        <v>0.38593976680633402</v>
      </c>
      <c r="L5453">
        <v>5444.2208993090899</v>
      </c>
      <c r="M5453">
        <v>89.381078681971402</v>
      </c>
      <c r="N5453">
        <v>63.0723076141389</v>
      </c>
      <c r="O5453">
        <v>60.879746051014003</v>
      </c>
      <c r="P5453">
        <v>-0.19209071013003401</v>
      </c>
      <c r="Q5453">
        <v>0.47664840455263602</v>
      </c>
      <c r="R5453">
        <v>0.546822024567585</v>
      </c>
      <c r="S5453" t="s">
        <v>11314</v>
      </c>
      <c r="T5453" t="s">
        <v>11720</v>
      </c>
      <c r="U5453" t="s">
        <v>11720</v>
      </c>
      <c r="V5453" t="s">
        <v>11720</v>
      </c>
      <c r="W5453" t="s">
        <v>17114</v>
      </c>
      <c r="X5453">
        <v>1</v>
      </c>
      <c r="Y5453" t="s">
        <v>22810</v>
      </c>
      <c r="Z5453" t="s">
        <v>28660</v>
      </c>
      <c r="AA5453">
        <v>0.84186643757483293</v>
      </c>
      <c r="AB5453" t="str">
        <f>HYPERLINK("Melting_Curves/meltCurve_Q9UBK9_UXT.pdf", "Melting_Curves/meltCurve_Q9UBK9_UXT.pdf")</f>
        <v>Melting_Curves/meltCurve_Q9UBK9_UXT.pdf</v>
      </c>
    </row>
    <row r="5454" spans="1:28" x14ac:dyDescent="0.25">
      <c r="A5454" t="s">
        <v>5458</v>
      </c>
      <c r="B5454">
        <v>0.99334974765950101</v>
      </c>
      <c r="C5454">
        <v>0.93259189558665401</v>
      </c>
      <c r="D5454">
        <v>0.88891672380731201</v>
      </c>
      <c r="E5454">
        <v>0.56784922008067396</v>
      </c>
      <c r="F5454">
        <v>0.194147439710497</v>
      </c>
      <c r="G5454">
        <v>0.110223001730199</v>
      </c>
      <c r="H5454">
        <v>7.6623914021339307E-2</v>
      </c>
      <c r="I5454">
        <v>6.4332926622061595E-2</v>
      </c>
      <c r="J5454">
        <v>5.3707224385062501E-2</v>
      </c>
      <c r="K5454">
        <v>4.2148510812715201E-2</v>
      </c>
      <c r="L5454">
        <v>1278.73299918518</v>
      </c>
      <c r="M5454">
        <v>25.547741988961199</v>
      </c>
      <c r="N5454">
        <v>50.277276848109501</v>
      </c>
      <c r="O5454">
        <v>49.7490296628214</v>
      </c>
      <c r="P5454">
        <v>-0.12146132327786199</v>
      </c>
      <c r="Q5454">
        <v>5.3926803886032701E-2</v>
      </c>
      <c r="R5454">
        <v>0.99521210331416698</v>
      </c>
      <c r="S5454" t="s">
        <v>11315</v>
      </c>
      <c r="T5454" t="s">
        <v>11720</v>
      </c>
      <c r="U5454" t="s">
        <v>11720</v>
      </c>
      <c r="V5454" t="s">
        <v>11720</v>
      </c>
      <c r="W5454" t="s">
        <v>17115</v>
      </c>
      <c r="X5454">
        <v>13</v>
      </c>
      <c r="Y5454" t="s">
        <v>22811</v>
      </c>
      <c r="Z5454" t="s">
        <v>28661</v>
      </c>
      <c r="AA5454">
        <v>0.37904555290163833</v>
      </c>
      <c r="AB5454" t="str">
        <f>HYPERLINK("Melting_Curves/meltCurve_Q9UBL6_2_CPNE7.pdf", "Melting_Curves/meltCurve_Q9UBL6_2_CPNE7.pdf")</f>
        <v>Melting_Curves/meltCurve_Q9UBL6_2_CPNE7.pdf</v>
      </c>
    </row>
    <row r="5455" spans="1:28" x14ac:dyDescent="0.25">
      <c r="A5455" t="s">
        <v>5459</v>
      </c>
      <c r="B5455">
        <v>0.99334974765950101</v>
      </c>
      <c r="C5455">
        <v>1.0217225883265499</v>
      </c>
      <c r="D5455">
        <v>0.92362482224953801</v>
      </c>
      <c r="E5455">
        <v>0.87779556469722997</v>
      </c>
      <c r="F5455">
        <v>0.32930764060832202</v>
      </c>
      <c r="G5455">
        <v>0.20893108869296401</v>
      </c>
      <c r="H5455">
        <v>0.16497427382655999</v>
      </c>
      <c r="I5455">
        <v>0.14697050963810901</v>
      </c>
      <c r="J5455">
        <v>0.17733237064075899</v>
      </c>
      <c r="K5455">
        <v>0.14463008573936301</v>
      </c>
      <c r="L5455">
        <v>2742.3133125569002</v>
      </c>
      <c r="M5455">
        <v>53.1266822249274</v>
      </c>
      <c r="N5455">
        <v>52.015727823144402</v>
      </c>
      <c r="O5455">
        <v>51.545405462680101</v>
      </c>
      <c r="P5455">
        <v>-0.21469298308989099</v>
      </c>
      <c r="Q5455">
        <v>0.16678944607329299</v>
      </c>
      <c r="R5455">
        <v>0.993981355224556</v>
      </c>
      <c r="S5455" t="s">
        <v>11316</v>
      </c>
      <c r="T5455" t="s">
        <v>11720</v>
      </c>
      <c r="U5455" t="s">
        <v>11720</v>
      </c>
      <c r="V5455" t="s">
        <v>11720</v>
      </c>
      <c r="W5455" t="s">
        <v>17116</v>
      </c>
      <c r="X5455">
        <v>5</v>
      </c>
      <c r="Y5455" t="s">
        <v>22812</v>
      </c>
      <c r="Z5455" t="s">
        <v>28662</v>
      </c>
      <c r="AA5455">
        <v>0.491153981961441</v>
      </c>
      <c r="AB5455" t="str">
        <f>HYPERLINK("Melting_Curves/meltCurve_Q9UBM7_DHCR7.pdf", "Melting_Curves/meltCurve_Q9UBM7_DHCR7.pdf")</f>
        <v>Melting_Curves/meltCurve_Q9UBM7_DHCR7.pdf</v>
      </c>
    </row>
    <row r="5456" spans="1:28" x14ac:dyDescent="0.25">
      <c r="A5456" t="s">
        <v>5460</v>
      </c>
      <c r="B5456">
        <v>0.99334974765950101</v>
      </c>
      <c r="C5456">
        <v>1.07119709962603</v>
      </c>
      <c r="D5456">
        <v>0.96403501737666097</v>
      </c>
      <c r="E5456">
        <v>0.94214783013512604</v>
      </c>
      <c r="F5456">
        <v>1.1566089299564299</v>
      </c>
      <c r="G5456">
        <v>0.91790046992719798</v>
      </c>
      <c r="H5456">
        <v>0.93494614849913205</v>
      </c>
      <c r="I5456">
        <v>1.1466811811016899</v>
      </c>
      <c r="J5456">
        <v>1.3040355637443899</v>
      </c>
      <c r="K5456">
        <v>1.0577291989014901</v>
      </c>
      <c r="L5456">
        <v>15000</v>
      </c>
      <c r="M5456">
        <v>235.83042488446699</v>
      </c>
      <c r="O5456">
        <v>63.600450250147198</v>
      </c>
      <c r="P5456">
        <v>0.16768162284668101</v>
      </c>
      <c r="Q5456">
        <v>1.1808863596443799</v>
      </c>
      <c r="R5456">
        <v>0.45488277340573602</v>
      </c>
      <c r="S5456" t="s">
        <v>11317</v>
      </c>
      <c r="T5456" t="s">
        <v>11720</v>
      </c>
      <c r="U5456" t="s">
        <v>11720</v>
      </c>
      <c r="V5456" t="s">
        <v>11720</v>
      </c>
      <c r="W5456" t="s">
        <v>17117</v>
      </c>
      <c r="X5456">
        <v>5</v>
      </c>
      <c r="Y5456" t="s">
        <v>22813</v>
      </c>
      <c r="Z5456" t="s">
        <v>28663</v>
      </c>
      <c r="AA5456">
        <v>1.0385361019199111</v>
      </c>
      <c r="AB5456" t="str">
        <f>HYPERLINK("Melting_Curves/meltCurve_Q9UBN6_TNFRSF10D.pdf", "Melting_Curves/meltCurve_Q9UBN6_TNFRSF10D.pdf")</f>
        <v>Melting_Curves/meltCurve_Q9UBN6_TNFRSF10D.pdf</v>
      </c>
    </row>
    <row r="5457" spans="1:28" x14ac:dyDescent="0.25">
      <c r="A5457" t="s">
        <v>5461</v>
      </c>
      <c r="B5457">
        <v>0.99334974765950101</v>
      </c>
      <c r="C5457">
        <v>0.95363995128984602</v>
      </c>
      <c r="D5457">
        <v>0.62226245461893903</v>
      </c>
      <c r="E5457">
        <v>0.302817720161494</v>
      </c>
      <c r="F5457">
        <v>0.15910345911478699</v>
      </c>
      <c r="G5457">
        <v>0.13156506956868799</v>
      </c>
      <c r="H5457">
        <v>0.113338317319246</v>
      </c>
      <c r="I5457">
        <v>0.100074783533253</v>
      </c>
      <c r="J5457">
        <v>0.11075013220959901</v>
      </c>
      <c r="K5457">
        <v>7.4551563921994093E-2</v>
      </c>
      <c r="L5457">
        <v>1085.63302370665</v>
      </c>
      <c r="M5457">
        <v>23.1249398620627</v>
      </c>
      <c r="N5457">
        <v>47.419661418009397</v>
      </c>
      <c r="O5457">
        <v>46.599574660343102</v>
      </c>
      <c r="P5457">
        <v>-0.111280031178073</v>
      </c>
      <c r="Q5457">
        <v>0.103045098981126</v>
      </c>
      <c r="R5457">
        <v>0.99583783503036205</v>
      </c>
      <c r="S5457" t="s">
        <v>11318</v>
      </c>
      <c r="T5457" t="s">
        <v>11720</v>
      </c>
      <c r="U5457" t="s">
        <v>11720</v>
      </c>
      <c r="V5457" t="s">
        <v>11720</v>
      </c>
      <c r="W5457" t="s">
        <v>17118</v>
      </c>
      <c r="X5457">
        <v>7</v>
      </c>
      <c r="Y5457" t="s">
        <v>22814</v>
      </c>
      <c r="Z5457" t="s">
        <v>28664</v>
      </c>
      <c r="AA5457">
        <v>0.32026273672915001</v>
      </c>
      <c r="AB5457" t="str">
        <f>HYPERLINK("Melting_Curves/meltCurve_Q9UBP0_3_SPAST.pdf", "Melting_Curves/meltCurve_Q9UBP0_3_SPAST.pdf")</f>
        <v>Melting_Curves/meltCurve_Q9UBP0_3_SPAST.pdf</v>
      </c>
    </row>
    <row r="5458" spans="1:28" x14ac:dyDescent="0.25">
      <c r="A5458" t="s">
        <v>5462</v>
      </c>
      <c r="B5458">
        <v>0.99334974765950101</v>
      </c>
      <c r="C5458">
        <v>0.97443955935457205</v>
      </c>
      <c r="D5458">
        <v>1.02371694545765</v>
      </c>
      <c r="E5458">
        <v>0.896201960106214</v>
      </c>
      <c r="F5458">
        <v>0.70275593285614701</v>
      </c>
      <c r="G5458">
        <v>0.290725884253341</v>
      </c>
      <c r="H5458">
        <v>0.16537763458788701</v>
      </c>
      <c r="I5458">
        <v>0.142116200065802</v>
      </c>
      <c r="J5458">
        <v>0.163598395413977</v>
      </c>
      <c r="K5458">
        <v>0.146966952126595</v>
      </c>
      <c r="L5458">
        <v>1565.06246214826</v>
      </c>
      <c r="M5458">
        <v>28.9713362388535</v>
      </c>
      <c r="N5458">
        <v>54.656882996842903</v>
      </c>
      <c r="O5458">
        <v>53.765646040166899</v>
      </c>
      <c r="P5458">
        <v>-0.11544124115431199</v>
      </c>
      <c r="Q5458">
        <v>0.14305278598694099</v>
      </c>
      <c r="R5458">
        <v>0.997889233215983</v>
      </c>
      <c r="S5458" t="s">
        <v>11319</v>
      </c>
      <c r="T5458" t="s">
        <v>11720</v>
      </c>
      <c r="U5458" t="s">
        <v>11720</v>
      </c>
      <c r="V5458" t="s">
        <v>11720</v>
      </c>
      <c r="W5458" t="s">
        <v>17119</v>
      </c>
      <c r="X5458">
        <v>3</v>
      </c>
      <c r="Y5458" t="s">
        <v>22815</v>
      </c>
      <c r="Z5458" t="s">
        <v>28665</v>
      </c>
      <c r="AA5458">
        <v>0.54958373421608253</v>
      </c>
      <c r="AB5458" t="str">
        <f>HYPERLINK("Melting_Curves/meltCurve_Q9UBP6_METTL1.pdf", "Melting_Curves/meltCurve_Q9UBP6_METTL1.pdf")</f>
        <v>Melting_Curves/meltCurve_Q9UBP6_METTL1.pdf</v>
      </c>
    </row>
    <row r="5459" spans="1:28" x14ac:dyDescent="0.25">
      <c r="A5459" t="s">
        <v>5463</v>
      </c>
      <c r="B5459">
        <v>0.99334974765950101</v>
      </c>
      <c r="C5459">
        <v>0.90887740826548902</v>
      </c>
      <c r="D5459">
        <v>0.67762800554156999</v>
      </c>
      <c r="E5459">
        <v>0.33789173937996803</v>
      </c>
      <c r="F5459">
        <v>0.21322925814013599</v>
      </c>
      <c r="G5459">
        <v>0.119323810610309</v>
      </c>
      <c r="H5459">
        <v>9.3337810066853405E-2</v>
      </c>
      <c r="I5459">
        <v>0.10573464356132301</v>
      </c>
      <c r="J5459">
        <v>8.7002930280880506E-2</v>
      </c>
      <c r="K5459">
        <v>7.2651274572787805E-2</v>
      </c>
      <c r="L5459">
        <v>913.79872541143095</v>
      </c>
      <c r="M5459">
        <v>19.212739598489101</v>
      </c>
      <c r="N5459">
        <v>48.028895838132001</v>
      </c>
      <c r="O5459">
        <v>47.055866085657499</v>
      </c>
      <c r="P5459">
        <v>-9.3384896015568195E-2</v>
      </c>
      <c r="Q5459">
        <v>8.51616661377783E-2</v>
      </c>
      <c r="R5459">
        <v>0.99898883192960297</v>
      </c>
      <c r="S5459" t="s">
        <v>11320</v>
      </c>
      <c r="T5459" t="s">
        <v>11720</v>
      </c>
      <c r="U5459" t="s">
        <v>11720</v>
      </c>
      <c r="V5459" t="s">
        <v>11720</v>
      </c>
      <c r="W5459" t="s">
        <v>17120</v>
      </c>
      <c r="X5459">
        <v>7</v>
      </c>
      <c r="Y5459" t="s">
        <v>22816</v>
      </c>
      <c r="Z5459" t="s">
        <v>28666</v>
      </c>
      <c r="AA5459">
        <v>0.33009379701538738</v>
      </c>
      <c r="AB5459" t="str">
        <f>HYPERLINK("Melting_Curves/meltCurve_Q9UBP9_4_GULP1.pdf", "Melting_Curves/meltCurve_Q9UBP9_4_GULP1.pdf")</f>
        <v>Melting_Curves/meltCurve_Q9UBP9_4_GULP1.pdf</v>
      </c>
    </row>
    <row r="5460" spans="1:28" x14ac:dyDescent="0.25">
      <c r="A5460" t="s">
        <v>5464</v>
      </c>
      <c r="B5460">
        <v>0.99334974765950101</v>
      </c>
      <c r="C5460">
        <v>1.0108829960085499</v>
      </c>
      <c r="D5460">
        <v>1.06716153962981</v>
      </c>
      <c r="E5460">
        <v>1.0229237392865</v>
      </c>
      <c r="F5460">
        <v>1.15031859733504</v>
      </c>
      <c r="G5460">
        <v>0.80711805218522603</v>
      </c>
      <c r="H5460">
        <v>0.40272243460934798</v>
      </c>
      <c r="I5460">
        <v>0.19756238183035399</v>
      </c>
      <c r="J5460">
        <v>0.166440762534007</v>
      </c>
      <c r="K5460">
        <v>0.14509313351440201</v>
      </c>
      <c r="L5460">
        <v>2106.89049632762</v>
      </c>
      <c r="M5460">
        <v>35.483902595660297</v>
      </c>
      <c r="N5460">
        <v>59.960200468276099</v>
      </c>
      <c r="O5460">
        <v>59.188315952002903</v>
      </c>
      <c r="P5460">
        <v>-0.12797207293844101</v>
      </c>
      <c r="Q5460">
        <v>0.14615635346403499</v>
      </c>
      <c r="R5460">
        <v>0.97886114349759301</v>
      </c>
      <c r="S5460" t="s">
        <v>11321</v>
      </c>
      <c r="T5460" t="s">
        <v>11720</v>
      </c>
      <c r="U5460" t="s">
        <v>11720</v>
      </c>
      <c r="V5460" t="s">
        <v>11720</v>
      </c>
      <c r="W5460" t="s">
        <v>17121</v>
      </c>
      <c r="X5460">
        <v>14</v>
      </c>
      <c r="Y5460" t="s">
        <v>22817</v>
      </c>
      <c r="Z5460" t="s">
        <v>28667</v>
      </c>
      <c r="AA5460">
        <v>0.70176427528119023</v>
      </c>
      <c r="AB5460" t="str">
        <f>HYPERLINK("Melting_Curves/meltCurve_Q9UBQ0_VPS29.pdf", "Melting_Curves/meltCurve_Q9UBQ0_VPS29.pdf")</f>
        <v>Melting_Curves/meltCurve_Q9UBQ0_VPS29.pdf</v>
      </c>
    </row>
    <row r="5461" spans="1:28" x14ac:dyDescent="0.25">
      <c r="A5461" t="s">
        <v>5465</v>
      </c>
      <c r="B5461">
        <v>0.99334974765950101</v>
      </c>
      <c r="C5461">
        <v>1.0261052269814901</v>
      </c>
      <c r="D5461">
        <v>0.93849441772410003</v>
      </c>
      <c r="E5461">
        <v>0.80227732774900595</v>
      </c>
      <c r="F5461">
        <v>0.460159946992095</v>
      </c>
      <c r="G5461">
        <v>0.125002549576505</v>
      </c>
      <c r="H5461">
        <v>7.8356755486880703E-2</v>
      </c>
      <c r="I5461">
        <v>5.2668241657297998E-2</v>
      </c>
      <c r="J5461">
        <v>5.0216098262937603E-2</v>
      </c>
      <c r="K5461">
        <v>3.4042760078647101E-2</v>
      </c>
      <c r="L5461">
        <v>1409.65512205094</v>
      </c>
      <c r="M5461">
        <v>26.876633255608201</v>
      </c>
      <c r="N5461">
        <v>52.6224046456312</v>
      </c>
      <c r="O5461">
        <v>52.161313961412198</v>
      </c>
      <c r="P5461">
        <v>-0.123360134845084</v>
      </c>
      <c r="Q5461">
        <v>4.2355975473853502E-2</v>
      </c>
      <c r="R5461">
        <v>0.99817981922274701</v>
      </c>
      <c r="S5461" t="s">
        <v>11322</v>
      </c>
      <c r="T5461" t="s">
        <v>11720</v>
      </c>
      <c r="U5461" t="s">
        <v>11720</v>
      </c>
      <c r="V5461" t="s">
        <v>11720</v>
      </c>
      <c r="W5461" t="s">
        <v>17122</v>
      </c>
      <c r="X5461">
        <v>18</v>
      </c>
      <c r="Y5461" t="s">
        <v>22818</v>
      </c>
      <c r="Z5461" t="s">
        <v>28668</v>
      </c>
      <c r="AA5461">
        <v>0.44738845748899803</v>
      </c>
      <c r="AB5461" t="str">
        <f>HYPERLINK("Melting_Curves/meltCurve_Q9UBQ7_GRHPR.pdf", "Melting_Curves/meltCurve_Q9UBQ7_GRHPR.pdf")</f>
        <v>Melting_Curves/meltCurve_Q9UBQ7_GRHPR.pdf</v>
      </c>
    </row>
    <row r="5462" spans="1:28" x14ac:dyDescent="0.25">
      <c r="A5462" t="s">
        <v>5466</v>
      </c>
      <c r="B5462">
        <v>0.99334974765950101</v>
      </c>
      <c r="C5462">
        <v>1.0459180102930199</v>
      </c>
      <c r="D5462">
        <v>1.0361655532037</v>
      </c>
      <c r="E5462">
        <v>0.91152962025248296</v>
      </c>
      <c r="F5462">
        <v>0.90628442654489805</v>
      </c>
      <c r="G5462">
        <v>0.62559860081781204</v>
      </c>
      <c r="H5462">
        <v>0.359262435534489</v>
      </c>
      <c r="I5462">
        <v>0.24955882112862601</v>
      </c>
      <c r="J5462">
        <v>0.21317780673596301</v>
      </c>
      <c r="K5462">
        <v>0.17186025905476099</v>
      </c>
      <c r="L5462">
        <v>1192.8154654002799</v>
      </c>
      <c r="M5462">
        <v>20.689682360073999</v>
      </c>
      <c r="N5462">
        <v>58.722037801623799</v>
      </c>
      <c r="O5462">
        <v>57.122186176171297</v>
      </c>
      <c r="P5462">
        <v>-7.6339192796702801E-2</v>
      </c>
      <c r="Q5462">
        <v>0.15696390682358499</v>
      </c>
      <c r="R5462">
        <v>0.99377591044438995</v>
      </c>
      <c r="S5462" t="s">
        <v>11323</v>
      </c>
      <c r="T5462" t="s">
        <v>11720</v>
      </c>
      <c r="U5462" t="s">
        <v>11720</v>
      </c>
      <c r="V5462" t="s">
        <v>11720</v>
      </c>
      <c r="W5462" t="s">
        <v>17123</v>
      </c>
      <c r="X5462">
        <v>14</v>
      </c>
      <c r="Y5462" t="s">
        <v>22819</v>
      </c>
      <c r="Z5462" t="s">
        <v>28669</v>
      </c>
      <c r="AA5462">
        <v>0.66251960499937013</v>
      </c>
      <c r="AB5462" t="str">
        <f>HYPERLINK("Melting_Curves/meltCurve_Q9UBR2_CTSZ.pdf", "Melting_Curves/meltCurve_Q9UBR2_CTSZ.pdf")</f>
        <v>Melting_Curves/meltCurve_Q9UBR2_CTSZ.pdf</v>
      </c>
    </row>
    <row r="5463" spans="1:28" x14ac:dyDescent="0.25">
      <c r="A5463" t="s">
        <v>5467</v>
      </c>
      <c r="B5463">
        <v>0.99334974765950101</v>
      </c>
      <c r="C5463">
        <v>0.95185702782600501</v>
      </c>
      <c r="D5463">
        <v>0.687334865365689</v>
      </c>
      <c r="E5463">
        <v>0.38157936157717998</v>
      </c>
      <c r="F5463">
        <v>0.389752849085508</v>
      </c>
      <c r="G5463">
        <v>0.34718700582248202</v>
      </c>
      <c r="H5463">
        <v>0.257237563087507</v>
      </c>
      <c r="I5463">
        <v>0.190071875112369</v>
      </c>
      <c r="J5463">
        <v>0.12440791098687499</v>
      </c>
      <c r="K5463">
        <v>6.5282743414719804E-2</v>
      </c>
      <c r="L5463">
        <v>634.56024614741796</v>
      </c>
      <c r="M5463">
        <v>13.079406749384001</v>
      </c>
      <c r="N5463">
        <v>49.772637478943899</v>
      </c>
      <c r="O5463">
        <v>47.423888344987198</v>
      </c>
      <c r="P5463">
        <v>-5.9264005971295698E-2</v>
      </c>
      <c r="Q5463">
        <v>0.140620107723265</v>
      </c>
      <c r="R5463">
        <v>0.95320922495223404</v>
      </c>
      <c r="S5463" t="s">
        <v>11324</v>
      </c>
      <c r="T5463" t="s">
        <v>11720</v>
      </c>
      <c r="U5463" t="s">
        <v>11720</v>
      </c>
      <c r="V5463" t="s">
        <v>11720</v>
      </c>
      <c r="W5463" t="s">
        <v>17124</v>
      </c>
      <c r="X5463">
        <v>7</v>
      </c>
      <c r="Y5463" t="s">
        <v>22820</v>
      </c>
      <c r="Z5463" t="s">
        <v>28670</v>
      </c>
      <c r="AA5463">
        <v>0.41250757116318421</v>
      </c>
      <c r="AB5463" t="str">
        <f>HYPERLINK("Melting_Curves/meltCurve_Q9UBS0_RPS6KB2.pdf", "Melting_Curves/meltCurve_Q9UBS0_RPS6KB2.pdf")</f>
        <v>Melting_Curves/meltCurve_Q9UBS0_RPS6KB2.pdf</v>
      </c>
    </row>
    <row r="5464" spans="1:28" x14ac:dyDescent="0.25">
      <c r="A5464" t="s">
        <v>5468</v>
      </c>
      <c r="B5464">
        <v>0.99334974765950101</v>
      </c>
      <c r="C5464">
        <v>1.01238219965632</v>
      </c>
      <c r="D5464">
        <v>1.08775342364659</v>
      </c>
      <c r="E5464">
        <v>1.22511115230856</v>
      </c>
      <c r="F5464">
        <v>1.24386201488655</v>
      </c>
      <c r="G5464">
        <v>1.0992055067828099</v>
      </c>
      <c r="H5464">
        <v>0.77911691821084195</v>
      </c>
      <c r="I5464">
        <v>0.67744197429141695</v>
      </c>
      <c r="J5464">
        <v>0.40436012548892603</v>
      </c>
      <c r="K5464">
        <v>0.31187394079803599</v>
      </c>
      <c r="L5464">
        <v>1861.16631106556</v>
      </c>
      <c r="M5464">
        <v>29.039708986102699</v>
      </c>
      <c r="N5464">
        <v>65.679214555479504</v>
      </c>
      <c r="O5464">
        <v>63.788776595405501</v>
      </c>
      <c r="P5464">
        <v>-8.5095037462086895E-2</v>
      </c>
      <c r="Q5464">
        <v>0.25232472902755698</v>
      </c>
      <c r="R5464">
        <v>0.85431606778807601</v>
      </c>
      <c r="S5464" t="s">
        <v>11325</v>
      </c>
      <c r="T5464" t="s">
        <v>11720</v>
      </c>
      <c r="U5464" t="s">
        <v>11720</v>
      </c>
      <c r="V5464" t="s">
        <v>11720</v>
      </c>
      <c r="W5464" t="s">
        <v>12305</v>
      </c>
      <c r="X5464">
        <v>6</v>
      </c>
      <c r="Y5464" t="s">
        <v>18103</v>
      </c>
      <c r="Z5464" t="s">
        <v>28671</v>
      </c>
      <c r="AA5464">
        <v>0.85315973606402717</v>
      </c>
      <c r="AB5464" t="str">
        <f>HYPERLINK("Melting_Curves/meltCurve_Q9UBS4_DNAJB11.pdf", "Melting_Curves/meltCurve_Q9UBS4_DNAJB11.pdf")</f>
        <v>Melting_Curves/meltCurve_Q9UBS4_DNAJB11.pdf</v>
      </c>
    </row>
    <row r="5465" spans="1:28" x14ac:dyDescent="0.25">
      <c r="A5465" t="s">
        <v>5469</v>
      </c>
      <c r="B5465">
        <v>0.99334974765950101</v>
      </c>
      <c r="C5465">
        <v>0.92250509411540105</v>
      </c>
      <c r="D5465">
        <v>0.76582660370642497</v>
      </c>
      <c r="E5465">
        <v>0.46726175344149301</v>
      </c>
      <c r="F5465">
        <v>0.185221672671356</v>
      </c>
      <c r="G5465">
        <v>9.9580468290886903E-2</v>
      </c>
      <c r="H5465">
        <v>7.8212125212221997E-2</v>
      </c>
      <c r="I5465">
        <v>6.7153380930239898E-2</v>
      </c>
      <c r="J5465">
        <v>5.4131585621162902E-2</v>
      </c>
      <c r="K5465">
        <v>5.1040975223503801E-2</v>
      </c>
      <c r="L5465">
        <v>928.99483135502601</v>
      </c>
      <c r="M5465">
        <v>18.992634656509999</v>
      </c>
      <c r="N5465">
        <v>49.170114501409998</v>
      </c>
      <c r="O5465">
        <v>48.380853206989599</v>
      </c>
      <c r="P5465">
        <v>-9.3513121443388594E-2</v>
      </c>
      <c r="Q5465">
        <v>4.7196298879646603E-2</v>
      </c>
      <c r="R5465">
        <v>0.99699446600091202</v>
      </c>
      <c r="S5465" t="s">
        <v>11326</v>
      </c>
      <c r="T5465" t="s">
        <v>11720</v>
      </c>
      <c r="U5465" t="s">
        <v>11720</v>
      </c>
      <c r="V5465" t="s">
        <v>11720</v>
      </c>
      <c r="W5465" t="s">
        <v>17125</v>
      </c>
      <c r="X5465">
        <v>11</v>
      </c>
      <c r="Y5465" t="s">
        <v>22821</v>
      </c>
      <c r="Z5465" t="s">
        <v>28672</v>
      </c>
      <c r="AA5465">
        <v>0.34512508230916539</v>
      </c>
      <c r="AB5465" t="str">
        <f>HYPERLINK("Melting_Curves/meltCurve_Q9UBS8_RNF14.pdf", "Melting_Curves/meltCurve_Q9UBS8_RNF14.pdf")</f>
        <v>Melting_Curves/meltCurve_Q9UBS8_RNF14.pdf</v>
      </c>
    </row>
    <row r="5466" spans="1:28" x14ac:dyDescent="0.25">
      <c r="A5466" t="s">
        <v>5470</v>
      </c>
      <c r="B5466">
        <v>0.99334974765950101</v>
      </c>
      <c r="C5466">
        <v>0.98502957025951698</v>
      </c>
      <c r="D5466">
        <v>0.96497068886922399</v>
      </c>
      <c r="E5466">
        <v>0.83628632537280101</v>
      </c>
      <c r="F5466">
        <v>0.33851196836243602</v>
      </c>
      <c r="G5466">
        <v>0.15257178886255199</v>
      </c>
      <c r="H5466">
        <v>0.10251549851224299</v>
      </c>
      <c r="I5466">
        <v>9.6971552251630802E-2</v>
      </c>
      <c r="J5466">
        <v>8.2628746192636299E-2</v>
      </c>
      <c r="K5466">
        <v>6.2938733726612794E-2</v>
      </c>
      <c r="L5466">
        <v>2094.9452155537301</v>
      </c>
      <c r="M5466">
        <v>40.4583747062184</v>
      </c>
      <c r="N5466">
        <v>52.045749521374397</v>
      </c>
      <c r="O5466">
        <v>51.654240156348003</v>
      </c>
      <c r="P5466">
        <v>-0.17755645116091601</v>
      </c>
      <c r="Q5466">
        <v>9.3238371386679605E-2</v>
      </c>
      <c r="R5466">
        <v>0.99762636421647699</v>
      </c>
      <c r="S5466" t="s">
        <v>11327</v>
      </c>
      <c r="T5466" t="s">
        <v>11720</v>
      </c>
      <c r="U5466" t="s">
        <v>11720</v>
      </c>
      <c r="V5466" t="s">
        <v>11720</v>
      </c>
      <c r="W5466" t="s">
        <v>17126</v>
      </c>
      <c r="X5466">
        <v>23</v>
      </c>
      <c r="Y5466" t="s">
        <v>22822</v>
      </c>
      <c r="Z5466" t="s">
        <v>28673</v>
      </c>
      <c r="AA5466">
        <v>0.45247209247470599</v>
      </c>
      <c r="AB5466" t="str">
        <f>HYPERLINK("Melting_Curves/meltCurve_Q9UBT2_UBA2.pdf", "Melting_Curves/meltCurve_Q9UBT2_UBA2.pdf")</f>
        <v>Melting_Curves/meltCurve_Q9UBT2_UBA2.pdf</v>
      </c>
    </row>
    <row r="5467" spans="1:28" x14ac:dyDescent="0.25">
      <c r="A5467" t="s">
        <v>5471</v>
      </c>
      <c r="B5467">
        <v>0.99334974765950101</v>
      </c>
      <c r="C5467">
        <v>1.45141537475006</v>
      </c>
      <c r="D5467">
        <v>1.14667557338335</v>
      </c>
      <c r="E5467">
        <v>1.1983206971973901</v>
      </c>
      <c r="F5467">
        <v>0.46432814341944201</v>
      </c>
      <c r="G5467">
        <v>0.32085244868617402</v>
      </c>
      <c r="H5467">
        <v>0.280719953601692</v>
      </c>
      <c r="I5467">
        <v>0.28764525565541899</v>
      </c>
      <c r="J5467">
        <v>0.35800430682429102</v>
      </c>
      <c r="K5467">
        <v>0.34983575562633401</v>
      </c>
      <c r="L5467">
        <v>13180.7105252413</v>
      </c>
      <c r="M5467">
        <v>250</v>
      </c>
      <c r="N5467">
        <v>52.938469555807202</v>
      </c>
      <c r="O5467">
        <v>52.719468217808902</v>
      </c>
      <c r="P5467">
        <v>-0.80685166402709996</v>
      </c>
      <c r="Q5467">
        <v>0.31941135064197201</v>
      </c>
      <c r="R5467">
        <v>0.85667875082995704</v>
      </c>
      <c r="S5467" t="s">
        <v>11328</v>
      </c>
      <c r="T5467" t="s">
        <v>11720</v>
      </c>
      <c r="U5467" t="s">
        <v>11720</v>
      </c>
      <c r="V5467" t="s">
        <v>11720</v>
      </c>
      <c r="W5467" t="s">
        <v>17127</v>
      </c>
      <c r="X5467">
        <v>2</v>
      </c>
      <c r="Y5467" t="s">
        <v>22823</v>
      </c>
      <c r="Z5467" t="s">
        <v>28674</v>
      </c>
      <c r="AA5467">
        <v>0.60810838803989531</v>
      </c>
      <c r="AB5467" t="str">
        <f>HYPERLINK("Melting_Curves/meltCurve_Q9UBT7_2_CTNNAL1.pdf", "Melting_Curves/meltCurve_Q9UBT7_2_CTNNAL1.pdf")</f>
        <v>Melting_Curves/meltCurve_Q9UBT7_2_CTNNAL1.pdf</v>
      </c>
    </row>
    <row r="5468" spans="1:28" x14ac:dyDescent="0.25">
      <c r="A5468" t="s">
        <v>5472</v>
      </c>
      <c r="B5468">
        <v>0.99334974765950101</v>
      </c>
      <c r="C5468">
        <v>0.91821315542237802</v>
      </c>
      <c r="D5468">
        <v>0.85938842818760897</v>
      </c>
      <c r="E5468">
        <v>0.74640105895306397</v>
      </c>
      <c r="F5468">
        <v>0.57032600100272801</v>
      </c>
      <c r="G5468">
        <v>0.37829150469328199</v>
      </c>
      <c r="H5468">
        <v>0.29836141185342802</v>
      </c>
      <c r="I5468">
        <v>0.26626926733788198</v>
      </c>
      <c r="J5468">
        <v>0.21530406611310801</v>
      </c>
      <c r="K5468">
        <v>0.18700189908034401</v>
      </c>
      <c r="L5468">
        <v>613.08878692764904</v>
      </c>
      <c r="M5468">
        <v>11.5770239952698</v>
      </c>
      <c r="N5468">
        <v>54.573298793589203</v>
      </c>
      <c r="O5468">
        <v>51.451250823358897</v>
      </c>
      <c r="P5468">
        <v>-4.8102984967071001E-2</v>
      </c>
      <c r="Q5468">
        <v>0.14510899357087201</v>
      </c>
      <c r="R5468">
        <v>0.99607898575416698</v>
      </c>
      <c r="S5468" t="s">
        <v>11329</v>
      </c>
      <c r="T5468" t="s">
        <v>11720</v>
      </c>
      <c r="U5468" t="s">
        <v>11720</v>
      </c>
      <c r="V5468" t="s">
        <v>11720</v>
      </c>
      <c r="W5468" t="s">
        <v>17128</v>
      </c>
      <c r="X5468">
        <v>4</v>
      </c>
      <c r="Y5468" t="s">
        <v>22824</v>
      </c>
      <c r="Z5468" t="s">
        <v>28675</v>
      </c>
      <c r="AA5468">
        <v>0.53975309514765979</v>
      </c>
      <c r="AB5468" t="str">
        <f>HYPERLINK("Melting_Curves/meltCurve_Q9UBU6_FAM8A1.pdf", "Melting_Curves/meltCurve_Q9UBU6_FAM8A1.pdf")</f>
        <v>Melting_Curves/meltCurve_Q9UBU6_FAM8A1.pdf</v>
      </c>
    </row>
    <row r="5469" spans="1:28" x14ac:dyDescent="0.25">
      <c r="A5469" t="s">
        <v>5473</v>
      </c>
      <c r="B5469">
        <v>0.99334974765950101</v>
      </c>
      <c r="C5469">
        <v>1.0368963394292201</v>
      </c>
      <c r="D5469">
        <v>1.1433442451403799</v>
      </c>
      <c r="E5469">
        <v>1.5007566386559901</v>
      </c>
      <c r="F5469">
        <v>0.82829215031014902</v>
      </c>
      <c r="G5469">
        <v>0.52237506721438598</v>
      </c>
      <c r="H5469">
        <v>0.32134683264927999</v>
      </c>
      <c r="I5469">
        <v>0.29064352228266299</v>
      </c>
      <c r="J5469">
        <v>0.25032005875410501</v>
      </c>
      <c r="K5469">
        <v>0.24167384810388001</v>
      </c>
      <c r="L5469">
        <v>2137.5614446776499</v>
      </c>
      <c r="M5469">
        <v>38.198164919124103</v>
      </c>
      <c r="N5469">
        <v>57.101879477200299</v>
      </c>
      <c r="O5469">
        <v>55.8070860092526</v>
      </c>
      <c r="P5469">
        <v>-0.125412103562178</v>
      </c>
      <c r="Q5469">
        <v>0.26709922529902802</v>
      </c>
      <c r="R5469">
        <v>0.83875399485268298</v>
      </c>
      <c r="S5469" t="s">
        <v>11330</v>
      </c>
      <c r="T5469" t="s">
        <v>11720</v>
      </c>
      <c r="U5469" t="s">
        <v>11720</v>
      </c>
      <c r="V5469" t="s">
        <v>11720</v>
      </c>
      <c r="W5469" t="s">
        <v>17129</v>
      </c>
      <c r="X5469">
        <v>5</v>
      </c>
      <c r="Y5469" t="s">
        <v>22825</v>
      </c>
      <c r="Z5469" t="s">
        <v>28676</v>
      </c>
      <c r="AA5469">
        <v>0.66008141636515016</v>
      </c>
      <c r="AB5469" t="str">
        <f>HYPERLINK("Melting_Curves/meltCurve_Q9UBV2_SEL1L.pdf", "Melting_Curves/meltCurve_Q9UBV2_SEL1L.pdf")</f>
        <v>Melting_Curves/meltCurve_Q9UBV2_SEL1L.pdf</v>
      </c>
    </row>
    <row r="5470" spans="1:28" x14ac:dyDescent="0.25">
      <c r="A5470" t="s">
        <v>5474</v>
      </c>
      <c r="B5470">
        <v>0.99334974765950101</v>
      </c>
      <c r="C5470">
        <v>1.03611207875641</v>
      </c>
      <c r="D5470">
        <v>0.94252974290886105</v>
      </c>
      <c r="E5470">
        <v>0.86227532830117803</v>
      </c>
      <c r="F5470">
        <v>0.71595383582263405</v>
      </c>
      <c r="G5470">
        <v>0.18302613852826699</v>
      </c>
      <c r="H5470">
        <v>9.7904398074521795E-2</v>
      </c>
      <c r="I5470">
        <v>7.5912965260582499E-2</v>
      </c>
      <c r="J5470">
        <v>7.3970879568921594E-2</v>
      </c>
      <c r="K5470">
        <v>5.6335159377543603E-2</v>
      </c>
      <c r="L5470">
        <v>1677.3158971157</v>
      </c>
      <c r="M5470">
        <v>31.0203734542246</v>
      </c>
      <c r="N5470">
        <v>54.300374471174202</v>
      </c>
      <c r="O5470">
        <v>53.848205600872603</v>
      </c>
      <c r="P5470">
        <v>-0.13519020837867901</v>
      </c>
      <c r="Q5470">
        <v>6.1299682188194801E-2</v>
      </c>
      <c r="R5470">
        <v>0.99284421287895996</v>
      </c>
      <c r="S5470" t="s">
        <v>11331</v>
      </c>
      <c r="T5470" t="s">
        <v>11720</v>
      </c>
      <c r="U5470" t="s">
        <v>11720</v>
      </c>
      <c r="V5470" t="s">
        <v>11720</v>
      </c>
      <c r="W5470" t="s">
        <v>17130</v>
      </c>
      <c r="X5470">
        <v>5</v>
      </c>
      <c r="Y5470" t="s">
        <v>22826</v>
      </c>
      <c r="Z5470" t="s">
        <v>28677</v>
      </c>
      <c r="AA5470">
        <v>0.50737954396496088</v>
      </c>
      <c r="AB5470" t="str">
        <f>HYPERLINK("Melting_Curves/meltCurve_Q9UBV8_PEF1.pdf", "Melting_Curves/meltCurve_Q9UBV8_PEF1.pdf")</f>
        <v>Melting_Curves/meltCurve_Q9UBV8_PEF1.pdf</v>
      </c>
    </row>
    <row r="5471" spans="1:28" x14ac:dyDescent="0.25">
      <c r="A5471" t="s">
        <v>5475</v>
      </c>
      <c r="B5471">
        <v>0.99334974765950101</v>
      </c>
      <c r="C5471">
        <v>1.0230420511266001</v>
      </c>
      <c r="D5471">
        <v>1.0306959847622399</v>
      </c>
      <c r="E5471">
        <v>1.17306546325936</v>
      </c>
      <c r="F5471">
        <v>1.26425357600555</v>
      </c>
      <c r="G5471">
        <v>0.53584484857490899</v>
      </c>
      <c r="H5471">
        <v>0.20655117470202899</v>
      </c>
      <c r="I5471">
        <v>0.151439432584795</v>
      </c>
      <c r="J5471">
        <v>0.12969921465576401</v>
      </c>
      <c r="K5471">
        <v>0.10747029881227201</v>
      </c>
      <c r="L5471">
        <v>11655.901007664101</v>
      </c>
      <c r="M5471">
        <v>204.671140438084</v>
      </c>
      <c r="N5471">
        <v>57.047873948248302</v>
      </c>
      <c r="O5471">
        <v>56.943992669588603</v>
      </c>
      <c r="P5471">
        <v>-0.764866640077694</v>
      </c>
      <c r="Q5471">
        <v>0.14878968809037299</v>
      </c>
      <c r="R5471">
        <v>0.94856763173800696</v>
      </c>
      <c r="S5471" t="s">
        <v>11332</v>
      </c>
      <c r="T5471" t="s">
        <v>11720</v>
      </c>
      <c r="U5471" t="s">
        <v>11720</v>
      </c>
      <c r="V5471" t="s">
        <v>11720</v>
      </c>
      <c r="W5471" t="s">
        <v>17131</v>
      </c>
      <c r="X5471">
        <v>5</v>
      </c>
      <c r="Y5471" t="s">
        <v>22827</v>
      </c>
      <c r="Z5471" t="s">
        <v>28678</v>
      </c>
      <c r="AA5471">
        <v>0.62983376199090768</v>
      </c>
      <c r="AB5471" t="str">
        <f>HYPERLINK("Melting_Curves/meltCurve_Q9UBW8_COPS7A.pdf", "Melting_Curves/meltCurve_Q9UBW8_COPS7A.pdf")</f>
        <v>Melting_Curves/meltCurve_Q9UBW8_COPS7A.pdf</v>
      </c>
    </row>
    <row r="5472" spans="1:28" x14ac:dyDescent="0.25">
      <c r="A5472" t="s">
        <v>5476</v>
      </c>
      <c r="B5472">
        <v>0.99334974765950101</v>
      </c>
      <c r="C5472">
        <v>0.93355454645414004</v>
      </c>
      <c r="D5472">
        <v>0.98736928153534698</v>
      </c>
      <c r="E5472">
        <v>0.89783730914493898</v>
      </c>
      <c r="F5472">
        <v>0.90507365418973296</v>
      </c>
      <c r="G5472">
        <v>0.77637404129348198</v>
      </c>
      <c r="H5472">
        <v>0.87777009948342799</v>
      </c>
      <c r="I5472">
        <v>0.94621606103628797</v>
      </c>
      <c r="J5472">
        <v>1.2416090744833199</v>
      </c>
      <c r="K5472">
        <v>1.1921636166813601</v>
      </c>
      <c r="L5472">
        <v>9511.5373423802994</v>
      </c>
      <c r="M5472">
        <v>144.93856106270599</v>
      </c>
      <c r="O5472">
        <v>65.612144814581598</v>
      </c>
      <c r="P5472">
        <v>0.12192116675760301</v>
      </c>
      <c r="Q5472">
        <v>1.22076958786054</v>
      </c>
      <c r="R5472">
        <v>0.47887927093279598</v>
      </c>
      <c r="S5472" t="s">
        <v>11333</v>
      </c>
      <c r="T5472" t="s">
        <v>11720</v>
      </c>
      <c r="U5472" t="s">
        <v>11720</v>
      </c>
      <c r="V5472" t="s">
        <v>11720</v>
      </c>
      <c r="W5472" t="s">
        <v>17132</v>
      </c>
      <c r="X5472">
        <v>6</v>
      </c>
      <c r="Y5472" t="s">
        <v>22828</v>
      </c>
      <c r="Z5472" t="s">
        <v>28679</v>
      </c>
      <c r="AA5472">
        <v>1.0321231617710589</v>
      </c>
      <c r="AB5472" t="str">
        <f>HYPERLINK("Melting_Curves/meltCurve_Q9UBY9_HSPB7.pdf", "Melting_Curves/meltCurve_Q9UBY9_HSPB7.pdf")</f>
        <v>Melting_Curves/meltCurve_Q9UBY9_HSPB7.pdf</v>
      </c>
    </row>
    <row r="5473" spans="1:28" x14ac:dyDescent="0.25">
      <c r="A5473" t="s">
        <v>5477</v>
      </c>
      <c r="B5473">
        <v>0.99334974765950101</v>
      </c>
      <c r="C5473">
        <v>0.97287050633650396</v>
      </c>
      <c r="D5473">
        <v>0.85182629757272799</v>
      </c>
      <c r="E5473">
        <v>0.86638285015122796</v>
      </c>
      <c r="F5473">
        <v>0.216745936571483</v>
      </c>
      <c r="G5473">
        <v>8.7194027351953599E-2</v>
      </c>
      <c r="H5473">
        <v>7.5463767328383405E-2</v>
      </c>
      <c r="I5473">
        <v>6.3533341493258094E-2</v>
      </c>
      <c r="J5473">
        <v>4.2858143671565298E-2</v>
      </c>
      <c r="K5473">
        <v>0</v>
      </c>
      <c r="L5473">
        <v>2916.27666690768</v>
      </c>
      <c r="M5473">
        <v>56.557775996448299</v>
      </c>
      <c r="N5473">
        <v>51.663857009146199</v>
      </c>
      <c r="O5473">
        <v>51.498428181846798</v>
      </c>
      <c r="P5473">
        <v>-0.26018191689207198</v>
      </c>
      <c r="Q5473">
        <v>5.2370293360326302E-2</v>
      </c>
      <c r="R5473">
        <v>0.98451635549133198</v>
      </c>
      <c r="S5473" t="s">
        <v>11334</v>
      </c>
      <c r="T5473" t="s">
        <v>11720</v>
      </c>
      <c r="U5473" t="s">
        <v>11720</v>
      </c>
      <c r="V5473" t="s">
        <v>11720</v>
      </c>
      <c r="W5473" t="s">
        <v>17133</v>
      </c>
      <c r="X5473">
        <v>2</v>
      </c>
      <c r="Y5473" t="s">
        <v>22829</v>
      </c>
      <c r="Z5473" t="s">
        <v>28680</v>
      </c>
      <c r="AA5473">
        <v>0.41929412008608141</v>
      </c>
      <c r="AB5473" t="str">
        <f>HYPERLINK("Melting_Curves/meltCurve_Q9UDR5_AASS.pdf", "Melting_Curves/meltCurve_Q9UDR5_AASS.pdf")</f>
        <v>Melting_Curves/meltCurve_Q9UDR5_AASS.pdf</v>
      </c>
    </row>
    <row r="5474" spans="1:28" x14ac:dyDescent="0.25">
      <c r="A5474" t="s">
        <v>5478</v>
      </c>
      <c r="B5474">
        <v>0.99334974765950101</v>
      </c>
      <c r="C5474">
        <v>1.0623041362468799</v>
      </c>
      <c r="D5474">
        <v>1.00621604272742</v>
      </c>
      <c r="E5474">
        <v>0.897391890914784</v>
      </c>
      <c r="F5474">
        <v>0.725137989613033</v>
      </c>
      <c r="G5474">
        <v>0.55999239429002001</v>
      </c>
      <c r="H5474">
        <v>0.48652575653561198</v>
      </c>
      <c r="I5474">
        <v>0.44719783560835602</v>
      </c>
      <c r="J5474">
        <v>0.46190729821579701</v>
      </c>
      <c r="K5474">
        <v>0.42517071836306303</v>
      </c>
      <c r="L5474">
        <v>1186.55844983976</v>
      </c>
      <c r="M5474">
        <v>22.2634765750872</v>
      </c>
      <c r="N5474">
        <v>59.042185925540302</v>
      </c>
      <c r="O5474">
        <v>52.871784804180201</v>
      </c>
      <c r="P5474">
        <v>-5.8666579034923602E-2</v>
      </c>
      <c r="Q5474">
        <v>0.44272123482460302</v>
      </c>
      <c r="R5474">
        <v>0.99043012916534201</v>
      </c>
      <c r="S5474" t="s">
        <v>11335</v>
      </c>
      <c r="T5474" t="s">
        <v>11720</v>
      </c>
      <c r="U5474" t="s">
        <v>11720</v>
      </c>
      <c r="V5474" t="s">
        <v>11720</v>
      </c>
      <c r="W5474" t="s">
        <v>17134</v>
      </c>
      <c r="X5474">
        <v>42</v>
      </c>
      <c r="Y5474" t="s">
        <v>22830</v>
      </c>
      <c r="Z5474" t="s">
        <v>28681</v>
      </c>
      <c r="AA5474">
        <v>0.69606016527514458</v>
      </c>
      <c r="AB5474" t="str">
        <f>HYPERLINK("Melting_Curves/meltCurve_Q9UDT6_2_CLIP2.pdf", "Melting_Curves/meltCurve_Q9UDT6_2_CLIP2.pdf")</f>
        <v>Melting_Curves/meltCurve_Q9UDT6_2_CLIP2.pdf</v>
      </c>
    </row>
    <row r="5475" spans="1:28" x14ac:dyDescent="0.25">
      <c r="A5475" t="s">
        <v>5479</v>
      </c>
      <c r="B5475">
        <v>0.99334974765950101</v>
      </c>
      <c r="C5475">
        <v>0.98979793972901198</v>
      </c>
      <c r="D5475">
        <v>1.02261447055196</v>
      </c>
      <c r="E5475">
        <v>0.91130948365120401</v>
      </c>
      <c r="F5475">
        <v>1.1170766941085599</v>
      </c>
      <c r="G5475">
        <v>1.08818649823084</v>
      </c>
      <c r="H5475">
        <v>1.24313965346065</v>
      </c>
      <c r="I5475">
        <v>1.4789286389131699</v>
      </c>
      <c r="J5475">
        <v>0.880755569474581</v>
      </c>
      <c r="K5475">
        <v>0.72710261002295995</v>
      </c>
      <c r="L5475">
        <v>15000</v>
      </c>
      <c r="M5475">
        <v>223.62624546579201</v>
      </c>
      <c r="O5475">
        <v>67.070836473223906</v>
      </c>
      <c r="P5475">
        <v>-0.227498860219879</v>
      </c>
      <c r="Q5475">
        <v>0.72707067841876005</v>
      </c>
      <c r="R5475">
        <v>0.17643134511797701</v>
      </c>
      <c r="S5475" t="s">
        <v>11336</v>
      </c>
      <c r="T5475" t="s">
        <v>11720</v>
      </c>
      <c r="U5475" t="s">
        <v>11720</v>
      </c>
      <c r="V5475" t="s">
        <v>11720</v>
      </c>
      <c r="W5475" t="s">
        <v>17135</v>
      </c>
      <c r="X5475">
        <v>1</v>
      </c>
      <c r="Y5475" t="s">
        <v>22831</v>
      </c>
      <c r="Z5475" t="s">
        <v>28682</v>
      </c>
      <c r="AA5475">
        <v>0.97344025114498189</v>
      </c>
      <c r="AB5475" t="str">
        <f>HYPERLINK("Melting_Curves/meltCurve_Q9UDW1_UQCR10.pdf", "Melting_Curves/meltCurve_Q9UDW1_UQCR10.pdf")</f>
        <v>Melting_Curves/meltCurve_Q9UDW1_UQCR10.pdf</v>
      </c>
    </row>
    <row r="5476" spans="1:28" x14ac:dyDescent="0.25">
      <c r="A5476" t="s">
        <v>5480</v>
      </c>
      <c r="B5476">
        <v>0.99334974765950101</v>
      </c>
      <c r="C5476">
        <v>0.92787028136472405</v>
      </c>
      <c r="D5476">
        <v>0.884625777569084</v>
      </c>
      <c r="E5476">
        <v>0.65845245722499601</v>
      </c>
      <c r="F5476">
        <v>0.44554109870037101</v>
      </c>
      <c r="G5476">
        <v>0.28056263889055499</v>
      </c>
      <c r="H5476">
        <v>0.24264863773217701</v>
      </c>
      <c r="I5476">
        <v>0.21942327850361601</v>
      </c>
      <c r="J5476">
        <v>0.243930195986722</v>
      </c>
      <c r="K5476">
        <v>0.212453404333769</v>
      </c>
      <c r="L5476">
        <v>907.41436906420699</v>
      </c>
      <c r="M5476">
        <v>17.9591333000905</v>
      </c>
      <c r="N5476">
        <v>52.101484098566203</v>
      </c>
      <c r="O5476">
        <v>49.912647892870098</v>
      </c>
      <c r="P5476">
        <v>-7.1115363126761505E-2</v>
      </c>
      <c r="Q5476">
        <v>0.209454199684279</v>
      </c>
      <c r="R5476">
        <v>0.99677201386063397</v>
      </c>
      <c r="S5476" t="s">
        <v>11337</v>
      </c>
      <c r="T5476" t="s">
        <v>11720</v>
      </c>
      <c r="U5476" t="s">
        <v>11720</v>
      </c>
      <c r="V5476" t="s">
        <v>11720</v>
      </c>
      <c r="W5476" t="s">
        <v>17136</v>
      </c>
      <c r="X5476">
        <v>6</v>
      </c>
      <c r="Y5476" t="s">
        <v>22832</v>
      </c>
      <c r="Z5476" t="s">
        <v>28683</v>
      </c>
      <c r="AA5476">
        <v>0.50029728275361796</v>
      </c>
      <c r="AB5476" t="str">
        <f>HYPERLINK("Melting_Curves/meltCurve_Q9UDY2_6_TJP2.pdf", "Melting_Curves/meltCurve_Q9UDY2_6_TJP2.pdf")</f>
        <v>Melting_Curves/meltCurve_Q9UDY2_6_TJP2.pdf</v>
      </c>
    </row>
    <row r="5477" spans="1:28" x14ac:dyDescent="0.25">
      <c r="A5477" t="s">
        <v>5481</v>
      </c>
      <c r="B5477">
        <v>0.99334974765950101</v>
      </c>
      <c r="C5477">
        <v>0.96710604672132705</v>
      </c>
      <c r="D5477">
        <v>0.90310771106367105</v>
      </c>
      <c r="E5477">
        <v>0.55893175664622996</v>
      </c>
      <c r="F5477">
        <v>0.19246595927702201</v>
      </c>
      <c r="G5477">
        <v>0.13905620401108901</v>
      </c>
      <c r="H5477">
        <v>0.112652431471734</v>
      </c>
      <c r="I5477">
        <v>9.4433559525853403E-2</v>
      </c>
      <c r="J5477">
        <v>9.5533343440031199E-2</v>
      </c>
      <c r="K5477">
        <v>8.3867167321814803E-2</v>
      </c>
      <c r="L5477">
        <v>1471.3072280819099</v>
      </c>
      <c r="M5477">
        <v>29.4912227628671</v>
      </c>
      <c r="N5477">
        <v>50.248466428901899</v>
      </c>
      <c r="O5477">
        <v>49.661950223682098</v>
      </c>
      <c r="P5477">
        <v>-0.13436451915436201</v>
      </c>
      <c r="Q5477">
        <v>9.4949855036511502E-2</v>
      </c>
      <c r="R5477">
        <v>0.99689815781546098</v>
      </c>
      <c r="S5477" t="s">
        <v>11338</v>
      </c>
      <c r="T5477" t="s">
        <v>11720</v>
      </c>
      <c r="U5477" t="s">
        <v>11720</v>
      </c>
      <c r="V5477" t="s">
        <v>11720</v>
      </c>
      <c r="W5477" t="s">
        <v>17137</v>
      </c>
      <c r="X5477">
        <v>12</v>
      </c>
      <c r="Y5477" t="s">
        <v>22833</v>
      </c>
      <c r="Z5477" t="s">
        <v>28684</v>
      </c>
      <c r="AA5477">
        <v>0.39908958122002341</v>
      </c>
      <c r="AB5477" t="str">
        <f>HYPERLINK("Melting_Curves/meltCurve_Q9UDY4_DNAJB4.pdf", "Melting_Curves/meltCurve_Q9UDY4_DNAJB4.pdf")</f>
        <v>Melting_Curves/meltCurve_Q9UDY4_DNAJB4.pdf</v>
      </c>
    </row>
    <row r="5478" spans="1:28" x14ac:dyDescent="0.25">
      <c r="A5478" t="s">
        <v>5482</v>
      </c>
      <c r="B5478">
        <v>0.99334974765950101</v>
      </c>
      <c r="C5478">
        <v>0.92004205769481895</v>
      </c>
      <c r="D5478">
        <v>0.82699815423954504</v>
      </c>
      <c r="E5478">
        <v>0.35994115911854502</v>
      </c>
      <c r="F5478">
        <v>0.211514067259685</v>
      </c>
      <c r="G5478">
        <v>0.153194929883679</v>
      </c>
      <c r="H5478">
        <v>0.13703340776071599</v>
      </c>
      <c r="I5478">
        <v>0.113508154286017</v>
      </c>
      <c r="J5478">
        <v>9.5793583225738901E-2</v>
      </c>
      <c r="K5478">
        <v>7.8502066866924999E-2</v>
      </c>
      <c r="L5478">
        <v>1180.08469448814</v>
      </c>
      <c r="M5478">
        <v>24.4188372560909</v>
      </c>
      <c r="N5478">
        <v>48.8183497477538</v>
      </c>
      <c r="O5478">
        <v>48.006199500520303</v>
      </c>
      <c r="P5478">
        <v>-0.11330753558725699</v>
      </c>
      <c r="Q5478">
        <v>0.10898546515219</v>
      </c>
      <c r="R5478">
        <v>0.995799905742071</v>
      </c>
      <c r="S5478" t="s">
        <v>11339</v>
      </c>
      <c r="T5478" t="s">
        <v>11720</v>
      </c>
      <c r="U5478" t="s">
        <v>11720</v>
      </c>
      <c r="V5478" t="s">
        <v>11720</v>
      </c>
      <c r="W5478" t="s">
        <v>17138</v>
      </c>
      <c r="X5478">
        <v>10</v>
      </c>
      <c r="Y5478" t="s">
        <v>22834</v>
      </c>
      <c r="Z5478" t="s">
        <v>28685</v>
      </c>
      <c r="AA5478">
        <v>0.36456923722256218</v>
      </c>
      <c r="AB5478" t="str">
        <f>HYPERLINK("Melting_Curves/meltCurve_Q9UDY8_MALT1.pdf", "Melting_Curves/meltCurve_Q9UDY8_MALT1.pdf")</f>
        <v>Melting_Curves/meltCurve_Q9UDY8_MALT1.pdf</v>
      </c>
    </row>
    <row r="5479" spans="1:28" x14ac:dyDescent="0.25">
      <c r="A5479" t="s">
        <v>5483</v>
      </c>
      <c r="B5479">
        <v>0.99334974765950101</v>
      </c>
      <c r="C5479">
        <v>1.0041213121144099</v>
      </c>
      <c r="D5479">
        <v>0.93509056054828299</v>
      </c>
      <c r="E5479">
        <v>0.82919796668147605</v>
      </c>
      <c r="F5479">
        <v>0.88091136828846295</v>
      </c>
      <c r="G5479">
        <v>0.71886184421035304</v>
      </c>
      <c r="H5479">
        <v>0.77200968277248105</v>
      </c>
      <c r="I5479">
        <v>0.78175976339105102</v>
      </c>
      <c r="J5479">
        <v>1.0058113408592699</v>
      </c>
      <c r="K5479">
        <v>0.89481053551868395</v>
      </c>
      <c r="L5479">
        <v>11517.331524355101</v>
      </c>
      <c r="M5479">
        <v>250</v>
      </c>
      <c r="O5479">
        <v>46.066396463651003</v>
      </c>
      <c r="P5479">
        <v>-0.21642634158868199</v>
      </c>
      <c r="Q5479">
        <v>0.84048035733025195</v>
      </c>
      <c r="R5479">
        <v>0.43361564701674898</v>
      </c>
      <c r="S5479" t="s">
        <v>11340</v>
      </c>
      <c r="T5479" t="s">
        <v>11720</v>
      </c>
      <c r="U5479" t="s">
        <v>11720</v>
      </c>
      <c r="V5479" t="s">
        <v>11720</v>
      </c>
      <c r="W5479" t="s">
        <v>17139</v>
      </c>
      <c r="X5479">
        <v>8</v>
      </c>
      <c r="Y5479" t="s">
        <v>22835</v>
      </c>
      <c r="Z5479" t="s">
        <v>28686</v>
      </c>
      <c r="AA5479">
        <v>0.87276581232181283</v>
      </c>
      <c r="AB5479" t="str">
        <f>HYPERLINK("Melting_Curves/meltCurve_Q9UEE9_CFDP1.pdf", "Melting_Curves/meltCurve_Q9UEE9_CFDP1.pdf")</f>
        <v>Melting_Curves/meltCurve_Q9UEE9_CFDP1.pdf</v>
      </c>
    </row>
    <row r="5480" spans="1:28" x14ac:dyDescent="0.25">
      <c r="A5480" t="s">
        <v>5484</v>
      </c>
      <c r="B5480">
        <v>0.99334974765950101</v>
      </c>
      <c r="C5480">
        <v>0.91903001226303904</v>
      </c>
      <c r="D5480">
        <v>1.1128585250349501</v>
      </c>
      <c r="E5480">
        <v>1.24318224060597</v>
      </c>
      <c r="F5480">
        <v>0.31352593534398898</v>
      </c>
      <c r="G5480">
        <v>0.25283866658627902</v>
      </c>
      <c r="H5480">
        <v>0.24743961571499401</v>
      </c>
      <c r="I5480">
        <v>0.31433023934562099</v>
      </c>
      <c r="J5480">
        <v>0.30162319371256502</v>
      </c>
      <c r="K5480">
        <v>0.25100125952101399</v>
      </c>
      <c r="L5480">
        <v>13099.492673346</v>
      </c>
      <c r="M5480">
        <v>250</v>
      </c>
      <c r="N5480">
        <v>52.564411076579098</v>
      </c>
      <c r="O5480">
        <v>52.3946182544097</v>
      </c>
      <c r="P5480">
        <v>-0.86669076405825096</v>
      </c>
      <c r="Q5480">
        <v>0.27344110269001998</v>
      </c>
      <c r="R5480">
        <v>0.94682168525992705</v>
      </c>
      <c r="S5480" t="s">
        <v>11341</v>
      </c>
      <c r="T5480" t="s">
        <v>11720</v>
      </c>
      <c r="U5480" t="s">
        <v>11720</v>
      </c>
      <c r="V5480" t="s">
        <v>11720</v>
      </c>
      <c r="W5480" t="s">
        <v>17140</v>
      </c>
      <c r="X5480">
        <v>1</v>
      </c>
      <c r="Y5480" t="s">
        <v>22836</v>
      </c>
      <c r="Z5480" t="s">
        <v>28687</v>
      </c>
      <c r="AA5480">
        <v>0.57376977918145766</v>
      </c>
      <c r="AB5480" t="str">
        <f>HYPERLINK("Melting_Curves/meltCurve_Q9UET6_2_FTSJ1.pdf", "Melting_Curves/meltCurve_Q9UET6_2_FTSJ1.pdf")</f>
        <v>Melting_Curves/meltCurve_Q9UET6_2_FTSJ1.pdf</v>
      </c>
    </row>
    <row r="5481" spans="1:28" x14ac:dyDescent="0.25">
      <c r="A5481" t="s">
        <v>5485</v>
      </c>
      <c r="B5481">
        <v>0.99334974765950101</v>
      </c>
      <c r="C5481">
        <v>0.95045374897077695</v>
      </c>
      <c r="D5481">
        <v>0.87297528442790195</v>
      </c>
      <c r="E5481">
        <v>0.82420338056979603</v>
      </c>
      <c r="F5481">
        <v>0.96476825907513397</v>
      </c>
      <c r="G5481">
        <v>0.84473760464011904</v>
      </c>
      <c r="H5481">
        <v>0.77070854071082195</v>
      </c>
      <c r="I5481">
        <v>0.72463869356939803</v>
      </c>
      <c r="J5481">
        <v>0.83910886385035999</v>
      </c>
      <c r="K5481">
        <v>0.639736652003569</v>
      </c>
      <c r="L5481">
        <v>222.697646763276</v>
      </c>
      <c r="M5481">
        <v>2.3091537300644598</v>
      </c>
      <c r="O5481">
        <v>62.314710679344898</v>
      </c>
      <c r="P5481">
        <v>-9.8471411095900907E-3</v>
      </c>
      <c r="Q5481">
        <v>0</v>
      </c>
      <c r="R5481">
        <v>0.67980762077409995</v>
      </c>
      <c r="S5481" t="s">
        <v>11342</v>
      </c>
      <c r="T5481" t="s">
        <v>11720</v>
      </c>
      <c r="U5481" t="s">
        <v>11720</v>
      </c>
      <c r="V5481" t="s">
        <v>11720</v>
      </c>
      <c r="W5481" t="s">
        <v>17141</v>
      </c>
      <c r="X5481">
        <v>12</v>
      </c>
      <c r="Y5481" t="s">
        <v>22837</v>
      </c>
      <c r="Z5481" t="s">
        <v>28688</v>
      </c>
      <c r="AA5481">
        <v>0.84519826736442238</v>
      </c>
      <c r="AB5481" t="str">
        <f>HYPERLINK("Melting_Curves/meltCurve_Q9UEU0_VTI1B.pdf", "Melting_Curves/meltCurve_Q9UEU0_VTI1B.pdf")</f>
        <v>Melting_Curves/meltCurve_Q9UEU0_VTI1B.pdf</v>
      </c>
    </row>
    <row r="5482" spans="1:28" x14ac:dyDescent="0.25">
      <c r="A5482" t="s">
        <v>5486</v>
      </c>
      <c r="B5482">
        <v>0.99334974765950101</v>
      </c>
      <c r="C5482">
        <v>0.95880301751844899</v>
      </c>
      <c r="D5482">
        <v>0.55667570860563798</v>
      </c>
      <c r="E5482">
        <v>0.18999452342838299</v>
      </c>
      <c r="F5482">
        <v>0.19844880102344301</v>
      </c>
      <c r="G5482">
        <v>8.7011062961869501E-2</v>
      </c>
      <c r="H5482">
        <v>8.1250928483747195E-2</v>
      </c>
      <c r="I5482">
        <v>5.6968297554668798E-2</v>
      </c>
      <c r="J5482">
        <v>8.8875827015891598E-2</v>
      </c>
      <c r="K5482">
        <v>4.7219685619335303E-2</v>
      </c>
      <c r="L5482">
        <v>1300.10828236405</v>
      </c>
      <c r="M5482">
        <v>28.0841582757369</v>
      </c>
      <c r="N5482">
        <v>46.609131818366798</v>
      </c>
      <c r="O5482">
        <v>46.060506832886901</v>
      </c>
      <c r="P5482">
        <v>-0.13922530100969399</v>
      </c>
      <c r="Q5482">
        <v>8.6640861876981598E-2</v>
      </c>
      <c r="R5482">
        <v>0.98959008461548503</v>
      </c>
      <c r="S5482" t="s">
        <v>11343</v>
      </c>
      <c r="T5482" t="s">
        <v>11720</v>
      </c>
      <c r="U5482" t="s">
        <v>11720</v>
      </c>
      <c r="V5482" t="s">
        <v>11720</v>
      </c>
      <c r="W5482" t="s">
        <v>17142</v>
      </c>
      <c r="X5482">
        <v>10</v>
      </c>
      <c r="Y5482" t="s">
        <v>22838</v>
      </c>
      <c r="Z5482" t="s">
        <v>28689</v>
      </c>
      <c r="AA5482">
        <v>0.28464232116510058</v>
      </c>
      <c r="AB5482" t="str">
        <f>HYPERLINK("Melting_Curves/meltCurve_Q9UEW8_STK39.pdf", "Melting_Curves/meltCurve_Q9UEW8_STK39.pdf")</f>
        <v>Melting_Curves/meltCurve_Q9UEW8_STK39.pdf</v>
      </c>
    </row>
    <row r="5483" spans="1:28" x14ac:dyDescent="0.25">
      <c r="A5483" t="s">
        <v>5487</v>
      </c>
      <c r="B5483">
        <v>0.99334974765950101</v>
      </c>
      <c r="C5483">
        <v>1.00259075164789</v>
      </c>
      <c r="D5483">
        <v>1.0480323792444699</v>
      </c>
      <c r="E5483">
        <v>0.95681282393354306</v>
      </c>
      <c r="F5483">
        <v>0.879346670213493</v>
      </c>
      <c r="G5483">
        <v>0.64645307438443</v>
      </c>
      <c r="H5483">
        <v>0.53709050052396201</v>
      </c>
      <c r="I5483">
        <v>0.58794059030220003</v>
      </c>
      <c r="J5483">
        <v>0.44002474491696097</v>
      </c>
      <c r="K5483">
        <v>0.244990853393033</v>
      </c>
      <c r="L5483">
        <v>588.46513164696898</v>
      </c>
      <c r="M5483">
        <v>9.3498520481734708</v>
      </c>
      <c r="N5483">
        <v>63.553768519424501</v>
      </c>
      <c r="O5483">
        <v>60.260589784602899</v>
      </c>
      <c r="P5483">
        <v>-3.7133969060311002E-2</v>
      </c>
      <c r="Q5483">
        <v>4.3274909662203397E-2</v>
      </c>
      <c r="R5483">
        <v>0.94743530546965304</v>
      </c>
      <c r="S5483" t="s">
        <v>11344</v>
      </c>
      <c r="T5483" t="s">
        <v>11720</v>
      </c>
      <c r="U5483" t="s">
        <v>11720</v>
      </c>
      <c r="V5483" t="s">
        <v>11720</v>
      </c>
      <c r="W5483" t="s">
        <v>17143</v>
      </c>
      <c r="X5483">
        <v>19</v>
      </c>
      <c r="Y5483" t="s">
        <v>22839</v>
      </c>
      <c r="Z5483" t="s">
        <v>28690</v>
      </c>
      <c r="AA5483">
        <v>0.74087981295584848</v>
      </c>
      <c r="AB5483" t="str">
        <f>HYPERLINK("Melting_Curves/meltCurve_Q9UEY8_2_ADD3.pdf", "Melting_Curves/meltCurve_Q9UEY8_2_ADD3.pdf")</f>
        <v>Melting_Curves/meltCurve_Q9UEY8_2_ADD3.pdf</v>
      </c>
    </row>
    <row r="5484" spans="1:28" x14ac:dyDescent="0.25">
      <c r="A5484" t="s">
        <v>5488</v>
      </c>
      <c r="B5484">
        <v>0.99334974765950101</v>
      </c>
      <c r="C5484">
        <v>0.689561007173076</v>
      </c>
      <c r="D5484">
        <v>1.0193960447916099</v>
      </c>
      <c r="E5484">
        <v>1.0553126634223</v>
      </c>
      <c r="F5484">
        <v>1.0680547943226599</v>
      </c>
      <c r="G5484">
        <v>0.67843524533291499</v>
      </c>
      <c r="H5484">
        <v>0.32864997108921001</v>
      </c>
      <c r="I5484">
        <v>0.23209637429608401</v>
      </c>
      <c r="J5484">
        <v>0.16112538321655701</v>
      </c>
      <c r="K5484">
        <v>0.18057478506108901</v>
      </c>
      <c r="L5484">
        <v>2089.7978697958401</v>
      </c>
      <c r="M5484">
        <v>36.072673466894202</v>
      </c>
      <c r="N5484">
        <v>58.687976850621297</v>
      </c>
      <c r="O5484">
        <v>57.755817912933502</v>
      </c>
      <c r="P5484">
        <v>-0.127157824751609</v>
      </c>
      <c r="Q5484">
        <v>0.18563502044934499</v>
      </c>
      <c r="R5484">
        <v>0.91556327796574799</v>
      </c>
      <c r="S5484" t="s">
        <v>11345</v>
      </c>
      <c r="T5484" t="s">
        <v>11720</v>
      </c>
      <c r="U5484" t="s">
        <v>11720</v>
      </c>
      <c r="V5484" t="s">
        <v>11720</v>
      </c>
      <c r="W5484" t="s">
        <v>17144</v>
      </c>
      <c r="X5484">
        <v>6</v>
      </c>
      <c r="Y5484" t="s">
        <v>22840</v>
      </c>
      <c r="Z5484" t="s">
        <v>28691</v>
      </c>
      <c r="AA5484">
        <v>0.67631812198564101</v>
      </c>
      <c r="AB5484" t="str">
        <f>HYPERLINK("Melting_Curves/meltCurve_Q9UFG5_C19orf25.pdf", "Melting_Curves/meltCurve_Q9UFG5_C19orf25.pdf")</f>
        <v>Melting_Curves/meltCurve_Q9UFG5_C19orf25.pdf</v>
      </c>
    </row>
    <row r="5485" spans="1:28" x14ac:dyDescent="0.25">
      <c r="A5485" t="s">
        <v>5489</v>
      </c>
      <c r="B5485">
        <v>0.99334974765950101</v>
      </c>
      <c r="C5485">
        <v>1.04103489455151</v>
      </c>
      <c r="D5485">
        <v>0.98532524713123903</v>
      </c>
      <c r="E5485">
        <v>0.86323679549639198</v>
      </c>
      <c r="F5485">
        <v>0.76541148250951496</v>
      </c>
      <c r="G5485">
        <v>0.45077324528194401</v>
      </c>
      <c r="H5485">
        <v>0.25533354199414998</v>
      </c>
      <c r="I5485">
        <v>0.16115253378143801</v>
      </c>
      <c r="J5485">
        <v>0.12789560406258699</v>
      </c>
      <c r="K5485">
        <v>9.73896141124099E-2</v>
      </c>
      <c r="L5485">
        <v>966.38653731448096</v>
      </c>
      <c r="M5485">
        <v>17.278943997553601</v>
      </c>
      <c r="N5485">
        <v>56.435124594379801</v>
      </c>
      <c r="O5485">
        <v>55.1955543338034</v>
      </c>
      <c r="P5485">
        <v>-7.2644731426439194E-2</v>
      </c>
      <c r="Q5485">
        <v>7.1833315782880297E-2</v>
      </c>
      <c r="R5485">
        <v>0.99722162507899803</v>
      </c>
      <c r="S5485" t="s">
        <v>11346</v>
      </c>
      <c r="T5485" t="s">
        <v>11720</v>
      </c>
      <c r="U5485" t="s">
        <v>11720</v>
      </c>
      <c r="V5485" t="s">
        <v>11720</v>
      </c>
      <c r="W5485" t="s">
        <v>17145</v>
      </c>
      <c r="X5485">
        <v>2</v>
      </c>
      <c r="Y5485" t="s">
        <v>22841</v>
      </c>
      <c r="Z5485" t="s">
        <v>28692</v>
      </c>
      <c r="AA5485">
        <v>0.57904346578958577</v>
      </c>
      <c r="AB5485" t="str">
        <f>HYPERLINK("Melting_Curves/meltCurve_Q9UFN0_NIPSNAP3A.pdf", "Melting_Curves/meltCurve_Q9UFN0_NIPSNAP3A.pdf")</f>
        <v>Melting_Curves/meltCurve_Q9UFN0_NIPSNAP3A.pdf</v>
      </c>
    </row>
    <row r="5486" spans="1:28" x14ac:dyDescent="0.25">
      <c r="A5486" t="s">
        <v>5490</v>
      </c>
      <c r="B5486">
        <v>0.99334974765950101</v>
      </c>
      <c r="C5486">
        <v>0.94854843700592995</v>
      </c>
      <c r="D5486">
        <v>0.817072393593538</v>
      </c>
      <c r="E5486">
        <v>0.72985287965789702</v>
      </c>
      <c r="F5486">
        <v>0.604711229470561</v>
      </c>
      <c r="G5486">
        <v>0.45320727400560301</v>
      </c>
      <c r="H5486">
        <v>0.48243692649224701</v>
      </c>
      <c r="I5486">
        <v>0.471898432424664</v>
      </c>
      <c r="J5486">
        <v>0.73117379023224904</v>
      </c>
      <c r="K5486">
        <v>0.65659959607591201</v>
      </c>
      <c r="L5486">
        <v>963.55781369999102</v>
      </c>
      <c r="M5486">
        <v>20.360899619032502</v>
      </c>
      <c r="O5486">
        <v>46.874529112566599</v>
      </c>
      <c r="P5486">
        <v>-4.7567134283963898E-2</v>
      </c>
      <c r="Q5486">
        <v>0.561980179423059</v>
      </c>
      <c r="R5486">
        <v>0.78512966198357503</v>
      </c>
      <c r="S5486" t="s">
        <v>11347</v>
      </c>
      <c r="T5486" t="s">
        <v>11720</v>
      </c>
      <c r="U5486" t="s">
        <v>11720</v>
      </c>
      <c r="V5486" t="s">
        <v>11720</v>
      </c>
      <c r="W5486" t="s">
        <v>17146</v>
      </c>
      <c r="X5486">
        <v>1</v>
      </c>
      <c r="Y5486" t="s">
        <v>22842</v>
      </c>
      <c r="Z5486" t="s">
        <v>28693</v>
      </c>
      <c r="AA5486">
        <v>0.67500880166350041</v>
      </c>
      <c r="AB5486" t="str">
        <f>HYPERLINK("Melting_Curves/meltCurve_Q9UFW8_CGGBP1.pdf", "Melting_Curves/meltCurve_Q9UFW8_CGGBP1.pdf")</f>
        <v>Melting_Curves/meltCurve_Q9UFW8_CGGBP1.pdf</v>
      </c>
    </row>
    <row r="5487" spans="1:28" x14ac:dyDescent="0.25">
      <c r="A5487" t="s">
        <v>5491</v>
      </c>
      <c r="B5487">
        <v>0.99334974765950101</v>
      </c>
      <c r="C5487">
        <v>0.88561106685322499</v>
      </c>
      <c r="D5487">
        <v>1.0109385850918899</v>
      </c>
      <c r="E5487">
        <v>0.65709176511508405</v>
      </c>
      <c r="F5487">
        <v>0.37433730625179701</v>
      </c>
      <c r="G5487">
        <v>0.32956838821093298</v>
      </c>
      <c r="H5487">
        <v>0.230669065989307</v>
      </c>
      <c r="I5487">
        <v>0.15256263176153501</v>
      </c>
      <c r="J5487">
        <v>7.9221249824345502E-2</v>
      </c>
      <c r="K5487">
        <v>4.9057448675674797E-2</v>
      </c>
      <c r="L5487">
        <v>812.588043603031</v>
      </c>
      <c r="M5487">
        <v>15.687007831235899</v>
      </c>
      <c r="N5487">
        <v>52.447565149820498</v>
      </c>
      <c r="O5487">
        <v>50.980199709067897</v>
      </c>
      <c r="P5487">
        <v>-7.0160789368610005E-2</v>
      </c>
      <c r="Q5487">
        <v>8.8033256355618705E-2</v>
      </c>
      <c r="R5487">
        <v>0.96710190221172898</v>
      </c>
      <c r="S5487" t="s">
        <v>11348</v>
      </c>
      <c r="T5487" t="s">
        <v>11720</v>
      </c>
      <c r="U5487" t="s">
        <v>11720</v>
      </c>
      <c r="V5487" t="s">
        <v>11720</v>
      </c>
      <c r="W5487" t="s">
        <v>17147</v>
      </c>
      <c r="X5487">
        <v>1</v>
      </c>
      <c r="Y5487" t="s">
        <v>22843</v>
      </c>
      <c r="Z5487" t="s">
        <v>28694</v>
      </c>
      <c r="AA5487">
        <v>0.46587193736284688</v>
      </c>
      <c r="AB5487" t="str">
        <f>HYPERLINK("Melting_Curves/meltCurve_Q9UG56_2_PISD.pdf", "Melting_Curves/meltCurve_Q9UG56_2_PISD.pdf")</f>
        <v>Melting_Curves/meltCurve_Q9UG56_2_PISD.pdf</v>
      </c>
    </row>
    <row r="5488" spans="1:28" x14ac:dyDescent="0.25">
      <c r="A5488" t="s">
        <v>5492</v>
      </c>
      <c r="B5488">
        <v>0.99334974765950101</v>
      </c>
      <c r="C5488">
        <v>0.978543917861879</v>
      </c>
      <c r="D5488">
        <v>0.85747317480340002</v>
      </c>
      <c r="E5488">
        <v>0.622956883773498</v>
      </c>
      <c r="F5488">
        <v>0.29887493086383699</v>
      </c>
      <c r="G5488">
        <v>0.171892892947449</v>
      </c>
      <c r="H5488">
        <v>0.129920293987972</v>
      </c>
      <c r="I5488">
        <v>0.12915543067327201</v>
      </c>
      <c r="J5488">
        <v>0.12039308028627101</v>
      </c>
      <c r="K5488">
        <v>0.102403737635343</v>
      </c>
      <c r="L5488">
        <v>1080.2479078112899</v>
      </c>
      <c r="M5488">
        <v>21.477759188621398</v>
      </c>
      <c r="N5488">
        <v>50.8753587092544</v>
      </c>
      <c r="O5488">
        <v>49.866186790051202</v>
      </c>
      <c r="P5488">
        <v>-9.6000182248294499E-2</v>
      </c>
      <c r="Q5488">
        <v>0.10846462396477299</v>
      </c>
      <c r="R5488">
        <v>0.99665966934464301</v>
      </c>
      <c r="S5488" t="s">
        <v>11349</v>
      </c>
      <c r="T5488" t="s">
        <v>11720</v>
      </c>
      <c r="U5488" t="s">
        <v>11720</v>
      </c>
      <c r="V5488" t="s">
        <v>11720</v>
      </c>
      <c r="W5488" t="s">
        <v>17148</v>
      </c>
      <c r="X5488">
        <v>17</v>
      </c>
      <c r="Y5488" t="s">
        <v>22844</v>
      </c>
      <c r="Z5488" t="s">
        <v>28695</v>
      </c>
      <c r="AA5488">
        <v>0.42523856955944428</v>
      </c>
      <c r="AB5488" t="str">
        <f>HYPERLINK("Melting_Curves/meltCurve_Q9UG63_ABCF2.pdf", "Melting_Curves/meltCurve_Q9UG63_ABCF2.pdf")</f>
        <v>Melting_Curves/meltCurve_Q9UG63_ABCF2.pdf</v>
      </c>
    </row>
    <row r="5489" spans="1:28" x14ac:dyDescent="0.25">
      <c r="A5489" t="s">
        <v>5493</v>
      </c>
      <c r="B5489">
        <v>0.99334974765950101</v>
      </c>
      <c r="C5489">
        <v>0.92145273308805797</v>
      </c>
      <c r="D5489">
        <v>0.77516143369366997</v>
      </c>
      <c r="E5489">
        <v>0.54498988430171003</v>
      </c>
      <c r="F5489">
        <v>0.146643681334238</v>
      </c>
      <c r="G5489">
        <v>9.7308558655509497E-2</v>
      </c>
      <c r="H5489">
        <v>6.9819179210992302E-2</v>
      </c>
      <c r="I5489">
        <v>6.6780360622434601E-2</v>
      </c>
      <c r="J5489">
        <v>7.0999282862811597E-2</v>
      </c>
      <c r="K5489">
        <v>6.0258061746504298E-2</v>
      </c>
      <c r="L5489">
        <v>990.10355309152305</v>
      </c>
      <c r="M5489">
        <v>20.0952718535688</v>
      </c>
      <c r="N5489">
        <v>49.5218381362887</v>
      </c>
      <c r="O5489">
        <v>48.790333189832303</v>
      </c>
      <c r="P5489">
        <v>-9.7978194581186798E-2</v>
      </c>
      <c r="Q5489">
        <v>4.8485359376229602E-2</v>
      </c>
      <c r="R5489">
        <v>0.98609678619362595</v>
      </c>
      <c r="S5489" t="s">
        <v>11350</v>
      </c>
      <c r="T5489" t="s">
        <v>11720</v>
      </c>
      <c r="U5489" t="s">
        <v>11720</v>
      </c>
      <c r="V5489" t="s">
        <v>11720</v>
      </c>
      <c r="W5489" t="s">
        <v>17149</v>
      </c>
      <c r="X5489">
        <v>32</v>
      </c>
      <c r="Y5489" t="s">
        <v>22845</v>
      </c>
      <c r="Z5489" t="s">
        <v>28696</v>
      </c>
      <c r="AA5489">
        <v>0.35569050628078802</v>
      </c>
      <c r="AB5489" t="str">
        <f>HYPERLINK("Melting_Curves/meltCurve_Q9UGI8_TES.pdf", "Melting_Curves/meltCurve_Q9UGI8_TES.pdf")</f>
        <v>Melting_Curves/meltCurve_Q9UGI8_TES.pdf</v>
      </c>
    </row>
    <row r="5490" spans="1:28" x14ac:dyDescent="0.25">
      <c r="A5490" t="s">
        <v>5494</v>
      </c>
      <c r="B5490">
        <v>0.99334974765950101</v>
      </c>
      <c r="C5490">
        <v>0.88619892774095599</v>
      </c>
      <c r="D5490">
        <v>0.817478940314325</v>
      </c>
      <c r="E5490">
        <v>0.63387964108231998</v>
      </c>
      <c r="F5490">
        <v>0.29047013864195997</v>
      </c>
      <c r="G5490">
        <v>0.26858833305270302</v>
      </c>
      <c r="H5490">
        <v>0.22901794154059099</v>
      </c>
      <c r="I5490">
        <v>0.22767361152525101</v>
      </c>
      <c r="J5490">
        <v>0.16785209675542201</v>
      </c>
      <c r="K5490">
        <v>0.23816142925313899</v>
      </c>
      <c r="L5490">
        <v>882.30276133002997</v>
      </c>
      <c r="M5490">
        <v>17.878077453213798</v>
      </c>
      <c r="N5490">
        <v>50.773401435628799</v>
      </c>
      <c r="O5490">
        <v>48.746067469873601</v>
      </c>
      <c r="P5490">
        <v>-7.3632504585510503E-2</v>
      </c>
      <c r="Q5490">
        <v>0.19698006767201601</v>
      </c>
      <c r="R5490">
        <v>0.97678054808466397</v>
      </c>
      <c r="S5490" t="s">
        <v>11351</v>
      </c>
      <c r="T5490" t="s">
        <v>11720</v>
      </c>
      <c r="U5490" t="s">
        <v>11720</v>
      </c>
      <c r="V5490" t="s">
        <v>11720</v>
      </c>
      <c r="W5490" t="s">
        <v>17150</v>
      </c>
      <c r="X5490">
        <v>5</v>
      </c>
      <c r="Y5490" t="s">
        <v>22846</v>
      </c>
      <c r="Z5490" t="s">
        <v>28697</v>
      </c>
      <c r="AA5490">
        <v>0.46129304580762109</v>
      </c>
      <c r="AB5490" t="str">
        <f>HYPERLINK("Melting_Curves/meltCurve_Q9UGK8_SERGEF.pdf", "Melting_Curves/meltCurve_Q9UGK8_SERGEF.pdf")</f>
        <v>Melting_Curves/meltCurve_Q9UGK8_SERGEF.pdf</v>
      </c>
    </row>
    <row r="5491" spans="1:28" x14ac:dyDescent="0.25">
      <c r="A5491" t="s">
        <v>5495</v>
      </c>
      <c r="B5491">
        <v>0.99334974765950101</v>
      </c>
      <c r="C5491">
        <v>0.91528223191944102</v>
      </c>
      <c r="D5491">
        <v>0.81080076898637099</v>
      </c>
      <c r="E5491">
        <v>0.64602725944097095</v>
      </c>
      <c r="F5491">
        <v>0.50256176822112697</v>
      </c>
      <c r="G5491">
        <v>0.36584333475605202</v>
      </c>
      <c r="H5491">
        <v>0.29243391753514397</v>
      </c>
      <c r="I5491">
        <v>0.27055599850817302</v>
      </c>
      <c r="J5491">
        <v>0.29407525840336801</v>
      </c>
      <c r="K5491">
        <v>0.29730420440921601</v>
      </c>
      <c r="L5491">
        <v>679.67082773796801</v>
      </c>
      <c r="M5491">
        <v>13.589273691862999</v>
      </c>
      <c r="N5491">
        <v>52.812159384437898</v>
      </c>
      <c r="O5491">
        <v>48.969442832618199</v>
      </c>
      <c r="P5491">
        <v>-5.1585685123255197E-2</v>
      </c>
      <c r="Q5491">
        <v>0.25654692454782402</v>
      </c>
      <c r="R5491">
        <v>0.99565248788036498</v>
      </c>
      <c r="S5491" t="s">
        <v>11352</v>
      </c>
      <c r="T5491" t="s">
        <v>11720</v>
      </c>
      <c r="U5491" t="s">
        <v>11720</v>
      </c>
      <c r="V5491" t="s">
        <v>11720</v>
      </c>
      <c r="W5491" t="s">
        <v>17151</v>
      </c>
      <c r="X5491">
        <v>15</v>
      </c>
      <c r="Y5491" t="s">
        <v>22847</v>
      </c>
      <c r="Z5491" t="s">
        <v>28698</v>
      </c>
      <c r="AA5491">
        <v>0.52575764750327647</v>
      </c>
      <c r="AB5491" t="str">
        <f>HYPERLINK("Melting_Curves/meltCurve_Q9UGP4_LIMD1.pdf", "Melting_Curves/meltCurve_Q9UGP4_LIMD1.pdf")</f>
        <v>Melting_Curves/meltCurve_Q9UGP4_LIMD1.pdf</v>
      </c>
    </row>
    <row r="5492" spans="1:28" x14ac:dyDescent="0.25">
      <c r="A5492" t="s">
        <v>5496</v>
      </c>
      <c r="B5492">
        <v>0.99334974765950101</v>
      </c>
      <c r="C5492">
        <v>0.93745180345302204</v>
      </c>
      <c r="D5492">
        <v>0.94552877906890298</v>
      </c>
      <c r="E5492">
        <v>0.94746782132490504</v>
      </c>
      <c r="F5492">
        <v>0.69094630096486898</v>
      </c>
      <c r="G5492">
        <v>0.33653658326254399</v>
      </c>
      <c r="H5492">
        <v>0.18400777734170001</v>
      </c>
      <c r="I5492">
        <v>0.17220798263860601</v>
      </c>
      <c r="J5492">
        <v>0.142191402762294</v>
      </c>
      <c r="K5492">
        <v>0.144568466430156</v>
      </c>
      <c r="L5492">
        <v>1446.2742092850499</v>
      </c>
      <c r="M5492">
        <v>26.6554392136517</v>
      </c>
      <c r="N5492">
        <v>54.965250990494397</v>
      </c>
      <c r="O5492">
        <v>53.955515368778897</v>
      </c>
      <c r="P5492">
        <v>-0.105580381453902</v>
      </c>
      <c r="Q5492">
        <v>0.14515259542466999</v>
      </c>
      <c r="R5492">
        <v>0.99452410736202801</v>
      </c>
      <c r="S5492" t="s">
        <v>11353</v>
      </c>
      <c r="T5492" t="s">
        <v>11720</v>
      </c>
      <c r="U5492" t="s">
        <v>11720</v>
      </c>
      <c r="V5492" t="s">
        <v>11720</v>
      </c>
      <c r="W5492" t="s">
        <v>17152</v>
      </c>
      <c r="X5492">
        <v>17</v>
      </c>
      <c r="Y5492" t="s">
        <v>22848</v>
      </c>
      <c r="Z5492" t="s">
        <v>28699</v>
      </c>
      <c r="AA5492">
        <v>0.5584757096018661</v>
      </c>
      <c r="AB5492" t="str">
        <f>HYPERLINK("Melting_Curves/meltCurve_Q9UGP8_SEC63.pdf", "Melting_Curves/meltCurve_Q9UGP8_SEC63.pdf")</f>
        <v>Melting_Curves/meltCurve_Q9UGP8_SEC63.pdf</v>
      </c>
    </row>
    <row r="5493" spans="1:28" x14ac:dyDescent="0.25">
      <c r="A5493" t="s">
        <v>5497</v>
      </c>
      <c r="B5493">
        <v>0.99334974765950101</v>
      </c>
      <c r="C5493">
        <v>0.97635323404524199</v>
      </c>
      <c r="D5493">
        <v>0.9757316407744</v>
      </c>
      <c r="E5493">
        <v>0.77679387237887398</v>
      </c>
      <c r="F5493">
        <v>1.0008352070772</v>
      </c>
      <c r="G5493">
        <v>0.657559472767836</v>
      </c>
      <c r="H5493">
        <v>0.61834050666002704</v>
      </c>
      <c r="I5493">
        <v>0.60810483529775305</v>
      </c>
      <c r="J5493">
        <v>0.79037447223007995</v>
      </c>
      <c r="K5493">
        <v>0.63781420132354005</v>
      </c>
      <c r="L5493">
        <v>841.62363184277001</v>
      </c>
      <c r="M5493">
        <v>15.8763261488652</v>
      </c>
      <c r="O5493">
        <v>52.191592300122601</v>
      </c>
      <c r="P5493">
        <v>-2.7038542273431301E-2</v>
      </c>
      <c r="Q5493">
        <v>0.64448452156602498</v>
      </c>
      <c r="R5493">
        <v>0.69257771158832104</v>
      </c>
      <c r="S5493" t="s">
        <v>11354</v>
      </c>
      <c r="T5493" t="s">
        <v>11720</v>
      </c>
      <c r="U5493" t="s">
        <v>11720</v>
      </c>
      <c r="V5493" t="s">
        <v>11720</v>
      </c>
      <c r="W5493" t="s">
        <v>17153</v>
      </c>
      <c r="X5493">
        <v>1</v>
      </c>
      <c r="Y5493" t="s">
        <v>22849</v>
      </c>
      <c r="Z5493" t="s">
        <v>28700</v>
      </c>
      <c r="AA5493">
        <v>0.80572690016773951</v>
      </c>
      <c r="AB5493" t="str">
        <f>HYPERLINK("Melting_Curves/meltCurve_Q9UGQ2_2_CACFD1.pdf", "Melting_Curves/meltCurve_Q9UGQ2_2_CACFD1.pdf")</f>
        <v>Melting_Curves/meltCurve_Q9UGQ2_2_CACFD1.pdf</v>
      </c>
    </row>
    <row r="5494" spans="1:28" x14ac:dyDescent="0.25">
      <c r="A5494" t="s">
        <v>5498</v>
      </c>
      <c r="B5494">
        <v>0.99334974765950101</v>
      </c>
      <c r="C5494">
        <v>0.95599685944521096</v>
      </c>
      <c r="D5494">
        <v>0.95754777903652699</v>
      </c>
      <c r="E5494">
        <v>0.76394008755111298</v>
      </c>
      <c r="F5494">
        <v>0.74754797888076097</v>
      </c>
      <c r="G5494">
        <v>0.64657722142668905</v>
      </c>
      <c r="H5494">
        <v>0.61862503061232599</v>
      </c>
      <c r="I5494">
        <v>0.58119265757620497</v>
      </c>
      <c r="J5494">
        <v>0.80972459064714897</v>
      </c>
      <c r="K5494">
        <v>0.66563574543039705</v>
      </c>
      <c r="L5494">
        <v>1196.5416616381599</v>
      </c>
      <c r="M5494">
        <v>24.526171961447901</v>
      </c>
      <c r="O5494">
        <v>48.465474926990503</v>
      </c>
      <c r="P5494">
        <v>-4.21840079419393E-2</v>
      </c>
      <c r="Q5494">
        <v>0.66657046320467594</v>
      </c>
      <c r="R5494">
        <v>0.83175077370335804</v>
      </c>
      <c r="S5494" t="s">
        <v>11355</v>
      </c>
      <c r="T5494" t="s">
        <v>11720</v>
      </c>
      <c r="U5494" t="s">
        <v>11720</v>
      </c>
      <c r="V5494" t="s">
        <v>11720</v>
      </c>
      <c r="W5494" t="s">
        <v>17154</v>
      </c>
      <c r="X5494">
        <v>4</v>
      </c>
      <c r="Y5494" t="s">
        <v>22850</v>
      </c>
      <c r="Z5494" t="s">
        <v>28701</v>
      </c>
      <c r="AA5494">
        <v>0.76729485255107643</v>
      </c>
      <c r="AB5494" t="str">
        <f>HYPERLINK("Melting_Curves/meltCurve_Q9UGQ3_2_SLC2A6.pdf", "Melting_Curves/meltCurve_Q9UGQ3_2_SLC2A6.pdf")</f>
        <v>Melting_Curves/meltCurve_Q9UGQ3_2_SLC2A6.pdf</v>
      </c>
    </row>
    <row r="5495" spans="1:28" x14ac:dyDescent="0.25">
      <c r="A5495" t="s">
        <v>5499</v>
      </c>
      <c r="B5495">
        <v>0.99334974765950101</v>
      </c>
      <c r="C5495">
        <v>0.88962613697075299</v>
      </c>
      <c r="D5495">
        <v>0.94632854734127003</v>
      </c>
      <c r="E5495">
        <v>0.96971333737366705</v>
      </c>
      <c r="F5495">
        <v>1.0151807447824801</v>
      </c>
      <c r="G5495">
        <v>0.66734126852697395</v>
      </c>
      <c r="H5495">
        <v>0.51844089978671404</v>
      </c>
      <c r="I5495">
        <v>0.51001893850450097</v>
      </c>
      <c r="J5495">
        <v>0.35568860173873001</v>
      </c>
      <c r="K5495">
        <v>0.218947447125006</v>
      </c>
      <c r="L5495">
        <v>800.80995719036798</v>
      </c>
      <c r="M5495">
        <v>13.1118334841549</v>
      </c>
      <c r="N5495">
        <v>62.404956627106401</v>
      </c>
      <c r="O5495">
        <v>59.7071223443238</v>
      </c>
      <c r="P5495">
        <v>-4.8218355619176603E-2</v>
      </c>
      <c r="Q5495">
        <v>0.121866142670894</v>
      </c>
      <c r="R5495">
        <v>0.94115102722086497</v>
      </c>
      <c r="S5495" t="s">
        <v>11356</v>
      </c>
      <c r="T5495" t="s">
        <v>11720</v>
      </c>
      <c r="U5495" t="s">
        <v>11720</v>
      </c>
      <c r="V5495" t="s">
        <v>11720</v>
      </c>
      <c r="W5495" t="s">
        <v>17155</v>
      </c>
      <c r="X5495">
        <v>4</v>
      </c>
      <c r="Y5495" t="s">
        <v>22851</v>
      </c>
      <c r="Z5495" t="s">
        <v>28702</v>
      </c>
      <c r="AA5495">
        <v>0.73748911270245354</v>
      </c>
      <c r="AB5495" t="str">
        <f>HYPERLINK("Melting_Curves/meltCurve_Q9UGT4_SUSD2.pdf", "Melting_Curves/meltCurve_Q9UGT4_SUSD2.pdf")</f>
        <v>Melting_Curves/meltCurve_Q9UGT4_SUSD2.pdf</v>
      </c>
    </row>
    <row r="5496" spans="1:28" x14ac:dyDescent="0.25">
      <c r="A5496" t="s">
        <v>5500</v>
      </c>
      <c r="B5496">
        <v>0.99334974765950101</v>
      </c>
      <c r="C5496">
        <v>0.956453281660267</v>
      </c>
      <c r="D5496">
        <v>0.90599374698220403</v>
      </c>
      <c r="E5496">
        <v>0.77108651697177</v>
      </c>
      <c r="F5496">
        <v>0.27257612515983298</v>
      </c>
      <c r="G5496">
        <v>0.133397052836254</v>
      </c>
      <c r="H5496">
        <v>9.0987078197295096E-2</v>
      </c>
      <c r="I5496">
        <v>7.49250326877475E-2</v>
      </c>
      <c r="J5496">
        <v>7.5536120953725097E-2</v>
      </c>
      <c r="K5496">
        <v>6.0563893133405898E-2</v>
      </c>
      <c r="L5496">
        <v>1964.4650210208199</v>
      </c>
      <c r="M5496">
        <v>38.283699401104201</v>
      </c>
      <c r="N5496">
        <v>51.549521801885803</v>
      </c>
      <c r="O5496">
        <v>51.173944161325799</v>
      </c>
      <c r="P5496">
        <v>-0.17198396016017101</v>
      </c>
      <c r="Q5496">
        <v>8.0436213626427305E-2</v>
      </c>
      <c r="R5496">
        <v>0.99288570522034303</v>
      </c>
      <c r="S5496" t="s">
        <v>11357</v>
      </c>
      <c r="T5496" t="s">
        <v>11720</v>
      </c>
      <c r="U5496" t="s">
        <v>11720</v>
      </c>
      <c r="V5496" t="s">
        <v>11720</v>
      </c>
      <c r="W5496" t="s">
        <v>17156</v>
      </c>
      <c r="X5496">
        <v>10</v>
      </c>
      <c r="Y5496" t="s">
        <v>22852</v>
      </c>
      <c r="Z5496" t="s">
        <v>28703</v>
      </c>
      <c r="AA5496">
        <v>0.43077660355701308</v>
      </c>
      <c r="AB5496" t="str">
        <f>HYPERLINK("Melting_Curves/meltCurve_Q9UGV2_NDRG3.pdf", "Melting_Curves/meltCurve_Q9UGV2_NDRG3.pdf")</f>
        <v>Melting_Curves/meltCurve_Q9UGV2_NDRG3.pdf</v>
      </c>
    </row>
    <row r="5497" spans="1:28" x14ac:dyDescent="0.25">
      <c r="A5497" t="s">
        <v>5501</v>
      </c>
      <c r="B5497">
        <v>0.99334974765950101</v>
      </c>
      <c r="C5497">
        <v>0.82598292314369903</v>
      </c>
      <c r="D5497">
        <v>0.60303382317873899</v>
      </c>
      <c r="E5497">
        <v>0.22128472913435299</v>
      </c>
      <c r="F5497">
        <v>0.13118701096142199</v>
      </c>
      <c r="G5497">
        <v>8.7446208804296099E-2</v>
      </c>
      <c r="H5497">
        <v>6.6832059580010303E-2</v>
      </c>
      <c r="I5497">
        <v>7.1661374691583998E-2</v>
      </c>
      <c r="J5497">
        <v>5.1032462625359702E-2</v>
      </c>
      <c r="K5497">
        <v>3.2305819214793099E-2</v>
      </c>
      <c r="L5497">
        <v>940.44772805222897</v>
      </c>
      <c r="M5497">
        <v>20.210326437814</v>
      </c>
      <c r="N5497">
        <v>46.793434004890898</v>
      </c>
      <c r="O5497">
        <v>46.084635145013799</v>
      </c>
      <c r="P5497">
        <v>-0.103808894654091</v>
      </c>
      <c r="Q5497">
        <v>5.3187854562642203E-2</v>
      </c>
      <c r="R5497">
        <v>0.99718112972098005</v>
      </c>
      <c r="S5497" t="s">
        <v>11358</v>
      </c>
      <c r="T5497" t="s">
        <v>11720</v>
      </c>
      <c r="U5497" t="s">
        <v>11720</v>
      </c>
      <c r="V5497" t="s">
        <v>11720</v>
      </c>
      <c r="W5497" t="s">
        <v>17157</v>
      </c>
      <c r="X5497">
        <v>11</v>
      </c>
      <c r="Y5497" t="s">
        <v>22853</v>
      </c>
      <c r="Z5497" t="s">
        <v>28704</v>
      </c>
      <c r="AA5497">
        <v>0.27320767003367979</v>
      </c>
      <c r="AB5497" t="str">
        <f>HYPERLINK("Melting_Curves/meltCurve_Q9UH62_ARMCX3.pdf", "Melting_Curves/meltCurve_Q9UH62_ARMCX3.pdf")</f>
        <v>Melting_Curves/meltCurve_Q9UH62_ARMCX3.pdf</v>
      </c>
    </row>
    <row r="5498" spans="1:28" x14ac:dyDescent="0.25">
      <c r="A5498" t="s">
        <v>5502</v>
      </c>
      <c r="B5498">
        <v>0.99334974765950101</v>
      </c>
      <c r="C5498">
        <v>0.97203063888854602</v>
      </c>
      <c r="D5498">
        <v>0.90564711526794395</v>
      </c>
      <c r="E5498">
        <v>0.82350551643421299</v>
      </c>
      <c r="F5498">
        <v>0.50081262826332795</v>
      </c>
      <c r="G5498">
        <v>0.17602284640537599</v>
      </c>
      <c r="H5498">
        <v>0.109388938845908</v>
      </c>
      <c r="I5498">
        <v>9.0821911472409894E-2</v>
      </c>
      <c r="J5498">
        <v>9.3720384164423506E-2</v>
      </c>
      <c r="K5498">
        <v>7.7245951775126998E-2</v>
      </c>
      <c r="L5498">
        <v>1329.5742480522099</v>
      </c>
      <c r="M5498">
        <v>25.268709737117899</v>
      </c>
      <c r="N5498">
        <v>52.976703228009903</v>
      </c>
      <c r="O5498">
        <v>52.291184131544703</v>
      </c>
      <c r="P5498">
        <v>-0.11129603682364</v>
      </c>
      <c r="Q5498">
        <v>7.8745634932070097E-2</v>
      </c>
      <c r="R5498">
        <v>0.99569867629197395</v>
      </c>
      <c r="S5498" t="s">
        <v>11359</v>
      </c>
      <c r="T5498" t="s">
        <v>11720</v>
      </c>
      <c r="U5498" t="s">
        <v>11720</v>
      </c>
      <c r="V5498" t="s">
        <v>11720</v>
      </c>
      <c r="W5498" t="s">
        <v>17158</v>
      </c>
      <c r="X5498">
        <v>39</v>
      </c>
      <c r="Y5498" t="s">
        <v>22854</v>
      </c>
      <c r="Z5498" t="s">
        <v>28705</v>
      </c>
      <c r="AA5498">
        <v>0.47449464303546751</v>
      </c>
      <c r="AB5498" t="str">
        <f>HYPERLINK("Melting_Curves/meltCurve_Q9UH65_SWAP70.pdf", "Melting_Curves/meltCurve_Q9UH65_SWAP70.pdf")</f>
        <v>Melting_Curves/meltCurve_Q9UH65_SWAP70.pdf</v>
      </c>
    </row>
    <row r="5499" spans="1:28" x14ac:dyDescent="0.25">
      <c r="A5499" t="s">
        <v>5503</v>
      </c>
      <c r="B5499">
        <v>0.99334974765950101</v>
      </c>
      <c r="C5499">
        <v>1.1012451891642701</v>
      </c>
      <c r="D5499">
        <v>1.18882537969043</v>
      </c>
      <c r="E5499">
        <v>0.70432175260143104</v>
      </c>
      <c r="F5499">
        <v>0.571713246156759</v>
      </c>
      <c r="G5499">
        <v>0.86681050824297101</v>
      </c>
      <c r="H5499">
        <v>0.66744045809159103</v>
      </c>
      <c r="I5499">
        <v>0.40155911097828001</v>
      </c>
      <c r="J5499">
        <v>0.184476969948383</v>
      </c>
      <c r="K5499">
        <v>0</v>
      </c>
      <c r="L5499">
        <v>722.84577369508702</v>
      </c>
      <c r="M5499">
        <v>11.8431551470869</v>
      </c>
      <c r="N5499">
        <v>61.034898662138303</v>
      </c>
      <c r="O5499">
        <v>59.3727336349247</v>
      </c>
      <c r="P5499">
        <v>-4.9880469819148898E-2</v>
      </c>
      <c r="Q5499">
        <v>0</v>
      </c>
      <c r="R5499">
        <v>0.79214874576134897</v>
      </c>
      <c r="S5499" t="s">
        <v>11360</v>
      </c>
      <c r="T5499" t="s">
        <v>11720</v>
      </c>
      <c r="U5499" t="s">
        <v>11720</v>
      </c>
      <c r="V5499" t="s">
        <v>11720</v>
      </c>
      <c r="W5499" t="s">
        <v>17159</v>
      </c>
      <c r="X5499">
        <v>1</v>
      </c>
      <c r="Y5499" t="s">
        <v>22855</v>
      </c>
      <c r="Z5499" t="s">
        <v>28706</v>
      </c>
      <c r="AA5499">
        <v>0.69640162419669749</v>
      </c>
      <c r="AB5499" t="str">
        <f>HYPERLINK("Melting_Curves/meltCurve_Q9UH99_SUN2.pdf", "Melting_Curves/meltCurve_Q9UH99_SUN2.pdf")</f>
        <v>Melting_Curves/meltCurve_Q9UH99_SUN2.pdf</v>
      </c>
    </row>
    <row r="5500" spans="1:28" x14ac:dyDescent="0.25">
      <c r="A5500" t="s">
        <v>5504</v>
      </c>
      <c r="B5500">
        <v>0.99334974765950101</v>
      </c>
      <c r="C5500">
        <v>0.94436716360542705</v>
      </c>
      <c r="D5500">
        <v>0.90401960991260299</v>
      </c>
      <c r="E5500">
        <v>0.87552881355227197</v>
      </c>
      <c r="F5500">
        <v>0.96219465401099902</v>
      </c>
      <c r="G5500">
        <v>0.651290371538645</v>
      </c>
      <c r="H5500">
        <v>0.56151522282895805</v>
      </c>
      <c r="I5500">
        <v>0.64905332630391399</v>
      </c>
      <c r="J5500">
        <v>0.42064154587257002</v>
      </c>
      <c r="K5500">
        <v>0.18794758655878199</v>
      </c>
      <c r="L5500">
        <v>569.04039524156894</v>
      </c>
      <c r="M5500">
        <v>8.9268120927669496</v>
      </c>
      <c r="N5500">
        <v>63.745077613956298</v>
      </c>
      <c r="O5500">
        <v>60.789666776913499</v>
      </c>
      <c r="P5500">
        <v>-3.6739393709016001E-2</v>
      </c>
      <c r="Q5500">
        <v>0</v>
      </c>
      <c r="R5500">
        <v>0.89361797147421096</v>
      </c>
      <c r="S5500" t="s">
        <v>11361</v>
      </c>
      <c r="T5500" t="s">
        <v>11720</v>
      </c>
      <c r="U5500" t="s">
        <v>11720</v>
      </c>
      <c r="V5500" t="s">
        <v>11720</v>
      </c>
      <c r="W5500" t="s">
        <v>17160</v>
      </c>
      <c r="X5500">
        <v>3</v>
      </c>
      <c r="Y5500" t="s">
        <v>22856</v>
      </c>
      <c r="Z5500" t="s">
        <v>28707</v>
      </c>
      <c r="AA5500">
        <v>0.74294057613005748</v>
      </c>
      <c r="AB5500" t="str">
        <f>HYPERLINK("Melting_Curves/meltCurve_Q9UHA4_LAMTOR3.pdf", "Melting_Curves/meltCurve_Q9UHA4_LAMTOR3.pdf")</f>
        <v>Melting_Curves/meltCurve_Q9UHA4_LAMTOR3.pdf</v>
      </c>
    </row>
    <row r="5501" spans="1:28" x14ac:dyDescent="0.25">
      <c r="A5501" t="s">
        <v>5505</v>
      </c>
      <c r="B5501">
        <v>0.99334974765950101</v>
      </c>
      <c r="C5501">
        <v>0.924322374228285</v>
      </c>
      <c r="D5501">
        <v>0.90008653657944704</v>
      </c>
      <c r="E5501">
        <v>0.691332128024993</v>
      </c>
      <c r="F5501">
        <v>0.80053918567319304</v>
      </c>
      <c r="G5501">
        <v>0.49702981584060901</v>
      </c>
      <c r="H5501">
        <v>0.46442243281463902</v>
      </c>
      <c r="I5501">
        <v>0.514545471373824</v>
      </c>
      <c r="J5501">
        <v>0.476367284437201</v>
      </c>
      <c r="K5501">
        <v>0.41277785147102097</v>
      </c>
      <c r="L5501">
        <v>552.67899084493502</v>
      </c>
      <c r="M5501">
        <v>10.591315875651899</v>
      </c>
      <c r="N5501">
        <v>61.270568795248103</v>
      </c>
      <c r="O5501">
        <v>50.4250877124081</v>
      </c>
      <c r="P5501">
        <v>-3.17241617709638E-2</v>
      </c>
      <c r="Q5501">
        <v>0.39608288877764403</v>
      </c>
      <c r="R5501">
        <v>0.92504778772907803</v>
      </c>
      <c r="S5501" t="s">
        <v>11362</v>
      </c>
      <c r="T5501" t="s">
        <v>11720</v>
      </c>
      <c r="U5501" t="s">
        <v>11720</v>
      </c>
      <c r="V5501" t="s">
        <v>11720</v>
      </c>
      <c r="W5501" t="s">
        <v>17161</v>
      </c>
      <c r="X5501">
        <v>2</v>
      </c>
      <c r="Y5501" t="s">
        <v>22857</v>
      </c>
      <c r="Z5501" t="s">
        <v>28708</v>
      </c>
      <c r="AA5501">
        <v>0.6624833355767703</v>
      </c>
      <c r="AB5501" t="str">
        <f>HYPERLINK("Melting_Curves/meltCurve_Q9UHB7_2_AFF4.pdf", "Melting_Curves/meltCurve_Q9UHB7_2_AFF4.pdf")</f>
        <v>Melting_Curves/meltCurve_Q9UHB7_2_AFF4.pdf</v>
      </c>
    </row>
    <row r="5502" spans="1:28" x14ac:dyDescent="0.25">
      <c r="A5502" t="s">
        <v>5506</v>
      </c>
      <c r="B5502">
        <v>0.99334974765950101</v>
      </c>
      <c r="C5502">
        <v>1.0692626644744301</v>
      </c>
      <c r="D5502">
        <v>1.0202668771199299</v>
      </c>
      <c r="E5502">
        <v>1.0936076039040401</v>
      </c>
      <c r="F5502">
        <v>0.46312891127137201</v>
      </c>
      <c r="G5502">
        <v>0.19898122279556699</v>
      </c>
      <c r="H5502">
        <v>0.154224418152097</v>
      </c>
      <c r="I5502">
        <v>0.14386705253172799</v>
      </c>
      <c r="J5502">
        <v>0.13264116202430901</v>
      </c>
      <c r="K5502">
        <v>9.4778311228158094E-2</v>
      </c>
      <c r="L5502">
        <v>13222.282012433099</v>
      </c>
      <c r="M5502">
        <v>250</v>
      </c>
      <c r="N5502">
        <v>52.961622482510201</v>
      </c>
      <c r="O5502">
        <v>52.885742577327498</v>
      </c>
      <c r="P5502">
        <v>-1.01055304907702</v>
      </c>
      <c r="Q5502">
        <v>0.14489841151121599</v>
      </c>
      <c r="R5502">
        <v>0.98915010183954899</v>
      </c>
      <c r="S5502" t="s">
        <v>11363</v>
      </c>
      <c r="T5502" t="s">
        <v>11720</v>
      </c>
      <c r="U5502" t="s">
        <v>11720</v>
      </c>
      <c r="V5502" t="s">
        <v>11720</v>
      </c>
      <c r="W5502" t="s">
        <v>17162</v>
      </c>
      <c r="X5502">
        <v>8</v>
      </c>
      <c r="Y5502" t="s">
        <v>22858</v>
      </c>
      <c r="Z5502" t="s">
        <v>28709</v>
      </c>
      <c r="AA5502">
        <v>0.51236157734775434</v>
      </c>
      <c r="AB5502" t="str">
        <f>HYPERLINK("Melting_Curves/meltCurve_Q9UHD1_CHORDC1.pdf", "Melting_Curves/meltCurve_Q9UHD1_CHORDC1.pdf")</f>
        <v>Melting_Curves/meltCurve_Q9UHD1_CHORDC1.pdf</v>
      </c>
    </row>
    <row r="5503" spans="1:28" x14ac:dyDescent="0.25">
      <c r="A5503" t="s">
        <v>5507</v>
      </c>
      <c r="B5503">
        <v>0.99334974765950101</v>
      </c>
      <c r="C5503">
        <v>0.86867660954332704</v>
      </c>
      <c r="D5503">
        <v>0.87575728734962999</v>
      </c>
      <c r="E5503">
        <v>0.31654561365425199</v>
      </c>
      <c r="F5503">
        <v>0.23120420388665999</v>
      </c>
      <c r="G5503">
        <v>0.14832967635790401</v>
      </c>
      <c r="H5503">
        <v>0.108712991605577</v>
      </c>
      <c r="I5503">
        <v>9.2039656093780897E-2</v>
      </c>
      <c r="J5503">
        <v>7.8551601126291906E-2</v>
      </c>
      <c r="K5503">
        <v>6.5163569402057794E-2</v>
      </c>
      <c r="L5503">
        <v>1253.92543769954</v>
      </c>
      <c r="M5503">
        <v>25.907648423507201</v>
      </c>
      <c r="N5503">
        <v>48.803791362821201</v>
      </c>
      <c r="O5503">
        <v>48.114218457421899</v>
      </c>
      <c r="P5503">
        <v>-0.121625328531412</v>
      </c>
      <c r="Q5503">
        <v>9.6507912530768694E-2</v>
      </c>
      <c r="R5503">
        <v>0.983152960609462</v>
      </c>
      <c r="S5503" t="s">
        <v>11364</v>
      </c>
      <c r="T5503" t="s">
        <v>11720</v>
      </c>
      <c r="U5503" t="s">
        <v>11720</v>
      </c>
      <c r="V5503" t="s">
        <v>11720</v>
      </c>
      <c r="W5503" t="s">
        <v>17163</v>
      </c>
      <c r="X5503">
        <v>8</v>
      </c>
      <c r="Y5503" t="s">
        <v>22859</v>
      </c>
      <c r="Z5503" t="s">
        <v>28710</v>
      </c>
      <c r="AA5503">
        <v>0.35689072411434741</v>
      </c>
      <c r="AB5503" t="str">
        <f>HYPERLINK("Melting_Curves/meltCurve_Q9UHD2_TBK1.pdf", "Melting_Curves/meltCurve_Q9UHD2_TBK1.pdf")</f>
        <v>Melting_Curves/meltCurve_Q9UHD2_TBK1.pdf</v>
      </c>
    </row>
    <row r="5504" spans="1:28" x14ac:dyDescent="0.25">
      <c r="A5504" t="s">
        <v>5508</v>
      </c>
      <c r="B5504">
        <v>0.99334974765950101</v>
      </c>
      <c r="C5504">
        <v>1.0039449846528501</v>
      </c>
      <c r="D5504">
        <v>0.98509977268377202</v>
      </c>
      <c r="E5504">
        <v>1.05386427745752</v>
      </c>
      <c r="F5504">
        <v>1.1903611808695</v>
      </c>
      <c r="G5504">
        <v>0.542487026703667</v>
      </c>
      <c r="H5504">
        <v>0.34449705509869599</v>
      </c>
      <c r="I5504">
        <v>0.32739436603357402</v>
      </c>
      <c r="J5504">
        <v>0.37663206520550802</v>
      </c>
      <c r="K5504">
        <v>0.31012347919862099</v>
      </c>
      <c r="L5504">
        <v>14203.632771538199</v>
      </c>
      <c r="M5504">
        <v>250</v>
      </c>
      <c r="N5504">
        <v>57.074185513732402</v>
      </c>
      <c r="O5504">
        <v>56.810892133177397</v>
      </c>
      <c r="P5504">
        <v>-0.726465257054841</v>
      </c>
      <c r="Q5504">
        <v>0.339661733835322</v>
      </c>
      <c r="R5504">
        <v>0.96425562894460604</v>
      </c>
      <c r="S5504" t="s">
        <v>11365</v>
      </c>
      <c r="T5504" t="s">
        <v>11720</v>
      </c>
      <c r="U5504" t="s">
        <v>11720</v>
      </c>
      <c r="V5504" t="s">
        <v>11720</v>
      </c>
      <c r="W5504" t="s">
        <v>17164</v>
      </c>
      <c r="X5504">
        <v>38</v>
      </c>
      <c r="Y5504" t="s">
        <v>22860</v>
      </c>
      <c r="Z5504" t="s">
        <v>28711</v>
      </c>
      <c r="AA5504">
        <v>0.7098368520445465</v>
      </c>
      <c r="AB5504" t="str">
        <f>HYPERLINK("Melting_Curves/meltCurve_Q9UHD8_5_SEPT9.pdf", "Melting_Curves/meltCurve_Q9UHD8_5_SEPT9.pdf")</f>
        <v>Melting_Curves/meltCurve_Q9UHD8_5_SEPT9.pdf</v>
      </c>
    </row>
    <row r="5505" spans="1:28" x14ac:dyDescent="0.25">
      <c r="A5505" t="s">
        <v>5509</v>
      </c>
      <c r="B5505">
        <v>0.99334974765950101</v>
      </c>
      <c r="C5505">
        <v>0.91624255925825204</v>
      </c>
      <c r="D5505">
        <v>0.84949964648330001</v>
      </c>
      <c r="E5505">
        <v>0.66825155042403495</v>
      </c>
      <c r="F5505">
        <v>0.51984633836252203</v>
      </c>
      <c r="G5505">
        <v>0.42097905443932598</v>
      </c>
      <c r="H5505">
        <v>0.36679092469732899</v>
      </c>
      <c r="I5505">
        <v>0.41800510821981202</v>
      </c>
      <c r="J5505">
        <v>0.33970495408511903</v>
      </c>
      <c r="K5505">
        <v>0.26555633224193897</v>
      </c>
      <c r="L5505">
        <v>655.31521994387901</v>
      </c>
      <c r="M5505">
        <v>13.0584300327861</v>
      </c>
      <c r="N5505">
        <v>54.147060389116398</v>
      </c>
      <c r="O5505">
        <v>49.050187423219597</v>
      </c>
      <c r="P5505">
        <v>-4.6080301983198103E-2</v>
      </c>
      <c r="Q5505">
        <v>0.30777126767899599</v>
      </c>
      <c r="R5505">
        <v>0.98436259675962501</v>
      </c>
      <c r="S5505" t="s">
        <v>11366</v>
      </c>
      <c r="T5505" t="s">
        <v>11720</v>
      </c>
      <c r="U5505" t="s">
        <v>11720</v>
      </c>
      <c r="V5505" t="s">
        <v>11720</v>
      </c>
      <c r="W5505" t="s">
        <v>17165</v>
      </c>
      <c r="X5505">
        <v>9</v>
      </c>
      <c r="Y5505" t="s">
        <v>22861</v>
      </c>
      <c r="Z5505" t="s">
        <v>28712</v>
      </c>
      <c r="AA5505">
        <v>0.56348244915124468</v>
      </c>
      <c r="AB5505" t="str">
        <f>HYPERLINK("Melting_Curves/meltCurve_Q9UHD9_UBQLN2.pdf", "Melting_Curves/meltCurve_Q9UHD9_UBQLN2.pdf")</f>
        <v>Melting_Curves/meltCurve_Q9UHD9_UBQLN2.pdf</v>
      </c>
    </row>
    <row r="5506" spans="1:28" x14ac:dyDescent="0.25">
      <c r="A5506" t="s">
        <v>5510</v>
      </c>
      <c r="B5506">
        <v>0.99334974765950101</v>
      </c>
      <c r="C5506">
        <v>0.94805515012185404</v>
      </c>
      <c r="D5506">
        <v>0.87257409915473405</v>
      </c>
      <c r="E5506">
        <v>0.92504126346433102</v>
      </c>
      <c r="F5506">
        <v>0.99925060363035001</v>
      </c>
      <c r="G5506">
        <v>0.80349943104142096</v>
      </c>
      <c r="H5506">
        <v>0.73998473664266695</v>
      </c>
      <c r="I5506">
        <v>0.75970541258779201</v>
      </c>
      <c r="J5506">
        <v>0.91596939945946498</v>
      </c>
      <c r="K5506">
        <v>0.65002500285525</v>
      </c>
      <c r="L5506">
        <v>235.98481975418801</v>
      </c>
      <c r="M5506">
        <v>2.3826268753789601</v>
      </c>
      <c r="O5506">
        <v>65.107509786396704</v>
      </c>
      <c r="P5506">
        <v>-9.6799626722108498E-3</v>
      </c>
      <c r="Q5506">
        <v>0</v>
      </c>
      <c r="R5506">
        <v>0.53446960797812904</v>
      </c>
      <c r="S5506" t="s">
        <v>11367</v>
      </c>
      <c r="T5506" t="s">
        <v>11720</v>
      </c>
      <c r="U5506" t="s">
        <v>11720</v>
      </c>
      <c r="V5506" t="s">
        <v>11720</v>
      </c>
      <c r="W5506" t="s">
        <v>17166</v>
      </c>
      <c r="X5506">
        <v>4</v>
      </c>
      <c r="Y5506" t="s">
        <v>22862</v>
      </c>
      <c r="Z5506" t="s">
        <v>28713</v>
      </c>
      <c r="AA5506">
        <v>0.86379293617464081</v>
      </c>
      <c r="AB5506" t="str">
        <f>HYPERLINK("Melting_Curves/meltCurve_Q9UHE8_STEAP1.pdf", "Melting_Curves/meltCurve_Q9UHE8_STEAP1.pdf")</f>
        <v>Melting_Curves/meltCurve_Q9UHE8_STEAP1.pdf</v>
      </c>
    </row>
    <row r="5507" spans="1:28" x14ac:dyDescent="0.25">
      <c r="A5507" t="s">
        <v>5511</v>
      </c>
      <c r="B5507">
        <v>0.99334974765950101</v>
      </c>
      <c r="C5507">
        <v>1.0195105507297899</v>
      </c>
      <c r="D5507">
        <v>1.03512189616655</v>
      </c>
      <c r="E5507">
        <v>0.91516769394227004</v>
      </c>
      <c r="F5507">
        <v>0.98848940062272295</v>
      </c>
      <c r="G5507">
        <v>0.77108936587355204</v>
      </c>
      <c r="H5507">
        <v>0.50602595060324596</v>
      </c>
      <c r="I5507">
        <v>0.20707760260206401</v>
      </c>
      <c r="J5507">
        <v>0.13512552643477799</v>
      </c>
      <c r="K5507">
        <v>9.6671994921749299E-2</v>
      </c>
      <c r="L5507">
        <v>1345.59101942652</v>
      </c>
      <c r="M5507">
        <v>22.292076683375701</v>
      </c>
      <c r="N5507">
        <v>60.583540435014399</v>
      </c>
      <c r="O5507">
        <v>59.882398939308601</v>
      </c>
      <c r="P5507">
        <v>-8.9422888802151407E-2</v>
      </c>
      <c r="Q5507">
        <v>3.9166476442395702E-2</v>
      </c>
      <c r="R5507">
        <v>0.99074303595288604</v>
      </c>
      <c r="S5507" t="s">
        <v>11368</v>
      </c>
      <c r="T5507" t="s">
        <v>11720</v>
      </c>
      <c r="U5507" t="s">
        <v>11720</v>
      </c>
      <c r="V5507" t="s">
        <v>11720</v>
      </c>
      <c r="W5507" t="s">
        <v>17167</v>
      </c>
      <c r="X5507">
        <v>24</v>
      </c>
      <c r="Y5507" t="s">
        <v>22863</v>
      </c>
      <c r="Z5507" t="s">
        <v>28714</v>
      </c>
      <c r="AA5507">
        <v>0.69852626504282467</v>
      </c>
      <c r="AB5507" t="str">
        <f>HYPERLINK("Melting_Curves/meltCurve_Q9UHG3_PCYOX1.pdf", "Melting_Curves/meltCurve_Q9UHG3_PCYOX1.pdf")</f>
        <v>Melting_Curves/meltCurve_Q9UHG3_PCYOX1.pdf</v>
      </c>
    </row>
    <row r="5508" spans="1:28" x14ac:dyDescent="0.25">
      <c r="A5508" t="s">
        <v>5512</v>
      </c>
      <c r="B5508">
        <v>0.99334974765950101</v>
      </c>
      <c r="C5508">
        <v>0.98284159315447694</v>
      </c>
      <c r="D5508">
        <v>0.93368077941974403</v>
      </c>
      <c r="E5508">
        <v>0.69462361924357996</v>
      </c>
      <c r="F5508">
        <v>0.299947027513005</v>
      </c>
      <c r="G5508">
        <v>0.20546869893250699</v>
      </c>
      <c r="H5508">
        <v>0.17228353182172401</v>
      </c>
      <c r="I5508">
        <v>0.16516132179780799</v>
      </c>
      <c r="J5508">
        <v>0.14229135573649601</v>
      </c>
      <c r="K5508">
        <v>0.13137003621933599</v>
      </c>
      <c r="L5508">
        <v>1647.8703320081199</v>
      </c>
      <c r="M5508">
        <v>32.479529884241302</v>
      </c>
      <c r="N5508">
        <v>51.3212666198677</v>
      </c>
      <c r="O5508">
        <v>50.544487923964802</v>
      </c>
      <c r="P5508">
        <v>-0.135773494529454</v>
      </c>
      <c r="Q5508">
        <v>0.154843779897927</v>
      </c>
      <c r="R5508">
        <v>0.99669006568902097</v>
      </c>
      <c r="S5508" t="s">
        <v>11369</v>
      </c>
      <c r="T5508" t="s">
        <v>11720</v>
      </c>
      <c r="U5508" t="s">
        <v>11720</v>
      </c>
      <c r="V5508" t="s">
        <v>11720</v>
      </c>
      <c r="W5508" t="s">
        <v>17168</v>
      </c>
      <c r="X5508">
        <v>8</v>
      </c>
      <c r="Y5508" t="s">
        <v>22864</v>
      </c>
      <c r="Z5508" t="s">
        <v>28715</v>
      </c>
      <c r="AA5508">
        <v>0.46179727857364672</v>
      </c>
      <c r="AB5508" t="str">
        <f>HYPERLINK("Melting_Curves/meltCurve_Q9UHJ6_SHPK.pdf", "Melting_Curves/meltCurve_Q9UHJ6_SHPK.pdf")</f>
        <v>Melting_Curves/meltCurve_Q9UHJ6_SHPK.pdf</v>
      </c>
    </row>
    <row r="5509" spans="1:28" x14ac:dyDescent="0.25">
      <c r="A5509" t="s">
        <v>5513</v>
      </c>
      <c r="B5509">
        <v>0.99334974765950101</v>
      </c>
      <c r="C5509">
        <v>1.01194571839943</v>
      </c>
      <c r="D5509">
        <v>1.08880821528421</v>
      </c>
      <c r="E5509">
        <v>1.05498348061775</v>
      </c>
      <c r="F5509">
        <v>1.0357676305949</v>
      </c>
      <c r="G5509">
        <v>0.981049905080847</v>
      </c>
      <c r="H5509">
        <v>0.90166094173056999</v>
      </c>
      <c r="I5509">
        <v>1.29587891489204</v>
      </c>
      <c r="J5509">
        <v>0.55734264637146103</v>
      </c>
      <c r="K5509">
        <v>0.18487915138289199</v>
      </c>
      <c r="L5509">
        <v>15000</v>
      </c>
      <c r="M5509">
        <v>224.05290359307401</v>
      </c>
      <c r="N5509">
        <v>67.086654035623098</v>
      </c>
      <c r="O5509">
        <v>66.943139833036994</v>
      </c>
      <c r="P5509">
        <v>-0.68208352341068501</v>
      </c>
      <c r="Q5509">
        <v>0.18482086878677301</v>
      </c>
      <c r="R5509">
        <v>0.87648889364733196</v>
      </c>
      <c r="S5509" t="s">
        <v>11370</v>
      </c>
      <c r="T5509" t="s">
        <v>11720</v>
      </c>
      <c r="U5509" t="s">
        <v>11720</v>
      </c>
      <c r="V5509" t="s">
        <v>11720</v>
      </c>
      <c r="W5509" t="s">
        <v>17169</v>
      </c>
      <c r="X5509">
        <v>16</v>
      </c>
      <c r="Y5509" t="s">
        <v>22865</v>
      </c>
      <c r="Z5509" t="s">
        <v>28716</v>
      </c>
      <c r="AA5509">
        <v>0.91720073026085747</v>
      </c>
      <c r="AB5509" t="str">
        <f>HYPERLINK("Melting_Curves/meltCurve_Q9UHL4_DPP7.pdf", "Melting_Curves/meltCurve_Q9UHL4_DPP7.pdf")</f>
        <v>Melting_Curves/meltCurve_Q9UHL4_DPP7.pdf</v>
      </c>
    </row>
    <row r="5510" spans="1:28" x14ac:dyDescent="0.25">
      <c r="A5510" t="s">
        <v>5514</v>
      </c>
      <c r="B5510">
        <v>0.99334974765950101</v>
      </c>
      <c r="C5510">
        <v>0.96350483339846704</v>
      </c>
      <c r="D5510">
        <v>1.04879884049686</v>
      </c>
      <c r="E5510">
        <v>1.2010962382060999</v>
      </c>
      <c r="F5510">
        <v>0.96206891249972504</v>
      </c>
      <c r="G5510">
        <v>0.77045243381698703</v>
      </c>
      <c r="H5510">
        <v>0.471018800851287</v>
      </c>
      <c r="I5510">
        <v>0.461309409132035</v>
      </c>
      <c r="J5510">
        <v>0.33283393494817998</v>
      </c>
      <c r="K5510">
        <v>0.238700805444967</v>
      </c>
      <c r="L5510">
        <v>1425.33553731099</v>
      </c>
      <c r="M5510">
        <v>24.1284346666171</v>
      </c>
      <c r="N5510">
        <v>61.157652330296102</v>
      </c>
      <c r="O5510">
        <v>58.671566651023099</v>
      </c>
      <c r="P5510">
        <v>-7.3990749952783694E-2</v>
      </c>
      <c r="Q5510">
        <v>0.28033685556826099</v>
      </c>
      <c r="R5510">
        <v>0.94197105246177204</v>
      </c>
      <c r="S5510" t="s">
        <v>11371</v>
      </c>
      <c r="T5510" t="s">
        <v>11720</v>
      </c>
      <c r="U5510" t="s">
        <v>11720</v>
      </c>
      <c r="V5510" t="s">
        <v>11720</v>
      </c>
      <c r="W5510" t="s">
        <v>17170</v>
      </c>
      <c r="X5510">
        <v>19</v>
      </c>
      <c r="Y5510" t="s">
        <v>22866</v>
      </c>
      <c r="Z5510" t="s">
        <v>28717</v>
      </c>
      <c r="AA5510">
        <v>0.74397357333820724</v>
      </c>
      <c r="AB5510" t="str">
        <f>HYPERLINK("Melting_Curves/meltCurve_Q9UHN6_TMEM2.pdf", "Melting_Curves/meltCurve_Q9UHN6_TMEM2.pdf")</f>
        <v>Melting_Curves/meltCurve_Q9UHN6_TMEM2.pdf</v>
      </c>
    </row>
    <row r="5511" spans="1:28" x14ac:dyDescent="0.25">
      <c r="A5511" t="s">
        <v>5515</v>
      </c>
      <c r="B5511">
        <v>0.99334974765950101</v>
      </c>
      <c r="C5511">
        <v>0.97296563445696604</v>
      </c>
      <c r="D5511">
        <v>1.17303363575079</v>
      </c>
      <c r="E5511">
        <v>0.98630921134759797</v>
      </c>
      <c r="F5511">
        <v>0.40404212039626303</v>
      </c>
      <c r="G5511">
        <v>0.386051955998653</v>
      </c>
      <c r="H5511">
        <v>0.32723844812479302</v>
      </c>
      <c r="I5511">
        <v>0.26762741680708002</v>
      </c>
      <c r="J5511">
        <v>0.21353456759728401</v>
      </c>
      <c r="K5511">
        <v>0.179362875874547</v>
      </c>
      <c r="L5511">
        <v>4680.1842849303603</v>
      </c>
      <c r="M5511">
        <v>89.8254159663921</v>
      </c>
      <c r="N5511">
        <v>52.5693698905554</v>
      </c>
      <c r="O5511">
        <v>52.077309834323003</v>
      </c>
      <c r="P5511">
        <v>-0.31280895476895798</v>
      </c>
      <c r="Q5511">
        <v>0.27458181839259799</v>
      </c>
      <c r="R5511">
        <v>0.95702818717499005</v>
      </c>
      <c r="S5511" t="s">
        <v>11372</v>
      </c>
      <c r="T5511" t="s">
        <v>11720</v>
      </c>
      <c r="U5511" t="s">
        <v>11720</v>
      </c>
      <c r="V5511" t="s">
        <v>11720</v>
      </c>
      <c r="W5511" t="s">
        <v>17171</v>
      </c>
      <c r="X5511">
        <v>13</v>
      </c>
      <c r="Y5511" t="s">
        <v>22867</v>
      </c>
      <c r="Z5511" t="s">
        <v>28718</v>
      </c>
      <c r="AA5511">
        <v>0.5677571415807241</v>
      </c>
      <c r="AB5511" t="str">
        <f>HYPERLINK("Melting_Curves/meltCurve_Q9UHP3_USP25.pdf", "Melting_Curves/meltCurve_Q9UHP3_USP25.pdf")</f>
        <v>Melting_Curves/meltCurve_Q9UHP3_USP25.pdf</v>
      </c>
    </row>
    <row r="5512" spans="1:28" x14ac:dyDescent="0.25">
      <c r="A5512" t="s">
        <v>5516</v>
      </c>
      <c r="B5512">
        <v>0.99334974765950101</v>
      </c>
      <c r="C5512">
        <v>1.05759895580151</v>
      </c>
      <c r="D5512">
        <v>0.97136627804490805</v>
      </c>
      <c r="E5512">
        <v>1.3363427766060101</v>
      </c>
      <c r="F5512">
        <v>1.0057295031801501</v>
      </c>
      <c r="G5512">
        <v>0.71928225209306595</v>
      </c>
      <c r="H5512">
        <v>0.69799958225393099</v>
      </c>
      <c r="I5512">
        <v>0.67796000930488398</v>
      </c>
      <c r="J5512">
        <v>0.68942767210099598</v>
      </c>
      <c r="K5512">
        <v>0.57632103389515099</v>
      </c>
      <c r="L5512">
        <v>8046.8208382924404</v>
      </c>
      <c r="M5512">
        <v>142.73430508401</v>
      </c>
      <c r="O5512">
        <v>56.365156648714901</v>
      </c>
      <c r="P5512">
        <v>-0.21497871215707401</v>
      </c>
      <c r="Q5512">
        <v>0.66042336858377204</v>
      </c>
      <c r="R5512">
        <v>0.74834041960276398</v>
      </c>
      <c r="S5512" t="s">
        <v>11373</v>
      </c>
      <c r="T5512" t="s">
        <v>11720</v>
      </c>
      <c r="U5512" t="s">
        <v>11720</v>
      </c>
      <c r="V5512" t="s">
        <v>11720</v>
      </c>
      <c r="W5512" t="s">
        <v>17172</v>
      </c>
      <c r="X5512">
        <v>13</v>
      </c>
      <c r="Y5512" t="s">
        <v>22868</v>
      </c>
      <c r="Z5512" t="s">
        <v>28719</v>
      </c>
      <c r="AA5512">
        <v>0.84589255950980691</v>
      </c>
      <c r="AB5512" t="str">
        <f>HYPERLINK("Melting_Curves/meltCurve_Q9UHQ4_BCAP29.pdf", "Melting_Curves/meltCurve_Q9UHQ4_BCAP29.pdf")</f>
        <v>Melting_Curves/meltCurve_Q9UHQ4_BCAP29.pdf</v>
      </c>
    </row>
    <row r="5513" spans="1:28" x14ac:dyDescent="0.25">
      <c r="A5513" t="s">
        <v>5517</v>
      </c>
      <c r="B5513">
        <v>0.99334974765950101</v>
      </c>
      <c r="C5513">
        <v>0.91004852293201799</v>
      </c>
      <c r="D5513">
        <v>0.79499421626532296</v>
      </c>
      <c r="E5513">
        <v>0.67995794254302799</v>
      </c>
      <c r="F5513">
        <v>0.38954358999073302</v>
      </c>
      <c r="G5513">
        <v>0.214232197784544</v>
      </c>
      <c r="H5513">
        <v>9.5571949167226403E-2</v>
      </c>
      <c r="I5513">
        <v>8.1931653856237102E-2</v>
      </c>
      <c r="J5513">
        <v>7.6058565731263697E-2</v>
      </c>
      <c r="K5513">
        <v>6.3282808171662194E-2</v>
      </c>
      <c r="L5513">
        <v>710.622728696031</v>
      </c>
      <c r="M5513">
        <v>13.8104462730685</v>
      </c>
      <c r="N5513">
        <v>51.628353644876398</v>
      </c>
      <c r="O5513">
        <v>50.412575342805901</v>
      </c>
      <c r="P5513">
        <v>-6.6948710503613298E-2</v>
      </c>
      <c r="Q5513">
        <v>2.2598963952123002E-2</v>
      </c>
      <c r="R5513">
        <v>0.99191189227264298</v>
      </c>
      <c r="S5513" t="s">
        <v>11374</v>
      </c>
      <c r="T5513" t="s">
        <v>11720</v>
      </c>
      <c r="U5513" t="s">
        <v>11720</v>
      </c>
      <c r="V5513" t="s">
        <v>11720</v>
      </c>
      <c r="W5513" t="s">
        <v>17173</v>
      </c>
      <c r="X5513">
        <v>11</v>
      </c>
      <c r="Y5513" t="s">
        <v>22869</v>
      </c>
      <c r="Z5513" t="s">
        <v>28720</v>
      </c>
      <c r="AA5513">
        <v>0.42112789791310118</v>
      </c>
      <c r="AB5513" t="str">
        <f>HYPERLINK("Melting_Curves/meltCurve_Q9UHQ9_CYB5R1.pdf", "Melting_Curves/meltCurve_Q9UHQ9_CYB5R1.pdf")</f>
        <v>Melting_Curves/meltCurve_Q9UHQ9_CYB5R1.pdf</v>
      </c>
    </row>
    <row r="5514" spans="1:28" x14ac:dyDescent="0.25">
      <c r="A5514" t="s">
        <v>5518</v>
      </c>
      <c r="B5514">
        <v>0.99334974765950101</v>
      </c>
      <c r="C5514">
        <v>1.01727597875927</v>
      </c>
      <c r="D5514">
        <v>1.0045837762299701</v>
      </c>
      <c r="E5514">
        <v>0.87601172230067104</v>
      </c>
      <c r="F5514">
        <v>0.76078437752620698</v>
      </c>
      <c r="G5514">
        <v>0.51308849155237901</v>
      </c>
      <c r="H5514">
        <v>0.32288654408440798</v>
      </c>
      <c r="I5514">
        <v>0.28681998482896298</v>
      </c>
      <c r="J5514">
        <v>0.25674243620048498</v>
      </c>
      <c r="K5514">
        <v>0.22807114960900701</v>
      </c>
      <c r="L5514">
        <v>993.81414299524295</v>
      </c>
      <c r="M5514">
        <v>17.970379864781499</v>
      </c>
      <c r="N5514">
        <v>57.1023962226717</v>
      </c>
      <c r="O5514">
        <v>54.631710255079703</v>
      </c>
      <c r="P5514">
        <v>-6.4459066990236305E-2</v>
      </c>
      <c r="Q5514">
        <v>0.21619148662075199</v>
      </c>
      <c r="R5514">
        <v>0.997896665527925</v>
      </c>
      <c r="S5514" t="s">
        <v>11375</v>
      </c>
      <c r="T5514" t="s">
        <v>11720</v>
      </c>
      <c r="U5514" t="s">
        <v>11720</v>
      </c>
      <c r="V5514" t="s">
        <v>11720</v>
      </c>
      <c r="W5514" t="s">
        <v>17174</v>
      </c>
      <c r="X5514">
        <v>11</v>
      </c>
      <c r="Y5514" t="s">
        <v>22870</v>
      </c>
      <c r="Z5514" t="s">
        <v>28721</v>
      </c>
      <c r="AA5514">
        <v>0.62800483595777257</v>
      </c>
      <c r="AB5514" t="str">
        <f>HYPERLINK("Melting_Curves/meltCurve_Q9UHR4_BAIAP2L1.pdf", "Melting_Curves/meltCurve_Q9UHR4_BAIAP2L1.pdf")</f>
        <v>Melting_Curves/meltCurve_Q9UHR4_BAIAP2L1.pdf</v>
      </c>
    </row>
    <row r="5515" spans="1:28" x14ac:dyDescent="0.25">
      <c r="A5515" t="s">
        <v>5519</v>
      </c>
      <c r="B5515">
        <v>0.99334974765950101</v>
      </c>
      <c r="C5515">
        <v>1.02706503516652</v>
      </c>
      <c r="D5515">
        <v>1.0239976864928599</v>
      </c>
      <c r="E5515">
        <v>1.05127747534623</v>
      </c>
      <c r="F5515">
        <v>1.0649028739863999</v>
      </c>
      <c r="G5515">
        <v>0.92055847799217905</v>
      </c>
      <c r="H5515">
        <v>0.70590823754756404</v>
      </c>
      <c r="I5515">
        <v>0.68740271825836996</v>
      </c>
      <c r="J5515">
        <v>0.80549804412256698</v>
      </c>
      <c r="K5515">
        <v>0.74730328772256105</v>
      </c>
      <c r="L5515">
        <v>14297.884529614001</v>
      </c>
      <c r="M5515">
        <v>250</v>
      </c>
      <c r="O5515">
        <v>57.187878128821303</v>
      </c>
      <c r="P5515">
        <v>-0.28794556682650801</v>
      </c>
      <c r="Q5515">
        <v>0.73652806406500504</v>
      </c>
      <c r="R5515">
        <v>0.92021362298081799</v>
      </c>
      <c r="S5515" t="s">
        <v>11376</v>
      </c>
      <c r="T5515" t="s">
        <v>11720</v>
      </c>
      <c r="U5515" t="s">
        <v>11720</v>
      </c>
      <c r="V5515" t="s">
        <v>11720</v>
      </c>
      <c r="W5515" t="s">
        <v>17175</v>
      </c>
      <c r="X5515">
        <v>14</v>
      </c>
      <c r="Y5515" t="s">
        <v>22871</v>
      </c>
      <c r="Z5515" t="s">
        <v>28722</v>
      </c>
      <c r="AA5515">
        <v>0.88753743647052896</v>
      </c>
      <c r="AB5515" t="str">
        <f>HYPERLINK("Melting_Curves/meltCurve_Q9UHV9_PFDN2.pdf", "Melting_Curves/meltCurve_Q9UHV9_PFDN2.pdf")</f>
        <v>Melting_Curves/meltCurve_Q9UHV9_PFDN2.pdf</v>
      </c>
    </row>
    <row r="5516" spans="1:28" x14ac:dyDescent="0.25">
      <c r="A5516" t="s">
        <v>5520</v>
      </c>
      <c r="B5516">
        <v>0.99334974765950101</v>
      </c>
      <c r="C5516">
        <v>0.97826579652547396</v>
      </c>
      <c r="D5516">
        <v>1.1122697547253799</v>
      </c>
      <c r="E5516">
        <v>0.98181413117621896</v>
      </c>
      <c r="F5516">
        <v>1.0545667375191901</v>
      </c>
      <c r="G5516">
        <v>0.91321647205249301</v>
      </c>
      <c r="H5516">
        <v>0.88232526865579397</v>
      </c>
      <c r="I5516">
        <v>0.84210666843093596</v>
      </c>
      <c r="J5516">
        <v>0.57581639659247297</v>
      </c>
      <c r="K5516">
        <v>0.111970577287078</v>
      </c>
      <c r="L5516">
        <v>2612.3826376659599</v>
      </c>
      <c r="M5516">
        <v>38.9036061426782</v>
      </c>
      <c r="N5516">
        <v>67.150130040049106</v>
      </c>
      <c r="O5516">
        <v>66.973452710407102</v>
      </c>
      <c r="P5516">
        <v>-0.14522059635241399</v>
      </c>
      <c r="Q5516">
        <v>0</v>
      </c>
      <c r="R5516">
        <v>0.94854250875813795</v>
      </c>
      <c r="S5516" t="s">
        <v>11377</v>
      </c>
      <c r="T5516" t="s">
        <v>11720</v>
      </c>
      <c r="U5516" t="s">
        <v>11720</v>
      </c>
      <c r="V5516" t="s">
        <v>11720</v>
      </c>
      <c r="W5516" t="s">
        <v>17176</v>
      </c>
      <c r="X5516">
        <v>6</v>
      </c>
      <c r="Y5516" t="s">
        <v>22872</v>
      </c>
      <c r="Z5516" t="s">
        <v>28723</v>
      </c>
      <c r="AA5516">
        <v>0.89753099943880121</v>
      </c>
      <c r="AB5516" t="str">
        <f>HYPERLINK("Melting_Curves/meltCurve_Q9UHW5_GPN3.pdf", "Melting_Curves/meltCurve_Q9UHW5_GPN3.pdf")</f>
        <v>Melting_Curves/meltCurve_Q9UHW5_GPN3.pdf</v>
      </c>
    </row>
    <row r="5517" spans="1:28" x14ac:dyDescent="0.25">
      <c r="A5517" t="s">
        <v>5521</v>
      </c>
      <c r="B5517">
        <v>0.99334974765950101</v>
      </c>
      <c r="C5517">
        <v>0.96052239587596999</v>
      </c>
      <c r="D5517">
        <v>0.93041276614461399</v>
      </c>
      <c r="E5517">
        <v>0.74114416486819601</v>
      </c>
      <c r="F5517">
        <v>0.284838221374276</v>
      </c>
      <c r="G5517">
        <v>0.14137129335436999</v>
      </c>
      <c r="H5517">
        <v>0.103318649410453</v>
      </c>
      <c r="I5517">
        <v>0.10255217963502999</v>
      </c>
      <c r="J5517">
        <v>0.117249964762842</v>
      </c>
      <c r="K5517">
        <v>0.10287372392382201</v>
      </c>
      <c r="L5517">
        <v>1889.1894201993</v>
      </c>
      <c r="M5517">
        <v>36.956304107964897</v>
      </c>
      <c r="N5517">
        <v>51.457031267653697</v>
      </c>
      <c r="O5517">
        <v>50.970551842436102</v>
      </c>
      <c r="P5517">
        <v>-0.161755223249509</v>
      </c>
      <c r="Q5517">
        <v>0.107623970333889</v>
      </c>
      <c r="R5517">
        <v>0.99638661161513298</v>
      </c>
      <c r="S5517" t="s">
        <v>11378</v>
      </c>
      <c r="T5517" t="s">
        <v>11720</v>
      </c>
      <c r="U5517" t="s">
        <v>11720</v>
      </c>
      <c r="V5517" t="s">
        <v>11720</v>
      </c>
      <c r="W5517" t="s">
        <v>17177</v>
      </c>
      <c r="X5517">
        <v>14</v>
      </c>
      <c r="Y5517" t="s">
        <v>22873</v>
      </c>
      <c r="Z5517" t="s">
        <v>28724</v>
      </c>
      <c r="AA5517">
        <v>0.44208213162373872</v>
      </c>
      <c r="AB5517" t="str">
        <f>HYPERLINK("Melting_Curves/meltCurve_Q9UHX1_4_PUF60.pdf", "Melting_Curves/meltCurve_Q9UHX1_4_PUF60.pdf")</f>
        <v>Melting_Curves/meltCurve_Q9UHX1_4_PUF60.pdf</v>
      </c>
    </row>
    <row r="5518" spans="1:28" x14ac:dyDescent="0.25">
      <c r="A5518" t="s">
        <v>5522</v>
      </c>
      <c r="B5518">
        <v>0.99334974765950101</v>
      </c>
      <c r="C5518">
        <v>1.0650699233737899</v>
      </c>
      <c r="D5518">
        <v>1.0325119434321901</v>
      </c>
      <c r="E5518">
        <v>0.90166085860969503</v>
      </c>
      <c r="F5518">
        <v>0.62661982991072096</v>
      </c>
      <c r="G5518">
        <v>0.178816257609029</v>
      </c>
      <c r="H5518">
        <v>0.105195238805236</v>
      </c>
      <c r="I5518">
        <v>8.3780154887837605E-2</v>
      </c>
      <c r="J5518">
        <v>8.3663057456324505E-2</v>
      </c>
      <c r="K5518">
        <v>6.1843691775224599E-2</v>
      </c>
      <c r="L5518">
        <v>1748.6602555838101</v>
      </c>
      <c r="M5518">
        <v>32.643028155513299</v>
      </c>
      <c r="N5518">
        <v>53.840910575010398</v>
      </c>
      <c r="O5518">
        <v>53.369319795985596</v>
      </c>
      <c r="P5518">
        <v>-0.14129859098810699</v>
      </c>
      <c r="Q5518">
        <v>7.5946378377120594E-2</v>
      </c>
      <c r="R5518">
        <v>0.99640700835171103</v>
      </c>
      <c r="S5518" t="s">
        <v>11379</v>
      </c>
      <c r="T5518" t="s">
        <v>11720</v>
      </c>
      <c r="U5518" t="s">
        <v>11720</v>
      </c>
      <c r="V5518" t="s">
        <v>11720</v>
      </c>
      <c r="W5518" t="s">
        <v>17178</v>
      </c>
      <c r="X5518">
        <v>15</v>
      </c>
      <c r="Y5518" t="s">
        <v>22874</v>
      </c>
      <c r="Z5518" t="s">
        <v>28725</v>
      </c>
      <c r="AA5518">
        <v>0.49901995326670329</v>
      </c>
      <c r="AB5518" t="str">
        <f>HYPERLINK("Melting_Curves/meltCurve_Q9UHY1_NRBP1.pdf", "Melting_Curves/meltCurve_Q9UHY1_NRBP1.pdf")</f>
        <v>Melting_Curves/meltCurve_Q9UHY1_NRBP1.pdf</v>
      </c>
    </row>
    <row r="5519" spans="1:28" x14ac:dyDescent="0.25">
      <c r="A5519" t="s">
        <v>5523</v>
      </c>
      <c r="B5519">
        <v>0.99334974765950101</v>
      </c>
      <c r="C5519">
        <v>0.90702860172102195</v>
      </c>
      <c r="D5519">
        <v>0.77426717663739897</v>
      </c>
      <c r="E5519">
        <v>0.45218066061656798</v>
      </c>
      <c r="F5519">
        <v>0.20924137187410599</v>
      </c>
      <c r="G5519">
        <v>0.123288598427142</v>
      </c>
      <c r="H5519">
        <v>7.8258150891403894E-2</v>
      </c>
      <c r="I5519">
        <v>7.4182991446870794E-2</v>
      </c>
      <c r="J5519">
        <v>6.3242515651165704E-2</v>
      </c>
      <c r="K5519">
        <v>5.5571070498003201E-2</v>
      </c>
      <c r="L5519">
        <v>895.63574051539103</v>
      </c>
      <c r="M5519">
        <v>18.325184739807</v>
      </c>
      <c r="N5519">
        <v>49.183393767348797</v>
      </c>
      <c r="O5519">
        <v>48.303716723183499</v>
      </c>
      <c r="P5519">
        <v>-8.9693539118893897E-2</v>
      </c>
      <c r="Q5519">
        <v>5.4343604754153903E-2</v>
      </c>
      <c r="R5519">
        <v>0.99843671894349895</v>
      </c>
      <c r="S5519" t="s">
        <v>11380</v>
      </c>
      <c r="T5519" t="s">
        <v>11720</v>
      </c>
      <c r="U5519" t="s">
        <v>11720</v>
      </c>
      <c r="V5519" t="s">
        <v>11720</v>
      </c>
      <c r="W5519" t="s">
        <v>17179</v>
      </c>
      <c r="X5519">
        <v>10</v>
      </c>
      <c r="Y5519" t="s">
        <v>22875</v>
      </c>
      <c r="Z5519" t="s">
        <v>28726</v>
      </c>
      <c r="AA5519">
        <v>0.34992617829257128</v>
      </c>
      <c r="AB5519" t="str">
        <f>HYPERLINK("Melting_Curves/meltCurve_Q9UHY7_ENOPH1.pdf", "Melting_Curves/meltCurve_Q9UHY7_ENOPH1.pdf")</f>
        <v>Melting_Curves/meltCurve_Q9UHY7_ENOPH1.pdf</v>
      </c>
    </row>
    <row r="5520" spans="1:28" x14ac:dyDescent="0.25">
      <c r="A5520" t="s">
        <v>5524</v>
      </c>
      <c r="B5520">
        <v>0.99334974765950101</v>
      </c>
      <c r="C5520">
        <v>1.0843943933932301</v>
      </c>
      <c r="D5520">
        <v>0.81882989225583402</v>
      </c>
      <c r="E5520">
        <v>0.81156735086124399</v>
      </c>
      <c r="F5520">
        <v>0.28926948379239398</v>
      </c>
      <c r="G5520">
        <v>0.162708514071981</v>
      </c>
      <c r="H5520">
        <v>0.124725673859323</v>
      </c>
      <c r="I5520">
        <v>0.13241610939530599</v>
      </c>
      <c r="J5520">
        <v>0.114124179354126</v>
      </c>
      <c r="K5520">
        <v>0.116556122915833</v>
      </c>
      <c r="L5520">
        <v>2251.9671516430699</v>
      </c>
      <c r="M5520">
        <v>43.857558600833997</v>
      </c>
      <c r="N5520">
        <v>51.689307210247698</v>
      </c>
      <c r="O5520">
        <v>51.240890903273801</v>
      </c>
      <c r="P5520">
        <v>-0.18703091965087401</v>
      </c>
      <c r="Q5520">
        <v>0.125932509505495</v>
      </c>
      <c r="R5520">
        <v>0.97366961275088304</v>
      </c>
      <c r="S5520" t="s">
        <v>11381</v>
      </c>
      <c r="T5520" t="s">
        <v>11720</v>
      </c>
      <c r="U5520" t="s">
        <v>11720</v>
      </c>
      <c r="V5520" t="s">
        <v>11720</v>
      </c>
      <c r="W5520" t="s">
        <v>17180</v>
      </c>
      <c r="X5520">
        <v>4</v>
      </c>
      <c r="Y5520" t="s">
        <v>22876</v>
      </c>
      <c r="Z5520" t="s">
        <v>28727</v>
      </c>
      <c r="AA5520">
        <v>0.45911963207362722</v>
      </c>
      <c r="AB5520" t="str">
        <f>HYPERLINK("Melting_Curves/meltCurve_Q9UHY8_FEZ2.pdf", "Melting_Curves/meltCurve_Q9UHY8_FEZ2.pdf")</f>
        <v>Melting_Curves/meltCurve_Q9UHY8_FEZ2.pdf</v>
      </c>
    </row>
    <row r="5521" spans="1:28" x14ac:dyDescent="0.25">
      <c r="A5521" t="s">
        <v>5525</v>
      </c>
      <c r="B5521">
        <v>0.99334974765950101</v>
      </c>
      <c r="C5521">
        <v>0.93602640273196003</v>
      </c>
      <c r="D5521">
        <v>0.91496581579373804</v>
      </c>
      <c r="E5521">
        <v>0.77227261629612398</v>
      </c>
      <c r="F5521">
        <v>0.38010002025127798</v>
      </c>
      <c r="G5521">
        <v>0.205385034563768</v>
      </c>
      <c r="H5521">
        <v>0.14565941541204599</v>
      </c>
      <c r="I5521">
        <v>0.12679996281921899</v>
      </c>
      <c r="J5521">
        <v>0.121917955803039</v>
      </c>
      <c r="K5521">
        <v>0.100474293631936</v>
      </c>
      <c r="L5521">
        <v>1355.0835052692601</v>
      </c>
      <c r="M5521">
        <v>26.2601105123411</v>
      </c>
      <c r="N5521">
        <v>52.141732260438701</v>
      </c>
      <c r="O5521">
        <v>51.305905536207298</v>
      </c>
      <c r="P5521">
        <v>-0.112740606336445</v>
      </c>
      <c r="Q5521">
        <v>0.118938404560975</v>
      </c>
      <c r="R5521">
        <v>0.99290393883609096</v>
      </c>
      <c r="S5521" t="s">
        <v>11382</v>
      </c>
      <c r="T5521" t="s">
        <v>11720</v>
      </c>
      <c r="U5521" t="s">
        <v>11720</v>
      </c>
      <c r="V5521" t="s">
        <v>11720</v>
      </c>
      <c r="W5521" t="s">
        <v>17181</v>
      </c>
      <c r="X5521">
        <v>6</v>
      </c>
      <c r="Y5521" t="s">
        <v>22877</v>
      </c>
      <c r="Z5521" t="s">
        <v>28728</v>
      </c>
      <c r="AA5521">
        <v>0.46696286867594389</v>
      </c>
      <c r="AB5521" t="str">
        <f>HYPERLINK("Melting_Curves/meltCurve_Q9UI08_EVL.pdf", "Melting_Curves/meltCurve_Q9UI08_EVL.pdf")</f>
        <v>Melting_Curves/meltCurve_Q9UI08_EVL.pdf</v>
      </c>
    </row>
    <row r="5522" spans="1:28" x14ac:dyDescent="0.25">
      <c r="A5522" t="s">
        <v>5526</v>
      </c>
      <c r="B5522">
        <v>0.99334974765950101</v>
      </c>
      <c r="C5522">
        <v>1.03100535324647</v>
      </c>
      <c r="D5522">
        <v>0.89522201421230196</v>
      </c>
      <c r="E5522">
        <v>0.92187457070780399</v>
      </c>
      <c r="F5522">
        <v>0.72879726685331203</v>
      </c>
      <c r="G5522">
        <v>0.384752519775172</v>
      </c>
      <c r="H5522">
        <v>0.14943954555598801</v>
      </c>
      <c r="I5522">
        <v>0.121230465139552</v>
      </c>
      <c r="J5522">
        <v>0.13222504200549801</v>
      </c>
      <c r="K5522">
        <v>0.104004860939351</v>
      </c>
      <c r="L5522">
        <v>1254.1125074136401</v>
      </c>
      <c r="M5522">
        <v>22.817318772187299</v>
      </c>
      <c r="N5522">
        <v>55.470174887051698</v>
      </c>
      <c r="O5522">
        <v>54.546229736297299</v>
      </c>
      <c r="P5522">
        <v>-9.4737086410667096E-2</v>
      </c>
      <c r="Q5522">
        <v>9.4117716018820199E-2</v>
      </c>
      <c r="R5522">
        <v>0.99197289727290106</v>
      </c>
      <c r="S5522" t="s">
        <v>11383</v>
      </c>
      <c r="T5522" t="s">
        <v>11720</v>
      </c>
      <c r="U5522" t="s">
        <v>11720</v>
      </c>
      <c r="V5522" t="s">
        <v>11720</v>
      </c>
      <c r="W5522" t="s">
        <v>17182</v>
      </c>
      <c r="X5522">
        <v>10</v>
      </c>
      <c r="Y5522" t="s">
        <v>22878</v>
      </c>
      <c r="Z5522" t="s">
        <v>28729</v>
      </c>
      <c r="AA5522">
        <v>0.55574560147789298</v>
      </c>
      <c r="AB5522" t="str">
        <f>HYPERLINK("Melting_Curves/meltCurve_Q9UI12_2_ATP6V1H.pdf", "Melting_Curves/meltCurve_Q9UI12_2_ATP6V1H.pdf")</f>
        <v>Melting_Curves/meltCurve_Q9UI12_2_ATP6V1H.pdf</v>
      </c>
    </row>
    <row r="5523" spans="1:28" x14ac:dyDescent="0.25">
      <c r="A5523" t="s">
        <v>5527</v>
      </c>
      <c r="B5523">
        <v>0.99334974765950101</v>
      </c>
      <c r="C5523">
        <v>0.92832112929791599</v>
      </c>
      <c r="D5523">
        <v>0.95770766930328299</v>
      </c>
      <c r="E5523">
        <v>0.86626793528286505</v>
      </c>
      <c r="F5523">
        <v>0.56253975388482702</v>
      </c>
      <c r="G5523">
        <v>0.31845969040842498</v>
      </c>
      <c r="H5523">
        <v>0.149172606251603</v>
      </c>
      <c r="I5523">
        <v>0.15334643058097</v>
      </c>
      <c r="J5523">
        <v>0.156015398754007</v>
      </c>
      <c r="K5523">
        <v>0.15474886004085101</v>
      </c>
      <c r="L5523">
        <v>1236.2837578419401</v>
      </c>
      <c r="M5523">
        <v>23.2527978249779</v>
      </c>
      <c r="N5523">
        <v>53.934736373547999</v>
      </c>
      <c r="O5523">
        <v>52.778553230593502</v>
      </c>
      <c r="P5523">
        <v>-9.4628195621282205E-2</v>
      </c>
      <c r="Q5523">
        <v>0.14087762664041401</v>
      </c>
      <c r="R5523">
        <v>0.99337666577518002</v>
      </c>
      <c r="S5523" t="s">
        <v>11384</v>
      </c>
      <c r="T5523" t="s">
        <v>11720</v>
      </c>
      <c r="U5523" t="s">
        <v>11720</v>
      </c>
      <c r="V5523" t="s">
        <v>11720</v>
      </c>
      <c r="W5523" t="s">
        <v>17183</v>
      </c>
      <c r="X5523">
        <v>4</v>
      </c>
      <c r="Y5523" t="s">
        <v>22879</v>
      </c>
      <c r="Z5523" t="s">
        <v>28730</v>
      </c>
      <c r="AA5523">
        <v>0.52700086572177018</v>
      </c>
      <c r="AB5523" t="str">
        <f>HYPERLINK("Melting_Curves/meltCurve_Q9UI15_TAGLN3.pdf", "Melting_Curves/meltCurve_Q9UI15_TAGLN3.pdf")</f>
        <v>Melting_Curves/meltCurve_Q9UI15_TAGLN3.pdf</v>
      </c>
    </row>
    <row r="5524" spans="1:28" x14ac:dyDescent="0.25">
      <c r="A5524" t="s">
        <v>5528</v>
      </c>
      <c r="B5524">
        <v>0.99334974765950101</v>
      </c>
      <c r="C5524">
        <v>1.0275688692517899</v>
      </c>
      <c r="D5524">
        <v>0.94974350323502299</v>
      </c>
      <c r="E5524">
        <v>0.86206247286479498</v>
      </c>
      <c r="F5524">
        <v>0.51221257933222797</v>
      </c>
      <c r="G5524">
        <v>0.29148776976199098</v>
      </c>
      <c r="H5524">
        <v>0.21086846781513699</v>
      </c>
      <c r="I5524">
        <v>0.16284532993041601</v>
      </c>
      <c r="J5524">
        <v>0.19476440923428101</v>
      </c>
      <c r="K5524">
        <v>0.125485022469353</v>
      </c>
      <c r="L5524">
        <v>1362.7438623671001</v>
      </c>
      <c r="M5524">
        <v>25.902735676824101</v>
      </c>
      <c r="N5524">
        <v>53.449252633647802</v>
      </c>
      <c r="O5524">
        <v>52.299455797882601</v>
      </c>
      <c r="P5524">
        <v>-0.103132863415067</v>
      </c>
      <c r="Q5524">
        <v>0.167079262946812</v>
      </c>
      <c r="R5524">
        <v>0.99421529724632596</v>
      </c>
      <c r="S5524" t="s">
        <v>11385</v>
      </c>
      <c r="T5524" t="s">
        <v>11720</v>
      </c>
      <c r="U5524" t="s">
        <v>11720</v>
      </c>
      <c r="V5524" t="s">
        <v>11720</v>
      </c>
      <c r="W5524" t="s">
        <v>17184</v>
      </c>
      <c r="X5524">
        <v>7</v>
      </c>
      <c r="Y5524" t="s">
        <v>22880</v>
      </c>
      <c r="Z5524" t="s">
        <v>28731</v>
      </c>
      <c r="AA5524">
        <v>0.52433072776583844</v>
      </c>
      <c r="AB5524" t="str">
        <f>HYPERLINK("Melting_Curves/meltCurve_Q9UI26_IPO11.pdf", "Melting_Curves/meltCurve_Q9UI26_IPO11.pdf")</f>
        <v>Melting_Curves/meltCurve_Q9UI26_IPO11.pdf</v>
      </c>
    </row>
    <row r="5525" spans="1:28" x14ac:dyDescent="0.25">
      <c r="A5525" t="s">
        <v>5529</v>
      </c>
      <c r="B5525">
        <v>0.99334974765950101</v>
      </c>
      <c r="C5525">
        <v>0.97793235570993997</v>
      </c>
      <c r="D5525">
        <v>0.95181977951099594</v>
      </c>
      <c r="E5525">
        <v>0.79153728499132503</v>
      </c>
      <c r="F5525">
        <v>0.65593189981267597</v>
      </c>
      <c r="G5525">
        <v>0.40841278158286698</v>
      </c>
      <c r="H5525">
        <v>0.268307157591399</v>
      </c>
      <c r="I5525">
        <v>0.212262029279881</v>
      </c>
      <c r="J5525">
        <v>0.20119824892023999</v>
      </c>
      <c r="K5525">
        <v>0.14990823672973699</v>
      </c>
      <c r="L5525">
        <v>804.59464575429604</v>
      </c>
      <c r="M5525">
        <v>14.841201050157</v>
      </c>
      <c r="N5525">
        <v>55.368074303454399</v>
      </c>
      <c r="O5525">
        <v>53.257845275337999</v>
      </c>
      <c r="P5525">
        <v>-6.0402016668676797E-2</v>
      </c>
      <c r="Q5525">
        <v>0.133077586525713</v>
      </c>
      <c r="R5525">
        <v>0.99886148759025295</v>
      </c>
      <c r="S5525" t="s">
        <v>11386</v>
      </c>
      <c r="T5525" t="s">
        <v>11720</v>
      </c>
      <c r="U5525" t="s">
        <v>11720</v>
      </c>
      <c r="V5525" t="s">
        <v>11720</v>
      </c>
      <c r="W5525" t="s">
        <v>17185</v>
      </c>
      <c r="X5525">
        <v>7</v>
      </c>
      <c r="Y5525" t="s">
        <v>22881</v>
      </c>
      <c r="Z5525" t="s">
        <v>28732</v>
      </c>
      <c r="AA5525">
        <v>0.56161613431910262</v>
      </c>
      <c r="AB5525" t="str">
        <f>HYPERLINK("Melting_Curves/meltCurve_Q9UI30_TRMT112.pdf", "Melting_Curves/meltCurve_Q9UI30_TRMT112.pdf")</f>
        <v>Melting_Curves/meltCurve_Q9UI30_TRMT112.pdf</v>
      </c>
    </row>
    <row r="5526" spans="1:28" x14ac:dyDescent="0.25">
      <c r="A5526" t="s">
        <v>5530</v>
      </c>
      <c r="B5526">
        <v>0.99334974765950101</v>
      </c>
      <c r="C5526">
        <v>0.95710696581251398</v>
      </c>
      <c r="D5526">
        <v>0.85352364331853103</v>
      </c>
      <c r="E5526">
        <v>0.76551194798990996</v>
      </c>
      <c r="F5526">
        <v>0.598368814774345</v>
      </c>
      <c r="G5526">
        <v>0.51088255863335097</v>
      </c>
      <c r="H5526">
        <v>0.37023666990013299</v>
      </c>
      <c r="I5526">
        <v>0.19766240117398001</v>
      </c>
      <c r="J5526">
        <v>0.111515375361793</v>
      </c>
      <c r="K5526">
        <v>0.10135736423642699</v>
      </c>
      <c r="L5526">
        <v>547.85905206784298</v>
      </c>
      <c r="M5526">
        <v>9.7856132017322608</v>
      </c>
      <c r="N5526">
        <v>55.986174884360501</v>
      </c>
      <c r="O5526">
        <v>53.798314653336803</v>
      </c>
      <c r="P5526">
        <v>-4.5497631677736801E-2</v>
      </c>
      <c r="Q5526">
        <v>0</v>
      </c>
      <c r="R5526">
        <v>0.98656077793149599</v>
      </c>
      <c r="S5526" t="s">
        <v>11387</v>
      </c>
      <c r="T5526" t="s">
        <v>11720</v>
      </c>
      <c r="U5526" t="s">
        <v>11720</v>
      </c>
      <c r="V5526" t="s">
        <v>11720</v>
      </c>
      <c r="W5526" t="s">
        <v>17186</v>
      </c>
      <c r="X5526">
        <v>2</v>
      </c>
      <c r="Y5526" t="s">
        <v>22882</v>
      </c>
      <c r="Z5526" t="s">
        <v>28733</v>
      </c>
      <c r="AA5526">
        <v>0.55402527513023792</v>
      </c>
      <c r="AB5526" t="str">
        <f>HYPERLINK("Melting_Curves/meltCurve_Q9UI42_2_CPA4.pdf", "Melting_Curves/meltCurve_Q9UI42_2_CPA4.pdf")</f>
        <v>Melting_Curves/meltCurve_Q9UI42_2_CPA4.pdf</v>
      </c>
    </row>
    <row r="5527" spans="1:28" x14ac:dyDescent="0.25">
      <c r="A5527" t="s">
        <v>5531</v>
      </c>
      <c r="B5527">
        <v>0.99334974765950101</v>
      </c>
      <c r="C5527">
        <v>0.98820438038420999</v>
      </c>
      <c r="D5527">
        <v>0.84749902081894901</v>
      </c>
      <c r="E5527">
        <v>0.71072729739722595</v>
      </c>
      <c r="F5527">
        <v>0.24458311747018299</v>
      </c>
      <c r="G5527">
        <v>0.12680839912750799</v>
      </c>
      <c r="H5527">
        <v>0.10165440530407301</v>
      </c>
      <c r="I5527">
        <v>7.8080088630703606E-2</v>
      </c>
      <c r="J5527">
        <v>7.1202303703081601E-2</v>
      </c>
      <c r="K5527">
        <v>5.2276727230796301E-2</v>
      </c>
      <c r="L5527">
        <v>1473.06897932629</v>
      </c>
      <c r="M5527">
        <v>28.938211602804699</v>
      </c>
      <c r="N5527">
        <v>51.174841681610403</v>
      </c>
      <c r="O5527">
        <v>50.662713106866299</v>
      </c>
      <c r="P5527">
        <v>-0.132658535899913</v>
      </c>
      <c r="Q5527">
        <v>7.1015075938862596E-2</v>
      </c>
      <c r="R5527">
        <v>0.987071448299084</v>
      </c>
      <c r="S5527" t="s">
        <v>11388</v>
      </c>
      <c r="T5527" t="s">
        <v>11720</v>
      </c>
      <c r="U5527" t="s">
        <v>11720</v>
      </c>
      <c r="V5527" t="s">
        <v>11720</v>
      </c>
      <c r="W5527" t="s">
        <v>17187</v>
      </c>
      <c r="X5527">
        <v>13</v>
      </c>
      <c r="Y5527" t="s">
        <v>22883</v>
      </c>
      <c r="Z5527" t="s">
        <v>28734</v>
      </c>
      <c r="AA5527">
        <v>0.41493643167685079</v>
      </c>
      <c r="AB5527" t="str">
        <f>HYPERLINK("Melting_Curves/meltCurve_Q9UIC8_LCMT1.pdf", "Melting_Curves/meltCurve_Q9UIC8_LCMT1.pdf")</f>
        <v>Melting_Curves/meltCurve_Q9UIC8_LCMT1.pdf</v>
      </c>
    </row>
    <row r="5528" spans="1:28" x14ac:dyDescent="0.25">
      <c r="A5528" t="s">
        <v>5532</v>
      </c>
      <c r="B5528">
        <v>0.99334974765950101</v>
      </c>
      <c r="C5528">
        <v>0.90460170964419695</v>
      </c>
      <c r="D5528">
        <v>1.2817057903418001</v>
      </c>
      <c r="E5528">
        <v>0.86272335772527797</v>
      </c>
      <c r="F5528">
        <v>0.26846365507271502</v>
      </c>
      <c r="G5528">
        <v>0.19326581149491201</v>
      </c>
      <c r="H5528">
        <v>0.149443087080985</v>
      </c>
      <c r="I5528">
        <v>0.118328551224698</v>
      </c>
      <c r="J5528">
        <v>0.134807926494311</v>
      </c>
      <c r="K5528">
        <v>5.73980429394595E-2</v>
      </c>
      <c r="L5528">
        <v>2974.2097657035602</v>
      </c>
      <c r="M5528">
        <v>57.777664205554601</v>
      </c>
      <c r="N5528">
        <v>51.746069483259802</v>
      </c>
      <c r="O5528">
        <v>51.415230573319299</v>
      </c>
      <c r="P5528">
        <v>-0.2444625143686</v>
      </c>
      <c r="Q5528">
        <v>0.129830144672233</v>
      </c>
      <c r="R5528">
        <v>0.94806085817930796</v>
      </c>
      <c r="S5528" t="s">
        <v>11389</v>
      </c>
      <c r="T5528" t="s">
        <v>11720</v>
      </c>
      <c r="U5528" t="s">
        <v>11720</v>
      </c>
      <c r="V5528" t="s">
        <v>11720</v>
      </c>
      <c r="W5528" t="s">
        <v>17188</v>
      </c>
      <c r="X5528">
        <v>1</v>
      </c>
      <c r="Y5528" t="s">
        <v>22884</v>
      </c>
      <c r="Z5528" t="s">
        <v>28735</v>
      </c>
      <c r="AA5528">
        <v>0.46420018914284572</v>
      </c>
      <c r="AB5528" t="str">
        <f>HYPERLINK("Melting_Curves/meltCurve_Q9UID3_2_VPS51.pdf", "Melting_Curves/meltCurve_Q9UID3_2_VPS51.pdf")</f>
        <v>Melting_Curves/meltCurve_Q9UID3_2_VPS51.pdf</v>
      </c>
    </row>
    <row r="5529" spans="1:28" x14ac:dyDescent="0.25">
      <c r="A5529" t="s">
        <v>5533</v>
      </c>
      <c r="B5529">
        <v>0.99334974765950101</v>
      </c>
      <c r="C5529">
        <v>1.1549256186488299</v>
      </c>
      <c r="D5529">
        <v>1.2471733634075099</v>
      </c>
      <c r="E5529">
        <v>0.86584766935760304</v>
      </c>
      <c r="F5529">
        <v>0.85124514478915103</v>
      </c>
      <c r="G5529">
        <v>0.60777579028699003</v>
      </c>
      <c r="H5529">
        <v>0.79894677576109596</v>
      </c>
      <c r="I5529">
        <v>0.72602705328818895</v>
      </c>
      <c r="J5529">
        <v>2.5557776112141801</v>
      </c>
      <c r="K5529">
        <v>1.7195381082683201</v>
      </c>
      <c r="L5529">
        <v>6015.8417807823198</v>
      </c>
      <c r="M5529">
        <v>92.585351924597404</v>
      </c>
      <c r="O5529">
        <v>64.945876334640204</v>
      </c>
      <c r="P5529">
        <v>0.178197147666177</v>
      </c>
      <c r="Q5529">
        <v>1.5</v>
      </c>
      <c r="R5529">
        <v>0.45736010815261302</v>
      </c>
      <c r="S5529" t="s">
        <v>11390</v>
      </c>
      <c r="T5529" t="s">
        <v>11720</v>
      </c>
      <c r="U5529" t="s">
        <v>11720</v>
      </c>
      <c r="V5529" t="s">
        <v>11720</v>
      </c>
      <c r="W5529" t="s">
        <v>17189</v>
      </c>
      <c r="X5529">
        <v>16</v>
      </c>
      <c r="Y5529" t="s">
        <v>22885</v>
      </c>
      <c r="Z5529" t="s">
        <v>28736</v>
      </c>
      <c r="AA5529">
        <v>1.0833322420949181</v>
      </c>
      <c r="AB5529" t="str">
        <f>HYPERLINK("Melting_Curves/meltCurve_Q9UII2_ATPIF1.pdf", "Melting_Curves/meltCurve_Q9UII2_ATPIF1.pdf")</f>
        <v>Melting_Curves/meltCurve_Q9UII2_ATPIF1.pdf</v>
      </c>
    </row>
    <row r="5530" spans="1:28" x14ac:dyDescent="0.25">
      <c r="A5530" t="s">
        <v>5534</v>
      </c>
      <c r="B5530">
        <v>0.99334974765950101</v>
      </c>
      <c r="C5530">
        <v>0.91448909857037697</v>
      </c>
      <c r="D5530">
        <v>0.82273891960154999</v>
      </c>
      <c r="E5530">
        <v>0.77040827249997101</v>
      </c>
      <c r="F5530">
        <v>0.59712409769989905</v>
      </c>
      <c r="G5530">
        <v>0.53288286664298901</v>
      </c>
      <c r="H5530">
        <v>0.35279639997450002</v>
      </c>
      <c r="I5530">
        <v>0.35371719474943097</v>
      </c>
      <c r="J5530">
        <v>0.29279776805001501</v>
      </c>
      <c r="K5530">
        <v>0.21212861842299699</v>
      </c>
      <c r="L5530">
        <v>429.79285731345402</v>
      </c>
      <c r="M5530">
        <v>7.6736923992188704</v>
      </c>
      <c r="N5530">
        <v>57.0911219909664</v>
      </c>
      <c r="O5530">
        <v>52.585450521864502</v>
      </c>
      <c r="P5530">
        <v>-3.4056901374250499E-2</v>
      </c>
      <c r="Q5530">
        <v>6.7705762545157103E-2</v>
      </c>
      <c r="R5530">
        <v>0.98756570681401901</v>
      </c>
      <c r="S5530" t="s">
        <v>11391</v>
      </c>
      <c r="T5530" t="s">
        <v>11720</v>
      </c>
      <c r="U5530" t="s">
        <v>11720</v>
      </c>
      <c r="V5530" t="s">
        <v>11720</v>
      </c>
      <c r="W5530" t="s">
        <v>17190</v>
      </c>
      <c r="X5530">
        <v>2</v>
      </c>
      <c r="Y5530" t="s">
        <v>22886</v>
      </c>
      <c r="Z5530" t="s">
        <v>28737</v>
      </c>
      <c r="AA5530">
        <v>0.58313882072555689</v>
      </c>
      <c r="AB5530" t="str">
        <f>HYPERLINK("Melting_Curves/meltCurve_Q9UIJ5_ZDHHC2.pdf", "Melting_Curves/meltCurve_Q9UIJ5_ZDHHC2.pdf")</f>
        <v>Melting_Curves/meltCurve_Q9UIJ5_ZDHHC2.pdf</v>
      </c>
    </row>
    <row r="5531" spans="1:28" x14ac:dyDescent="0.25">
      <c r="A5531" t="s">
        <v>5535</v>
      </c>
      <c r="B5531">
        <v>0.99334974765950101</v>
      </c>
      <c r="C5531">
        <v>0.97846071067923002</v>
      </c>
      <c r="D5531">
        <v>0.91257171738801102</v>
      </c>
      <c r="E5531">
        <v>0.77733911173398296</v>
      </c>
      <c r="F5531">
        <v>0.62205487431593198</v>
      </c>
      <c r="G5531">
        <v>0.33368469754020502</v>
      </c>
      <c r="H5531">
        <v>8.0725405400673703E-2</v>
      </c>
      <c r="I5531">
        <v>5.70732514224154E-2</v>
      </c>
      <c r="J5531">
        <v>5.5146892594910499E-2</v>
      </c>
      <c r="K5531">
        <v>4.3572392123523297E-2</v>
      </c>
      <c r="L5531">
        <v>890.835269193047</v>
      </c>
      <c r="M5531">
        <v>16.434489372221201</v>
      </c>
      <c r="N5531">
        <v>54.205229725427003</v>
      </c>
      <c r="O5531">
        <v>53.421731423672298</v>
      </c>
      <c r="P5531">
        <v>-7.6914623656621994E-2</v>
      </c>
      <c r="Q5531">
        <v>0</v>
      </c>
      <c r="R5531">
        <v>0.99505081869121803</v>
      </c>
      <c r="S5531" t="s">
        <v>11392</v>
      </c>
      <c r="T5531" t="s">
        <v>11720</v>
      </c>
      <c r="U5531" t="s">
        <v>11720</v>
      </c>
      <c r="V5531" t="s">
        <v>11720</v>
      </c>
      <c r="W5531" t="s">
        <v>17191</v>
      </c>
      <c r="X5531">
        <v>20</v>
      </c>
      <c r="Y5531" t="s">
        <v>22887</v>
      </c>
      <c r="Z5531" t="s">
        <v>28738</v>
      </c>
      <c r="AA5531">
        <v>0.49156989184977362</v>
      </c>
      <c r="AB5531" t="str">
        <f>HYPERLINK("Melting_Curves/meltCurve_Q9UIJ7_AK3.pdf", "Melting_Curves/meltCurve_Q9UIJ7_AK3.pdf")</f>
        <v>Melting_Curves/meltCurve_Q9UIJ7_AK3.pdf</v>
      </c>
    </row>
    <row r="5532" spans="1:28" x14ac:dyDescent="0.25">
      <c r="A5532" t="s">
        <v>5536</v>
      </c>
      <c r="B5532">
        <v>0.99334974765950101</v>
      </c>
      <c r="C5532">
        <v>1.02319692008105</v>
      </c>
      <c r="D5532">
        <v>0.83979251132127797</v>
      </c>
      <c r="E5532">
        <v>0.93097467478016804</v>
      </c>
      <c r="F5532">
        <v>0.83511868909258402</v>
      </c>
      <c r="G5532">
        <v>0.81578153794318298</v>
      </c>
      <c r="H5532">
        <v>0.789309062538745</v>
      </c>
      <c r="I5532">
        <v>1.17573406269467</v>
      </c>
      <c r="J5532">
        <v>1.0680666406064701</v>
      </c>
      <c r="K5532">
        <v>0.94085880533292299</v>
      </c>
      <c r="L5532">
        <v>11071.7981241856</v>
      </c>
      <c r="M5532">
        <v>250</v>
      </c>
      <c r="O5532">
        <v>44.2843649513445</v>
      </c>
      <c r="P5532">
        <v>-0.106618491150133</v>
      </c>
      <c r="Q5532">
        <v>0.92445549645894998</v>
      </c>
      <c r="R5532">
        <v>7.8743841609440604E-2</v>
      </c>
      <c r="S5532" t="s">
        <v>11393</v>
      </c>
      <c r="T5532" t="s">
        <v>11720</v>
      </c>
      <c r="U5532" t="s">
        <v>11720</v>
      </c>
      <c r="V5532" t="s">
        <v>11720</v>
      </c>
      <c r="W5532" t="s">
        <v>17192</v>
      </c>
      <c r="X5532">
        <v>1</v>
      </c>
      <c r="Y5532" t="s">
        <v>22888</v>
      </c>
      <c r="Z5532" t="s">
        <v>28739</v>
      </c>
      <c r="AA5532">
        <v>0.93525716232130973</v>
      </c>
      <c r="AB5532" t="str">
        <f>HYPERLINK("Melting_Curves/meltCurve_Q9UIL1_3_SCOC.pdf", "Melting_Curves/meltCurve_Q9UIL1_3_SCOC.pdf")</f>
        <v>Melting_Curves/meltCurve_Q9UIL1_3_SCOC.pdf</v>
      </c>
    </row>
    <row r="5533" spans="1:28" x14ac:dyDescent="0.25">
      <c r="A5533" t="s">
        <v>5537</v>
      </c>
      <c r="B5533">
        <v>0.99334974765950101</v>
      </c>
      <c r="C5533">
        <v>1.0401192667163699</v>
      </c>
      <c r="D5533">
        <v>1.1059964777679301</v>
      </c>
      <c r="E5533">
        <v>1.33215200049536</v>
      </c>
      <c r="F5533">
        <v>1.3116714978971999</v>
      </c>
      <c r="G5533">
        <v>1.3517974401085899</v>
      </c>
      <c r="H5533">
        <v>1.17130005463877</v>
      </c>
      <c r="I5533">
        <v>1.66211811240359</v>
      </c>
      <c r="J5533">
        <v>1.0742314408331399</v>
      </c>
      <c r="K5533">
        <v>0.66652493530601997</v>
      </c>
      <c r="L5533">
        <v>15000</v>
      </c>
      <c r="M5533">
        <v>213.59315362019899</v>
      </c>
      <c r="Q5533">
        <v>0</v>
      </c>
      <c r="R5533">
        <v>-0.28433663953635901</v>
      </c>
      <c r="S5533" t="s">
        <v>11394</v>
      </c>
      <c r="T5533" t="s">
        <v>11720</v>
      </c>
      <c r="U5533" t="s">
        <v>11720</v>
      </c>
      <c r="V5533" t="s">
        <v>11720</v>
      </c>
      <c r="W5533" t="s">
        <v>17193</v>
      </c>
      <c r="X5533">
        <v>15</v>
      </c>
      <c r="Y5533" t="s">
        <v>22889</v>
      </c>
      <c r="Z5533" t="s">
        <v>28740</v>
      </c>
      <c r="AA5533">
        <v>0.99562774240206664</v>
      </c>
      <c r="AB5533" t="str">
        <f>HYPERLINK("Melting_Curves/meltCurve_Q9UIQ6_3_LNPEP.pdf", "Melting_Curves/meltCurve_Q9UIQ6_3_LNPEP.pdf")</f>
        <v>Melting_Curves/meltCurve_Q9UIQ6_3_LNPEP.pdf</v>
      </c>
    </row>
    <row r="5534" spans="1:28" x14ac:dyDescent="0.25">
      <c r="A5534" t="s">
        <v>5538</v>
      </c>
      <c r="B5534">
        <v>0.99334974765950101</v>
      </c>
      <c r="C5534">
        <v>0.99973194895715001</v>
      </c>
      <c r="D5534">
        <v>0.96784033636627498</v>
      </c>
      <c r="E5534">
        <v>0.92182191906230504</v>
      </c>
      <c r="F5534">
        <v>0.64046685523785596</v>
      </c>
      <c r="G5534">
        <v>0.64607557962440298</v>
      </c>
      <c r="H5534">
        <v>0.53708122464246399</v>
      </c>
      <c r="I5534">
        <v>0.74495110777459295</v>
      </c>
      <c r="J5534">
        <v>0.80708030561855204</v>
      </c>
      <c r="K5534">
        <v>0.80750055420114097</v>
      </c>
      <c r="L5534">
        <v>12552.7726582171</v>
      </c>
      <c r="M5534">
        <v>250</v>
      </c>
      <c r="O5534">
        <v>50.207877599018801</v>
      </c>
      <c r="P5534">
        <v>-0.37694215939773201</v>
      </c>
      <c r="Q5534">
        <v>0.69719254840156897</v>
      </c>
      <c r="R5534">
        <v>0.75516461957278302</v>
      </c>
      <c r="S5534" t="s">
        <v>11395</v>
      </c>
      <c r="T5534" t="s">
        <v>11720</v>
      </c>
      <c r="U5534" t="s">
        <v>11720</v>
      </c>
      <c r="V5534" t="s">
        <v>11720</v>
      </c>
      <c r="W5534" t="s">
        <v>17194</v>
      </c>
      <c r="X5534">
        <v>11</v>
      </c>
      <c r="Y5534" t="s">
        <v>22890</v>
      </c>
      <c r="Z5534" t="s">
        <v>28741</v>
      </c>
      <c r="AA5534">
        <v>0.80028570945074362</v>
      </c>
      <c r="AB5534" t="str">
        <f>HYPERLINK("Melting_Curves/meltCurve_Q9UJ14_GGT7.pdf", "Melting_Curves/meltCurve_Q9UJ14_GGT7.pdf")</f>
        <v>Melting_Curves/meltCurve_Q9UJ14_GGT7.pdf</v>
      </c>
    </row>
    <row r="5535" spans="1:28" x14ac:dyDescent="0.25">
      <c r="A5535" t="s">
        <v>5539</v>
      </c>
      <c r="B5535">
        <v>0.99334974765950101</v>
      </c>
      <c r="C5535">
        <v>0.96386312735063795</v>
      </c>
      <c r="D5535">
        <v>0.72911911247133199</v>
      </c>
      <c r="E5535">
        <v>0.26556393498766001</v>
      </c>
      <c r="F5535">
        <v>0.12111260745056</v>
      </c>
      <c r="G5535">
        <v>6.8736932250397204E-2</v>
      </c>
      <c r="H5535">
        <v>5.6276909648126802E-2</v>
      </c>
      <c r="I5535">
        <v>5.5584607896166302E-2</v>
      </c>
      <c r="J5535">
        <v>7.4946829565120707E-2</v>
      </c>
      <c r="K5535">
        <v>6.3100936302452698E-2</v>
      </c>
      <c r="L5535">
        <v>1277.9041287577199</v>
      </c>
      <c r="M5535">
        <v>26.852568279745899</v>
      </c>
      <c r="N5535">
        <v>47.823128035278003</v>
      </c>
      <c r="O5535">
        <v>47.3280597383106</v>
      </c>
      <c r="P5535">
        <v>-0.133129883989243</v>
      </c>
      <c r="Q5535">
        <v>6.1435725733349003E-2</v>
      </c>
      <c r="R5535">
        <v>0.99967374618837901</v>
      </c>
      <c r="S5535" t="s">
        <v>11396</v>
      </c>
      <c r="T5535" t="s">
        <v>11720</v>
      </c>
      <c r="U5535" t="s">
        <v>11720</v>
      </c>
      <c r="V5535" t="s">
        <v>11720</v>
      </c>
      <c r="W5535" t="s">
        <v>17195</v>
      </c>
      <c r="X5535">
        <v>8</v>
      </c>
      <c r="Y5535" t="s">
        <v>22891</v>
      </c>
      <c r="Z5535" t="s">
        <v>28742</v>
      </c>
      <c r="AA5535">
        <v>0.30601105544684881</v>
      </c>
      <c r="AB5535" t="str">
        <f>HYPERLINK("Melting_Curves/meltCurve_Q9UJ68_5_MSRA.pdf", "Melting_Curves/meltCurve_Q9UJ68_5_MSRA.pdf")</f>
        <v>Melting_Curves/meltCurve_Q9UJ68_5_MSRA.pdf</v>
      </c>
    </row>
    <row r="5536" spans="1:28" x14ac:dyDescent="0.25">
      <c r="A5536" t="s">
        <v>5540</v>
      </c>
      <c r="B5536">
        <v>0.99334974765950101</v>
      </c>
      <c r="C5536">
        <v>0.97804497967479498</v>
      </c>
      <c r="D5536">
        <v>1.0987390092429099</v>
      </c>
      <c r="E5536">
        <v>0.66145545620394097</v>
      </c>
      <c r="F5536">
        <v>1.1268197074333799</v>
      </c>
      <c r="G5536">
        <v>0.57179496155656895</v>
      </c>
      <c r="H5536">
        <v>0.28734129741431103</v>
      </c>
      <c r="I5536">
        <v>0.23693570922141899</v>
      </c>
      <c r="J5536">
        <v>0.194635282161882</v>
      </c>
      <c r="K5536">
        <v>0.17177787722173901</v>
      </c>
      <c r="L5536">
        <v>7024.0513144617298</v>
      </c>
      <c r="M5536">
        <v>123.43232078691101</v>
      </c>
      <c r="N5536">
        <v>57.179022233053303</v>
      </c>
      <c r="O5536">
        <v>56.891168033155303</v>
      </c>
      <c r="P5536">
        <v>-0.42166290997991601</v>
      </c>
      <c r="Q5536">
        <v>0.22260582406408999</v>
      </c>
      <c r="R5536">
        <v>0.89341897043319396</v>
      </c>
      <c r="S5536" t="s">
        <v>11397</v>
      </c>
      <c r="T5536" t="s">
        <v>11720</v>
      </c>
      <c r="U5536" t="s">
        <v>11720</v>
      </c>
      <c r="V5536" t="s">
        <v>11720</v>
      </c>
      <c r="W5536" t="s">
        <v>12272</v>
      </c>
      <c r="X5536">
        <v>23</v>
      </c>
      <c r="Y5536" t="s">
        <v>18070</v>
      </c>
      <c r="Z5536" t="s">
        <v>28743</v>
      </c>
      <c r="AA5536">
        <v>0.66101451361701724</v>
      </c>
      <c r="AB5536" t="str">
        <f>HYPERLINK("Melting_Curves/meltCurve_Q9UJ70_NAGK.pdf", "Melting_Curves/meltCurve_Q9UJ70_NAGK.pdf")</f>
        <v>Melting_Curves/meltCurve_Q9UJ70_NAGK.pdf</v>
      </c>
    </row>
    <row r="5537" spans="1:28" x14ac:dyDescent="0.25">
      <c r="A5537" t="s">
        <v>5541</v>
      </c>
      <c r="B5537">
        <v>0.99334974765950101</v>
      </c>
      <c r="C5537">
        <v>0.98564142816740696</v>
      </c>
      <c r="D5537">
        <v>1.1476546365178399</v>
      </c>
      <c r="E5537">
        <v>1.47094763236652</v>
      </c>
      <c r="F5537">
        <v>1.1646188053259801</v>
      </c>
      <c r="G5537">
        <v>1.1614435405492201</v>
      </c>
      <c r="H5537">
        <v>0.46668391446016599</v>
      </c>
      <c r="I5537">
        <v>0.17536421531490501</v>
      </c>
      <c r="J5537">
        <v>0.114851343707828</v>
      </c>
      <c r="K5537">
        <v>6.1029518254221399E-2</v>
      </c>
      <c r="L5537">
        <v>6038.3905307061204</v>
      </c>
      <c r="M5537">
        <v>99.393896853731604</v>
      </c>
      <c r="N5537">
        <v>60.911719939152903</v>
      </c>
      <c r="O5537">
        <v>60.727557072489198</v>
      </c>
      <c r="P5537">
        <v>-0.36227261330523503</v>
      </c>
      <c r="Q5537">
        <v>0.11463678653777</v>
      </c>
      <c r="R5537">
        <v>0.87447845430702198</v>
      </c>
      <c r="S5537" t="s">
        <v>11398</v>
      </c>
      <c r="T5537" t="s">
        <v>11720</v>
      </c>
      <c r="U5537" t="s">
        <v>11720</v>
      </c>
      <c r="V5537" t="s">
        <v>11720</v>
      </c>
      <c r="W5537" t="s">
        <v>17196</v>
      </c>
      <c r="X5537">
        <v>5</v>
      </c>
      <c r="Y5537" t="s">
        <v>22892</v>
      </c>
      <c r="Z5537" t="s">
        <v>28744</v>
      </c>
      <c r="AA5537">
        <v>0.72767360052777763</v>
      </c>
      <c r="AB5537" t="str">
        <f>HYPERLINK("Melting_Curves/meltCurve_Q9UJA5_TRMT6.pdf", "Melting_Curves/meltCurve_Q9UJA5_TRMT6.pdf")</f>
        <v>Melting_Curves/meltCurve_Q9UJA5_TRMT6.pdf</v>
      </c>
    </row>
    <row r="5538" spans="1:28" x14ac:dyDescent="0.25">
      <c r="A5538" t="s">
        <v>5542</v>
      </c>
      <c r="B5538">
        <v>0.99334974765950101</v>
      </c>
      <c r="C5538">
        <v>0.92433698903292205</v>
      </c>
      <c r="D5538">
        <v>0.87743763203078495</v>
      </c>
      <c r="E5538">
        <v>0.87483728184563303</v>
      </c>
      <c r="F5538">
        <v>0.54569735398433294</v>
      </c>
      <c r="G5538">
        <v>0.38957134507805602</v>
      </c>
      <c r="H5538">
        <v>0.192694369951286</v>
      </c>
      <c r="I5538">
        <v>0.147228619063796</v>
      </c>
      <c r="J5538">
        <v>0.10661297637391801</v>
      </c>
      <c r="K5538">
        <v>8.1055822741107203E-2</v>
      </c>
      <c r="L5538">
        <v>767.39052373774496</v>
      </c>
      <c r="M5538">
        <v>14.1208117524569</v>
      </c>
      <c r="N5538">
        <v>54.6734151285319</v>
      </c>
      <c r="O5538">
        <v>53.289570814632697</v>
      </c>
      <c r="P5538">
        <v>-6.3557351637322998E-2</v>
      </c>
      <c r="Q5538">
        <v>4.0703721975645701E-2</v>
      </c>
      <c r="R5538">
        <v>0.985259254279925</v>
      </c>
      <c r="S5538" t="s">
        <v>11399</v>
      </c>
      <c r="T5538" t="s">
        <v>11720</v>
      </c>
      <c r="U5538" t="s">
        <v>11720</v>
      </c>
      <c r="V5538" t="s">
        <v>11720</v>
      </c>
      <c r="W5538" t="s">
        <v>17197</v>
      </c>
      <c r="X5538">
        <v>2</v>
      </c>
      <c r="Y5538" t="s">
        <v>22893</v>
      </c>
      <c r="Z5538" t="s">
        <v>28745</v>
      </c>
      <c r="AA5538">
        <v>0.52007120253793049</v>
      </c>
      <c r="AB5538" t="str">
        <f>HYPERLINK("Melting_Curves/meltCurve_Q9UJG1_2_MOSPD1.pdf", "Melting_Curves/meltCurve_Q9UJG1_2_MOSPD1.pdf")</f>
        <v>Melting_Curves/meltCurve_Q9UJG1_2_MOSPD1.pdf</v>
      </c>
    </row>
    <row r="5539" spans="1:28" x14ac:dyDescent="0.25">
      <c r="A5539" t="s">
        <v>5543</v>
      </c>
      <c r="B5539">
        <v>0.99334974765950101</v>
      </c>
      <c r="C5539">
        <v>1.0543710270168101</v>
      </c>
      <c r="D5539">
        <v>1.4276501200457099</v>
      </c>
      <c r="E5539">
        <v>0.91865530813877005</v>
      </c>
      <c r="F5539">
        <v>1.1909902311856599</v>
      </c>
      <c r="G5539">
        <v>0.59588881442975306</v>
      </c>
      <c r="H5539">
        <v>0.72145913218695101</v>
      </c>
      <c r="I5539">
        <v>0.37685448122246401</v>
      </c>
      <c r="J5539">
        <v>0.88552426083616498</v>
      </c>
      <c r="K5539">
        <v>0.55573535962334897</v>
      </c>
      <c r="L5539">
        <v>6057.5636090693297</v>
      </c>
      <c r="M5539">
        <v>109.51960102352599</v>
      </c>
      <c r="O5539">
        <v>55.2918798973013</v>
      </c>
      <c r="P5539">
        <v>-0.18569803471257099</v>
      </c>
      <c r="Q5539">
        <v>0.62499523542583602</v>
      </c>
      <c r="R5539">
        <v>0.58494521279038003</v>
      </c>
      <c r="S5539" t="s">
        <v>11400</v>
      </c>
      <c r="T5539" t="s">
        <v>11720</v>
      </c>
      <c r="U5539" t="s">
        <v>11720</v>
      </c>
      <c r="V5539" t="s">
        <v>11720</v>
      </c>
      <c r="W5539" t="s">
        <v>17198</v>
      </c>
      <c r="X5539">
        <v>2</v>
      </c>
      <c r="Y5539" t="s">
        <v>22894</v>
      </c>
      <c r="Z5539" t="s">
        <v>28746</v>
      </c>
      <c r="AA5539">
        <v>0.81656645509048476</v>
      </c>
      <c r="AB5539" t="str">
        <f>HYPERLINK("Melting_Curves/meltCurve_Q9UJJ9_GNPTG.pdf", "Melting_Curves/meltCurve_Q9UJJ9_GNPTG.pdf")</f>
        <v>Melting_Curves/meltCurve_Q9UJJ9_GNPTG.pdf</v>
      </c>
    </row>
    <row r="5540" spans="1:28" x14ac:dyDescent="0.25">
      <c r="A5540" t="s">
        <v>5544</v>
      </c>
      <c r="B5540">
        <v>0.99334974765950101</v>
      </c>
      <c r="C5540">
        <v>0.963698468828182</v>
      </c>
      <c r="D5540">
        <v>0.91201439111919802</v>
      </c>
      <c r="E5540">
        <v>0.75784110339162203</v>
      </c>
      <c r="F5540">
        <v>0.67666197909936898</v>
      </c>
      <c r="G5540">
        <v>0.45048041158211999</v>
      </c>
      <c r="H5540">
        <v>0.35612805066360897</v>
      </c>
      <c r="I5540">
        <v>0.445159550491184</v>
      </c>
      <c r="J5540">
        <v>0.48488532520969502</v>
      </c>
      <c r="K5540">
        <v>0.42668901999290099</v>
      </c>
      <c r="L5540">
        <v>932.89062993999198</v>
      </c>
      <c r="M5540">
        <v>18.2227649895081</v>
      </c>
      <c r="N5540">
        <v>56.6377504909305</v>
      </c>
      <c r="O5540">
        <v>50.589136906219103</v>
      </c>
      <c r="P5540">
        <v>-5.2840926664133599E-2</v>
      </c>
      <c r="Q5540">
        <v>0.41325020979101001</v>
      </c>
      <c r="R5540">
        <v>0.96655274335854602</v>
      </c>
      <c r="S5540" t="s">
        <v>11401</v>
      </c>
      <c r="T5540" t="s">
        <v>11720</v>
      </c>
      <c r="U5540" t="s">
        <v>11720</v>
      </c>
      <c r="V5540" t="s">
        <v>11720</v>
      </c>
      <c r="W5540" t="s">
        <v>17199</v>
      </c>
      <c r="X5540">
        <v>7</v>
      </c>
      <c r="Y5540" t="s">
        <v>22895</v>
      </c>
      <c r="Z5540" t="s">
        <v>28747</v>
      </c>
      <c r="AA5540">
        <v>0.64182928624275126</v>
      </c>
      <c r="AB5540" t="str">
        <f>HYPERLINK("Melting_Curves/meltCurve_Q9UJM3_ERRFI1.pdf", "Melting_Curves/meltCurve_Q9UJM3_ERRFI1.pdf")</f>
        <v>Melting_Curves/meltCurve_Q9UJM3_ERRFI1.pdf</v>
      </c>
    </row>
    <row r="5541" spans="1:28" x14ac:dyDescent="0.25">
      <c r="A5541" t="s">
        <v>5545</v>
      </c>
      <c r="B5541">
        <v>0.99334974765950101</v>
      </c>
      <c r="C5541">
        <v>0.969162694875223</v>
      </c>
      <c r="D5541">
        <v>0.926576458293915</v>
      </c>
      <c r="E5541">
        <v>0.99876775669227003</v>
      </c>
      <c r="F5541">
        <v>1.0006706051241001</v>
      </c>
      <c r="G5541">
        <v>0.89100473654771295</v>
      </c>
      <c r="H5541">
        <v>0.63160664625954899</v>
      </c>
      <c r="I5541">
        <v>0.57467849432530604</v>
      </c>
      <c r="J5541">
        <v>0.229038130228019</v>
      </c>
      <c r="K5541">
        <v>0.11839554803974101</v>
      </c>
      <c r="L5541">
        <v>1223.6318537908201</v>
      </c>
      <c r="M5541">
        <v>19.241051744442501</v>
      </c>
      <c r="N5541">
        <v>63.5948546399934</v>
      </c>
      <c r="O5541">
        <v>62.919867542913799</v>
      </c>
      <c r="P5541">
        <v>-7.6453520096425406E-2</v>
      </c>
      <c r="Q5541">
        <v>0</v>
      </c>
      <c r="R5541">
        <v>0.97529233960006001</v>
      </c>
      <c r="S5541" t="s">
        <v>11402</v>
      </c>
      <c r="T5541" t="s">
        <v>11720</v>
      </c>
      <c r="U5541" t="s">
        <v>11720</v>
      </c>
      <c r="V5541" t="s">
        <v>11720</v>
      </c>
      <c r="W5541" t="s">
        <v>17200</v>
      </c>
      <c r="X5541">
        <v>10</v>
      </c>
      <c r="Y5541" t="s">
        <v>22896</v>
      </c>
      <c r="Z5541" t="s">
        <v>28748</v>
      </c>
      <c r="AA5541">
        <v>0.78181715282806219</v>
      </c>
      <c r="AB5541" t="str">
        <f>HYPERLINK("Melting_Curves/meltCurve_Q9UJS0_SLC25A13.pdf", "Melting_Curves/meltCurve_Q9UJS0_SLC25A13.pdf")</f>
        <v>Melting_Curves/meltCurve_Q9UJS0_SLC25A13.pdf</v>
      </c>
    </row>
    <row r="5542" spans="1:28" x14ac:dyDescent="0.25">
      <c r="A5542" t="s">
        <v>5546</v>
      </c>
      <c r="B5542">
        <v>0.99334974765950101</v>
      </c>
      <c r="C5542">
        <v>0.97190360357990702</v>
      </c>
      <c r="D5542">
        <v>0.98339285746250404</v>
      </c>
      <c r="E5542">
        <v>0.75224080358175505</v>
      </c>
      <c r="F5542">
        <v>0.63040054872856899</v>
      </c>
      <c r="G5542">
        <v>0.43683064774145403</v>
      </c>
      <c r="H5542">
        <v>0.21720437750257901</v>
      </c>
      <c r="I5542">
        <v>0.13026009842931999</v>
      </c>
      <c r="J5542">
        <v>0.103599327461632</v>
      </c>
      <c r="K5542">
        <v>7.3188385153932306E-2</v>
      </c>
      <c r="L5542">
        <v>714.66599388297197</v>
      </c>
      <c r="M5542">
        <v>12.9444710751968</v>
      </c>
      <c r="N5542">
        <v>55.254542459275299</v>
      </c>
      <c r="O5542">
        <v>53.9422977839249</v>
      </c>
      <c r="P5542">
        <v>-5.9692490306492797E-2</v>
      </c>
      <c r="Q5542">
        <v>5.1747150615490704E-3</v>
      </c>
      <c r="R5542">
        <v>0.99518953445628799</v>
      </c>
      <c r="S5542" t="s">
        <v>11403</v>
      </c>
      <c r="T5542" t="s">
        <v>11720</v>
      </c>
      <c r="U5542" t="s">
        <v>11720</v>
      </c>
      <c r="V5542" t="s">
        <v>11720</v>
      </c>
      <c r="W5542" t="s">
        <v>17201</v>
      </c>
      <c r="X5542">
        <v>3</v>
      </c>
      <c r="Y5542" t="s">
        <v>22897</v>
      </c>
      <c r="Z5542" t="s">
        <v>28749</v>
      </c>
      <c r="AA5542">
        <v>0.53110653723549228</v>
      </c>
      <c r="AB5542" t="str">
        <f>HYPERLINK("Melting_Curves/meltCurve_Q9UJT0_TUBE1.pdf", "Melting_Curves/meltCurve_Q9UJT0_TUBE1.pdf")</f>
        <v>Melting_Curves/meltCurve_Q9UJT0_TUBE1.pdf</v>
      </c>
    </row>
    <row r="5543" spans="1:28" x14ac:dyDescent="0.25">
      <c r="A5543" t="s">
        <v>5547</v>
      </c>
      <c r="B5543">
        <v>0.99334974765950101</v>
      </c>
      <c r="C5543">
        <v>1.0771953207404901</v>
      </c>
      <c r="D5543">
        <v>0.79785988710192002</v>
      </c>
      <c r="E5543">
        <v>0.63532309131960496</v>
      </c>
      <c r="F5543">
        <v>0.39306003266981998</v>
      </c>
      <c r="G5543">
        <v>0.234476571363883</v>
      </c>
      <c r="H5543">
        <v>0.27259207969446497</v>
      </c>
      <c r="I5543">
        <v>0.20196875443429299</v>
      </c>
      <c r="J5543">
        <v>0.57935685000238901</v>
      </c>
      <c r="K5543">
        <v>0.59134648583472105</v>
      </c>
      <c r="L5543">
        <v>1289.6690772494201</v>
      </c>
      <c r="M5543">
        <v>26.6499194019054</v>
      </c>
      <c r="N5543">
        <v>51.043095475281397</v>
      </c>
      <c r="O5543">
        <v>48.122960554480201</v>
      </c>
      <c r="P5543">
        <v>-8.6576095143422793E-2</v>
      </c>
      <c r="Q5543">
        <v>0.37466909584685998</v>
      </c>
      <c r="R5543">
        <v>0.79671887358606597</v>
      </c>
      <c r="S5543" t="s">
        <v>11404</v>
      </c>
      <c r="T5543" t="s">
        <v>11720</v>
      </c>
      <c r="U5543" t="s">
        <v>11720</v>
      </c>
      <c r="V5543" t="s">
        <v>11720</v>
      </c>
      <c r="W5543" t="s">
        <v>17202</v>
      </c>
      <c r="X5543">
        <v>27</v>
      </c>
      <c r="Y5543" t="s">
        <v>22898</v>
      </c>
      <c r="Z5543" t="s">
        <v>28750</v>
      </c>
      <c r="AA5543">
        <v>0.55445010732264521</v>
      </c>
      <c r="AB5543" t="str">
        <f>HYPERLINK("Melting_Curves/meltCurve_Q9UJU6_DBNL.pdf", "Melting_Curves/meltCurve_Q9UJU6_DBNL.pdf")</f>
        <v>Melting_Curves/meltCurve_Q9UJU6_DBNL.pdf</v>
      </c>
    </row>
    <row r="5544" spans="1:28" x14ac:dyDescent="0.25">
      <c r="A5544" t="s">
        <v>5548</v>
      </c>
      <c r="B5544">
        <v>0.99334974765950101</v>
      </c>
      <c r="C5544">
        <v>0.92064077851859905</v>
      </c>
      <c r="D5544">
        <v>0.67851162372845297</v>
      </c>
      <c r="E5544">
        <v>0.59508194120184099</v>
      </c>
      <c r="F5544">
        <v>0.26933765456026099</v>
      </c>
      <c r="G5544">
        <v>0.17515474529709299</v>
      </c>
      <c r="H5544">
        <v>0.17062096026924001</v>
      </c>
      <c r="I5544">
        <v>0.13097102519380699</v>
      </c>
      <c r="J5544">
        <v>0.34489388164995899</v>
      </c>
      <c r="K5544">
        <v>0.38866041150750302</v>
      </c>
      <c r="L5544">
        <v>889.91403069291005</v>
      </c>
      <c r="M5544">
        <v>18.642862355388601</v>
      </c>
      <c r="N5544">
        <v>49.400716526216698</v>
      </c>
      <c r="O5544">
        <v>47.195772601723398</v>
      </c>
      <c r="P5544">
        <v>-7.5712064893484393E-2</v>
      </c>
      <c r="Q5544">
        <v>0.23335037035581399</v>
      </c>
      <c r="R5544">
        <v>0.900935094468725</v>
      </c>
      <c r="S5544" t="s">
        <v>11405</v>
      </c>
      <c r="T5544" t="s">
        <v>11720</v>
      </c>
      <c r="U5544" t="s">
        <v>11720</v>
      </c>
      <c r="V5544" t="s">
        <v>11720</v>
      </c>
      <c r="W5544" t="s">
        <v>17203</v>
      </c>
      <c r="X5544">
        <v>27</v>
      </c>
      <c r="Y5544" t="s">
        <v>22898</v>
      </c>
      <c r="Z5544" t="s">
        <v>28751</v>
      </c>
      <c r="AA5544">
        <v>0.44375032861638819</v>
      </c>
      <c r="AB5544" t="str">
        <f>HYPERLINK("Melting_Curves/meltCurve_Q9UJU6_2_DBNL.pdf", "Melting_Curves/meltCurve_Q9UJU6_2_DBNL.pdf")</f>
        <v>Melting_Curves/meltCurve_Q9UJU6_2_DBNL.pdf</v>
      </c>
    </row>
    <row r="5545" spans="1:28" x14ac:dyDescent="0.25">
      <c r="A5545" t="s">
        <v>5549</v>
      </c>
      <c r="B5545">
        <v>0.99334974765950101</v>
      </c>
      <c r="C5545">
        <v>1.0369340366144699</v>
      </c>
      <c r="D5545">
        <v>1.04895933279716</v>
      </c>
      <c r="E5545">
        <v>1.27557169576927</v>
      </c>
      <c r="F5545">
        <v>1.2154795269694501</v>
      </c>
      <c r="G5545">
        <v>1.60167404371126</v>
      </c>
      <c r="H5545">
        <v>1.52165928310309</v>
      </c>
      <c r="I5545">
        <v>1.87565899035618</v>
      </c>
      <c r="J5545">
        <v>0.56239022752490897</v>
      </c>
      <c r="K5545">
        <v>0.194482115925384</v>
      </c>
      <c r="L5545">
        <v>15000</v>
      </c>
      <c r="M5545">
        <v>224.05329183404999</v>
      </c>
      <c r="N5545">
        <v>67.095794845924104</v>
      </c>
      <c r="O5545">
        <v>66.943023871015896</v>
      </c>
      <c r="P5545">
        <v>-0.67406930875085302</v>
      </c>
      <c r="Q5545">
        <v>0.19440169646563599</v>
      </c>
      <c r="R5545">
        <v>0.30317992984256598</v>
      </c>
      <c r="S5545" t="s">
        <v>11406</v>
      </c>
      <c r="T5545" t="s">
        <v>11720</v>
      </c>
      <c r="U5545" t="s">
        <v>11720</v>
      </c>
      <c r="V5545" t="s">
        <v>11720</v>
      </c>
      <c r="W5545" t="s">
        <v>17204</v>
      </c>
      <c r="X5545">
        <v>8</v>
      </c>
      <c r="Y5545" t="s">
        <v>22899</v>
      </c>
      <c r="Z5545" t="s">
        <v>28752</v>
      </c>
      <c r="AA5545">
        <v>0.91817075722535446</v>
      </c>
      <c r="AB5545" t="str">
        <f>HYPERLINK("Melting_Curves/meltCurve_Q9UJW0_2_DCTN4.pdf", "Melting_Curves/meltCurve_Q9UJW0_2_DCTN4.pdf")</f>
        <v>Melting_Curves/meltCurve_Q9UJW0_2_DCTN4.pdf</v>
      </c>
    </row>
    <row r="5546" spans="1:28" x14ac:dyDescent="0.25">
      <c r="A5546" t="s">
        <v>5550</v>
      </c>
      <c r="B5546">
        <v>0.99334974765950101</v>
      </c>
      <c r="C5546">
        <v>0.88157431552259902</v>
      </c>
      <c r="D5546">
        <v>0.66607380276407702</v>
      </c>
      <c r="E5546">
        <v>0.581440185288712</v>
      </c>
      <c r="F5546">
        <v>0.44098369077125099</v>
      </c>
      <c r="G5546">
        <v>0.224551047712787</v>
      </c>
      <c r="H5546">
        <v>0.18533404207711801</v>
      </c>
      <c r="I5546">
        <v>0.156580306643191</v>
      </c>
      <c r="J5546">
        <v>0.10921660336801201</v>
      </c>
      <c r="K5546">
        <v>0.103568593691895</v>
      </c>
      <c r="L5546">
        <v>524.73332687268601</v>
      </c>
      <c r="M5546">
        <v>10.4113267996325</v>
      </c>
      <c r="N5546">
        <v>50.914713412329398</v>
      </c>
      <c r="O5546">
        <v>48.647227769370197</v>
      </c>
      <c r="P5546">
        <v>-5.0853979057711003E-2</v>
      </c>
      <c r="Q5546">
        <v>4.9929221129888901E-2</v>
      </c>
      <c r="R5546">
        <v>0.98601962237446195</v>
      </c>
      <c r="S5546" t="s">
        <v>11407</v>
      </c>
      <c r="T5546" t="s">
        <v>11720</v>
      </c>
      <c r="U5546" t="s">
        <v>11720</v>
      </c>
      <c r="V5546" t="s">
        <v>11720</v>
      </c>
      <c r="W5546" t="s">
        <v>17205</v>
      </c>
      <c r="X5546">
        <v>4</v>
      </c>
      <c r="Y5546" t="s">
        <v>22900</v>
      </c>
      <c r="Z5546" t="s">
        <v>28753</v>
      </c>
      <c r="AA5546">
        <v>0.41868011146124873</v>
      </c>
      <c r="AB5546" t="str">
        <f>HYPERLINK("Melting_Curves/meltCurve_Q9UJX2_CDC23.pdf", "Melting_Curves/meltCurve_Q9UJX2_CDC23.pdf")</f>
        <v>Melting_Curves/meltCurve_Q9UJX2_CDC23.pdf</v>
      </c>
    </row>
    <row r="5547" spans="1:28" x14ac:dyDescent="0.25">
      <c r="A5547" t="s">
        <v>5551</v>
      </c>
      <c r="B5547">
        <v>0.99334974765950101</v>
      </c>
      <c r="C5547">
        <v>0.97013748175982595</v>
      </c>
      <c r="D5547">
        <v>1.09389509626755</v>
      </c>
      <c r="E5547">
        <v>0.86183589265914395</v>
      </c>
      <c r="F5547">
        <v>0.61800477101566698</v>
      </c>
      <c r="G5547">
        <v>0.34626585528224701</v>
      </c>
      <c r="H5547">
        <v>0.172460255969175</v>
      </c>
      <c r="I5547">
        <v>0.116743848593847</v>
      </c>
      <c r="J5547">
        <v>7.0932717883514407E-2</v>
      </c>
      <c r="K5547">
        <v>2.59425545352126E-2</v>
      </c>
      <c r="L5547">
        <v>1053.2635483884701</v>
      </c>
      <c r="M5547">
        <v>19.312175395481098</v>
      </c>
      <c r="N5547">
        <v>54.810080822909399</v>
      </c>
      <c r="O5547">
        <v>53.964151205085798</v>
      </c>
      <c r="P5547">
        <v>-8.5393435862045494E-2</v>
      </c>
      <c r="Q5547">
        <v>4.5573707032248903E-2</v>
      </c>
      <c r="R5547">
        <v>0.98896800639582505</v>
      </c>
      <c r="S5547" t="s">
        <v>11408</v>
      </c>
      <c r="T5547" t="s">
        <v>11720</v>
      </c>
      <c r="U5547" t="s">
        <v>11720</v>
      </c>
      <c r="V5547" t="s">
        <v>11720</v>
      </c>
      <c r="W5547" t="s">
        <v>17206</v>
      </c>
      <c r="X5547">
        <v>3</v>
      </c>
      <c r="Y5547" t="s">
        <v>22901</v>
      </c>
      <c r="Z5547" t="s">
        <v>28754</v>
      </c>
      <c r="AA5547">
        <v>0.52166734747984311</v>
      </c>
      <c r="AB5547" t="str">
        <f>HYPERLINK("Melting_Curves/meltCurve_Q9UJX5_ANAPC4.pdf", "Melting_Curves/meltCurve_Q9UJX5_ANAPC4.pdf")</f>
        <v>Melting_Curves/meltCurve_Q9UJX5_ANAPC4.pdf</v>
      </c>
    </row>
    <row r="5548" spans="1:28" x14ac:dyDescent="0.25">
      <c r="A5548" t="s">
        <v>5552</v>
      </c>
      <c r="B5548">
        <v>0.99334974765950101</v>
      </c>
      <c r="C5548">
        <v>0.97641904449636996</v>
      </c>
      <c r="D5548">
        <v>0.99170435433390103</v>
      </c>
      <c r="E5548">
        <v>0.72261597180717596</v>
      </c>
      <c r="F5548">
        <v>0.30058399911563299</v>
      </c>
      <c r="G5548">
        <v>0.174978276834764</v>
      </c>
      <c r="H5548">
        <v>0.14445515235571799</v>
      </c>
      <c r="I5548">
        <v>0.114643875517699</v>
      </c>
      <c r="J5548">
        <v>0.10658886869467001</v>
      </c>
      <c r="K5548">
        <v>9.2676630434005605E-2</v>
      </c>
      <c r="L5548">
        <v>1805.60873443326</v>
      </c>
      <c r="M5548">
        <v>35.3534281862444</v>
      </c>
      <c r="N5548">
        <v>51.472853004378699</v>
      </c>
      <c r="O5548">
        <v>50.910505093967402</v>
      </c>
      <c r="P5548">
        <v>-0.15276421158289899</v>
      </c>
      <c r="Q5548">
        <v>0.120054055995178</v>
      </c>
      <c r="R5548">
        <v>0.99778620550297403</v>
      </c>
      <c r="S5548" t="s">
        <v>11409</v>
      </c>
      <c r="T5548" t="s">
        <v>11720</v>
      </c>
      <c r="U5548" t="s">
        <v>11720</v>
      </c>
      <c r="V5548" t="s">
        <v>11720</v>
      </c>
      <c r="W5548" t="s">
        <v>17207</v>
      </c>
      <c r="X5548">
        <v>6</v>
      </c>
      <c r="Y5548" t="s">
        <v>22902</v>
      </c>
      <c r="Z5548" t="s">
        <v>28755</v>
      </c>
      <c r="AA5548">
        <v>0.44882783524771253</v>
      </c>
      <c r="AB5548" t="str">
        <f>HYPERLINK("Melting_Curves/meltCurve_Q9UJX6_2_ANAPC2.pdf", "Melting_Curves/meltCurve_Q9UJX6_2_ANAPC2.pdf")</f>
        <v>Melting_Curves/meltCurve_Q9UJX6_2_ANAPC2.pdf</v>
      </c>
    </row>
    <row r="5549" spans="1:28" x14ac:dyDescent="0.25">
      <c r="A5549" t="s">
        <v>5553</v>
      </c>
      <c r="B5549">
        <v>0.99334974765950101</v>
      </c>
      <c r="C5549">
        <v>0.93162783502118895</v>
      </c>
      <c r="D5549">
        <v>0.76177346539637802</v>
      </c>
      <c r="E5549">
        <v>0.642435201575842</v>
      </c>
      <c r="F5549">
        <v>0.465147333722156</v>
      </c>
      <c r="G5549">
        <v>0.33767255744875802</v>
      </c>
      <c r="H5549">
        <v>0.28325711582594598</v>
      </c>
      <c r="I5549">
        <v>0.28210412880052899</v>
      </c>
      <c r="J5549">
        <v>0.27478548835170602</v>
      </c>
      <c r="K5549">
        <v>0.23952082506962399</v>
      </c>
      <c r="L5549">
        <v>656.94879515679804</v>
      </c>
      <c r="M5549">
        <v>13.1985126284314</v>
      </c>
      <c r="N5549">
        <v>52.253628004799602</v>
      </c>
      <c r="O5549">
        <v>48.673432105840099</v>
      </c>
      <c r="P5549">
        <v>-5.2025332020216003E-2</v>
      </c>
      <c r="Q5549">
        <v>0.23269237656720601</v>
      </c>
      <c r="R5549">
        <v>0.99337754957157298</v>
      </c>
      <c r="S5549" t="s">
        <v>11410</v>
      </c>
      <c r="T5549" t="s">
        <v>11720</v>
      </c>
      <c r="U5549" t="s">
        <v>11720</v>
      </c>
      <c r="V5549" t="s">
        <v>11720</v>
      </c>
      <c r="W5549" t="s">
        <v>17208</v>
      </c>
      <c r="X5549">
        <v>3</v>
      </c>
      <c r="Y5549" t="s">
        <v>22903</v>
      </c>
      <c r="Z5549" t="s">
        <v>28756</v>
      </c>
      <c r="AA5549">
        <v>0.50572651733406715</v>
      </c>
      <c r="AB5549" t="str">
        <f>HYPERLINK("Melting_Curves/meltCurve_Q9UJY1_HSPB8.pdf", "Melting_Curves/meltCurve_Q9UJY1_HSPB8.pdf")</f>
        <v>Melting_Curves/meltCurve_Q9UJY1_HSPB8.pdf</v>
      </c>
    </row>
    <row r="5550" spans="1:28" x14ac:dyDescent="0.25">
      <c r="A5550" t="s">
        <v>5554</v>
      </c>
      <c r="B5550">
        <v>0.99334974765950101</v>
      </c>
      <c r="C5550">
        <v>0.86099268056990896</v>
      </c>
      <c r="D5550">
        <v>0.56830661661948501</v>
      </c>
      <c r="E5550">
        <v>0.306191235293369</v>
      </c>
      <c r="F5550">
        <v>0.25499574668771702</v>
      </c>
      <c r="G5550">
        <v>0.21246281433616901</v>
      </c>
      <c r="H5550">
        <v>0.15960748774483599</v>
      </c>
      <c r="I5550">
        <v>0.106069946346324</v>
      </c>
      <c r="J5550">
        <v>9.1247660664195901E-2</v>
      </c>
      <c r="K5550">
        <v>6.8547804212936395E-2</v>
      </c>
      <c r="L5550">
        <v>790.80310650755996</v>
      </c>
      <c r="M5550">
        <v>16.972050833214698</v>
      </c>
      <c r="N5550">
        <v>47.322804101705799</v>
      </c>
      <c r="O5550">
        <v>45.961990828398498</v>
      </c>
      <c r="P5550">
        <v>-8.1709410288374903E-2</v>
      </c>
      <c r="Q5550">
        <v>0.114946445640578</v>
      </c>
      <c r="R5550">
        <v>0.98589321864966295</v>
      </c>
      <c r="S5550" t="s">
        <v>11411</v>
      </c>
      <c r="T5550" t="s">
        <v>11720</v>
      </c>
      <c r="U5550" t="s">
        <v>11720</v>
      </c>
      <c r="V5550" t="s">
        <v>11720</v>
      </c>
      <c r="W5550" t="s">
        <v>17209</v>
      </c>
      <c r="X5550">
        <v>6</v>
      </c>
      <c r="Y5550" t="s">
        <v>22904</v>
      </c>
      <c r="Z5550" t="s">
        <v>28757</v>
      </c>
      <c r="AA5550">
        <v>0.32848006453284517</v>
      </c>
      <c r="AB5550" t="str">
        <f>HYPERLINK("Melting_Curves/meltCurve_Q9UJY4_GGA2.pdf", "Melting_Curves/meltCurve_Q9UJY4_GGA2.pdf")</f>
        <v>Melting_Curves/meltCurve_Q9UJY4_GGA2.pdf</v>
      </c>
    </row>
    <row r="5551" spans="1:28" x14ac:dyDescent="0.25">
      <c r="A5551" t="s">
        <v>5555</v>
      </c>
      <c r="B5551">
        <v>0.99334974765950101</v>
      </c>
      <c r="C5551">
        <v>1.0092775034580099</v>
      </c>
      <c r="D5551">
        <v>0.88096440495995898</v>
      </c>
      <c r="E5551">
        <v>0.77070146050990695</v>
      </c>
      <c r="F5551">
        <v>0.32354176337952101</v>
      </c>
      <c r="G5551">
        <v>0.12813116276082401</v>
      </c>
      <c r="H5551">
        <v>9.1006622347573798E-2</v>
      </c>
      <c r="I5551">
        <v>9.0256431432708797E-2</v>
      </c>
      <c r="J5551">
        <v>9.7979384517607307E-2</v>
      </c>
      <c r="K5551">
        <v>7.5539983147417195E-2</v>
      </c>
      <c r="L5551">
        <v>1673.8996354979699</v>
      </c>
      <c r="M5551">
        <v>32.532862737799199</v>
      </c>
      <c r="N5551">
        <v>51.753362406155702</v>
      </c>
      <c r="O5551">
        <v>51.259321383745402</v>
      </c>
      <c r="P5551">
        <v>-0.14500118662929401</v>
      </c>
      <c r="Q5551">
        <v>8.6138879922724607E-2</v>
      </c>
      <c r="R5551">
        <v>0.99254963222410797</v>
      </c>
      <c r="S5551" t="s">
        <v>11412</v>
      </c>
      <c r="T5551" t="s">
        <v>11720</v>
      </c>
      <c r="U5551" t="s">
        <v>11720</v>
      </c>
      <c r="V5551" t="s">
        <v>11720</v>
      </c>
      <c r="W5551" t="s">
        <v>17210</v>
      </c>
      <c r="X5551">
        <v>9</v>
      </c>
      <c r="Y5551" t="s">
        <v>22905</v>
      </c>
      <c r="Z5551" t="s">
        <v>28758</v>
      </c>
      <c r="AA5551">
        <v>0.43993009139348732</v>
      </c>
      <c r="AB5551" t="str">
        <f>HYPERLINK("Melting_Curves/meltCurve_Q9UJY5_4_GGA1.pdf", "Melting_Curves/meltCurve_Q9UJY5_4_GGA1.pdf")</f>
        <v>Melting_Curves/meltCurve_Q9UJY5_4_GGA1.pdf</v>
      </c>
    </row>
    <row r="5552" spans="1:28" x14ac:dyDescent="0.25">
      <c r="A5552" t="s">
        <v>5556</v>
      </c>
      <c r="B5552">
        <v>0.99334974765950101</v>
      </c>
      <c r="C5552">
        <v>0.69188786930986201</v>
      </c>
      <c r="D5552">
        <v>0.643173521084074</v>
      </c>
      <c r="E5552">
        <v>0.61264175963092604</v>
      </c>
      <c r="F5552">
        <v>0.82392509840603601</v>
      </c>
      <c r="G5552">
        <v>0.72893881106509295</v>
      </c>
      <c r="H5552">
        <v>0.70090042998836999</v>
      </c>
      <c r="I5552">
        <v>0.82507326851333296</v>
      </c>
      <c r="J5552">
        <v>0.217357461289924</v>
      </c>
      <c r="K5552">
        <v>9.9131803066206198E-2</v>
      </c>
      <c r="L5552">
        <v>241.97553357455899</v>
      </c>
      <c r="M5552">
        <v>3.8383110893249901</v>
      </c>
      <c r="N5552">
        <v>63.042192052233702</v>
      </c>
      <c r="O5552">
        <v>51.063752965882003</v>
      </c>
      <c r="P5552">
        <v>-1.90672550837034E-2</v>
      </c>
      <c r="Q5552">
        <v>0</v>
      </c>
      <c r="R5552">
        <v>0.40399596528627102</v>
      </c>
      <c r="S5552" t="s">
        <v>11413</v>
      </c>
      <c r="T5552" t="s">
        <v>11720</v>
      </c>
      <c r="U5552" t="s">
        <v>11720</v>
      </c>
      <c r="V5552" t="s">
        <v>11720</v>
      </c>
      <c r="W5552" t="s">
        <v>17211</v>
      </c>
      <c r="X5552">
        <v>22</v>
      </c>
      <c r="Y5552" t="s">
        <v>22906</v>
      </c>
      <c r="Z5552" t="s">
        <v>28759</v>
      </c>
      <c r="AA5552">
        <v>0.64396915585268566</v>
      </c>
      <c r="AB5552" t="str">
        <f>HYPERLINK("Melting_Curves/meltCurve_Q9UJZ1_STOML2.pdf", "Melting_Curves/meltCurve_Q9UJZ1_STOML2.pdf")</f>
        <v>Melting_Curves/meltCurve_Q9UJZ1_STOML2.pdf</v>
      </c>
    </row>
    <row r="5553" spans="1:28" x14ac:dyDescent="0.25">
      <c r="A5553" t="s">
        <v>5557</v>
      </c>
      <c r="B5553">
        <v>0.99334974765950101</v>
      </c>
      <c r="C5553">
        <v>1.0284275401010201</v>
      </c>
      <c r="D5553">
        <v>1.24248528817908</v>
      </c>
      <c r="E5553">
        <v>1.0383315450683099</v>
      </c>
      <c r="F5553">
        <v>1.0350745878440899</v>
      </c>
      <c r="G5553">
        <v>0.95773120713841098</v>
      </c>
      <c r="H5553">
        <v>0.90076023339556699</v>
      </c>
      <c r="I5553">
        <v>0.95114291360735304</v>
      </c>
      <c r="J5553">
        <v>0.847344931061914</v>
      </c>
      <c r="K5553">
        <v>0.58355692744727805</v>
      </c>
      <c r="L5553">
        <v>1809.7429600853</v>
      </c>
      <c r="M5553">
        <v>25.4713019016984</v>
      </c>
      <c r="Q5553">
        <v>0</v>
      </c>
      <c r="R5553">
        <v>0.71846532531991103</v>
      </c>
      <c r="S5553" t="s">
        <v>11414</v>
      </c>
      <c r="T5553" t="s">
        <v>11720</v>
      </c>
      <c r="U5553" t="s">
        <v>11720</v>
      </c>
      <c r="V5553" t="s">
        <v>11720</v>
      </c>
      <c r="W5553" t="s">
        <v>17212</v>
      </c>
      <c r="X5553">
        <v>7</v>
      </c>
      <c r="Y5553" t="s">
        <v>22907</v>
      </c>
      <c r="Z5553" t="s">
        <v>28760</v>
      </c>
      <c r="AA5553">
        <v>0.95673746188144215</v>
      </c>
      <c r="AB5553" t="str">
        <f>HYPERLINK("Melting_Curves/meltCurve_Q9UK23_2_NAGPA.pdf", "Melting_Curves/meltCurve_Q9UK23_2_NAGPA.pdf")</f>
        <v>Melting_Curves/meltCurve_Q9UK23_2_NAGPA.pdf</v>
      </c>
    </row>
    <row r="5554" spans="1:28" x14ac:dyDescent="0.25">
      <c r="A5554" t="s">
        <v>5558</v>
      </c>
      <c r="B5554">
        <v>0.99334974765950101</v>
      </c>
      <c r="C5554">
        <v>0.77498608584332096</v>
      </c>
      <c r="D5554">
        <v>0.37410663706939901</v>
      </c>
      <c r="E5554">
        <v>0.156487631667314</v>
      </c>
      <c r="F5554">
        <v>0.17468811157616701</v>
      </c>
      <c r="G5554">
        <v>0.108502961123249</v>
      </c>
      <c r="H5554">
        <v>8.8485427990812798E-2</v>
      </c>
      <c r="I5554">
        <v>7.9038371585533201E-2</v>
      </c>
      <c r="J5554">
        <v>8.0307621941804394E-2</v>
      </c>
      <c r="K5554">
        <v>6.4873577925770504E-2</v>
      </c>
      <c r="L5554">
        <v>1189.9152491115301</v>
      </c>
      <c r="M5554">
        <v>26.6234442023828</v>
      </c>
      <c r="N5554">
        <v>45.057350262492598</v>
      </c>
      <c r="O5554">
        <v>44.444387205073802</v>
      </c>
      <c r="P5554">
        <v>-0.13530037715575599</v>
      </c>
      <c r="Q5554">
        <v>9.6543700511990294E-2</v>
      </c>
      <c r="R5554">
        <v>0.99275840293794804</v>
      </c>
      <c r="S5554" t="s">
        <v>11415</v>
      </c>
      <c r="T5554" t="s">
        <v>11720</v>
      </c>
      <c r="U5554" t="s">
        <v>11720</v>
      </c>
      <c r="V5554" t="s">
        <v>11720</v>
      </c>
      <c r="W5554" t="s">
        <v>17213</v>
      </c>
      <c r="X5554">
        <v>4</v>
      </c>
      <c r="Y5554" t="s">
        <v>22908</v>
      </c>
      <c r="Z5554" t="s">
        <v>28761</v>
      </c>
      <c r="AA5554">
        <v>0.2459123222590188</v>
      </c>
      <c r="AB5554" t="str">
        <f>HYPERLINK("Melting_Curves/meltCurve_Q9UK39_CCRN4L.pdf", "Melting_Curves/meltCurve_Q9UK39_CCRN4L.pdf")</f>
        <v>Melting_Curves/meltCurve_Q9UK39_CCRN4L.pdf</v>
      </c>
    </row>
    <row r="5555" spans="1:28" x14ac:dyDescent="0.25">
      <c r="A5555" t="s">
        <v>5559</v>
      </c>
      <c r="B5555">
        <v>0.99334974765950101</v>
      </c>
      <c r="C5555">
        <v>0.97120664015614699</v>
      </c>
      <c r="D5555">
        <v>0.97073226420377301</v>
      </c>
      <c r="E5555">
        <v>0.67825342363477303</v>
      </c>
      <c r="F5555">
        <v>0.30189343214047998</v>
      </c>
      <c r="G5555">
        <v>0.16288991482502199</v>
      </c>
      <c r="H5555">
        <v>0.101346095055542</v>
      </c>
      <c r="I5555">
        <v>9.0303590743815901E-2</v>
      </c>
      <c r="J5555">
        <v>8.9064732978155398E-2</v>
      </c>
      <c r="K5555">
        <v>5.57206393796357E-2</v>
      </c>
      <c r="L5555">
        <v>1464.8803802454099</v>
      </c>
      <c r="M5555">
        <v>28.716591485430499</v>
      </c>
      <c r="N5555">
        <v>51.3515513141366</v>
      </c>
      <c r="O5555">
        <v>50.766185112377102</v>
      </c>
      <c r="P5555">
        <v>-0.12917672117597701</v>
      </c>
      <c r="Q5555">
        <v>8.6554774013559904E-2</v>
      </c>
      <c r="R5555">
        <v>0.99790425510112502</v>
      </c>
      <c r="S5555" t="s">
        <v>11416</v>
      </c>
      <c r="T5555" t="s">
        <v>11720</v>
      </c>
      <c r="U5555" t="s">
        <v>11720</v>
      </c>
      <c r="V5555" t="s">
        <v>11720</v>
      </c>
      <c r="W5555" t="s">
        <v>17214</v>
      </c>
      <c r="X5555">
        <v>11</v>
      </c>
      <c r="Y5555" t="s">
        <v>22909</v>
      </c>
      <c r="Z5555" t="s">
        <v>28762</v>
      </c>
      <c r="AA5555">
        <v>0.42810830612501499</v>
      </c>
      <c r="AB5555" t="str">
        <f>HYPERLINK("Melting_Curves/meltCurve_Q9UK41_VPS28.pdf", "Melting_Curves/meltCurve_Q9UK41_VPS28.pdf")</f>
        <v>Melting_Curves/meltCurve_Q9UK41_VPS28.pdf</v>
      </c>
    </row>
    <row r="5556" spans="1:28" x14ac:dyDescent="0.25">
      <c r="A5556" t="s">
        <v>5560</v>
      </c>
      <c r="B5556">
        <v>0.99334974765950101</v>
      </c>
      <c r="C5556">
        <v>1.0237076349135099</v>
      </c>
      <c r="D5556">
        <v>1.09242374547511</v>
      </c>
      <c r="E5556">
        <v>1.1082606658991201</v>
      </c>
      <c r="F5556">
        <v>1.1889587098059999</v>
      </c>
      <c r="G5556">
        <v>1.16974317403937</v>
      </c>
      <c r="H5556">
        <v>1.23505213468873</v>
      </c>
      <c r="I5556">
        <v>1.3825928870834401</v>
      </c>
      <c r="J5556">
        <v>1.4397524049727799</v>
      </c>
      <c r="K5556">
        <v>1.0706671722897301</v>
      </c>
      <c r="L5556">
        <v>630.03112791927697</v>
      </c>
      <c r="M5556">
        <v>12.338429410374999</v>
      </c>
      <c r="O5556">
        <v>49.776788885745901</v>
      </c>
      <c r="P5556">
        <v>1.8003838582274199E-2</v>
      </c>
      <c r="Q5556">
        <v>1.2904678701119601</v>
      </c>
      <c r="R5556">
        <v>0.54039339017085297</v>
      </c>
      <c r="S5556" t="s">
        <v>11417</v>
      </c>
      <c r="T5556" t="s">
        <v>11720</v>
      </c>
      <c r="U5556" t="s">
        <v>11720</v>
      </c>
      <c r="V5556" t="s">
        <v>11720</v>
      </c>
      <c r="W5556" t="s">
        <v>17215</v>
      </c>
      <c r="X5556">
        <v>5</v>
      </c>
      <c r="Y5556" t="s">
        <v>22910</v>
      </c>
      <c r="Z5556" t="s">
        <v>28763</v>
      </c>
      <c r="AA5556">
        <v>1.174290072610316</v>
      </c>
      <c r="AB5556" t="str">
        <f>HYPERLINK("Melting_Curves/meltCurve_Q9UK45_LSM7.pdf", "Melting_Curves/meltCurve_Q9UK45_LSM7.pdf")</f>
        <v>Melting_Curves/meltCurve_Q9UK45_LSM7.pdf</v>
      </c>
    </row>
    <row r="5557" spans="1:28" x14ac:dyDescent="0.25">
      <c r="A5557" t="s">
        <v>5561</v>
      </c>
      <c r="B5557">
        <v>0.99334974765950101</v>
      </c>
      <c r="C5557">
        <v>0.96584442352325806</v>
      </c>
      <c r="D5557">
        <v>0.84070869232863998</v>
      </c>
      <c r="E5557">
        <v>0.632854388896955</v>
      </c>
      <c r="F5557">
        <v>0.51621773759275302</v>
      </c>
      <c r="G5557">
        <v>0.38055085403153699</v>
      </c>
      <c r="H5557">
        <v>0.23649584355013201</v>
      </c>
      <c r="I5557">
        <v>0.235812456550476</v>
      </c>
      <c r="J5557">
        <v>0.19698383183702001</v>
      </c>
      <c r="K5557">
        <v>0.155856035805019</v>
      </c>
      <c r="L5557">
        <v>623.31238478837599</v>
      </c>
      <c r="M5557">
        <v>12.0309679239513</v>
      </c>
      <c r="N5557">
        <v>53.236632969872197</v>
      </c>
      <c r="O5557">
        <v>50.439889671497397</v>
      </c>
      <c r="P5557">
        <v>-5.1420711274154998E-2</v>
      </c>
      <c r="Q5557">
        <v>0.13787946862695599</v>
      </c>
      <c r="R5557">
        <v>0.99573609152395204</v>
      </c>
      <c r="S5557" t="s">
        <v>11418</v>
      </c>
      <c r="T5557" t="s">
        <v>11720</v>
      </c>
      <c r="U5557" t="s">
        <v>11720</v>
      </c>
      <c r="V5557" t="s">
        <v>11720</v>
      </c>
      <c r="W5557" t="s">
        <v>17216</v>
      </c>
      <c r="X5557">
        <v>4</v>
      </c>
      <c r="Y5557" t="s">
        <v>22911</v>
      </c>
      <c r="Z5557" t="s">
        <v>28764</v>
      </c>
      <c r="AA5557">
        <v>0.50386869418499769</v>
      </c>
      <c r="AB5557" t="str">
        <f>HYPERLINK("Melting_Curves/meltCurve_Q9UK59_DBR1.pdf", "Melting_Curves/meltCurve_Q9UK59_DBR1.pdf")</f>
        <v>Melting_Curves/meltCurve_Q9UK59_DBR1.pdf</v>
      </c>
    </row>
    <row r="5558" spans="1:28" x14ac:dyDescent="0.25">
      <c r="A5558" t="s">
        <v>5562</v>
      </c>
      <c r="B5558">
        <v>0.99334974765950101</v>
      </c>
      <c r="C5558">
        <v>0.97975328298553399</v>
      </c>
      <c r="D5558">
        <v>0.81493537822832496</v>
      </c>
      <c r="E5558">
        <v>0.80403706814131204</v>
      </c>
      <c r="F5558">
        <v>0.80821892203557999</v>
      </c>
      <c r="G5558">
        <v>0.68547622196384805</v>
      </c>
      <c r="H5558">
        <v>0.69161285976656495</v>
      </c>
      <c r="I5558">
        <v>0.66647312969476702</v>
      </c>
      <c r="J5558">
        <v>0.84963722418256604</v>
      </c>
      <c r="K5558">
        <v>0.77134662254483799</v>
      </c>
      <c r="L5558">
        <v>1780.3647085084799</v>
      </c>
      <c r="M5558">
        <v>39.570117674919103</v>
      </c>
      <c r="O5558">
        <v>44.878182601146698</v>
      </c>
      <c r="P5558">
        <v>-5.4652559679004703E-2</v>
      </c>
      <c r="Q5558">
        <v>0.75206508425437801</v>
      </c>
      <c r="R5558">
        <v>0.73260608103099101</v>
      </c>
      <c r="S5558" t="s">
        <v>11419</v>
      </c>
      <c r="T5558" t="s">
        <v>11720</v>
      </c>
      <c r="U5558" t="s">
        <v>11720</v>
      </c>
      <c r="V5558" t="s">
        <v>11720</v>
      </c>
      <c r="W5558" t="s">
        <v>17217</v>
      </c>
      <c r="X5558">
        <v>10</v>
      </c>
      <c r="Y5558" t="s">
        <v>22912</v>
      </c>
      <c r="Z5558" t="s">
        <v>28765</v>
      </c>
      <c r="AA5558">
        <v>0.79416593409242187</v>
      </c>
      <c r="AB5558" t="str">
        <f>HYPERLINK("Melting_Curves/meltCurve_Q9UK76_HN1.pdf", "Melting_Curves/meltCurve_Q9UK76_HN1.pdf")</f>
        <v>Melting_Curves/meltCurve_Q9UK76_HN1.pdf</v>
      </c>
    </row>
    <row r="5559" spans="1:28" x14ac:dyDescent="0.25">
      <c r="A5559" t="s">
        <v>5563</v>
      </c>
      <c r="B5559">
        <v>0.99334974765950101</v>
      </c>
      <c r="C5559">
        <v>0.81023836675643801</v>
      </c>
      <c r="D5559">
        <v>0.84944374643003095</v>
      </c>
      <c r="E5559">
        <v>0.568599274013595</v>
      </c>
      <c r="F5559">
        <v>0.200247395473163</v>
      </c>
      <c r="G5559">
        <v>0.17133686618314001</v>
      </c>
      <c r="H5559">
        <v>0.12935468155882199</v>
      </c>
      <c r="I5559">
        <v>8.9565368032096193E-2</v>
      </c>
      <c r="J5559">
        <v>9.2230463776582505E-2</v>
      </c>
      <c r="K5559">
        <v>4.8443487887102302E-2</v>
      </c>
      <c r="L5559">
        <v>856.86703752921699</v>
      </c>
      <c r="M5559">
        <v>17.273167623657201</v>
      </c>
      <c r="N5559">
        <v>50.016818504840998</v>
      </c>
      <c r="O5559">
        <v>48.956258888202399</v>
      </c>
      <c r="P5559">
        <v>-8.2389268960290807E-2</v>
      </c>
      <c r="Q5559">
        <v>6.6011176248618006E-2</v>
      </c>
      <c r="R5559">
        <v>0.97167206871173695</v>
      </c>
      <c r="S5559" t="s">
        <v>11420</v>
      </c>
      <c r="T5559" t="s">
        <v>11720</v>
      </c>
      <c r="U5559" t="s">
        <v>11720</v>
      </c>
      <c r="V5559" t="s">
        <v>11720</v>
      </c>
      <c r="W5559" t="s">
        <v>17218</v>
      </c>
      <c r="X5559">
        <v>2</v>
      </c>
      <c r="Y5559" t="s">
        <v>22913</v>
      </c>
      <c r="Z5559" t="s">
        <v>28766</v>
      </c>
      <c r="AA5559">
        <v>0.38243741149624688</v>
      </c>
      <c r="AB5559" t="str">
        <f>HYPERLINK("Melting_Curves/meltCurve_Q9UK97_3_FBXO9.pdf", "Melting_Curves/meltCurve_Q9UK97_3_FBXO9.pdf")</f>
        <v>Melting_Curves/meltCurve_Q9UK97_3_FBXO9.pdf</v>
      </c>
    </row>
    <row r="5560" spans="1:28" x14ac:dyDescent="0.25">
      <c r="A5560" t="s">
        <v>5564</v>
      </c>
      <c r="B5560">
        <v>0.99334974765950101</v>
      </c>
      <c r="C5560">
        <v>0.91553852311475403</v>
      </c>
      <c r="D5560">
        <v>0.88647493025799295</v>
      </c>
      <c r="E5560">
        <v>0.72435344159704196</v>
      </c>
      <c r="F5560">
        <v>0.69807178674292802</v>
      </c>
      <c r="G5560">
        <v>0.320264395798187</v>
      </c>
      <c r="H5560">
        <v>0.18073776647700901</v>
      </c>
      <c r="I5560">
        <v>0.13573374194840199</v>
      </c>
      <c r="J5560">
        <v>0.14643082183946801</v>
      </c>
      <c r="K5560">
        <v>0.12287475736011901</v>
      </c>
      <c r="L5560">
        <v>736.72843864878405</v>
      </c>
      <c r="M5560">
        <v>13.640666354407699</v>
      </c>
      <c r="N5560">
        <v>54.492830630530499</v>
      </c>
      <c r="O5560">
        <v>52.888613981412298</v>
      </c>
      <c r="P5560">
        <v>-6.0814949528582303E-2</v>
      </c>
      <c r="Q5560">
        <v>5.69534300533713E-2</v>
      </c>
      <c r="R5560">
        <v>0.98034869540837399</v>
      </c>
      <c r="S5560" t="s">
        <v>11421</v>
      </c>
      <c r="T5560" t="s">
        <v>11720</v>
      </c>
      <c r="U5560" t="s">
        <v>11720</v>
      </c>
      <c r="V5560" t="s">
        <v>11720</v>
      </c>
      <c r="W5560" t="s">
        <v>17219</v>
      </c>
      <c r="X5560">
        <v>5</v>
      </c>
      <c r="Y5560" t="s">
        <v>22914</v>
      </c>
      <c r="Z5560" t="s">
        <v>28767</v>
      </c>
      <c r="AA5560">
        <v>0.5189610477560328</v>
      </c>
      <c r="AB5560" t="str">
        <f>HYPERLINK("Melting_Curves/meltCurve_Q9UK99_FBXO3.pdf", "Melting_Curves/meltCurve_Q9UK99_FBXO3.pdf")</f>
        <v>Melting_Curves/meltCurve_Q9UK99_FBXO3.pdf</v>
      </c>
    </row>
    <row r="5561" spans="1:28" x14ac:dyDescent="0.25">
      <c r="A5561" t="s">
        <v>5565</v>
      </c>
      <c r="B5561">
        <v>0.99334974765950101</v>
      </c>
      <c r="C5561">
        <v>0.75595554582103097</v>
      </c>
      <c r="D5561">
        <v>0.485042367504534</v>
      </c>
      <c r="E5561">
        <v>0.34945195955539499</v>
      </c>
      <c r="F5561">
        <v>0.225875494918612</v>
      </c>
      <c r="G5561">
        <v>0.190346083405526</v>
      </c>
      <c r="H5561">
        <v>0.12501094357457601</v>
      </c>
      <c r="I5561">
        <v>0.13625076349138701</v>
      </c>
      <c r="J5561">
        <v>0.10174159432528999</v>
      </c>
      <c r="K5561">
        <v>8.0086103817591098E-2</v>
      </c>
      <c r="L5561">
        <v>694.55288283437301</v>
      </c>
      <c r="M5561">
        <v>15.155816696837</v>
      </c>
      <c r="N5561">
        <v>46.612221157196402</v>
      </c>
      <c r="O5561">
        <v>45.051842360921697</v>
      </c>
      <c r="P5561">
        <v>-7.4639232586984405E-2</v>
      </c>
      <c r="Q5561">
        <v>0.11260229246536101</v>
      </c>
      <c r="R5561">
        <v>0.98256752142118098</v>
      </c>
      <c r="S5561" t="s">
        <v>11422</v>
      </c>
      <c r="T5561" t="s">
        <v>11720</v>
      </c>
      <c r="U5561" t="s">
        <v>11720</v>
      </c>
      <c r="V5561" t="s">
        <v>11720</v>
      </c>
      <c r="W5561" t="s">
        <v>17220</v>
      </c>
      <c r="X5561">
        <v>2</v>
      </c>
      <c r="Y5561" t="s">
        <v>22915</v>
      </c>
      <c r="Z5561" t="s">
        <v>28768</v>
      </c>
      <c r="AA5561">
        <v>0.31071050633754138</v>
      </c>
      <c r="AB5561" t="str">
        <f>HYPERLINK("Melting_Curves/meltCurve_Q9UKA4_AKAP11.pdf", "Melting_Curves/meltCurve_Q9UKA4_AKAP11.pdf")</f>
        <v>Melting_Curves/meltCurve_Q9UKA4_AKAP11.pdf</v>
      </c>
    </row>
    <row r="5562" spans="1:28" x14ac:dyDescent="0.25">
      <c r="A5562" t="s">
        <v>5566</v>
      </c>
      <c r="B5562">
        <v>0.99334974765950101</v>
      </c>
      <c r="C5562">
        <v>1.1327225112047701</v>
      </c>
      <c r="D5562">
        <v>0.78829622000972399</v>
      </c>
      <c r="E5562">
        <v>0.88237475409714405</v>
      </c>
      <c r="F5562">
        <v>0.70777811835832105</v>
      </c>
      <c r="G5562">
        <v>0.49704088221425702</v>
      </c>
      <c r="H5562">
        <v>0.41082136362321198</v>
      </c>
      <c r="I5562">
        <v>0.47027973625134101</v>
      </c>
      <c r="J5562">
        <v>0.53246228103129301</v>
      </c>
      <c r="K5562">
        <v>0.48961780322112902</v>
      </c>
      <c r="L5562">
        <v>1075.51488886729</v>
      </c>
      <c r="M5562">
        <v>20.6781283557468</v>
      </c>
      <c r="N5562">
        <v>59.4293892347632</v>
      </c>
      <c r="O5562">
        <v>51.533094441465799</v>
      </c>
      <c r="P5562">
        <v>-5.3956649474710398E-2</v>
      </c>
      <c r="Q5562">
        <v>0.46214220115278498</v>
      </c>
      <c r="R5562">
        <v>0.88251996497020901</v>
      </c>
      <c r="S5562" t="s">
        <v>11423</v>
      </c>
      <c r="T5562" t="s">
        <v>11720</v>
      </c>
      <c r="U5562" t="s">
        <v>11720</v>
      </c>
      <c r="V5562" t="s">
        <v>11720</v>
      </c>
      <c r="W5562" t="s">
        <v>17221</v>
      </c>
      <c r="X5562">
        <v>2</v>
      </c>
      <c r="Y5562" t="s">
        <v>22916</v>
      </c>
      <c r="Z5562" t="s">
        <v>28769</v>
      </c>
      <c r="AA5562">
        <v>0.68451251976881344</v>
      </c>
      <c r="AB5562" t="str">
        <f>HYPERLINK("Melting_Curves/meltCurve_Q9UKB3_DNAJC12.pdf", "Melting_Curves/meltCurve_Q9UKB3_DNAJC12.pdf")</f>
        <v>Melting_Curves/meltCurve_Q9UKB3_DNAJC12.pdf</v>
      </c>
    </row>
    <row r="5563" spans="1:28" x14ac:dyDescent="0.25">
      <c r="A5563" t="s">
        <v>5567</v>
      </c>
      <c r="B5563">
        <v>0.99334974765950101</v>
      </c>
      <c r="C5563">
        <v>0.96878042619899896</v>
      </c>
      <c r="D5563">
        <v>0.74853105312058099</v>
      </c>
      <c r="E5563">
        <v>0.40325089383525198</v>
      </c>
      <c r="F5563">
        <v>0.30417966870312502</v>
      </c>
      <c r="G5563">
        <v>0.28812912185087097</v>
      </c>
      <c r="H5563">
        <v>0.21663974823774401</v>
      </c>
      <c r="I5563">
        <v>0.208936631772346</v>
      </c>
      <c r="J5563">
        <v>0.17206196170368601</v>
      </c>
      <c r="K5563">
        <v>0.138673195185543</v>
      </c>
      <c r="L5563">
        <v>994.12449021036002</v>
      </c>
      <c r="M5563">
        <v>20.7796345877222</v>
      </c>
      <c r="N5563">
        <v>49.006650021421002</v>
      </c>
      <c r="O5563">
        <v>47.4048245629061</v>
      </c>
      <c r="P5563">
        <v>-8.8224659574186598E-2</v>
      </c>
      <c r="Q5563">
        <v>0.19495071844434</v>
      </c>
      <c r="R5563">
        <v>0.98915343057168803</v>
      </c>
      <c r="S5563" t="s">
        <v>11424</v>
      </c>
      <c r="T5563" t="s">
        <v>11720</v>
      </c>
      <c r="U5563" t="s">
        <v>11720</v>
      </c>
      <c r="V5563" t="s">
        <v>11720</v>
      </c>
      <c r="W5563" t="s">
        <v>17222</v>
      </c>
      <c r="X5563">
        <v>6</v>
      </c>
      <c r="Y5563" t="s">
        <v>22917</v>
      </c>
      <c r="Z5563" t="s">
        <v>28770</v>
      </c>
      <c r="AA5563">
        <v>0.41595089097790272</v>
      </c>
      <c r="AB5563" t="str">
        <f>HYPERLINK("Melting_Curves/meltCurve_Q9UKC9_FBXL2.pdf", "Melting_Curves/meltCurve_Q9UKC9_FBXL2.pdf")</f>
        <v>Melting_Curves/meltCurve_Q9UKC9_FBXL2.pdf</v>
      </c>
    </row>
    <row r="5564" spans="1:28" x14ac:dyDescent="0.25">
      <c r="A5564" t="s">
        <v>5568</v>
      </c>
      <c r="B5564">
        <v>0.99334974765950101</v>
      </c>
      <c r="C5564">
        <v>1.0304143626193401</v>
      </c>
      <c r="D5564">
        <v>1.08010969615205</v>
      </c>
      <c r="E5564">
        <v>0.81732237676270203</v>
      </c>
      <c r="F5564">
        <v>0.86905121023816601</v>
      </c>
      <c r="G5564">
        <v>0.43413411127909901</v>
      </c>
      <c r="H5564">
        <v>0.29211309517999501</v>
      </c>
      <c r="I5564">
        <v>0.229083006206246</v>
      </c>
      <c r="J5564">
        <v>0.22900616005588101</v>
      </c>
      <c r="K5564">
        <v>0.145494347910501</v>
      </c>
      <c r="L5564">
        <v>1219.8311209514</v>
      </c>
      <c r="M5564">
        <v>21.9517988343833</v>
      </c>
      <c r="N5564">
        <v>56.690347787883198</v>
      </c>
      <c r="O5564">
        <v>55.113633902636401</v>
      </c>
      <c r="P5564">
        <v>-8.2035828481021894E-2</v>
      </c>
      <c r="Q5564">
        <v>0.176160282287595</v>
      </c>
      <c r="R5564">
        <v>0.97379010456175596</v>
      </c>
      <c r="S5564" t="s">
        <v>11425</v>
      </c>
      <c r="T5564" t="s">
        <v>11720</v>
      </c>
      <c r="U5564" t="s">
        <v>11720</v>
      </c>
      <c r="V5564" t="s">
        <v>11720</v>
      </c>
      <c r="W5564" t="s">
        <v>17223</v>
      </c>
      <c r="X5564">
        <v>8</v>
      </c>
      <c r="Y5564" t="s">
        <v>22918</v>
      </c>
      <c r="Z5564" t="s">
        <v>28771</v>
      </c>
      <c r="AA5564">
        <v>0.61308460308024704</v>
      </c>
      <c r="AB5564" t="str">
        <f>HYPERLINK("Melting_Curves/meltCurve_Q9UKE5_5_TNIK.pdf", "Melting_Curves/meltCurve_Q9UKE5_5_TNIK.pdf")</f>
        <v>Melting_Curves/meltCurve_Q9UKE5_5_TNIK.pdf</v>
      </c>
    </row>
    <row r="5565" spans="1:28" x14ac:dyDescent="0.25">
      <c r="A5565" t="s">
        <v>5569</v>
      </c>
      <c r="B5565">
        <v>0.99334974765950101</v>
      </c>
      <c r="C5565">
        <v>0.92330855456116301</v>
      </c>
      <c r="D5565">
        <v>0.87126421279736599</v>
      </c>
      <c r="E5565">
        <v>0.81608626052418198</v>
      </c>
      <c r="F5565">
        <v>0.35054369873124802</v>
      </c>
      <c r="G5565">
        <v>0.21382038383544399</v>
      </c>
      <c r="H5565">
        <v>0.153272651303065</v>
      </c>
      <c r="I5565">
        <v>9.8714930868935694E-2</v>
      </c>
      <c r="J5565">
        <v>0.106451310886903</v>
      </c>
      <c r="K5565">
        <v>9.2188341729800199E-2</v>
      </c>
      <c r="L5565">
        <v>1549.2795875751999</v>
      </c>
      <c r="M5565">
        <v>29.9818880845074</v>
      </c>
      <c r="N5565">
        <v>52.129620162775602</v>
      </c>
      <c r="O5565">
        <v>51.445607643551</v>
      </c>
      <c r="P5565">
        <v>-0.12889968324335399</v>
      </c>
      <c r="Q5565">
        <v>0.115295414793322</v>
      </c>
      <c r="R5565">
        <v>0.98039336249324704</v>
      </c>
      <c r="S5565" t="s">
        <v>11426</v>
      </c>
      <c r="T5565" t="s">
        <v>11720</v>
      </c>
      <c r="U5565" t="s">
        <v>11720</v>
      </c>
      <c r="V5565" t="s">
        <v>11720</v>
      </c>
      <c r="W5565" t="s">
        <v>17224</v>
      </c>
      <c r="X5565">
        <v>8</v>
      </c>
      <c r="Y5565" t="s">
        <v>22919</v>
      </c>
      <c r="Z5565" t="s">
        <v>28772</v>
      </c>
      <c r="AA5565">
        <v>0.46518943425886322</v>
      </c>
      <c r="AB5565" t="str">
        <f>HYPERLINK("Melting_Curves/meltCurve_Q9UKF6_CPSF3.pdf", "Melting_Curves/meltCurve_Q9UKF6_CPSF3.pdf")</f>
        <v>Melting_Curves/meltCurve_Q9UKF6_CPSF3.pdf</v>
      </c>
    </row>
    <row r="5566" spans="1:28" x14ac:dyDescent="0.25">
      <c r="A5566" t="s">
        <v>5570</v>
      </c>
      <c r="B5566">
        <v>0.99334974765950101</v>
      </c>
      <c r="C5566">
        <v>0.980166194969041</v>
      </c>
      <c r="D5566">
        <v>0.96605194993986898</v>
      </c>
      <c r="E5566">
        <v>0.74760661561870501</v>
      </c>
      <c r="F5566">
        <v>0.33995531947944502</v>
      </c>
      <c r="G5566">
        <v>0.18431561246233599</v>
      </c>
      <c r="H5566">
        <v>0.135391829274987</v>
      </c>
      <c r="I5566">
        <v>0.118951765813032</v>
      </c>
      <c r="J5566">
        <v>0.114257040418257</v>
      </c>
      <c r="K5566">
        <v>9.6584382757554404E-2</v>
      </c>
      <c r="L5566">
        <v>1633.67944197923</v>
      </c>
      <c r="M5566">
        <v>31.822529583084499</v>
      </c>
      <c r="N5566">
        <v>51.7799170662161</v>
      </c>
      <c r="O5566">
        <v>51.135738349926498</v>
      </c>
      <c r="P5566">
        <v>-0.137048986370812</v>
      </c>
      <c r="Q5566">
        <v>0.119106417667095</v>
      </c>
      <c r="R5566">
        <v>0.99832082948712597</v>
      </c>
      <c r="S5566" t="s">
        <v>11427</v>
      </c>
      <c r="T5566" t="s">
        <v>11720</v>
      </c>
      <c r="U5566" t="s">
        <v>11720</v>
      </c>
      <c r="V5566" t="s">
        <v>11720</v>
      </c>
      <c r="W5566" t="s">
        <v>17225</v>
      </c>
      <c r="X5566">
        <v>26</v>
      </c>
      <c r="Y5566" t="s">
        <v>22920</v>
      </c>
      <c r="Z5566" t="s">
        <v>28773</v>
      </c>
      <c r="AA5566">
        <v>0.45695133174414881</v>
      </c>
      <c r="AB5566" t="str">
        <f>HYPERLINK("Melting_Curves/meltCurve_Q9UKG1_APPL1.pdf", "Melting_Curves/meltCurve_Q9UKG1_APPL1.pdf")</f>
        <v>Melting_Curves/meltCurve_Q9UKG1_APPL1.pdf</v>
      </c>
    </row>
    <row r="5567" spans="1:28" x14ac:dyDescent="0.25">
      <c r="A5567" t="s">
        <v>5571</v>
      </c>
      <c r="B5567">
        <v>0.99334974765950101</v>
      </c>
      <c r="C5567">
        <v>1.0133366180383701</v>
      </c>
      <c r="D5567">
        <v>0.89919210016160001</v>
      </c>
      <c r="E5567">
        <v>0.331876774270839</v>
      </c>
      <c r="F5567">
        <v>0.244943083001327</v>
      </c>
      <c r="G5567">
        <v>0.135693423592568</v>
      </c>
      <c r="H5567">
        <v>0.10815132728414199</v>
      </c>
      <c r="I5567">
        <v>8.3791778579700799E-2</v>
      </c>
      <c r="J5567">
        <v>8.9254058871551606E-2</v>
      </c>
      <c r="K5567">
        <v>7.1534465964093699E-2</v>
      </c>
      <c r="L5567">
        <v>1539.0812769172001</v>
      </c>
      <c r="M5567">
        <v>31.6365080755922</v>
      </c>
      <c r="N5567">
        <v>49.014385703275202</v>
      </c>
      <c r="O5567">
        <v>48.455763358202297</v>
      </c>
      <c r="P5567">
        <v>-0.146074155357756</v>
      </c>
      <c r="Q5567">
        <v>0.10507234716099</v>
      </c>
      <c r="R5567">
        <v>0.99228990996246902</v>
      </c>
      <c r="S5567" t="s">
        <v>11428</v>
      </c>
      <c r="T5567" t="s">
        <v>11720</v>
      </c>
      <c r="U5567" t="s">
        <v>11720</v>
      </c>
      <c r="V5567" t="s">
        <v>11720</v>
      </c>
      <c r="W5567" t="s">
        <v>17226</v>
      </c>
      <c r="X5567">
        <v>14</v>
      </c>
      <c r="Y5567" t="s">
        <v>22921</v>
      </c>
      <c r="Z5567" t="s">
        <v>28774</v>
      </c>
      <c r="AA5567">
        <v>0.36794003270347569</v>
      </c>
      <c r="AB5567" t="str">
        <f>HYPERLINK("Melting_Curves/meltCurve_Q9UKG9_CROT.pdf", "Melting_Curves/meltCurve_Q9UKG9_CROT.pdf")</f>
        <v>Melting_Curves/meltCurve_Q9UKG9_CROT.pdf</v>
      </c>
    </row>
    <row r="5568" spans="1:28" x14ac:dyDescent="0.25">
      <c r="A5568" t="s">
        <v>5572</v>
      </c>
      <c r="B5568">
        <v>0.99334974765950101</v>
      </c>
      <c r="C5568">
        <v>0.911188754521014</v>
      </c>
      <c r="D5568">
        <v>0.73522010863319598</v>
      </c>
      <c r="E5568">
        <v>0.41443844468888302</v>
      </c>
      <c r="F5568">
        <v>0.38464520260317298</v>
      </c>
      <c r="G5568">
        <v>0.29197384419155897</v>
      </c>
      <c r="H5568">
        <v>0.240925705467048</v>
      </c>
      <c r="I5568">
        <v>0.226341524641646</v>
      </c>
      <c r="J5568">
        <v>0.18508130378749399</v>
      </c>
      <c r="K5568">
        <v>0.13186832276766999</v>
      </c>
      <c r="L5568">
        <v>743.83792041115203</v>
      </c>
      <c r="M5568">
        <v>15.4732512076802</v>
      </c>
      <c r="N5568">
        <v>49.58779176558</v>
      </c>
      <c r="O5568">
        <v>47.291036764947499</v>
      </c>
      <c r="P5568">
        <v>-6.63949002288933E-2</v>
      </c>
      <c r="Q5568">
        <v>0.18837940907647499</v>
      </c>
      <c r="R5568">
        <v>0.98506398817037499</v>
      </c>
      <c r="S5568" t="s">
        <v>11429</v>
      </c>
      <c r="T5568" t="s">
        <v>11720</v>
      </c>
      <c r="U5568" t="s">
        <v>11720</v>
      </c>
      <c r="V5568" t="s">
        <v>11720</v>
      </c>
      <c r="W5568" t="s">
        <v>17227</v>
      </c>
      <c r="X5568">
        <v>10</v>
      </c>
      <c r="Y5568" t="s">
        <v>22922</v>
      </c>
      <c r="Z5568" t="s">
        <v>28775</v>
      </c>
      <c r="AA5568">
        <v>0.42634398705567711</v>
      </c>
      <c r="AB5568" t="str">
        <f>HYPERLINK("Melting_Curves/meltCurve_Q9UKK3_PARP4.pdf", "Melting_Curves/meltCurve_Q9UKK3_PARP4.pdf")</f>
        <v>Melting_Curves/meltCurve_Q9UKK3_PARP4.pdf</v>
      </c>
    </row>
    <row r="5569" spans="1:28" x14ac:dyDescent="0.25">
      <c r="A5569" t="s">
        <v>5573</v>
      </c>
      <c r="B5569">
        <v>0.99334974765950101</v>
      </c>
      <c r="C5569">
        <v>1.02896132493166</v>
      </c>
      <c r="D5569">
        <v>0.95579954369550302</v>
      </c>
      <c r="E5569">
        <v>0.88524222265861496</v>
      </c>
      <c r="F5569">
        <v>0.89671142704167595</v>
      </c>
      <c r="G5569">
        <v>0.71065660465990299</v>
      </c>
      <c r="H5569">
        <v>0.80596957392110702</v>
      </c>
      <c r="I5569">
        <v>1.1776790479600501</v>
      </c>
      <c r="J5569">
        <v>1.3997605646077</v>
      </c>
      <c r="K5569">
        <v>1.2988235416518401</v>
      </c>
      <c r="L5569">
        <v>15000</v>
      </c>
      <c r="M5569">
        <v>234.40968664340099</v>
      </c>
      <c r="O5569">
        <v>63.985854778815501</v>
      </c>
      <c r="P5569">
        <v>0.31990771349449099</v>
      </c>
      <c r="Q5569">
        <v>1.34929570126</v>
      </c>
      <c r="R5569">
        <v>0.64083743453547504</v>
      </c>
      <c r="S5569" t="s">
        <v>11430</v>
      </c>
      <c r="T5569" t="s">
        <v>11720</v>
      </c>
      <c r="U5569" t="s">
        <v>11720</v>
      </c>
      <c r="V5569" t="s">
        <v>11720</v>
      </c>
      <c r="W5569" t="s">
        <v>17228</v>
      </c>
      <c r="X5569">
        <v>13</v>
      </c>
      <c r="Y5569" t="s">
        <v>22923</v>
      </c>
      <c r="Z5569" t="s">
        <v>28776</v>
      </c>
      <c r="AA5569">
        <v>1.06992478605062</v>
      </c>
      <c r="AB5569" t="str">
        <f>HYPERLINK("Melting_Curves/meltCurve_Q9UKK9_NUDT5.pdf", "Melting_Curves/meltCurve_Q9UKK9_NUDT5.pdf")</f>
        <v>Melting_Curves/meltCurve_Q9UKK9_NUDT5.pdf</v>
      </c>
    </row>
    <row r="5570" spans="1:28" x14ac:dyDescent="0.25">
      <c r="A5570" t="s">
        <v>5574</v>
      </c>
      <c r="B5570">
        <v>0.99334974765950101</v>
      </c>
      <c r="C5570">
        <v>1.0645951596580301</v>
      </c>
      <c r="D5570">
        <v>0.85741876184874999</v>
      </c>
      <c r="E5570">
        <v>0.81790053542031504</v>
      </c>
      <c r="F5570">
        <v>0.55443748791977798</v>
      </c>
      <c r="G5570">
        <v>0.44255824952634598</v>
      </c>
      <c r="H5570">
        <v>0.147197959854106</v>
      </c>
      <c r="I5570">
        <v>6.8253357018203106E-2</v>
      </c>
      <c r="J5570">
        <v>7.7345814928860501E-2</v>
      </c>
      <c r="K5570">
        <v>6.1743839172424E-2</v>
      </c>
      <c r="L5570">
        <v>765.21137677457602</v>
      </c>
      <c r="M5570">
        <v>14.0075004859328</v>
      </c>
      <c r="N5570">
        <v>54.628688251514802</v>
      </c>
      <c r="O5570">
        <v>53.551428570234599</v>
      </c>
      <c r="P5570">
        <v>-6.5401384307009494E-2</v>
      </c>
      <c r="Q5570">
        <v>0</v>
      </c>
      <c r="R5570">
        <v>0.981082433031358</v>
      </c>
      <c r="S5570" t="s">
        <v>11431</v>
      </c>
      <c r="T5570" t="s">
        <v>11720</v>
      </c>
      <c r="U5570" t="s">
        <v>11720</v>
      </c>
      <c r="V5570" t="s">
        <v>11720</v>
      </c>
      <c r="W5570" t="s">
        <v>17229</v>
      </c>
      <c r="X5570">
        <v>4</v>
      </c>
      <c r="Y5570" t="s">
        <v>22924</v>
      </c>
      <c r="Z5570" t="s">
        <v>28777</v>
      </c>
      <c r="AA5570">
        <v>0.5089115706261832</v>
      </c>
      <c r="AB5570" t="str">
        <f>HYPERLINK("Melting_Curves/meltCurve_Q9UKL6_PCTP.pdf", "Melting_Curves/meltCurve_Q9UKL6_PCTP.pdf")</f>
        <v>Melting_Curves/meltCurve_Q9UKL6_PCTP.pdf</v>
      </c>
    </row>
    <row r="5571" spans="1:28" x14ac:dyDescent="0.25">
      <c r="A5571" t="s">
        <v>5575</v>
      </c>
      <c r="B5571">
        <v>0.99334974765950101</v>
      </c>
      <c r="C5571">
        <v>1.11420804747727</v>
      </c>
      <c r="D5571">
        <v>0.98083204818180203</v>
      </c>
      <c r="E5571">
        <v>1.10848911504444</v>
      </c>
      <c r="F5571">
        <v>0.77159885582913401</v>
      </c>
      <c r="G5571">
        <v>0.68387645181535694</v>
      </c>
      <c r="H5571">
        <v>0.56830891909082004</v>
      </c>
      <c r="I5571">
        <v>0.79995454054536896</v>
      </c>
      <c r="J5571">
        <v>0.37370854185166003</v>
      </c>
      <c r="K5571">
        <v>0.283713629284781</v>
      </c>
      <c r="L5571">
        <v>584.82774382099899</v>
      </c>
      <c r="M5571">
        <v>8.98345918090555</v>
      </c>
      <c r="N5571">
        <v>65.100502674230597</v>
      </c>
      <c r="O5571">
        <v>62.117334359475201</v>
      </c>
      <c r="P5571">
        <v>-3.61816419276315E-2</v>
      </c>
      <c r="Q5571">
        <v>0</v>
      </c>
      <c r="R5571">
        <v>0.80555529196031905</v>
      </c>
      <c r="S5571" t="s">
        <v>11432</v>
      </c>
      <c r="T5571" t="s">
        <v>11720</v>
      </c>
      <c r="U5571" t="s">
        <v>11720</v>
      </c>
      <c r="V5571" t="s">
        <v>11720</v>
      </c>
      <c r="W5571" t="s">
        <v>17230</v>
      </c>
      <c r="X5571">
        <v>1</v>
      </c>
      <c r="Y5571" t="s">
        <v>22925</v>
      </c>
      <c r="Z5571" t="s">
        <v>28778</v>
      </c>
      <c r="AA5571">
        <v>0.7712326918505269</v>
      </c>
      <c r="AB5571" t="str">
        <f>HYPERLINK("Melting_Curves/meltCurve_Q9UKR5_C14orf1.pdf", "Melting_Curves/meltCurve_Q9UKR5_C14orf1.pdf")</f>
        <v>Melting_Curves/meltCurve_Q9UKR5_C14orf1.pdf</v>
      </c>
    </row>
    <row r="5572" spans="1:28" x14ac:dyDescent="0.25">
      <c r="A5572" t="s">
        <v>5576</v>
      </c>
      <c r="B5572">
        <v>0.99334974765950101</v>
      </c>
      <c r="C5572">
        <v>1.0520954330665</v>
      </c>
      <c r="D5572">
        <v>0.80028019028235597</v>
      </c>
      <c r="E5572">
        <v>0.51537229200546797</v>
      </c>
      <c r="F5572">
        <v>0.233473511792468</v>
      </c>
      <c r="G5572">
        <v>0.13626636416528201</v>
      </c>
      <c r="H5572">
        <v>0.10244203109050599</v>
      </c>
      <c r="I5572">
        <v>0.108543121958698</v>
      </c>
      <c r="J5572">
        <v>9.8786529161382794E-2</v>
      </c>
      <c r="K5572">
        <v>8.4606700132884002E-2</v>
      </c>
      <c r="L5572">
        <v>1096.9697506095799</v>
      </c>
      <c r="M5572">
        <v>22.210473715776399</v>
      </c>
      <c r="N5572">
        <v>49.843005113807799</v>
      </c>
      <c r="O5572">
        <v>48.994622809559502</v>
      </c>
      <c r="P5572">
        <v>-0.10297026940001899</v>
      </c>
      <c r="Q5572">
        <v>9.1441506227082095E-2</v>
      </c>
      <c r="R5572">
        <v>0.99208912645021696</v>
      </c>
      <c r="S5572" t="s">
        <v>11433</v>
      </c>
      <c r="T5572" t="s">
        <v>11720</v>
      </c>
      <c r="U5572" t="s">
        <v>11720</v>
      </c>
      <c r="V5572" t="s">
        <v>11720</v>
      </c>
      <c r="W5572" t="s">
        <v>17231</v>
      </c>
      <c r="X5572">
        <v>4</v>
      </c>
      <c r="Y5572" t="s">
        <v>22926</v>
      </c>
      <c r="Z5572" t="s">
        <v>28779</v>
      </c>
      <c r="AA5572">
        <v>0.38608471079062467</v>
      </c>
      <c r="AB5572" t="str">
        <f>HYPERLINK("Melting_Curves/meltCurve_Q9UKS6_PACSIN3.pdf", "Melting_Curves/meltCurve_Q9UKS6_PACSIN3.pdf")</f>
        <v>Melting_Curves/meltCurve_Q9UKS6_PACSIN3.pdf</v>
      </c>
    </row>
    <row r="5573" spans="1:28" x14ac:dyDescent="0.25">
      <c r="A5573" t="s">
        <v>5577</v>
      </c>
      <c r="B5573">
        <v>0.99334974765950101</v>
      </c>
      <c r="C5573">
        <v>1.15469690182211</v>
      </c>
      <c r="D5573">
        <v>1.4067686493596701</v>
      </c>
      <c r="E5573">
        <v>1.77354760374998</v>
      </c>
      <c r="F5573">
        <v>3.0205369812090801</v>
      </c>
      <c r="G5573">
        <v>2.0298429542264498</v>
      </c>
      <c r="H5573">
        <v>1.3280685829229999</v>
      </c>
      <c r="I5573">
        <v>0.51637129678365901</v>
      </c>
      <c r="J5573">
        <v>0.42108096304617998</v>
      </c>
      <c r="K5573">
        <v>0.46345948230380402</v>
      </c>
      <c r="L5573">
        <v>15000</v>
      </c>
      <c r="M5573">
        <v>236.247137908859</v>
      </c>
      <c r="N5573">
        <v>64.078055416495104</v>
      </c>
      <c r="O5573">
        <v>63.488281342956903</v>
      </c>
      <c r="P5573">
        <v>-0.51890838376942305</v>
      </c>
      <c r="Q5573">
        <v>0.44220103648535503</v>
      </c>
      <c r="R5573">
        <v>-1.85162786669286E-2</v>
      </c>
      <c r="S5573" t="s">
        <v>11434</v>
      </c>
      <c r="T5573" t="s">
        <v>11720</v>
      </c>
      <c r="U5573" t="s">
        <v>11720</v>
      </c>
      <c r="V5573" t="s">
        <v>11720</v>
      </c>
      <c r="W5573" t="s">
        <v>17232</v>
      </c>
      <c r="X5573">
        <v>1</v>
      </c>
      <c r="Y5573" t="s">
        <v>22927</v>
      </c>
      <c r="Z5573" t="s">
        <v>28780</v>
      </c>
      <c r="AA5573">
        <v>0.87907989789236241</v>
      </c>
      <c r="AB5573" t="str">
        <f>HYPERLINK("Melting_Curves/meltCurve_Q9UKT4_2_FBXO5.pdf", "Melting_Curves/meltCurve_Q9UKT4_2_FBXO5.pdf")</f>
        <v>Melting_Curves/meltCurve_Q9UKT4_2_FBXO5.pdf</v>
      </c>
    </row>
    <row r="5574" spans="1:28" x14ac:dyDescent="0.25">
      <c r="A5574" t="s">
        <v>5578</v>
      </c>
      <c r="B5574">
        <v>0.99334974765950101</v>
      </c>
      <c r="C5574">
        <v>0.966205076438587</v>
      </c>
      <c r="D5574">
        <v>0.89966987053576297</v>
      </c>
      <c r="E5574">
        <v>0.75961258357134098</v>
      </c>
      <c r="F5574">
        <v>0.37830742465233802</v>
      </c>
      <c r="G5574">
        <v>0.215051907113504</v>
      </c>
      <c r="H5574">
        <v>0.170570668285283</v>
      </c>
      <c r="I5574">
        <v>0.13080921755188399</v>
      </c>
      <c r="J5574">
        <v>0.12476023435754401</v>
      </c>
      <c r="K5574">
        <v>0.12772935318686901</v>
      </c>
      <c r="L5574">
        <v>1283.9398582902299</v>
      </c>
      <c r="M5574">
        <v>24.9530707129903</v>
      </c>
      <c r="N5574">
        <v>52.089952204878998</v>
      </c>
      <c r="O5574">
        <v>51.127132094815401</v>
      </c>
      <c r="P5574">
        <v>-0.10599871578723399</v>
      </c>
      <c r="Q5574">
        <v>0.13127534672768501</v>
      </c>
      <c r="R5574">
        <v>0.99380600463175806</v>
      </c>
      <c r="S5574" t="s">
        <v>11435</v>
      </c>
      <c r="T5574" t="s">
        <v>11720</v>
      </c>
      <c r="U5574" t="s">
        <v>11720</v>
      </c>
      <c r="V5574" t="s">
        <v>11720</v>
      </c>
      <c r="W5574" t="s">
        <v>17233</v>
      </c>
      <c r="X5574">
        <v>10</v>
      </c>
      <c r="Y5574" t="s">
        <v>22928</v>
      </c>
      <c r="Z5574" t="s">
        <v>28781</v>
      </c>
      <c r="AA5574">
        <v>0.47087515523992912</v>
      </c>
      <c r="AB5574" t="str">
        <f>HYPERLINK("Melting_Curves/meltCurve_Q9UKT5_FBXO4.pdf", "Melting_Curves/meltCurve_Q9UKT5_FBXO4.pdf")</f>
        <v>Melting_Curves/meltCurve_Q9UKT5_FBXO4.pdf</v>
      </c>
    </row>
    <row r="5575" spans="1:28" x14ac:dyDescent="0.25">
      <c r="A5575" t="s">
        <v>5579</v>
      </c>
      <c r="B5575">
        <v>0.99334974765950101</v>
      </c>
      <c r="C5575">
        <v>0.99423990580844102</v>
      </c>
      <c r="D5575">
        <v>0.95913350863836899</v>
      </c>
      <c r="E5575">
        <v>1.05951086591213</v>
      </c>
      <c r="F5575">
        <v>0.84132475865246903</v>
      </c>
      <c r="G5575">
        <v>0.85250211948641397</v>
      </c>
      <c r="H5575">
        <v>0.52984409498268803</v>
      </c>
      <c r="I5575">
        <v>0.571558216305871</v>
      </c>
      <c r="J5575">
        <v>0.54790961425085405</v>
      </c>
      <c r="K5575">
        <v>0.48756391172800601</v>
      </c>
      <c r="L5575">
        <v>1298.98970871611</v>
      </c>
      <c r="M5575">
        <v>22.553732636099099</v>
      </c>
      <c r="O5575">
        <v>57.148270718545398</v>
      </c>
      <c r="P5575">
        <v>-4.9695518913704398E-2</v>
      </c>
      <c r="Q5575">
        <v>0.49632186156776098</v>
      </c>
      <c r="R5575">
        <v>0.93362129115897996</v>
      </c>
      <c r="S5575" t="s">
        <v>11436</v>
      </c>
      <c r="T5575" t="s">
        <v>11720</v>
      </c>
      <c r="U5575" t="s">
        <v>11720</v>
      </c>
      <c r="V5575" t="s">
        <v>11720</v>
      </c>
      <c r="W5575" t="s">
        <v>17234</v>
      </c>
      <c r="X5575">
        <v>2</v>
      </c>
      <c r="Y5575" t="s">
        <v>22929</v>
      </c>
      <c r="Z5575" t="s">
        <v>28782</v>
      </c>
      <c r="AA5575">
        <v>0.7968669440169921</v>
      </c>
      <c r="AB5575" t="str">
        <f>HYPERLINK("Melting_Curves/meltCurve_Q9UKU6_TRHDE.pdf", "Melting_Curves/meltCurve_Q9UKU6_TRHDE.pdf")</f>
        <v>Melting_Curves/meltCurve_Q9UKU6_TRHDE.pdf</v>
      </c>
    </row>
    <row r="5576" spans="1:28" x14ac:dyDescent="0.25">
      <c r="A5576" t="s">
        <v>5580</v>
      </c>
      <c r="B5576">
        <v>0.99334974765950101</v>
      </c>
      <c r="C5576">
        <v>0.98508907772455701</v>
      </c>
      <c r="D5576">
        <v>1.06784174470182</v>
      </c>
      <c r="E5576">
        <v>0.99846534205077797</v>
      </c>
      <c r="F5576">
        <v>0.98165892737671401</v>
      </c>
      <c r="G5576">
        <v>0.66385494053191896</v>
      </c>
      <c r="H5576">
        <v>0.44961128555457203</v>
      </c>
      <c r="I5576">
        <v>0.25997015725913297</v>
      </c>
      <c r="J5576">
        <v>0.32981949690356299</v>
      </c>
      <c r="K5576">
        <v>0.208100798178906</v>
      </c>
      <c r="L5576">
        <v>1493.98716729073</v>
      </c>
      <c r="M5576">
        <v>25.7837783473237</v>
      </c>
      <c r="N5576">
        <v>59.484333510248703</v>
      </c>
      <c r="O5576">
        <v>57.597735544140001</v>
      </c>
      <c r="P5576">
        <v>-8.4644472242078703E-2</v>
      </c>
      <c r="Q5576">
        <v>0.24366835283878199</v>
      </c>
      <c r="R5576">
        <v>0.98346606445398999</v>
      </c>
      <c r="S5576" t="s">
        <v>11437</v>
      </c>
      <c r="T5576" t="s">
        <v>11720</v>
      </c>
      <c r="U5576" t="s">
        <v>11720</v>
      </c>
      <c r="V5576" t="s">
        <v>11720</v>
      </c>
      <c r="W5576" t="s">
        <v>17235</v>
      </c>
      <c r="X5576">
        <v>9</v>
      </c>
      <c r="Y5576" t="s">
        <v>22930</v>
      </c>
      <c r="Z5576" t="s">
        <v>28783</v>
      </c>
      <c r="AA5576">
        <v>0.70233962245393278</v>
      </c>
      <c r="AB5576" t="str">
        <f>HYPERLINK("Melting_Curves/meltCurve_Q9UKU7_ACAD8.pdf", "Melting_Curves/meltCurve_Q9UKU7_ACAD8.pdf")</f>
        <v>Melting_Curves/meltCurve_Q9UKU7_ACAD8.pdf</v>
      </c>
    </row>
    <row r="5577" spans="1:28" x14ac:dyDescent="0.25">
      <c r="A5577" t="s">
        <v>5581</v>
      </c>
      <c r="B5577">
        <v>0.99334974765950101</v>
      </c>
      <c r="C5577">
        <v>1.0148042079347199</v>
      </c>
      <c r="D5577">
        <v>0.97337223085889901</v>
      </c>
      <c r="E5577">
        <v>0.49179331868971599</v>
      </c>
      <c r="F5577">
        <v>0.23619159739388401</v>
      </c>
      <c r="G5577">
        <v>0.16344854498060199</v>
      </c>
      <c r="H5577">
        <v>0.13927807560715499</v>
      </c>
      <c r="I5577">
        <v>0.105508269900476</v>
      </c>
      <c r="J5577">
        <v>0.15675119145604599</v>
      </c>
      <c r="K5577">
        <v>9.9052162796221505E-2</v>
      </c>
      <c r="L5577">
        <v>1755.21831428622</v>
      </c>
      <c r="M5577">
        <v>35.386309179782401</v>
      </c>
      <c r="N5577">
        <v>50.040164098174202</v>
      </c>
      <c r="O5577">
        <v>49.4440151729275</v>
      </c>
      <c r="P5577">
        <v>-0.15506784150257999</v>
      </c>
      <c r="Q5577">
        <v>0.13332013601826401</v>
      </c>
      <c r="R5577">
        <v>0.99678172448674496</v>
      </c>
      <c r="S5577" t="s">
        <v>11438</v>
      </c>
      <c r="T5577" t="s">
        <v>11720</v>
      </c>
      <c r="U5577" t="s">
        <v>11720</v>
      </c>
      <c r="V5577" t="s">
        <v>11720</v>
      </c>
      <c r="W5577" t="s">
        <v>17236</v>
      </c>
      <c r="X5577">
        <v>3</v>
      </c>
      <c r="Y5577" t="s">
        <v>22931</v>
      </c>
      <c r="Z5577" t="s">
        <v>28784</v>
      </c>
      <c r="AA5577">
        <v>0.41451419420688651</v>
      </c>
      <c r="AB5577" t="str">
        <f>HYPERLINK("Melting_Curves/meltCurve_Q9UKV5_AMFR.pdf", "Melting_Curves/meltCurve_Q9UKV5_AMFR.pdf")</f>
        <v>Melting_Curves/meltCurve_Q9UKV5_AMFR.pdf</v>
      </c>
    </row>
    <row r="5578" spans="1:28" x14ac:dyDescent="0.25">
      <c r="A5578" t="s">
        <v>5582</v>
      </c>
      <c r="B5578">
        <v>0.99334974765950101</v>
      </c>
      <c r="C5578">
        <v>1.0059115205881399</v>
      </c>
      <c r="D5578">
        <v>1.18526672046339</v>
      </c>
      <c r="E5578">
        <v>1.2034580982002001</v>
      </c>
      <c r="F5578">
        <v>1.22396026935611</v>
      </c>
      <c r="G5578">
        <v>1.1275938738039999</v>
      </c>
      <c r="H5578">
        <v>1.3885798051445599</v>
      </c>
      <c r="I5578">
        <v>1.3809736169481199</v>
      </c>
      <c r="J5578">
        <v>0.71745040110495395</v>
      </c>
      <c r="K5578">
        <v>0.260516420490644</v>
      </c>
      <c r="L5578">
        <v>15000</v>
      </c>
      <c r="M5578">
        <v>223.39956693878199</v>
      </c>
      <c r="N5578">
        <v>67.366134534657505</v>
      </c>
      <c r="O5578">
        <v>67.138885120107901</v>
      </c>
      <c r="P5578">
        <v>-0.61521503436335101</v>
      </c>
      <c r="Q5578">
        <v>0.26043094543204898</v>
      </c>
      <c r="R5578">
        <v>0.57901346598137704</v>
      </c>
      <c r="S5578" t="s">
        <v>11439</v>
      </c>
      <c r="T5578" t="s">
        <v>11720</v>
      </c>
      <c r="U5578" t="s">
        <v>11720</v>
      </c>
      <c r="V5578" t="s">
        <v>11720</v>
      </c>
      <c r="W5578" t="s">
        <v>17237</v>
      </c>
      <c r="X5578">
        <v>9</v>
      </c>
      <c r="Y5578" t="s">
        <v>22932</v>
      </c>
      <c r="Z5578" t="s">
        <v>28785</v>
      </c>
      <c r="AA5578">
        <v>0.92970783832609771</v>
      </c>
      <c r="AB5578" t="str">
        <f>HYPERLINK("Melting_Curves/meltCurve_Q9UKV8_AGO2.pdf", "Melting_Curves/meltCurve_Q9UKV8_AGO2.pdf")</f>
        <v>Melting_Curves/meltCurve_Q9UKV8_AGO2.pdf</v>
      </c>
    </row>
    <row r="5579" spans="1:28" x14ac:dyDescent="0.25">
      <c r="A5579" t="s">
        <v>5583</v>
      </c>
      <c r="B5579">
        <v>0.99334974765950101</v>
      </c>
      <c r="C5579">
        <v>0.89800941242293897</v>
      </c>
      <c r="D5579">
        <v>0.91155141482578095</v>
      </c>
      <c r="E5579">
        <v>0.79119725196729596</v>
      </c>
      <c r="F5579">
        <v>0.58053689605931202</v>
      </c>
      <c r="G5579">
        <v>0.411162707007734</v>
      </c>
      <c r="H5579">
        <v>0.33372218072559101</v>
      </c>
      <c r="I5579">
        <v>0.33743568411503599</v>
      </c>
      <c r="J5579">
        <v>0.28232475724409001</v>
      </c>
      <c r="K5579">
        <v>0.24100608153456701</v>
      </c>
      <c r="L5579">
        <v>720.78102966224105</v>
      </c>
      <c r="M5579">
        <v>13.707084047144299</v>
      </c>
      <c r="N5579">
        <v>55.196613961873702</v>
      </c>
      <c r="O5579">
        <v>51.503220326626902</v>
      </c>
      <c r="P5579">
        <v>-5.06653636815773E-2</v>
      </c>
      <c r="Q5579">
        <v>0.23862597713668501</v>
      </c>
      <c r="R5579">
        <v>0.98784836800928999</v>
      </c>
      <c r="S5579" t="s">
        <v>11440</v>
      </c>
      <c r="T5579" t="s">
        <v>11720</v>
      </c>
      <c r="U5579" t="s">
        <v>11720</v>
      </c>
      <c r="V5579" t="s">
        <v>11720</v>
      </c>
      <c r="W5579" t="s">
        <v>17238</v>
      </c>
      <c r="X5579">
        <v>2</v>
      </c>
      <c r="Y5579" t="s">
        <v>22933</v>
      </c>
      <c r="Z5579" t="s">
        <v>28786</v>
      </c>
      <c r="AA5579">
        <v>0.57690967906619695</v>
      </c>
      <c r="AB5579" t="str">
        <f>HYPERLINK("Melting_Curves/meltCurve_Q9UKX5_ITGA11.pdf", "Melting_Curves/meltCurve_Q9UKX5_ITGA11.pdf")</f>
        <v>Melting_Curves/meltCurve_Q9UKX5_ITGA11.pdf</v>
      </c>
    </row>
    <row r="5580" spans="1:28" x14ac:dyDescent="0.25">
      <c r="A5580" t="s">
        <v>5584</v>
      </c>
      <c r="B5580">
        <v>0.99334974765950101</v>
      </c>
      <c r="C5580">
        <v>0.90565217646567098</v>
      </c>
      <c r="D5580">
        <v>0.97342976700790895</v>
      </c>
      <c r="E5580">
        <v>0.92012470216965903</v>
      </c>
      <c r="F5580">
        <v>0.94497608220220997</v>
      </c>
      <c r="G5580">
        <v>0.45660148905533499</v>
      </c>
      <c r="H5580">
        <v>0.29532803590113099</v>
      </c>
      <c r="I5580">
        <v>0.29049220260004599</v>
      </c>
      <c r="J5580">
        <v>0.251934689980918</v>
      </c>
      <c r="K5580">
        <v>0.22006533743225801</v>
      </c>
      <c r="L5580">
        <v>2401.1185526141599</v>
      </c>
      <c r="M5580">
        <v>43.078408420357903</v>
      </c>
      <c r="N5580">
        <v>56.692922146372901</v>
      </c>
      <c r="O5580">
        <v>55.618639733061499</v>
      </c>
      <c r="P5580">
        <v>-0.143690954289865</v>
      </c>
      <c r="Q5580">
        <v>0.25792244535224301</v>
      </c>
      <c r="R5580">
        <v>0.98298303063849701</v>
      </c>
      <c r="S5580" t="s">
        <v>11441</v>
      </c>
      <c r="T5580" t="s">
        <v>11720</v>
      </c>
      <c r="U5580" t="s">
        <v>11720</v>
      </c>
      <c r="V5580" t="s">
        <v>11720</v>
      </c>
      <c r="W5580" t="s">
        <v>17239</v>
      </c>
      <c r="X5580">
        <v>8</v>
      </c>
      <c r="Y5580" t="s">
        <v>22934</v>
      </c>
      <c r="Z5580" t="s">
        <v>28787</v>
      </c>
      <c r="AA5580">
        <v>0.64967895215054938</v>
      </c>
      <c r="AB5580" t="str">
        <f>HYPERLINK("Melting_Curves/meltCurve_Q9UKX7_2_NUP50.pdf", "Melting_Curves/meltCurve_Q9UKX7_2_NUP50.pdf")</f>
        <v>Melting_Curves/meltCurve_Q9UKX7_2_NUP50.pdf</v>
      </c>
    </row>
    <row r="5581" spans="1:28" x14ac:dyDescent="0.25">
      <c r="A5581" t="s">
        <v>5585</v>
      </c>
      <c r="B5581">
        <v>0.99334974765950101</v>
      </c>
      <c r="C5581">
        <v>0.99052612032439502</v>
      </c>
      <c r="D5581">
        <v>0.94262964721031794</v>
      </c>
      <c r="E5581">
        <v>0.89187537696942498</v>
      </c>
      <c r="F5581">
        <v>0.87312617684165394</v>
      </c>
      <c r="G5581">
        <v>0.77046624696603105</v>
      </c>
      <c r="H5581">
        <v>0.79159005624990697</v>
      </c>
      <c r="I5581">
        <v>1.03076704521711</v>
      </c>
      <c r="J5581">
        <v>1.1234759329519</v>
      </c>
      <c r="K5581">
        <v>1.0228785769756299</v>
      </c>
      <c r="L5581">
        <v>2349.16306784879</v>
      </c>
      <c r="M5581">
        <v>52.737780980697899</v>
      </c>
      <c r="O5581">
        <v>44.480307890524202</v>
      </c>
      <c r="P5581">
        <v>-2.0933227601566899E-2</v>
      </c>
      <c r="Q5581">
        <v>0.92937770999468305</v>
      </c>
      <c r="R5581">
        <v>5.43399816538159E-2</v>
      </c>
      <c r="S5581" t="s">
        <v>11442</v>
      </c>
      <c r="T5581" t="s">
        <v>11720</v>
      </c>
      <c r="U5581" t="s">
        <v>11720</v>
      </c>
      <c r="V5581" t="s">
        <v>11720</v>
      </c>
      <c r="W5581" t="s">
        <v>12071</v>
      </c>
      <c r="X5581">
        <v>19</v>
      </c>
      <c r="Y5581" t="s">
        <v>17868</v>
      </c>
      <c r="Z5581" t="s">
        <v>28788</v>
      </c>
      <c r="AA5581">
        <v>0.94020367263507909</v>
      </c>
      <c r="AB5581" t="str">
        <f>HYPERLINK("Melting_Curves/meltCurve_Q9UKY7_CDV3.pdf", "Melting_Curves/meltCurve_Q9UKY7_CDV3.pdf")</f>
        <v>Melting_Curves/meltCurve_Q9UKY7_CDV3.pdf</v>
      </c>
    </row>
    <row r="5582" spans="1:28" x14ac:dyDescent="0.25">
      <c r="A5582" t="s">
        <v>5586</v>
      </c>
      <c r="B5582">
        <v>0.99334974765950101</v>
      </c>
      <c r="C5582">
        <v>0.80380713625875899</v>
      </c>
      <c r="D5582">
        <v>0.62782346314335002</v>
      </c>
      <c r="E5582">
        <v>0.67585600731109197</v>
      </c>
      <c r="F5582">
        <v>0.14094166496121799</v>
      </c>
      <c r="G5582">
        <v>4.4828858920507003E-2</v>
      </c>
      <c r="H5582">
        <v>3.1797323816637697E-2</v>
      </c>
      <c r="I5582">
        <v>0</v>
      </c>
      <c r="J5582">
        <v>3.49023918975956E-2</v>
      </c>
      <c r="K5582">
        <v>0</v>
      </c>
      <c r="L5582">
        <v>701.20299589685601</v>
      </c>
      <c r="M5582">
        <v>14.2859748053519</v>
      </c>
      <c r="N5582">
        <v>49.083314481083598</v>
      </c>
      <c r="O5582">
        <v>48.1516042123069</v>
      </c>
      <c r="P5582">
        <v>-7.4180922644974404E-2</v>
      </c>
      <c r="Q5582">
        <v>0</v>
      </c>
      <c r="R5582">
        <v>0.93012763328361303</v>
      </c>
      <c r="S5582" t="s">
        <v>11443</v>
      </c>
      <c r="T5582" t="s">
        <v>11720</v>
      </c>
      <c r="U5582" t="s">
        <v>11720</v>
      </c>
      <c r="V5582" t="s">
        <v>11720</v>
      </c>
      <c r="W5582" t="s">
        <v>17240</v>
      </c>
      <c r="X5582">
        <v>1</v>
      </c>
      <c r="Y5582" t="s">
        <v>22935</v>
      </c>
      <c r="Z5582" t="s">
        <v>28789</v>
      </c>
      <c r="AA5582">
        <v>0.32970843486144902</v>
      </c>
      <c r="AB5582" t="str">
        <f>HYPERLINK("Melting_Curves/meltCurve_Q9UKZ1_CNOT11.pdf", "Melting_Curves/meltCurve_Q9UKZ1_CNOT11.pdf")</f>
        <v>Melting_Curves/meltCurve_Q9UKZ1_CNOT11.pdf</v>
      </c>
    </row>
    <row r="5583" spans="1:28" x14ac:dyDescent="0.25">
      <c r="A5583" t="s">
        <v>5587</v>
      </c>
      <c r="B5583">
        <v>0.99334974765950101</v>
      </c>
      <c r="C5583">
        <v>0.95951252479107896</v>
      </c>
      <c r="D5583">
        <v>0.86405676706595802</v>
      </c>
      <c r="E5583">
        <v>0.58945957638243196</v>
      </c>
      <c r="F5583">
        <v>0.202900732970619</v>
      </c>
      <c r="G5583">
        <v>0.115010915582173</v>
      </c>
      <c r="H5583">
        <v>8.0973734170452102E-2</v>
      </c>
      <c r="I5583">
        <v>6.6227983182777103E-2</v>
      </c>
      <c r="J5583">
        <v>6.5846244136356702E-2</v>
      </c>
      <c r="K5583">
        <v>5.3427572552714402E-2</v>
      </c>
      <c r="L5583">
        <v>1228.7219722978</v>
      </c>
      <c r="M5583">
        <v>24.522502630685199</v>
      </c>
      <c r="N5583">
        <v>50.3626379006202</v>
      </c>
      <c r="O5583">
        <v>49.776255956765397</v>
      </c>
      <c r="P5583">
        <v>-0.11592861743003501</v>
      </c>
      <c r="Q5583">
        <v>5.8756936363383999E-2</v>
      </c>
      <c r="R5583">
        <v>0.99488902131205903</v>
      </c>
      <c r="S5583" t="s">
        <v>11444</v>
      </c>
      <c r="T5583" t="s">
        <v>11720</v>
      </c>
      <c r="U5583" t="s">
        <v>11720</v>
      </c>
      <c r="V5583" t="s">
        <v>11720</v>
      </c>
      <c r="W5583" t="s">
        <v>17241</v>
      </c>
      <c r="X5583">
        <v>14</v>
      </c>
      <c r="Y5583" t="s">
        <v>22936</v>
      </c>
      <c r="Z5583" t="s">
        <v>28790</v>
      </c>
      <c r="AA5583">
        <v>0.38458072042355418</v>
      </c>
      <c r="AB5583" t="str">
        <f>HYPERLINK("Melting_Curves/meltCurve_Q9UL15_BAG5.pdf", "Melting_Curves/meltCurve_Q9UL15_BAG5.pdf")</f>
        <v>Melting_Curves/meltCurve_Q9UL15_BAG5.pdf</v>
      </c>
    </row>
    <row r="5584" spans="1:28" x14ac:dyDescent="0.25">
      <c r="A5584" t="s">
        <v>5588</v>
      </c>
      <c r="B5584">
        <v>0.99334974765950101</v>
      </c>
      <c r="C5584">
        <v>0.95996061048437598</v>
      </c>
      <c r="D5584">
        <v>0.93506909024493901</v>
      </c>
      <c r="E5584">
        <v>0.82714015508539296</v>
      </c>
      <c r="F5584">
        <v>0.80093362102004995</v>
      </c>
      <c r="G5584">
        <v>0.63169168811552001</v>
      </c>
      <c r="H5584">
        <v>0.54511409171536895</v>
      </c>
      <c r="I5584">
        <v>0.41602970426591401</v>
      </c>
      <c r="J5584">
        <v>0.20267553934834501</v>
      </c>
      <c r="K5584">
        <v>9.7880225500088305E-2</v>
      </c>
      <c r="L5584">
        <v>624.28970624308704</v>
      </c>
      <c r="M5584">
        <v>10.372667245037</v>
      </c>
      <c r="N5584">
        <v>60.186050113378698</v>
      </c>
      <c r="O5584">
        <v>58.077921595723097</v>
      </c>
      <c r="P5584">
        <v>-4.46686648765088E-2</v>
      </c>
      <c r="Q5584">
        <v>0</v>
      </c>
      <c r="R5584">
        <v>0.96982817460860704</v>
      </c>
      <c r="S5584" t="s">
        <v>11445</v>
      </c>
      <c r="T5584" t="s">
        <v>11720</v>
      </c>
      <c r="U5584" t="s">
        <v>11720</v>
      </c>
      <c r="V5584" t="s">
        <v>11720</v>
      </c>
      <c r="W5584" t="s">
        <v>17242</v>
      </c>
      <c r="X5584">
        <v>16</v>
      </c>
      <c r="Y5584" t="s">
        <v>22937</v>
      </c>
      <c r="Z5584" t="s">
        <v>28791</v>
      </c>
      <c r="AA5584">
        <v>0.66896947647757377</v>
      </c>
      <c r="AB5584" t="str">
        <f>HYPERLINK("Melting_Curves/meltCurve_Q9UL25_RAB21.pdf", "Melting_Curves/meltCurve_Q9UL25_RAB21.pdf")</f>
        <v>Melting_Curves/meltCurve_Q9UL25_RAB21.pdf</v>
      </c>
    </row>
    <row r="5585" spans="1:28" x14ac:dyDescent="0.25">
      <c r="A5585" t="s">
        <v>5589</v>
      </c>
      <c r="B5585">
        <v>0.99334974765950101</v>
      </c>
      <c r="C5585">
        <v>0.98104828488681695</v>
      </c>
      <c r="D5585">
        <v>0.863040885269171</v>
      </c>
      <c r="E5585">
        <v>0.76734383114554106</v>
      </c>
      <c r="F5585">
        <v>0.76752119777961003</v>
      </c>
      <c r="G5585">
        <v>0.54669662896043003</v>
      </c>
      <c r="H5585">
        <v>0.51938521133092497</v>
      </c>
      <c r="I5585">
        <v>0.45036654512387297</v>
      </c>
      <c r="J5585">
        <v>0.50502683896128597</v>
      </c>
      <c r="K5585">
        <v>0.35686469149137401</v>
      </c>
      <c r="L5585">
        <v>503.579400412361</v>
      </c>
      <c r="M5585">
        <v>9.2616062017462806</v>
      </c>
      <c r="N5585">
        <v>61.6315516645587</v>
      </c>
      <c r="O5585">
        <v>52.018208132346601</v>
      </c>
      <c r="P5585">
        <v>-2.9751770507549499E-2</v>
      </c>
      <c r="Q5585">
        <v>0.33202667441705203</v>
      </c>
      <c r="R5585">
        <v>0.96249016022132095</v>
      </c>
      <c r="S5585" t="s">
        <v>11446</v>
      </c>
      <c r="T5585" t="s">
        <v>11720</v>
      </c>
      <c r="U5585" t="s">
        <v>11720</v>
      </c>
      <c r="V5585" t="s">
        <v>11720</v>
      </c>
      <c r="W5585" t="s">
        <v>17243</v>
      </c>
      <c r="X5585">
        <v>6</v>
      </c>
      <c r="Y5585" t="s">
        <v>22938</v>
      </c>
      <c r="Z5585" t="s">
        <v>28792</v>
      </c>
      <c r="AA5585">
        <v>0.6719683391083574</v>
      </c>
      <c r="AB5585" t="str">
        <f>HYPERLINK("Melting_Curves/meltCurve_Q9UL26_RAB22A.pdf", "Melting_Curves/meltCurve_Q9UL26_RAB22A.pdf")</f>
        <v>Melting_Curves/meltCurve_Q9UL26_RAB22A.pdf</v>
      </c>
    </row>
    <row r="5586" spans="1:28" x14ac:dyDescent="0.25">
      <c r="A5586" t="s">
        <v>5590</v>
      </c>
      <c r="B5586">
        <v>0.99334974765950101</v>
      </c>
      <c r="C5586">
        <v>0.80111814314381802</v>
      </c>
      <c r="D5586">
        <v>0.929734901372817</v>
      </c>
      <c r="E5586">
        <v>0.98435364670402503</v>
      </c>
      <c r="F5586">
        <v>0.76069738894347305</v>
      </c>
      <c r="G5586">
        <v>0.36592134365715101</v>
      </c>
      <c r="H5586">
        <v>0.22551258383293701</v>
      </c>
      <c r="I5586">
        <v>0.13046506538240199</v>
      </c>
      <c r="J5586">
        <v>0.11112209863242101</v>
      </c>
      <c r="K5586">
        <v>7.43977525560581E-2</v>
      </c>
      <c r="L5586">
        <v>1340.16568757293</v>
      </c>
      <c r="M5586">
        <v>24.2413903893701</v>
      </c>
      <c r="N5586">
        <v>55.7799684275329</v>
      </c>
      <c r="O5586">
        <v>54.912096277971301</v>
      </c>
      <c r="P5586">
        <v>-9.9670176843984895E-2</v>
      </c>
      <c r="Q5586">
        <v>9.6913982160308498E-2</v>
      </c>
      <c r="R5586">
        <v>0.96415838726938996</v>
      </c>
      <c r="S5586" t="s">
        <v>11447</v>
      </c>
      <c r="T5586" t="s">
        <v>11720</v>
      </c>
      <c r="U5586" t="s">
        <v>11720</v>
      </c>
      <c r="V5586" t="s">
        <v>11720</v>
      </c>
      <c r="W5586" t="s">
        <v>17244</v>
      </c>
      <c r="X5586">
        <v>13</v>
      </c>
      <c r="Y5586" t="s">
        <v>22939</v>
      </c>
      <c r="Z5586" t="s">
        <v>28793</v>
      </c>
      <c r="AA5586">
        <v>0.56580813880938186</v>
      </c>
      <c r="AB5586" t="str">
        <f>HYPERLINK("Melting_Curves/meltCurve_Q9UL46_PSME2.pdf", "Melting_Curves/meltCurve_Q9UL46_PSME2.pdf")</f>
        <v>Melting_Curves/meltCurve_Q9UL46_PSME2.pdf</v>
      </c>
    </row>
    <row r="5587" spans="1:28" x14ac:dyDescent="0.25">
      <c r="A5587" t="s">
        <v>5591</v>
      </c>
      <c r="B5587">
        <v>0.99334974765950101</v>
      </c>
      <c r="C5587">
        <v>0.909898607337291</v>
      </c>
      <c r="D5587">
        <v>0.81936841950919803</v>
      </c>
      <c r="E5587">
        <v>0.55200737897790098</v>
      </c>
      <c r="F5587">
        <v>0.339049519223457</v>
      </c>
      <c r="G5587">
        <v>0.132327732765053</v>
      </c>
      <c r="H5587">
        <v>7.7662748422209396E-2</v>
      </c>
      <c r="I5587">
        <v>6.5463736330569303E-2</v>
      </c>
      <c r="J5587">
        <v>5.9074275676853E-2</v>
      </c>
      <c r="K5587">
        <v>4.8252906509385303E-2</v>
      </c>
      <c r="L5587">
        <v>797.17165076801803</v>
      </c>
      <c r="M5587">
        <v>15.843873925817601</v>
      </c>
      <c r="N5587">
        <v>50.508907118923403</v>
      </c>
      <c r="O5587">
        <v>49.533119946219799</v>
      </c>
      <c r="P5587">
        <v>-7.7603294563797498E-2</v>
      </c>
      <c r="Q5587">
        <v>2.9626212152687102E-2</v>
      </c>
      <c r="R5587">
        <v>0.99822331797014996</v>
      </c>
      <c r="S5587" t="s">
        <v>11448</v>
      </c>
      <c r="T5587" t="s">
        <v>11720</v>
      </c>
      <c r="U5587" t="s">
        <v>11720</v>
      </c>
      <c r="V5587" t="s">
        <v>11720</v>
      </c>
      <c r="W5587" t="s">
        <v>17245</v>
      </c>
      <c r="X5587">
        <v>9</v>
      </c>
      <c r="Y5587" t="s">
        <v>22940</v>
      </c>
      <c r="Z5587" t="s">
        <v>28794</v>
      </c>
      <c r="AA5587">
        <v>0.38405457137897808</v>
      </c>
      <c r="AB5587" t="str">
        <f>HYPERLINK("Melting_Curves/meltCurve_Q9ULC3_RAB23.pdf", "Melting_Curves/meltCurve_Q9ULC3_RAB23.pdf")</f>
        <v>Melting_Curves/meltCurve_Q9ULC3_RAB23.pdf</v>
      </c>
    </row>
    <row r="5588" spans="1:28" x14ac:dyDescent="0.25">
      <c r="A5588" t="s">
        <v>5592</v>
      </c>
      <c r="B5588">
        <v>0.99334974765950101</v>
      </c>
      <c r="C5588">
        <v>0.97680242943066198</v>
      </c>
      <c r="D5588">
        <v>0.88448395825943904</v>
      </c>
      <c r="E5588">
        <v>0.74165593384021999</v>
      </c>
      <c r="F5588">
        <v>0.553149369350182</v>
      </c>
      <c r="G5588">
        <v>0.30702084769568799</v>
      </c>
      <c r="H5588">
        <v>0.13892431851891099</v>
      </c>
      <c r="I5588">
        <v>7.7079265498213298E-2</v>
      </c>
      <c r="J5588">
        <v>7.0939385076233805E-2</v>
      </c>
      <c r="K5588">
        <v>5.1841546084865603E-2</v>
      </c>
      <c r="L5588">
        <v>760.20554886838897</v>
      </c>
      <c r="M5588">
        <v>14.183922685451799</v>
      </c>
      <c r="N5588">
        <v>53.630247270098003</v>
      </c>
      <c r="O5588">
        <v>52.564657601660898</v>
      </c>
      <c r="P5588">
        <v>-6.7166221383985605E-2</v>
      </c>
      <c r="Q5588">
        <v>4.4708536195959799E-3</v>
      </c>
      <c r="R5588">
        <v>0.99866936089443503</v>
      </c>
      <c r="S5588" t="s">
        <v>11449</v>
      </c>
      <c r="T5588" t="s">
        <v>11720</v>
      </c>
      <c r="U5588" t="s">
        <v>11720</v>
      </c>
      <c r="V5588" t="s">
        <v>11720</v>
      </c>
      <c r="W5588" t="s">
        <v>17246</v>
      </c>
      <c r="X5588">
        <v>8</v>
      </c>
      <c r="Y5588" t="s">
        <v>22941</v>
      </c>
      <c r="Z5588" t="s">
        <v>28795</v>
      </c>
      <c r="AA5588">
        <v>0.4780371056175779</v>
      </c>
      <c r="AB5588" t="str">
        <f>HYPERLINK("Melting_Curves/meltCurve_Q9ULC4_MCTS1.pdf", "Melting_Curves/meltCurve_Q9ULC4_MCTS1.pdf")</f>
        <v>Melting_Curves/meltCurve_Q9ULC4_MCTS1.pdf</v>
      </c>
    </row>
    <row r="5589" spans="1:28" x14ac:dyDescent="0.25">
      <c r="A5589" t="s">
        <v>5593</v>
      </c>
      <c r="B5589">
        <v>0.99334974765950101</v>
      </c>
      <c r="C5589">
        <v>0.90372275148501202</v>
      </c>
      <c r="D5589">
        <v>0.86667419635756704</v>
      </c>
      <c r="E5589">
        <v>0.74983733365877403</v>
      </c>
      <c r="F5589">
        <v>0.65151251751722905</v>
      </c>
      <c r="G5589">
        <v>0.45806350785740202</v>
      </c>
      <c r="H5589">
        <v>0.39510683870542102</v>
      </c>
      <c r="I5589">
        <v>0.36265523339733802</v>
      </c>
      <c r="J5589">
        <v>0.40902330774106299</v>
      </c>
      <c r="K5589">
        <v>0.44901491612330102</v>
      </c>
      <c r="L5589">
        <v>685.62051083366896</v>
      </c>
      <c r="M5589">
        <v>13.428825543313399</v>
      </c>
      <c r="N5589">
        <v>56.720705438492601</v>
      </c>
      <c r="O5589">
        <v>49.963578545918899</v>
      </c>
      <c r="P5589">
        <v>-4.2390029434166303E-2</v>
      </c>
      <c r="Q5589">
        <v>0.36922935810313501</v>
      </c>
      <c r="R5589">
        <v>0.97235269730600804</v>
      </c>
      <c r="S5589" t="s">
        <v>11450</v>
      </c>
      <c r="T5589" t="s">
        <v>11720</v>
      </c>
      <c r="U5589" t="s">
        <v>11720</v>
      </c>
      <c r="V5589" t="s">
        <v>11720</v>
      </c>
      <c r="W5589" t="s">
        <v>17247</v>
      </c>
      <c r="X5589">
        <v>3</v>
      </c>
      <c r="Y5589" t="s">
        <v>22942</v>
      </c>
      <c r="Z5589" t="s">
        <v>28796</v>
      </c>
      <c r="AA5589">
        <v>0.61904102909310199</v>
      </c>
      <c r="AB5589" t="str">
        <f>HYPERLINK("Melting_Curves/meltCurve_Q9ULC8_ZDHHC8.pdf", "Melting_Curves/meltCurve_Q9ULC8_ZDHHC8.pdf")</f>
        <v>Melting_Curves/meltCurve_Q9ULC8_ZDHHC8.pdf</v>
      </c>
    </row>
    <row r="5590" spans="1:28" x14ac:dyDescent="0.25">
      <c r="A5590" t="s">
        <v>5594</v>
      </c>
      <c r="B5590">
        <v>0.99334974765950101</v>
      </c>
      <c r="C5590">
        <v>0.99170612150265403</v>
      </c>
      <c r="D5590">
        <v>1.0053847077271301</v>
      </c>
      <c r="E5590">
        <v>0.882428789436004</v>
      </c>
      <c r="F5590">
        <v>0.95361389973018196</v>
      </c>
      <c r="G5590">
        <v>0.82339192654506399</v>
      </c>
      <c r="H5590">
        <v>0.78972571196125196</v>
      </c>
      <c r="I5590">
        <v>0.92563080676713505</v>
      </c>
      <c r="J5590">
        <v>1.05480679164486</v>
      </c>
      <c r="K5590">
        <v>1.01675797108343</v>
      </c>
      <c r="L5590">
        <v>11934.0971561854</v>
      </c>
      <c r="M5590">
        <v>250</v>
      </c>
      <c r="O5590">
        <v>47.733333852096102</v>
      </c>
      <c r="P5590">
        <v>-0.103559736949475</v>
      </c>
      <c r="Q5590">
        <v>0.92090797619920595</v>
      </c>
      <c r="R5590">
        <v>0.17588500572923901</v>
      </c>
      <c r="S5590" t="s">
        <v>11451</v>
      </c>
      <c r="T5590" t="s">
        <v>11720</v>
      </c>
      <c r="U5590" t="s">
        <v>11720</v>
      </c>
      <c r="V5590" t="s">
        <v>11720</v>
      </c>
      <c r="W5590" t="s">
        <v>17248</v>
      </c>
      <c r="X5590">
        <v>4</v>
      </c>
      <c r="Y5590" t="s">
        <v>22943</v>
      </c>
      <c r="Z5590" t="s">
        <v>28797</v>
      </c>
      <c r="AA5590">
        <v>0.94131082336956429</v>
      </c>
      <c r="AB5590" t="str">
        <f>HYPERLINK("Melting_Curves/meltCurve_Q9ULF5_SLC39A10.pdf", "Melting_Curves/meltCurve_Q9ULF5_SLC39A10.pdf")</f>
        <v>Melting_Curves/meltCurve_Q9ULF5_SLC39A10.pdf</v>
      </c>
    </row>
    <row r="5591" spans="1:28" x14ac:dyDescent="0.25">
      <c r="A5591" t="s">
        <v>5595</v>
      </c>
      <c r="B5591">
        <v>0.99334974765950101</v>
      </c>
      <c r="C5591">
        <v>0.95825288729392699</v>
      </c>
      <c r="D5591">
        <v>0.71604156975085098</v>
      </c>
      <c r="E5591">
        <v>0.55413033294956204</v>
      </c>
      <c r="F5591">
        <v>0.54731798589347302</v>
      </c>
      <c r="G5591">
        <v>0.36359764864223798</v>
      </c>
      <c r="H5591">
        <v>0.34952687960904499</v>
      </c>
      <c r="I5591">
        <v>0.40639844813980402</v>
      </c>
      <c r="J5591">
        <v>0.40054045700249102</v>
      </c>
      <c r="K5591">
        <v>0.33150666822312702</v>
      </c>
      <c r="L5591">
        <v>759.51913572111198</v>
      </c>
      <c r="M5591">
        <v>15.944465005924799</v>
      </c>
      <c r="N5591">
        <v>51.8582538198376</v>
      </c>
      <c r="O5591">
        <v>46.9048719575202</v>
      </c>
      <c r="P5591">
        <v>-5.4094576244815298E-2</v>
      </c>
      <c r="Q5591">
        <v>0.36351648472403503</v>
      </c>
      <c r="R5591">
        <v>0.96663298570787004</v>
      </c>
      <c r="S5591" t="s">
        <v>11452</v>
      </c>
      <c r="T5591" t="s">
        <v>11720</v>
      </c>
      <c r="U5591" t="s">
        <v>11720</v>
      </c>
      <c r="V5591" t="s">
        <v>11720</v>
      </c>
      <c r="W5591" t="s">
        <v>17249</v>
      </c>
      <c r="X5591">
        <v>2</v>
      </c>
      <c r="Y5591" t="s">
        <v>22944</v>
      </c>
      <c r="Z5591" t="s">
        <v>28798</v>
      </c>
      <c r="AA5591">
        <v>0.54023750410357918</v>
      </c>
      <c r="AB5591" t="str">
        <f>HYPERLINK("Melting_Curves/meltCurve_Q9ULH0_5_KIDINS220.pdf", "Melting_Curves/meltCurve_Q9ULH0_5_KIDINS220.pdf")</f>
        <v>Melting_Curves/meltCurve_Q9ULH0_5_KIDINS220.pdf</v>
      </c>
    </row>
    <row r="5592" spans="1:28" x14ac:dyDescent="0.25">
      <c r="A5592" t="s">
        <v>5596</v>
      </c>
      <c r="B5592">
        <v>0.99334974765950101</v>
      </c>
      <c r="C5592">
        <v>0.94506233209822599</v>
      </c>
      <c r="D5592">
        <v>0.91412553182815204</v>
      </c>
      <c r="E5592">
        <v>0.57868229740606902</v>
      </c>
      <c r="F5592">
        <v>0.24487858410587399</v>
      </c>
      <c r="G5592">
        <v>0.15572849473936401</v>
      </c>
      <c r="H5592">
        <v>0.111680043342284</v>
      </c>
      <c r="I5592">
        <v>0.109005493688361</v>
      </c>
      <c r="J5592">
        <v>9.64250650992627E-2</v>
      </c>
      <c r="K5592">
        <v>7.7987181199222197E-2</v>
      </c>
      <c r="L5592">
        <v>1303.4619020808</v>
      </c>
      <c r="M5592">
        <v>26.013234565766801</v>
      </c>
      <c r="N5592">
        <v>50.525708418137803</v>
      </c>
      <c r="O5592">
        <v>49.814334471198599</v>
      </c>
      <c r="P5592">
        <v>-0.117911794035334</v>
      </c>
      <c r="Q5592">
        <v>9.6824305445442294E-2</v>
      </c>
      <c r="R5592">
        <v>0.99710703148652602</v>
      </c>
      <c r="S5592" t="s">
        <v>11453</v>
      </c>
      <c r="T5592" t="s">
        <v>11720</v>
      </c>
      <c r="U5592" t="s">
        <v>11720</v>
      </c>
      <c r="V5592" t="s">
        <v>11720</v>
      </c>
      <c r="W5592" t="s">
        <v>17250</v>
      </c>
      <c r="X5592">
        <v>13</v>
      </c>
      <c r="Y5592" t="s">
        <v>22945</v>
      </c>
      <c r="Z5592" t="s">
        <v>28799</v>
      </c>
      <c r="AA5592">
        <v>0.40858493898369158</v>
      </c>
      <c r="AB5592" t="str">
        <f>HYPERLINK("Melting_Curves/meltCurve_Q9ULH1_ASAP1.pdf", "Melting_Curves/meltCurve_Q9ULH1_ASAP1.pdf")</f>
        <v>Melting_Curves/meltCurve_Q9ULH1_ASAP1.pdf</v>
      </c>
    </row>
    <row r="5593" spans="1:28" x14ac:dyDescent="0.25">
      <c r="A5593" t="s">
        <v>5597</v>
      </c>
      <c r="B5593">
        <v>0.99334974765950101</v>
      </c>
      <c r="C5593">
        <v>0.98872982299054402</v>
      </c>
      <c r="D5593">
        <v>0.98694575956173103</v>
      </c>
      <c r="E5593">
        <v>0.851134684295074</v>
      </c>
      <c r="F5593">
        <v>0.92425934593571402</v>
      </c>
      <c r="G5593">
        <v>0.52453931949475796</v>
      </c>
      <c r="H5593">
        <v>0.39165523126430901</v>
      </c>
      <c r="I5593">
        <v>0.34107265902211098</v>
      </c>
      <c r="J5593">
        <v>0.358680568742271</v>
      </c>
      <c r="K5593">
        <v>0.20293432685296001</v>
      </c>
      <c r="L5593">
        <v>1128.9649420088399</v>
      </c>
      <c r="M5593">
        <v>20.093461515403298</v>
      </c>
      <c r="N5593">
        <v>58.344844931471798</v>
      </c>
      <c r="O5593">
        <v>55.638064599206899</v>
      </c>
      <c r="P5593">
        <v>-6.6606624929648001E-2</v>
      </c>
      <c r="Q5593">
        <v>0.26229827799425798</v>
      </c>
      <c r="R5593">
        <v>0.966565759526955</v>
      </c>
      <c r="S5593" t="s">
        <v>11454</v>
      </c>
      <c r="T5593" t="s">
        <v>11720</v>
      </c>
      <c r="U5593" t="s">
        <v>11720</v>
      </c>
      <c r="V5593" t="s">
        <v>11720</v>
      </c>
      <c r="W5593" t="s">
        <v>17251</v>
      </c>
      <c r="X5593">
        <v>6</v>
      </c>
      <c r="Y5593" t="s">
        <v>22946</v>
      </c>
      <c r="Z5593" t="s">
        <v>28800</v>
      </c>
      <c r="AA5593">
        <v>0.66967461018344043</v>
      </c>
      <c r="AB5593" t="str">
        <f>HYPERLINK("Melting_Curves/meltCurve_Q9ULH7_4_MKL2.pdf", "Melting_Curves/meltCurve_Q9ULH7_4_MKL2.pdf")</f>
        <v>Melting_Curves/meltCurve_Q9ULH7_4_MKL2.pdf</v>
      </c>
    </row>
    <row r="5594" spans="1:28" x14ac:dyDescent="0.25">
      <c r="A5594" t="s">
        <v>5598</v>
      </c>
      <c r="B5594">
        <v>0.99334974765950101</v>
      </c>
      <c r="C5594">
        <v>0.94249021986166803</v>
      </c>
      <c r="D5594">
        <v>1.0597300978033899</v>
      </c>
      <c r="E5594">
        <v>0.98451096967308005</v>
      </c>
      <c r="F5594">
        <v>0.83341688282456905</v>
      </c>
      <c r="G5594">
        <v>0.80668996496463197</v>
      </c>
      <c r="H5594">
        <v>0.75450075722269405</v>
      </c>
      <c r="I5594">
        <v>0.99453102672842397</v>
      </c>
      <c r="J5594">
        <v>0.96232789800798701</v>
      </c>
      <c r="K5594">
        <v>0.79085934357721499</v>
      </c>
      <c r="L5594">
        <v>12605.377884895201</v>
      </c>
      <c r="M5594">
        <v>250</v>
      </c>
      <c r="O5594">
        <v>50.418260763193203</v>
      </c>
      <c r="P5594">
        <v>-0.177199811801866</v>
      </c>
      <c r="Q5594">
        <v>0.85705423013256399</v>
      </c>
      <c r="R5594">
        <v>0.45496280799460198</v>
      </c>
      <c r="S5594" t="s">
        <v>11455</v>
      </c>
      <c r="T5594" t="s">
        <v>11720</v>
      </c>
      <c r="U5594" t="s">
        <v>11720</v>
      </c>
      <c r="V5594" t="s">
        <v>11720</v>
      </c>
      <c r="W5594" t="s">
        <v>17252</v>
      </c>
      <c r="X5594">
        <v>17</v>
      </c>
      <c r="Y5594" t="s">
        <v>22947</v>
      </c>
      <c r="Z5594" t="s">
        <v>28801</v>
      </c>
      <c r="AA5594">
        <v>0.90672391226314741</v>
      </c>
      <c r="AB5594" t="str">
        <f>HYPERLINK("Melting_Curves/meltCurve_Q9ULI3_HEG1.pdf", "Melting_Curves/meltCurve_Q9ULI3_HEG1.pdf")</f>
        <v>Melting_Curves/meltCurve_Q9ULI3_HEG1.pdf</v>
      </c>
    </row>
    <row r="5595" spans="1:28" x14ac:dyDescent="0.25">
      <c r="A5595" t="s">
        <v>5599</v>
      </c>
      <c r="B5595">
        <v>0.99334974765950101</v>
      </c>
      <c r="C5595">
        <v>0.93274415511867104</v>
      </c>
      <c r="D5595">
        <v>1.04073855735459</v>
      </c>
      <c r="E5595">
        <v>0.77743582942244505</v>
      </c>
      <c r="F5595">
        <v>0.55391683314846496</v>
      </c>
      <c r="G5595">
        <v>0.26829842982054602</v>
      </c>
      <c r="H5595">
        <v>0.13790633425311499</v>
      </c>
      <c r="I5595">
        <v>9.0888773146778304E-2</v>
      </c>
      <c r="J5595">
        <v>9.1495455148700902E-2</v>
      </c>
      <c r="K5595">
        <v>5.7895932124405601E-2</v>
      </c>
      <c r="L5595">
        <v>1072.8882643551201</v>
      </c>
      <c r="M5595">
        <v>20.150857144279701</v>
      </c>
      <c r="N5595">
        <v>53.615612336948999</v>
      </c>
      <c r="O5595">
        <v>52.726770751925102</v>
      </c>
      <c r="P5595">
        <v>-8.9301096199137495E-2</v>
      </c>
      <c r="Q5595">
        <v>6.5367779332789505E-2</v>
      </c>
      <c r="R5595">
        <v>0.99289238685189996</v>
      </c>
      <c r="S5595" t="s">
        <v>11456</v>
      </c>
      <c r="T5595" t="s">
        <v>11720</v>
      </c>
      <c r="U5595" t="s">
        <v>11720</v>
      </c>
      <c r="V5595" t="s">
        <v>11720</v>
      </c>
      <c r="W5595" t="s">
        <v>17253</v>
      </c>
      <c r="X5595">
        <v>5</v>
      </c>
      <c r="Y5595" t="s">
        <v>22948</v>
      </c>
      <c r="Z5595" t="s">
        <v>28802</v>
      </c>
      <c r="AA5595">
        <v>0.49060383629263121</v>
      </c>
      <c r="AB5595" t="str">
        <f>HYPERLINK("Melting_Curves/meltCurve_Q9ULJ6_ZMIZ1.pdf", "Melting_Curves/meltCurve_Q9ULJ6_ZMIZ1.pdf")</f>
        <v>Melting_Curves/meltCurve_Q9ULJ6_ZMIZ1.pdf</v>
      </c>
    </row>
    <row r="5596" spans="1:28" x14ac:dyDescent="0.25">
      <c r="A5596" t="s">
        <v>5600</v>
      </c>
      <c r="B5596">
        <v>0.99334974765950101</v>
      </c>
      <c r="C5596">
        <v>0.87636055841550198</v>
      </c>
      <c r="D5596">
        <v>0.65746726553616097</v>
      </c>
      <c r="E5596">
        <v>0.47071432350530501</v>
      </c>
      <c r="F5596">
        <v>0.393738016513555</v>
      </c>
      <c r="G5596">
        <v>0.32167668569046098</v>
      </c>
      <c r="H5596">
        <v>0.27749267117016602</v>
      </c>
      <c r="I5596">
        <v>0.29495120456748902</v>
      </c>
      <c r="J5596">
        <v>0.296493409686028</v>
      </c>
      <c r="K5596">
        <v>0.23201711727680799</v>
      </c>
      <c r="L5596">
        <v>746.52804439106001</v>
      </c>
      <c r="M5596">
        <v>15.9320671739095</v>
      </c>
      <c r="N5596">
        <v>49.279758120312501</v>
      </c>
      <c r="O5596">
        <v>46.137379109910597</v>
      </c>
      <c r="P5596">
        <v>-6.2891754622169505E-2</v>
      </c>
      <c r="Q5596">
        <v>0.27154985650722802</v>
      </c>
      <c r="R5596">
        <v>0.99115337445062202</v>
      </c>
      <c r="S5596" t="s">
        <v>11457</v>
      </c>
      <c r="T5596" t="s">
        <v>11720</v>
      </c>
      <c r="U5596" t="s">
        <v>11720</v>
      </c>
      <c r="V5596" t="s">
        <v>11720</v>
      </c>
      <c r="W5596" t="s">
        <v>17254</v>
      </c>
      <c r="X5596">
        <v>1</v>
      </c>
      <c r="Y5596" t="s">
        <v>22949</v>
      </c>
      <c r="Z5596" t="s">
        <v>28803</v>
      </c>
      <c r="AA5596">
        <v>0.45565524417706171</v>
      </c>
      <c r="AB5596" t="str">
        <f>HYPERLINK("Melting_Curves/meltCurve_Q9ULJ7_ANKRD50.pdf", "Melting_Curves/meltCurve_Q9ULJ7_ANKRD50.pdf")</f>
        <v>Melting_Curves/meltCurve_Q9ULJ7_ANKRD50.pdf</v>
      </c>
    </row>
    <row r="5597" spans="1:28" x14ac:dyDescent="0.25">
      <c r="A5597" t="s">
        <v>5601</v>
      </c>
      <c r="B5597">
        <v>0.99334974765950101</v>
      </c>
      <c r="C5597">
        <v>1.0241537182209299</v>
      </c>
      <c r="D5597">
        <v>0.97632601027110599</v>
      </c>
      <c r="E5597">
        <v>0.80805179215650103</v>
      </c>
      <c r="F5597">
        <v>0.453740243338838</v>
      </c>
      <c r="G5597">
        <v>0.187309914558733</v>
      </c>
      <c r="H5597">
        <v>0.13695716432890401</v>
      </c>
      <c r="I5597">
        <v>0.12796204516888099</v>
      </c>
      <c r="J5597">
        <v>0.12791229216031699</v>
      </c>
      <c r="K5597">
        <v>0.105932246764832</v>
      </c>
      <c r="L5597">
        <v>1538.6937620133899</v>
      </c>
      <c r="M5597">
        <v>29.5150469608988</v>
      </c>
      <c r="N5597">
        <v>52.623899929024901</v>
      </c>
      <c r="O5597">
        <v>51.894974636849803</v>
      </c>
      <c r="P5597">
        <v>-0.125062195923164</v>
      </c>
      <c r="Q5597">
        <v>0.12044152933115999</v>
      </c>
      <c r="R5597">
        <v>0.99929375324102498</v>
      </c>
      <c r="S5597" t="s">
        <v>11458</v>
      </c>
      <c r="T5597" t="s">
        <v>11720</v>
      </c>
      <c r="U5597" t="s">
        <v>11720</v>
      </c>
      <c r="V5597" t="s">
        <v>11720</v>
      </c>
      <c r="W5597" t="s">
        <v>17255</v>
      </c>
      <c r="X5597">
        <v>15</v>
      </c>
      <c r="Y5597" t="s">
        <v>22950</v>
      </c>
      <c r="Z5597" t="s">
        <v>28804</v>
      </c>
      <c r="AA5597">
        <v>0.48196604403572429</v>
      </c>
      <c r="AB5597" t="str">
        <f>HYPERLINK("Melting_Curves/meltCurve_Q9ULP9_2_TBC1D24.pdf", "Melting_Curves/meltCurve_Q9ULP9_2_TBC1D24.pdf")</f>
        <v>Melting_Curves/meltCurve_Q9ULP9_2_TBC1D24.pdf</v>
      </c>
    </row>
    <row r="5598" spans="1:28" x14ac:dyDescent="0.25">
      <c r="A5598" t="s">
        <v>5602</v>
      </c>
      <c r="B5598">
        <v>0.99334974765950101</v>
      </c>
      <c r="C5598">
        <v>0.99046506969907799</v>
      </c>
      <c r="D5598">
        <v>0.95598177718551502</v>
      </c>
      <c r="E5598">
        <v>0.84409123033405897</v>
      </c>
      <c r="F5598">
        <v>0.92296179418369695</v>
      </c>
      <c r="G5598">
        <v>0.90409956634353195</v>
      </c>
      <c r="H5598">
        <v>0.732721074856171</v>
      </c>
      <c r="I5598">
        <v>0.74149659535362</v>
      </c>
      <c r="J5598">
        <v>0.83618913678084605</v>
      </c>
      <c r="K5598">
        <v>0.73434289526577201</v>
      </c>
      <c r="L5598">
        <v>436.74482936206903</v>
      </c>
      <c r="M5598">
        <v>7.8349575576230901</v>
      </c>
      <c r="O5598">
        <v>52.461764197357297</v>
      </c>
      <c r="P5598">
        <v>-1.1133746283104E-2</v>
      </c>
      <c r="Q5598">
        <v>0.70216422707529502</v>
      </c>
      <c r="R5598">
        <v>0.75970209753909401</v>
      </c>
      <c r="S5598" t="s">
        <v>11459</v>
      </c>
      <c r="T5598" t="s">
        <v>11720</v>
      </c>
      <c r="U5598" t="s">
        <v>11720</v>
      </c>
      <c r="V5598" t="s">
        <v>11720</v>
      </c>
      <c r="W5598" t="s">
        <v>17256</v>
      </c>
      <c r="X5598">
        <v>13</v>
      </c>
      <c r="Y5598" t="s">
        <v>22951</v>
      </c>
      <c r="Z5598" t="s">
        <v>28805</v>
      </c>
      <c r="AA5598">
        <v>0.8648843675251352</v>
      </c>
      <c r="AB5598" t="str">
        <f>HYPERLINK("Melting_Curves/meltCurve_Q9ULR0_ISY1.pdf", "Melting_Curves/meltCurve_Q9ULR0_ISY1.pdf")</f>
        <v>Melting_Curves/meltCurve_Q9ULR0_ISY1.pdf</v>
      </c>
    </row>
    <row r="5599" spans="1:28" x14ac:dyDescent="0.25">
      <c r="A5599" t="s">
        <v>5603</v>
      </c>
      <c r="B5599">
        <v>0.99334974765950101</v>
      </c>
      <c r="C5599">
        <v>1.06006401008781</v>
      </c>
      <c r="D5599">
        <v>1.10338325030926</v>
      </c>
      <c r="E5599">
        <v>1.1386423396412699</v>
      </c>
      <c r="F5599">
        <v>0.59987308138286399</v>
      </c>
      <c r="G5599">
        <v>0.443971115999855</v>
      </c>
      <c r="H5599">
        <v>0.39017767917940799</v>
      </c>
      <c r="I5599">
        <v>0.39985009103513702</v>
      </c>
      <c r="J5599">
        <v>0.39736614944634302</v>
      </c>
      <c r="K5599">
        <v>0.40379166634979602</v>
      </c>
      <c r="L5599">
        <v>13211.314860999601</v>
      </c>
      <c r="M5599">
        <v>250</v>
      </c>
      <c r="N5599">
        <v>53.203288159940598</v>
      </c>
      <c r="O5599">
        <v>52.841883439869697</v>
      </c>
      <c r="P5599">
        <v>-0.70134797615987798</v>
      </c>
      <c r="Q5599">
        <v>0.40703129690735701</v>
      </c>
      <c r="R5599">
        <v>0.96503012764127305</v>
      </c>
      <c r="S5599" t="s">
        <v>11460</v>
      </c>
      <c r="T5599" t="s">
        <v>11720</v>
      </c>
      <c r="U5599" t="s">
        <v>11720</v>
      </c>
      <c r="V5599" t="s">
        <v>11720</v>
      </c>
      <c r="W5599" t="s">
        <v>17257</v>
      </c>
      <c r="X5599">
        <v>14</v>
      </c>
      <c r="Y5599" t="s">
        <v>22952</v>
      </c>
      <c r="Z5599" t="s">
        <v>28806</v>
      </c>
      <c r="AA5599">
        <v>0.66098085148447294</v>
      </c>
      <c r="AB5599" t="str">
        <f>HYPERLINK("Melting_Curves/meltCurve_Q9ULT8_HECTD1.pdf", "Melting_Curves/meltCurve_Q9ULT8_HECTD1.pdf")</f>
        <v>Melting_Curves/meltCurve_Q9ULT8_HECTD1.pdf</v>
      </c>
    </row>
    <row r="5600" spans="1:28" x14ac:dyDescent="0.25">
      <c r="A5600" t="s">
        <v>5604</v>
      </c>
      <c r="B5600">
        <v>0.99334974765950101</v>
      </c>
      <c r="C5600">
        <v>1.0373397738255199</v>
      </c>
      <c r="D5600">
        <v>1.1150199241210399</v>
      </c>
      <c r="E5600">
        <v>1.30760516422296</v>
      </c>
      <c r="F5600">
        <v>0.59147816801519504</v>
      </c>
      <c r="G5600">
        <v>0.19219430047852001</v>
      </c>
      <c r="H5600">
        <v>0.11125822426217601</v>
      </c>
      <c r="I5600">
        <v>8.5052543751867202E-2</v>
      </c>
      <c r="J5600">
        <v>8.2654960239679595E-2</v>
      </c>
      <c r="K5600">
        <v>6.7292508698367101E-2</v>
      </c>
      <c r="L5600">
        <v>13258.962424150301</v>
      </c>
      <c r="M5600">
        <v>250</v>
      </c>
      <c r="N5600">
        <v>53.087362290378302</v>
      </c>
      <c r="O5600">
        <v>53.032456047161702</v>
      </c>
      <c r="P5600">
        <v>-1.05160781395175</v>
      </c>
      <c r="Q5600">
        <v>0.107690483222209</v>
      </c>
      <c r="R5600">
        <v>0.94853507616910404</v>
      </c>
      <c r="S5600" t="s">
        <v>11461</v>
      </c>
      <c r="T5600" t="s">
        <v>11720</v>
      </c>
      <c r="U5600" t="s">
        <v>11720</v>
      </c>
      <c r="V5600" t="s">
        <v>11720</v>
      </c>
      <c r="W5600" t="s">
        <v>17258</v>
      </c>
      <c r="X5600">
        <v>27</v>
      </c>
      <c r="Y5600" t="s">
        <v>22953</v>
      </c>
      <c r="Z5600" t="s">
        <v>28807</v>
      </c>
      <c r="AA5600">
        <v>0.49550729491485901</v>
      </c>
      <c r="AB5600" t="str">
        <f>HYPERLINK("Melting_Curves/meltCurve_Q9ULV4_CORO1C.pdf", "Melting_Curves/meltCurve_Q9ULV4_CORO1C.pdf")</f>
        <v>Melting_Curves/meltCurve_Q9ULV4_CORO1C.pdf</v>
      </c>
    </row>
    <row r="5601" spans="1:28" x14ac:dyDescent="0.25">
      <c r="A5601" t="s">
        <v>5605</v>
      </c>
      <c r="B5601">
        <v>0.99334974765950101</v>
      </c>
      <c r="C5601">
        <v>0.98873741212275601</v>
      </c>
      <c r="D5601">
        <v>0.89653139115220004</v>
      </c>
      <c r="E5601">
        <v>0.77358846437399098</v>
      </c>
      <c r="F5601">
        <v>0.48287688296479397</v>
      </c>
      <c r="G5601">
        <v>0.28757276931528503</v>
      </c>
      <c r="H5601">
        <v>0.18856864029064899</v>
      </c>
      <c r="I5601">
        <v>0.180664089845506</v>
      </c>
      <c r="J5601">
        <v>0.14862578619869601</v>
      </c>
      <c r="K5601">
        <v>0.13921658676402199</v>
      </c>
      <c r="L5601">
        <v>983.17090370337905</v>
      </c>
      <c r="M5601">
        <v>18.844267876764199</v>
      </c>
      <c r="N5601">
        <v>53.090894419999003</v>
      </c>
      <c r="O5601">
        <v>51.596579155830398</v>
      </c>
      <c r="P5601">
        <v>-7.8620713654241794E-2</v>
      </c>
      <c r="Q5601">
        <v>0.138965150849896</v>
      </c>
      <c r="R5601">
        <v>0.99679030815302205</v>
      </c>
      <c r="S5601" t="s">
        <v>11462</v>
      </c>
      <c r="T5601" t="s">
        <v>11720</v>
      </c>
      <c r="U5601" t="s">
        <v>11720</v>
      </c>
      <c r="V5601" t="s">
        <v>11720</v>
      </c>
      <c r="W5601" t="s">
        <v>17259</v>
      </c>
      <c r="X5601">
        <v>7</v>
      </c>
      <c r="Y5601" t="s">
        <v>22954</v>
      </c>
      <c r="Z5601" t="s">
        <v>28808</v>
      </c>
      <c r="AA5601">
        <v>0.50157448953994677</v>
      </c>
      <c r="AB5601" t="str">
        <f>HYPERLINK("Melting_Curves/meltCurve_Q9ULZ3_2_PYCARD.pdf", "Melting_Curves/meltCurve_Q9ULZ3_2_PYCARD.pdf")</f>
        <v>Melting_Curves/meltCurve_Q9ULZ3_2_PYCARD.pdf</v>
      </c>
    </row>
    <row r="5602" spans="1:28" x14ac:dyDescent="0.25">
      <c r="A5602" t="s">
        <v>5606</v>
      </c>
      <c r="B5602">
        <v>0.99334974765950101</v>
      </c>
      <c r="C5602">
        <v>0.76290907792988105</v>
      </c>
      <c r="D5602">
        <v>0.435713779353952</v>
      </c>
      <c r="E5602">
        <v>0.30413698362621999</v>
      </c>
      <c r="F5602">
        <v>0.250902112155028</v>
      </c>
      <c r="G5602">
        <v>0.166064868006747</v>
      </c>
      <c r="H5602">
        <v>0.123673794725289</v>
      </c>
      <c r="I5602">
        <v>0.14389931257158101</v>
      </c>
      <c r="J5602">
        <v>0.12184555166540401</v>
      </c>
      <c r="K5602">
        <v>0.11687224290060901</v>
      </c>
      <c r="L5602">
        <v>840.48898310122297</v>
      </c>
      <c r="M5602">
        <v>18.6380276001506</v>
      </c>
      <c r="N5602">
        <v>45.915440383802903</v>
      </c>
      <c r="O5602">
        <v>44.585864089235102</v>
      </c>
      <c r="P5602">
        <v>-8.9715124890808406E-2</v>
      </c>
      <c r="Q5602">
        <v>0.14157132402064701</v>
      </c>
      <c r="R5602">
        <v>0.98219141059276505</v>
      </c>
      <c r="S5602" t="s">
        <v>11463</v>
      </c>
      <c r="T5602" t="s">
        <v>11720</v>
      </c>
      <c r="U5602" t="s">
        <v>11720</v>
      </c>
      <c r="V5602" t="s">
        <v>11720</v>
      </c>
      <c r="W5602" t="s">
        <v>17260</v>
      </c>
      <c r="X5602">
        <v>4</v>
      </c>
      <c r="Y5602" t="s">
        <v>22955</v>
      </c>
      <c r="Z5602" t="s">
        <v>28809</v>
      </c>
      <c r="AA5602">
        <v>0.30429530094338492</v>
      </c>
      <c r="AB5602" t="str">
        <f>HYPERLINK("Melting_Curves/meltCurve_Q9UM47_NOTCH3.pdf", "Melting_Curves/meltCurve_Q9UM47_NOTCH3.pdf")</f>
        <v>Melting_Curves/meltCurve_Q9UM47_NOTCH3.pdf</v>
      </c>
    </row>
    <row r="5603" spans="1:28" x14ac:dyDescent="0.25">
      <c r="A5603" t="s">
        <v>5607</v>
      </c>
      <c r="B5603">
        <v>0.99334974765950101</v>
      </c>
      <c r="C5603">
        <v>1.1302746677519799</v>
      </c>
      <c r="D5603">
        <v>1.0656749608688201</v>
      </c>
      <c r="E5603">
        <v>1.1548447581783301</v>
      </c>
      <c r="F5603">
        <v>1.4435496946383299</v>
      </c>
      <c r="G5603">
        <v>1.1284030425131999</v>
      </c>
      <c r="H5603">
        <v>1.03940163111203</v>
      </c>
      <c r="I5603">
        <v>1.22597803415692</v>
      </c>
      <c r="J5603">
        <v>1.5385155718132999</v>
      </c>
      <c r="K5603">
        <v>1.12432139407646</v>
      </c>
      <c r="L5603">
        <v>795.466271508928</v>
      </c>
      <c r="M5603">
        <v>17.427687332447501</v>
      </c>
      <c r="O5603">
        <v>45.0555705510994</v>
      </c>
      <c r="P5603">
        <v>2.3600449665893801E-2</v>
      </c>
      <c r="Q5603">
        <v>1.2440420506267</v>
      </c>
      <c r="R5603">
        <v>0.22562641887701401</v>
      </c>
      <c r="S5603" t="s">
        <v>11464</v>
      </c>
      <c r="T5603" t="s">
        <v>11720</v>
      </c>
      <c r="U5603" t="s">
        <v>11720</v>
      </c>
      <c r="V5603" t="s">
        <v>11720</v>
      </c>
      <c r="W5603" t="s">
        <v>17261</v>
      </c>
      <c r="X5603">
        <v>3</v>
      </c>
      <c r="Y5603" t="s">
        <v>22956</v>
      </c>
      <c r="Z5603" t="s">
        <v>28810</v>
      </c>
      <c r="AA5603">
        <v>1.192825757321297</v>
      </c>
      <c r="AB5603" t="str">
        <f>HYPERLINK("Melting_Curves/meltCurve_Q9UMF0_ICAM5.pdf", "Melting_Curves/meltCurve_Q9UMF0_ICAM5.pdf")</f>
        <v>Melting_Curves/meltCurve_Q9UMF0_ICAM5.pdf</v>
      </c>
    </row>
    <row r="5604" spans="1:28" x14ac:dyDescent="0.25">
      <c r="A5604" t="s">
        <v>5608</v>
      </c>
      <c r="B5604">
        <v>0.99334974765950101</v>
      </c>
      <c r="C5604">
        <v>0.800919224538166</v>
      </c>
      <c r="D5604">
        <v>0.75532739492329903</v>
      </c>
      <c r="E5604">
        <v>0.66073919084636001</v>
      </c>
      <c r="F5604">
        <v>0.430950851829696</v>
      </c>
      <c r="G5604">
        <v>0.29309499706790398</v>
      </c>
      <c r="H5604">
        <v>0.19518517130202501</v>
      </c>
      <c r="I5604">
        <v>0.13941168235139001</v>
      </c>
      <c r="J5604">
        <v>0.119026688060276</v>
      </c>
      <c r="K5604">
        <v>0.10007166829405401</v>
      </c>
      <c r="L5604">
        <v>479.130607733452</v>
      </c>
      <c r="M5604">
        <v>9.2230862501489401</v>
      </c>
      <c r="N5604">
        <v>51.960564997449502</v>
      </c>
      <c r="O5604">
        <v>49.681946334131602</v>
      </c>
      <c r="P5604">
        <v>-4.6393952480883301E-2</v>
      </c>
      <c r="Q5604">
        <v>1.0210314057681599E-3</v>
      </c>
      <c r="R5604">
        <v>0.98483679813594405</v>
      </c>
      <c r="S5604" t="s">
        <v>11465</v>
      </c>
      <c r="T5604" t="s">
        <v>11720</v>
      </c>
      <c r="U5604" t="s">
        <v>11720</v>
      </c>
      <c r="V5604" t="s">
        <v>11720</v>
      </c>
      <c r="W5604" t="s">
        <v>17262</v>
      </c>
      <c r="X5604">
        <v>6</v>
      </c>
      <c r="Y5604" t="s">
        <v>22957</v>
      </c>
      <c r="Z5604" t="s">
        <v>28811</v>
      </c>
      <c r="AA5604">
        <v>0.44040296122188438</v>
      </c>
      <c r="AB5604" t="str">
        <f>HYPERLINK("Melting_Curves/meltCurve_Q9UMS0_3_NFU1.pdf", "Melting_Curves/meltCurve_Q9UMS0_3_NFU1.pdf")</f>
        <v>Melting_Curves/meltCurve_Q9UMS0_3_NFU1.pdf</v>
      </c>
    </row>
    <row r="5605" spans="1:28" x14ac:dyDescent="0.25">
      <c r="A5605" t="s">
        <v>5609</v>
      </c>
      <c r="B5605">
        <v>0.99334974765950101</v>
      </c>
      <c r="C5605">
        <v>0.978114122280064</v>
      </c>
      <c r="D5605">
        <v>1.0861010564345099</v>
      </c>
      <c r="E5605">
        <v>1.3260115354584501</v>
      </c>
      <c r="F5605">
        <v>1.2911996639185099</v>
      </c>
      <c r="G5605">
        <v>1.0695529039939</v>
      </c>
      <c r="H5605">
        <v>0.48033907118682601</v>
      </c>
      <c r="I5605">
        <v>0.291685730945144</v>
      </c>
      <c r="J5605">
        <v>0.19914260102683701</v>
      </c>
      <c r="K5605">
        <v>0.163878760946437</v>
      </c>
      <c r="L5605">
        <v>4745.17244939185</v>
      </c>
      <c r="M5605">
        <v>78.416649204011605</v>
      </c>
      <c r="N5605">
        <v>60.943590919267699</v>
      </c>
      <c r="O5605">
        <v>60.4729700903913</v>
      </c>
      <c r="P5605">
        <v>-0.25515016533653201</v>
      </c>
      <c r="Q5605">
        <v>0.21293802443480001</v>
      </c>
      <c r="R5605">
        <v>0.88639207875256998</v>
      </c>
      <c r="S5605" t="s">
        <v>11466</v>
      </c>
      <c r="T5605" t="s">
        <v>11720</v>
      </c>
      <c r="U5605" t="s">
        <v>11720</v>
      </c>
      <c r="V5605" t="s">
        <v>11720</v>
      </c>
      <c r="W5605" t="s">
        <v>17263</v>
      </c>
      <c r="X5605">
        <v>8</v>
      </c>
      <c r="Y5605" t="s">
        <v>22958</v>
      </c>
      <c r="Z5605" t="s">
        <v>28812</v>
      </c>
      <c r="AA5605">
        <v>0.75193722485404602</v>
      </c>
      <c r="AB5605" t="str">
        <f>HYPERLINK("Melting_Curves/meltCurve_Q9UMS4_PRPF19.pdf", "Melting_Curves/meltCurve_Q9UMS4_PRPF19.pdf")</f>
        <v>Melting_Curves/meltCurve_Q9UMS4_PRPF19.pdf</v>
      </c>
    </row>
    <row r="5606" spans="1:28" x14ac:dyDescent="0.25">
      <c r="A5606" t="s">
        <v>5610</v>
      </c>
      <c r="B5606">
        <v>0.99334974765950101</v>
      </c>
      <c r="C5606">
        <v>1.0605798647629501</v>
      </c>
      <c r="D5606">
        <v>0.95351537836434996</v>
      </c>
      <c r="E5606">
        <v>0.98008324203595598</v>
      </c>
      <c r="F5606">
        <v>0.92836028132720005</v>
      </c>
      <c r="G5606">
        <v>0.76869685717397596</v>
      </c>
      <c r="H5606">
        <v>0.90754349647775601</v>
      </c>
      <c r="I5606">
        <v>1.13959311401611</v>
      </c>
      <c r="J5606">
        <v>1.5082997504381099</v>
      </c>
      <c r="K5606">
        <v>1.3716987887138701</v>
      </c>
      <c r="L5606">
        <v>15000</v>
      </c>
      <c r="M5606">
        <v>233.608745779722</v>
      </c>
      <c r="O5606">
        <v>64.205215491930403</v>
      </c>
      <c r="P5606">
        <v>0.40023845762243798</v>
      </c>
      <c r="Q5606">
        <v>1.4400074612912901</v>
      </c>
      <c r="R5606">
        <v>0.81686209302843504</v>
      </c>
      <c r="S5606" t="s">
        <v>11467</v>
      </c>
      <c r="T5606" t="s">
        <v>11720</v>
      </c>
      <c r="U5606" t="s">
        <v>11720</v>
      </c>
      <c r="V5606" t="s">
        <v>11720</v>
      </c>
      <c r="W5606" t="s">
        <v>17264</v>
      </c>
      <c r="X5606">
        <v>15</v>
      </c>
      <c r="Y5606" t="s">
        <v>22959</v>
      </c>
      <c r="Z5606" t="s">
        <v>28813</v>
      </c>
      <c r="AA5606">
        <v>1.084865755642678</v>
      </c>
      <c r="AB5606" t="str">
        <f>HYPERLINK("Melting_Curves/meltCurve_Q9UMS6_SYNPO2.pdf", "Melting_Curves/meltCurve_Q9UMS6_SYNPO2.pdf")</f>
        <v>Melting_Curves/meltCurve_Q9UMS6_SYNPO2.pdf</v>
      </c>
    </row>
    <row r="5607" spans="1:28" x14ac:dyDescent="0.25">
      <c r="A5607" t="s">
        <v>5611</v>
      </c>
      <c r="B5607">
        <v>0.99334974765950101</v>
      </c>
      <c r="C5607">
        <v>0.50628622279726698</v>
      </c>
      <c r="D5607">
        <v>0.68549361224974903</v>
      </c>
      <c r="E5607">
        <v>0.68267124571455295</v>
      </c>
      <c r="F5607">
        <v>0.868101826755592</v>
      </c>
      <c r="G5607">
        <v>0.52636891857957302</v>
      </c>
      <c r="H5607">
        <v>0.77545162604820905</v>
      </c>
      <c r="I5607">
        <v>0.63447283744020899</v>
      </c>
      <c r="J5607">
        <v>0.52002143947145896</v>
      </c>
      <c r="K5607">
        <v>0.17573462683403501</v>
      </c>
      <c r="L5607">
        <v>164.98935892135401</v>
      </c>
      <c r="M5607">
        <v>2.4709272052150602</v>
      </c>
      <c r="N5607">
        <v>66.772245993080901</v>
      </c>
      <c r="O5607">
        <v>44.756156813995403</v>
      </c>
      <c r="P5607">
        <v>-1.45306175598926E-2</v>
      </c>
      <c r="Q5607">
        <v>0</v>
      </c>
      <c r="R5607">
        <v>0.32169321371488002</v>
      </c>
      <c r="S5607" t="s">
        <v>11468</v>
      </c>
      <c r="T5607" t="s">
        <v>11720</v>
      </c>
      <c r="U5607" t="s">
        <v>11720</v>
      </c>
      <c r="V5607" t="s">
        <v>11720</v>
      </c>
      <c r="W5607" t="s">
        <v>17265</v>
      </c>
      <c r="X5607">
        <v>13</v>
      </c>
      <c r="Y5607" t="s">
        <v>18343</v>
      </c>
      <c r="Z5607" t="s">
        <v>28814</v>
      </c>
      <c r="AA5607">
        <v>0.63872303232078109</v>
      </c>
      <c r="AB5607" t="str">
        <f>HYPERLINK("Melting_Curves/meltCurve_Q9UMX0_2_UBQLN1.pdf", "Melting_Curves/meltCurve_Q9UMX0_2_UBQLN1.pdf")</f>
        <v>Melting_Curves/meltCurve_Q9UMX0_2_UBQLN1.pdf</v>
      </c>
    </row>
    <row r="5608" spans="1:28" x14ac:dyDescent="0.25">
      <c r="A5608" t="s">
        <v>5612</v>
      </c>
      <c r="B5608">
        <v>0.99334974765950101</v>
      </c>
      <c r="C5608">
        <v>0.91387523609226895</v>
      </c>
      <c r="D5608">
        <v>0.81482977556325598</v>
      </c>
      <c r="E5608">
        <v>0.71883535390856201</v>
      </c>
      <c r="F5608">
        <v>0.35804983822029801</v>
      </c>
      <c r="G5608">
        <v>0.20565640096388799</v>
      </c>
      <c r="H5608">
        <v>0.22062936581028</v>
      </c>
      <c r="I5608">
        <v>0.17386853669643201</v>
      </c>
      <c r="J5608">
        <v>0.18192056983087401</v>
      </c>
      <c r="K5608">
        <v>0.14521056145602801</v>
      </c>
      <c r="L5608">
        <v>883.29900120573905</v>
      </c>
      <c r="M5608">
        <v>17.4565044320785</v>
      </c>
      <c r="N5608">
        <v>51.639251239812999</v>
      </c>
      <c r="O5608">
        <v>49.949971891239002</v>
      </c>
      <c r="P5608">
        <v>-7.44329612842837E-2</v>
      </c>
      <c r="Q5608">
        <v>0.14811872330783099</v>
      </c>
      <c r="R5608">
        <v>0.978533377726725</v>
      </c>
      <c r="S5608" t="s">
        <v>11469</v>
      </c>
      <c r="T5608" t="s">
        <v>11720</v>
      </c>
      <c r="U5608" t="s">
        <v>11720</v>
      </c>
      <c r="V5608" t="s">
        <v>11720</v>
      </c>
      <c r="W5608" t="s">
        <v>17266</v>
      </c>
      <c r="X5608">
        <v>5</v>
      </c>
      <c r="Y5608" t="s">
        <v>22960</v>
      </c>
      <c r="Z5608" t="s">
        <v>28815</v>
      </c>
      <c r="AA5608">
        <v>0.46437035276917971</v>
      </c>
      <c r="AB5608" t="str">
        <f>HYPERLINK("Melting_Curves/meltCurve_Q9UMX1_SUFU.pdf", "Melting_Curves/meltCurve_Q9UMX1_SUFU.pdf")</f>
        <v>Melting_Curves/meltCurve_Q9UMX1_SUFU.pdf</v>
      </c>
    </row>
    <row r="5609" spans="1:28" x14ac:dyDescent="0.25">
      <c r="A5609" t="s">
        <v>5613</v>
      </c>
      <c r="B5609">
        <v>0.99334974765950101</v>
      </c>
      <c r="C5609">
        <v>0.97318694236778303</v>
      </c>
      <c r="D5609">
        <v>0.88780073696214801</v>
      </c>
      <c r="E5609">
        <v>0.76685927341138005</v>
      </c>
      <c r="F5609">
        <v>0.71969137447001996</v>
      </c>
      <c r="G5609">
        <v>0.56827690334012504</v>
      </c>
      <c r="H5609">
        <v>0.567632237474475</v>
      </c>
      <c r="I5609">
        <v>0.67009579721598</v>
      </c>
      <c r="J5609">
        <v>0.76137852990006105</v>
      </c>
      <c r="K5609">
        <v>0.69601469955723005</v>
      </c>
      <c r="L5609">
        <v>1064.9574518236</v>
      </c>
      <c r="M5609">
        <v>22.270001755938999</v>
      </c>
      <c r="O5609">
        <v>47.439709902052698</v>
      </c>
      <c r="P5609">
        <v>-4.0254122388342202E-2</v>
      </c>
      <c r="Q5609">
        <v>0.65700901674856904</v>
      </c>
      <c r="R5609">
        <v>0.84468107833484996</v>
      </c>
      <c r="S5609" t="s">
        <v>11470</v>
      </c>
      <c r="T5609" t="s">
        <v>11720</v>
      </c>
      <c r="U5609" t="s">
        <v>11720</v>
      </c>
      <c r="V5609" t="s">
        <v>11720</v>
      </c>
      <c r="W5609" t="s">
        <v>17267</v>
      </c>
      <c r="X5609">
        <v>14</v>
      </c>
      <c r="Y5609" t="s">
        <v>22961</v>
      </c>
      <c r="Z5609" t="s">
        <v>28816</v>
      </c>
      <c r="AA5609">
        <v>0.75030497928955275</v>
      </c>
      <c r="AB5609" t="str">
        <f>HYPERLINK("Melting_Curves/meltCurve_Q9UMX5_NENF.pdf", "Melting_Curves/meltCurve_Q9UMX5_NENF.pdf")</f>
        <v>Melting_Curves/meltCurve_Q9UMX5_NENF.pdf</v>
      </c>
    </row>
    <row r="5610" spans="1:28" x14ac:dyDescent="0.25">
      <c r="A5610" t="s">
        <v>5614</v>
      </c>
      <c r="B5610">
        <v>0.99334974765950101</v>
      </c>
      <c r="C5610">
        <v>0.95389060834436401</v>
      </c>
      <c r="D5610">
        <v>0.80755628189380302</v>
      </c>
      <c r="E5610">
        <v>0.60976247960419405</v>
      </c>
      <c r="F5610">
        <v>0.30938530447747198</v>
      </c>
      <c r="G5610">
        <v>0.228382771010358</v>
      </c>
      <c r="H5610">
        <v>0.203490164348131</v>
      </c>
      <c r="I5610">
        <v>0.19801661559422601</v>
      </c>
      <c r="J5610">
        <v>0.17809332768608599</v>
      </c>
      <c r="K5610">
        <v>0.161058260770166</v>
      </c>
      <c r="L5610">
        <v>923.05760077324999</v>
      </c>
      <c r="M5610">
        <v>18.6168141410703</v>
      </c>
      <c r="N5610">
        <v>50.696151126976197</v>
      </c>
      <c r="O5610">
        <v>49.020445642993899</v>
      </c>
      <c r="P5610">
        <v>-7.9006682590215996E-2</v>
      </c>
      <c r="Q5610">
        <v>0.167896897791215</v>
      </c>
      <c r="R5610">
        <v>0.99259407865368199</v>
      </c>
      <c r="S5610" t="s">
        <v>11471</v>
      </c>
      <c r="T5610" t="s">
        <v>11720</v>
      </c>
      <c r="U5610" t="s">
        <v>11720</v>
      </c>
      <c r="V5610" t="s">
        <v>11720</v>
      </c>
      <c r="W5610" t="s">
        <v>17268</v>
      </c>
      <c r="X5610">
        <v>16</v>
      </c>
      <c r="Y5610" t="s">
        <v>22962</v>
      </c>
      <c r="Z5610" t="s">
        <v>28817</v>
      </c>
      <c r="AA5610">
        <v>0.44703555573311388</v>
      </c>
      <c r="AB5610" t="str">
        <f>HYPERLINK("Melting_Curves/meltCurve_Q9UMY4_2_SNX12.pdf", "Melting_Curves/meltCurve_Q9UMY4_2_SNX12.pdf")</f>
        <v>Melting_Curves/meltCurve_Q9UMY4_2_SNX12.pdf</v>
      </c>
    </row>
    <row r="5611" spans="1:28" x14ac:dyDescent="0.25">
      <c r="A5611" t="s">
        <v>5615</v>
      </c>
      <c r="B5611">
        <v>0.99334974765950101</v>
      </c>
      <c r="C5611">
        <v>1.0685095451414</v>
      </c>
      <c r="D5611">
        <v>0.79698249434093305</v>
      </c>
      <c r="E5611">
        <v>0.68819085250453604</v>
      </c>
      <c r="F5611">
        <v>0.61043668544068497</v>
      </c>
      <c r="G5611">
        <v>0.48523903866443202</v>
      </c>
      <c r="H5611">
        <v>0.46511336107464901</v>
      </c>
      <c r="I5611">
        <v>0.60590172521332097</v>
      </c>
      <c r="J5611">
        <v>0.26496822927609598</v>
      </c>
      <c r="K5611">
        <v>0.19936576495619601</v>
      </c>
      <c r="L5611">
        <v>408.59921565093401</v>
      </c>
      <c r="M5611">
        <v>7.30380072291182</v>
      </c>
      <c r="N5611">
        <v>58.3688461754099</v>
      </c>
      <c r="O5611">
        <v>52.207358398326399</v>
      </c>
      <c r="P5611">
        <v>-3.0445410053287401E-2</v>
      </c>
      <c r="Q5611">
        <v>0.13088670456915899</v>
      </c>
      <c r="R5611">
        <v>0.85998845262381696</v>
      </c>
      <c r="S5611" t="s">
        <v>11472</v>
      </c>
      <c r="T5611" t="s">
        <v>11720</v>
      </c>
      <c r="U5611" t="s">
        <v>11720</v>
      </c>
      <c r="V5611" t="s">
        <v>11720</v>
      </c>
      <c r="W5611" t="s">
        <v>17269</v>
      </c>
      <c r="X5611">
        <v>8</v>
      </c>
      <c r="Y5611" t="s">
        <v>22963</v>
      </c>
      <c r="Z5611" t="s">
        <v>28818</v>
      </c>
      <c r="AA5611">
        <v>0.60938836362730953</v>
      </c>
      <c r="AB5611" t="str">
        <f>HYPERLINK("Melting_Curves/meltCurve_Q9UMZ2_6_SYNRG.pdf", "Melting_Curves/meltCurve_Q9UMZ2_6_SYNRG.pdf")</f>
        <v>Melting_Curves/meltCurve_Q9UMZ2_6_SYNRG.pdf</v>
      </c>
    </row>
    <row r="5612" spans="1:28" x14ac:dyDescent="0.25">
      <c r="A5612" t="s">
        <v>5616</v>
      </c>
      <c r="B5612">
        <v>0.99334974765950101</v>
      </c>
      <c r="C5612">
        <v>0.92029477781301705</v>
      </c>
      <c r="D5612">
        <v>0.72710433010362896</v>
      </c>
      <c r="E5612">
        <v>0.30442225738442102</v>
      </c>
      <c r="F5612">
        <v>0.13773628829756099</v>
      </c>
      <c r="G5612">
        <v>0.11183659427298601</v>
      </c>
      <c r="H5612">
        <v>9.9464405587633004E-2</v>
      </c>
      <c r="I5612">
        <v>8.0544003597356306E-2</v>
      </c>
      <c r="J5612">
        <v>6.8784205983576693E-2</v>
      </c>
      <c r="K5612">
        <v>5.5287203997566599E-2</v>
      </c>
      <c r="L5612">
        <v>1116.79696774798</v>
      </c>
      <c r="M5612">
        <v>23.446528285311899</v>
      </c>
      <c r="N5612">
        <v>47.963260123319102</v>
      </c>
      <c r="O5612">
        <v>47.289222143159201</v>
      </c>
      <c r="P5612">
        <v>-0.114680271783853</v>
      </c>
      <c r="Q5612">
        <v>7.4823011947011797E-2</v>
      </c>
      <c r="R5612">
        <v>0.99868028246469998</v>
      </c>
      <c r="S5612" t="s">
        <v>11473</v>
      </c>
      <c r="T5612" t="s">
        <v>11720</v>
      </c>
      <c r="U5612" t="s">
        <v>11720</v>
      </c>
      <c r="V5612" t="s">
        <v>11720</v>
      </c>
      <c r="W5612" t="s">
        <v>17270</v>
      </c>
      <c r="X5612">
        <v>12</v>
      </c>
      <c r="Y5612" t="s">
        <v>22964</v>
      </c>
      <c r="Z5612" t="s">
        <v>28819</v>
      </c>
      <c r="AA5612">
        <v>0.31958443414487547</v>
      </c>
      <c r="AB5612" t="str">
        <f>HYPERLINK("Melting_Curves/meltCurve_Q9UN37_VPS4A.pdf", "Melting_Curves/meltCurve_Q9UN37_VPS4A.pdf")</f>
        <v>Melting_Curves/meltCurve_Q9UN37_VPS4A.pdf</v>
      </c>
    </row>
    <row r="5613" spans="1:28" x14ac:dyDescent="0.25">
      <c r="A5613" t="s">
        <v>5617</v>
      </c>
      <c r="B5613">
        <v>0.99334974765950101</v>
      </c>
      <c r="C5613">
        <v>0.98213855814453899</v>
      </c>
      <c r="D5613">
        <v>0.89211518530703204</v>
      </c>
      <c r="E5613">
        <v>0.81156949920370003</v>
      </c>
      <c r="F5613">
        <v>0.54349142138120998</v>
      </c>
      <c r="G5613">
        <v>0.30630975922626402</v>
      </c>
      <c r="H5613">
        <v>0.18925458421528499</v>
      </c>
      <c r="I5613">
        <v>0.13397517315695501</v>
      </c>
      <c r="J5613">
        <v>0.174229524298044</v>
      </c>
      <c r="K5613">
        <v>0.17286055728684999</v>
      </c>
      <c r="L5613">
        <v>1026.4233107268701</v>
      </c>
      <c r="M5613">
        <v>19.462983069339899</v>
      </c>
      <c r="N5613">
        <v>53.660716896959698</v>
      </c>
      <c r="O5613">
        <v>52.189941925537298</v>
      </c>
      <c r="P5613">
        <v>-7.9966206373593696E-2</v>
      </c>
      <c r="Q5613">
        <v>0.142314458174499</v>
      </c>
      <c r="R5613">
        <v>0.99410886871741599</v>
      </c>
      <c r="S5613" t="s">
        <v>11474</v>
      </c>
      <c r="T5613" t="s">
        <v>11720</v>
      </c>
      <c r="U5613" t="s">
        <v>11720</v>
      </c>
      <c r="V5613" t="s">
        <v>11720</v>
      </c>
      <c r="W5613" t="s">
        <v>17271</v>
      </c>
      <c r="X5613">
        <v>3</v>
      </c>
      <c r="Y5613" t="s">
        <v>22965</v>
      </c>
      <c r="Z5613" t="s">
        <v>28820</v>
      </c>
      <c r="AA5613">
        <v>0.51885158398893705</v>
      </c>
      <c r="AB5613" t="str">
        <f>HYPERLINK("Melting_Curves/meltCurve_Q9UN86_2_G3BP2.pdf", "Melting_Curves/meltCurve_Q9UN86_2_G3BP2.pdf")</f>
        <v>Melting_Curves/meltCurve_Q9UN86_2_G3BP2.pdf</v>
      </c>
    </row>
    <row r="5614" spans="1:28" x14ac:dyDescent="0.25">
      <c r="A5614" t="s">
        <v>5618</v>
      </c>
      <c r="B5614">
        <v>0.99334974765950101</v>
      </c>
      <c r="C5614">
        <v>1.0907690017464799</v>
      </c>
      <c r="D5614">
        <v>0.67186397703248202</v>
      </c>
      <c r="E5614">
        <v>0.58074130195996998</v>
      </c>
      <c r="F5614">
        <v>0.41132310499311697</v>
      </c>
      <c r="G5614">
        <v>0.26830953402716801</v>
      </c>
      <c r="H5614">
        <v>0.16755489034114801</v>
      </c>
      <c r="I5614">
        <v>0.17301266532875101</v>
      </c>
      <c r="J5614">
        <v>0.177196620817547</v>
      </c>
      <c r="K5614">
        <v>0.18933470649672399</v>
      </c>
      <c r="L5614">
        <v>763.82813815566305</v>
      </c>
      <c r="M5614">
        <v>15.409424203068999</v>
      </c>
      <c r="N5614">
        <v>50.840730505449301</v>
      </c>
      <c r="O5614">
        <v>48.7565884021922</v>
      </c>
      <c r="P5614">
        <v>-6.6380978663845E-2</v>
      </c>
      <c r="Q5614">
        <v>0.159938553575837</v>
      </c>
      <c r="R5614">
        <v>0.95709179927205501</v>
      </c>
      <c r="S5614" t="s">
        <v>11475</v>
      </c>
      <c r="T5614" t="s">
        <v>11720</v>
      </c>
      <c r="U5614" t="s">
        <v>11720</v>
      </c>
      <c r="V5614" t="s">
        <v>11720</v>
      </c>
      <c r="W5614" t="s">
        <v>17272</v>
      </c>
      <c r="X5614">
        <v>15</v>
      </c>
      <c r="Y5614" t="s">
        <v>22966</v>
      </c>
      <c r="Z5614" t="s">
        <v>28821</v>
      </c>
      <c r="AA5614">
        <v>0.44722940441746822</v>
      </c>
      <c r="AB5614" t="str">
        <f>HYPERLINK("Melting_Curves/meltCurve_Q9UNE7_STUB1.pdf", "Melting_Curves/meltCurve_Q9UNE7_STUB1.pdf")</f>
        <v>Melting_Curves/meltCurve_Q9UNE7_STUB1.pdf</v>
      </c>
    </row>
    <row r="5615" spans="1:28" x14ac:dyDescent="0.25">
      <c r="A5615" t="s">
        <v>5619</v>
      </c>
      <c r="B5615">
        <v>0.99334974765950101</v>
      </c>
      <c r="C5615">
        <v>0.98949851465421301</v>
      </c>
      <c r="D5615">
        <v>0.987054367842784</v>
      </c>
      <c r="E5615">
        <v>0.363076632578958</v>
      </c>
      <c r="F5615">
        <v>0.21796854187428499</v>
      </c>
      <c r="G5615">
        <v>0.16279045324104699</v>
      </c>
      <c r="H5615">
        <v>0.145351167228783</v>
      </c>
      <c r="I5615">
        <v>0.12595948026033499</v>
      </c>
      <c r="J5615">
        <v>0.109265303568668</v>
      </c>
      <c r="K5615">
        <v>9.1840303930676201E-2</v>
      </c>
      <c r="L5615">
        <v>2316.8131106190899</v>
      </c>
      <c r="M5615">
        <v>47.292631840178601</v>
      </c>
      <c r="N5615">
        <v>49.321178296132999</v>
      </c>
      <c r="O5615">
        <v>48.901528002887702</v>
      </c>
      <c r="P5615">
        <v>-0.20879023586183201</v>
      </c>
      <c r="Q5615">
        <v>0.13642778704937999</v>
      </c>
      <c r="R5615">
        <v>0.99457612576730203</v>
      </c>
      <c r="S5615" t="s">
        <v>11476</v>
      </c>
      <c r="T5615" t="s">
        <v>11720</v>
      </c>
      <c r="U5615" t="s">
        <v>11720</v>
      </c>
      <c r="V5615" t="s">
        <v>11720</v>
      </c>
      <c r="W5615" t="s">
        <v>17273</v>
      </c>
      <c r="X5615">
        <v>24</v>
      </c>
      <c r="Y5615" t="s">
        <v>22967</v>
      </c>
      <c r="Z5615" t="s">
        <v>28822</v>
      </c>
      <c r="AA5615">
        <v>0.39726707594404781</v>
      </c>
      <c r="AB5615" t="str">
        <f>HYPERLINK("Melting_Curves/meltCurve_Q9UNF0_PACSIN2.pdf", "Melting_Curves/meltCurve_Q9UNF0_PACSIN2.pdf")</f>
        <v>Melting_Curves/meltCurve_Q9UNF0_PACSIN2.pdf</v>
      </c>
    </row>
    <row r="5616" spans="1:28" x14ac:dyDescent="0.25">
      <c r="A5616" t="s">
        <v>5620</v>
      </c>
      <c r="B5616">
        <v>0.99334974765950101</v>
      </c>
      <c r="C5616">
        <v>0.71655446044303395</v>
      </c>
      <c r="D5616">
        <v>0.35183233008721598</v>
      </c>
      <c r="E5616">
        <v>0.22540955784121</v>
      </c>
      <c r="F5616">
        <v>0.208573848450127</v>
      </c>
      <c r="G5616">
        <v>0.13559305305019601</v>
      </c>
      <c r="H5616">
        <v>0.12539192826042</v>
      </c>
      <c r="I5616">
        <v>0.105671712586225</v>
      </c>
      <c r="J5616">
        <v>0.14279509611504601</v>
      </c>
      <c r="K5616">
        <v>0.120146299548388</v>
      </c>
      <c r="L5616">
        <v>1148.4907311934501</v>
      </c>
      <c r="M5616">
        <v>26.004487567190299</v>
      </c>
      <c r="N5616">
        <v>44.740754791000903</v>
      </c>
      <c r="O5616">
        <v>43.906402379347398</v>
      </c>
      <c r="P5616">
        <v>-0.12701646274335401</v>
      </c>
      <c r="Q5616">
        <v>0.14218316661651401</v>
      </c>
      <c r="R5616">
        <v>0.98811483118809595</v>
      </c>
      <c r="S5616" t="s">
        <v>11477</v>
      </c>
      <c r="T5616" t="s">
        <v>11720</v>
      </c>
      <c r="U5616" t="s">
        <v>11720</v>
      </c>
      <c r="V5616" t="s">
        <v>11720</v>
      </c>
      <c r="W5616" t="s">
        <v>17274</v>
      </c>
      <c r="X5616">
        <v>18</v>
      </c>
      <c r="Y5616" t="s">
        <v>22968</v>
      </c>
      <c r="Z5616" t="s">
        <v>28823</v>
      </c>
      <c r="AA5616">
        <v>0.2699520550829847</v>
      </c>
      <c r="AB5616" t="str">
        <f>HYPERLINK("Melting_Curves/meltCurve_Q9UNF1_MAGED2.pdf", "Melting_Curves/meltCurve_Q9UNF1_MAGED2.pdf")</f>
        <v>Melting_Curves/meltCurve_Q9UNF1_MAGED2.pdf</v>
      </c>
    </row>
    <row r="5617" spans="1:28" x14ac:dyDescent="0.25">
      <c r="A5617" t="s">
        <v>5621</v>
      </c>
      <c r="B5617">
        <v>0.99334974765950101</v>
      </c>
      <c r="C5617">
        <v>0.93747320584577998</v>
      </c>
      <c r="D5617">
        <v>0.686120739525241</v>
      </c>
      <c r="E5617">
        <v>0.325867532844131</v>
      </c>
      <c r="F5617">
        <v>0.32901985609293699</v>
      </c>
      <c r="G5617">
        <v>0.191680559312537</v>
      </c>
      <c r="H5617">
        <v>0.14718845266613001</v>
      </c>
      <c r="I5617">
        <v>0.13025743624941799</v>
      </c>
      <c r="J5617">
        <v>0.16431854342233801</v>
      </c>
      <c r="K5617">
        <v>0.115073354818505</v>
      </c>
      <c r="L5617">
        <v>914.40934998202499</v>
      </c>
      <c r="M5617">
        <v>19.2769412636246</v>
      </c>
      <c r="N5617">
        <v>48.3009138182803</v>
      </c>
      <c r="O5617">
        <v>46.933753455722297</v>
      </c>
      <c r="P5617">
        <v>-8.7689133208149098E-2</v>
      </c>
      <c r="Q5617">
        <v>0.14604164790815</v>
      </c>
      <c r="R5617">
        <v>0.98727698063388403</v>
      </c>
      <c r="S5617" t="s">
        <v>11478</v>
      </c>
      <c r="T5617" t="s">
        <v>11720</v>
      </c>
      <c r="U5617" t="s">
        <v>11720</v>
      </c>
      <c r="V5617" t="s">
        <v>11720</v>
      </c>
      <c r="W5617" t="s">
        <v>17275</v>
      </c>
      <c r="X5617">
        <v>7</v>
      </c>
      <c r="Y5617" t="s">
        <v>22969</v>
      </c>
      <c r="Z5617" t="s">
        <v>28824</v>
      </c>
      <c r="AA5617">
        <v>0.37102623967747639</v>
      </c>
      <c r="AB5617" t="str">
        <f>HYPERLINK("Melting_Curves/meltCurve_Q9UNH6_SNX7.pdf", "Melting_Curves/meltCurve_Q9UNH6_SNX7.pdf")</f>
        <v>Melting_Curves/meltCurve_Q9UNH6_SNX7.pdf</v>
      </c>
    </row>
    <row r="5618" spans="1:28" x14ac:dyDescent="0.25">
      <c r="A5618" t="s">
        <v>5622</v>
      </c>
      <c r="B5618">
        <v>0.99334974765950101</v>
      </c>
      <c r="C5618">
        <v>0.63157531094227903</v>
      </c>
      <c r="D5618">
        <v>0.891871957392672</v>
      </c>
      <c r="E5618">
        <v>0.63829056042731902</v>
      </c>
      <c r="F5618">
        <v>0.112958494362629</v>
      </c>
      <c r="G5618">
        <v>5.8382630644611397E-2</v>
      </c>
      <c r="H5618">
        <v>3.6457773577620201E-2</v>
      </c>
      <c r="I5618">
        <v>3.4054282895725402E-2</v>
      </c>
      <c r="J5618">
        <v>3.36282881522805E-2</v>
      </c>
      <c r="K5618">
        <v>2.6941493362183499E-2</v>
      </c>
      <c r="L5618">
        <v>2244.4905287557499</v>
      </c>
      <c r="M5618">
        <v>44.4438110802285</v>
      </c>
      <c r="N5618">
        <v>50.579187064463099</v>
      </c>
      <c r="O5618">
        <v>50.399809025522003</v>
      </c>
      <c r="P5618">
        <v>-0.21320618576849401</v>
      </c>
      <c r="Q5618">
        <v>3.2887509213531597E-2</v>
      </c>
      <c r="R5618">
        <v>0.89669157445302194</v>
      </c>
      <c r="S5618" t="s">
        <v>11479</v>
      </c>
      <c r="T5618" t="s">
        <v>11720</v>
      </c>
      <c r="U5618" t="s">
        <v>11720</v>
      </c>
      <c r="V5618" t="s">
        <v>11720</v>
      </c>
      <c r="W5618" t="s">
        <v>17276</v>
      </c>
      <c r="X5618">
        <v>27</v>
      </c>
      <c r="Y5618" t="s">
        <v>22970</v>
      </c>
      <c r="Z5618" t="s">
        <v>28825</v>
      </c>
      <c r="AA5618">
        <v>0.37416421194722649</v>
      </c>
      <c r="AB5618" t="str">
        <f>HYPERLINK("Melting_Curves/meltCurve_Q9UNH7_SNX6.pdf", "Melting_Curves/meltCurve_Q9UNH7_SNX6.pdf")</f>
        <v>Melting_Curves/meltCurve_Q9UNH7_SNX6.pdf</v>
      </c>
    </row>
    <row r="5619" spans="1:28" x14ac:dyDescent="0.25">
      <c r="A5619" t="s">
        <v>5623</v>
      </c>
      <c r="B5619">
        <v>0.99334974765950101</v>
      </c>
      <c r="C5619">
        <v>0.89478487765727199</v>
      </c>
      <c r="D5619">
        <v>0.905654581402911</v>
      </c>
      <c r="E5619">
        <v>0.546664971551861</v>
      </c>
      <c r="F5619">
        <v>0.22477558815700399</v>
      </c>
      <c r="G5619">
        <v>0.123051565258312</v>
      </c>
      <c r="H5619">
        <v>7.3898717211549697E-2</v>
      </c>
      <c r="I5619">
        <v>7.78995041921898E-2</v>
      </c>
      <c r="J5619">
        <v>6.1705935598960003E-2</v>
      </c>
      <c r="K5619">
        <v>5.4071224958459903E-2</v>
      </c>
      <c r="L5619">
        <v>1190.44139619112</v>
      </c>
      <c r="M5619">
        <v>23.8172949124166</v>
      </c>
      <c r="N5619">
        <v>50.258857524931699</v>
      </c>
      <c r="O5619">
        <v>49.633842955715203</v>
      </c>
      <c r="P5619">
        <v>-0.112597055021723</v>
      </c>
      <c r="Q5619">
        <v>6.1432250980269297E-2</v>
      </c>
      <c r="R5619">
        <v>0.99346641699076599</v>
      </c>
      <c r="S5619" t="s">
        <v>11480</v>
      </c>
      <c r="T5619" t="s">
        <v>11720</v>
      </c>
      <c r="U5619" t="s">
        <v>11720</v>
      </c>
      <c r="V5619" t="s">
        <v>11720</v>
      </c>
      <c r="W5619" t="s">
        <v>17277</v>
      </c>
      <c r="X5619">
        <v>12</v>
      </c>
      <c r="Y5619" t="s">
        <v>22971</v>
      </c>
      <c r="Z5619" t="s">
        <v>28826</v>
      </c>
      <c r="AA5619">
        <v>0.38297642352126099</v>
      </c>
      <c r="AB5619" t="str">
        <f>HYPERLINK("Melting_Curves/meltCurve_Q9UNI6_DUSP12.pdf", "Melting_Curves/meltCurve_Q9UNI6_DUSP12.pdf")</f>
        <v>Melting_Curves/meltCurve_Q9UNI6_DUSP12.pdf</v>
      </c>
    </row>
    <row r="5620" spans="1:28" x14ac:dyDescent="0.25">
      <c r="A5620" t="s">
        <v>5624</v>
      </c>
      <c r="B5620">
        <v>0.99334974765950101</v>
      </c>
      <c r="C5620">
        <v>0.93045581027621105</v>
      </c>
      <c r="D5620">
        <v>0.818910927998869</v>
      </c>
      <c r="E5620">
        <v>0.70816948886884701</v>
      </c>
      <c r="F5620">
        <v>0.75191752980440496</v>
      </c>
      <c r="G5620">
        <v>0.68321879062275204</v>
      </c>
      <c r="H5620">
        <v>0.64344319698666097</v>
      </c>
      <c r="I5620">
        <v>0.76214443811753496</v>
      </c>
      <c r="J5620">
        <v>0.73725725803061304</v>
      </c>
      <c r="K5620">
        <v>0.59567108715878603</v>
      </c>
      <c r="L5620">
        <v>977.10247929097295</v>
      </c>
      <c r="M5620">
        <v>21.545269457969599</v>
      </c>
      <c r="O5620">
        <v>44.965892186328603</v>
      </c>
      <c r="P5620">
        <v>-3.7217813615131601E-2</v>
      </c>
      <c r="Q5620">
        <v>0.68930707212827602</v>
      </c>
      <c r="R5620">
        <v>0.84293531435079005</v>
      </c>
      <c r="S5620" t="s">
        <v>11481</v>
      </c>
      <c r="T5620" t="s">
        <v>11720</v>
      </c>
      <c r="U5620" t="s">
        <v>11720</v>
      </c>
      <c r="V5620" t="s">
        <v>11720</v>
      </c>
      <c r="W5620" t="s">
        <v>17278</v>
      </c>
      <c r="X5620">
        <v>13</v>
      </c>
      <c r="Y5620" t="s">
        <v>22972</v>
      </c>
      <c r="Z5620" t="s">
        <v>28827</v>
      </c>
      <c r="AA5620">
        <v>0.74898555267906886</v>
      </c>
      <c r="AB5620" t="str">
        <f>HYPERLINK("Melting_Curves/meltCurve_Q9UNK0_STX8.pdf", "Melting_Curves/meltCurve_Q9UNK0_STX8.pdf")</f>
        <v>Melting_Curves/meltCurve_Q9UNK0_STX8.pdf</v>
      </c>
    </row>
    <row r="5621" spans="1:28" x14ac:dyDescent="0.25">
      <c r="A5621" t="s">
        <v>5625</v>
      </c>
      <c r="B5621">
        <v>0.99334974765950101</v>
      </c>
      <c r="C5621">
        <v>0.93937660417422997</v>
      </c>
      <c r="D5621">
        <v>0.94770487613821297</v>
      </c>
      <c r="E5621">
        <v>0.83106204498786596</v>
      </c>
      <c r="F5621">
        <v>0.42065157983870499</v>
      </c>
      <c r="G5621">
        <v>0.342926197083738</v>
      </c>
      <c r="H5621">
        <v>0.112486735270959</v>
      </c>
      <c r="I5621">
        <v>9.2324052742349699E-2</v>
      </c>
      <c r="J5621">
        <v>6.4226871439023295E-2</v>
      </c>
      <c r="K5621">
        <v>5.1696281302863897E-2</v>
      </c>
      <c r="L5621">
        <v>939.26982351759705</v>
      </c>
      <c r="M5621">
        <v>17.7127798120835</v>
      </c>
      <c r="N5621">
        <v>53.322950973993599</v>
      </c>
      <c r="O5621">
        <v>52.365759711593299</v>
      </c>
      <c r="P5621">
        <v>-8.0618424953878498E-2</v>
      </c>
      <c r="Q5621">
        <v>4.6694377675653001E-2</v>
      </c>
      <c r="R5621">
        <v>0.98256644327815801</v>
      </c>
      <c r="S5621" t="s">
        <v>11482</v>
      </c>
      <c r="T5621" t="s">
        <v>11720</v>
      </c>
      <c r="U5621" t="s">
        <v>11720</v>
      </c>
      <c r="V5621" t="s">
        <v>11720</v>
      </c>
      <c r="W5621" t="s">
        <v>17279</v>
      </c>
      <c r="X5621">
        <v>13</v>
      </c>
      <c r="Y5621" t="s">
        <v>22973</v>
      </c>
      <c r="Z5621" t="s">
        <v>28828</v>
      </c>
      <c r="AA5621">
        <v>0.47668202789753761</v>
      </c>
      <c r="AB5621" t="str">
        <f>HYPERLINK("Melting_Curves/meltCurve_Q9UNM6_PSMD13.pdf", "Melting_Curves/meltCurve_Q9UNM6_PSMD13.pdf")</f>
        <v>Melting_Curves/meltCurve_Q9UNM6_PSMD13.pdf</v>
      </c>
    </row>
    <row r="5622" spans="1:28" x14ac:dyDescent="0.25">
      <c r="A5622" t="s">
        <v>5626</v>
      </c>
      <c r="B5622">
        <v>0.99334974765950101</v>
      </c>
      <c r="C5622">
        <v>0.97851147349147005</v>
      </c>
      <c r="D5622">
        <v>0.98696161130035598</v>
      </c>
      <c r="E5622">
        <v>0.84212167373335201</v>
      </c>
      <c r="F5622">
        <v>0.72213665925635695</v>
      </c>
      <c r="G5622">
        <v>0.388906278820152</v>
      </c>
      <c r="H5622">
        <v>0.15770354874584699</v>
      </c>
      <c r="I5622">
        <v>0.101112695778041</v>
      </c>
      <c r="J5622">
        <v>8.9262531091212405E-2</v>
      </c>
      <c r="K5622">
        <v>6.8257248387303696E-2</v>
      </c>
      <c r="L5622">
        <v>1032.5132818972299</v>
      </c>
      <c r="M5622">
        <v>18.709265592002598</v>
      </c>
      <c r="N5622">
        <v>55.449248247992301</v>
      </c>
      <c r="O5622">
        <v>54.568399801762901</v>
      </c>
      <c r="P5622">
        <v>-8.2092692077820606E-2</v>
      </c>
      <c r="Q5622">
        <v>4.2298008747254E-2</v>
      </c>
      <c r="R5622">
        <v>0.99781814045016703</v>
      </c>
      <c r="S5622" t="s">
        <v>11483</v>
      </c>
      <c r="T5622" t="s">
        <v>11720</v>
      </c>
      <c r="U5622" t="s">
        <v>11720</v>
      </c>
      <c r="V5622" t="s">
        <v>11720</v>
      </c>
      <c r="W5622" t="s">
        <v>17280</v>
      </c>
      <c r="X5622">
        <v>22</v>
      </c>
      <c r="Y5622" t="s">
        <v>22974</v>
      </c>
      <c r="Z5622" t="s">
        <v>28829</v>
      </c>
      <c r="AA5622">
        <v>0.54108028842749822</v>
      </c>
      <c r="AB5622" t="str">
        <f>HYPERLINK("Melting_Curves/meltCurve_Q9UNN5_FAF1.pdf", "Melting_Curves/meltCurve_Q9UNN5_FAF1.pdf")</f>
        <v>Melting_Curves/meltCurve_Q9UNN5_FAF1.pdf</v>
      </c>
    </row>
    <row r="5623" spans="1:28" x14ac:dyDescent="0.25">
      <c r="A5623" t="s">
        <v>5627</v>
      </c>
      <c r="B5623">
        <v>0.99334974765950101</v>
      </c>
      <c r="C5623">
        <v>0.92858714021440103</v>
      </c>
      <c r="D5623">
        <v>0.90821500984035697</v>
      </c>
      <c r="E5623">
        <v>0.89060698669874006</v>
      </c>
      <c r="F5623">
        <v>0.88546402784663003</v>
      </c>
      <c r="G5623">
        <v>0.773041831489238</v>
      </c>
      <c r="H5623">
        <v>0.696244590594155</v>
      </c>
      <c r="I5623">
        <v>0.61726210372701096</v>
      </c>
      <c r="J5623">
        <v>0.41316450073009298</v>
      </c>
      <c r="K5623">
        <v>0.25321214014908699</v>
      </c>
      <c r="L5623">
        <v>625.36889335813601</v>
      </c>
      <c r="M5623">
        <v>9.6266559891907306</v>
      </c>
      <c r="N5623">
        <v>64.962206781611897</v>
      </c>
      <c r="O5623">
        <v>62.344627569050701</v>
      </c>
      <c r="P5623">
        <v>-3.8624304876310502E-2</v>
      </c>
      <c r="Q5623">
        <v>0</v>
      </c>
      <c r="R5623">
        <v>0.94662766368348294</v>
      </c>
      <c r="S5623" t="s">
        <v>11484</v>
      </c>
      <c r="T5623" t="s">
        <v>11720</v>
      </c>
      <c r="U5623" t="s">
        <v>11720</v>
      </c>
      <c r="V5623" t="s">
        <v>11720</v>
      </c>
      <c r="W5623" t="s">
        <v>17281</v>
      </c>
      <c r="X5623">
        <v>4</v>
      </c>
      <c r="Y5623" t="s">
        <v>22975</v>
      </c>
      <c r="Z5623" t="s">
        <v>28830</v>
      </c>
      <c r="AA5623">
        <v>0.77482065141304446</v>
      </c>
      <c r="AB5623" t="str">
        <f>HYPERLINK("Melting_Curves/meltCurve_Q9UNN8_PROCR.pdf", "Melting_Curves/meltCurve_Q9UNN8_PROCR.pdf")</f>
        <v>Melting_Curves/meltCurve_Q9UNN8_PROCR.pdf</v>
      </c>
    </row>
    <row r="5624" spans="1:28" x14ac:dyDescent="0.25">
      <c r="A5624" t="s">
        <v>5628</v>
      </c>
      <c r="B5624">
        <v>0.99334974765950101</v>
      </c>
      <c r="C5624">
        <v>0.87351713263110498</v>
      </c>
      <c r="D5624">
        <v>0.74796384101969704</v>
      </c>
      <c r="E5624">
        <v>0.67662522550085302</v>
      </c>
      <c r="F5624">
        <v>0.49471004984023398</v>
      </c>
      <c r="G5624">
        <v>0.46655250137717702</v>
      </c>
      <c r="H5624">
        <v>0.37178471479460301</v>
      </c>
      <c r="I5624">
        <v>0.30831825762917597</v>
      </c>
      <c r="J5624">
        <v>0.18341859247043399</v>
      </c>
      <c r="K5624">
        <v>0.14140656915815999</v>
      </c>
      <c r="L5624">
        <v>381.38127096982203</v>
      </c>
      <c r="M5624">
        <v>6.9655466704621203</v>
      </c>
      <c r="N5624">
        <v>54.752525363352497</v>
      </c>
      <c r="O5624">
        <v>50.774795823424803</v>
      </c>
      <c r="P5624">
        <v>-3.4361024439337202E-2</v>
      </c>
      <c r="Q5624">
        <v>0</v>
      </c>
      <c r="R5624">
        <v>0.976636804927425</v>
      </c>
      <c r="S5624" t="s">
        <v>11485</v>
      </c>
      <c r="T5624" t="s">
        <v>11720</v>
      </c>
      <c r="U5624" t="s">
        <v>11720</v>
      </c>
      <c r="V5624" t="s">
        <v>11720</v>
      </c>
      <c r="W5624" t="s">
        <v>17282</v>
      </c>
      <c r="X5624">
        <v>6</v>
      </c>
      <c r="Y5624" t="s">
        <v>22976</v>
      </c>
      <c r="Z5624" t="s">
        <v>28831</v>
      </c>
      <c r="AA5624">
        <v>0.52096777454260823</v>
      </c>
      <c r="AB5624" t="str">
        <f>HYPERLINK("Melting_Curves/meltCurve_Q9UNP9_PPIE.pdf", "Melting_Curves/meltCurve_Q9UNP9_PPIE.pdf")</f>
        <v>Melting_Curves/meltCurve_Q9UNP9_PPIE.pdf</v>
      </c>
    </row>
    <row r="5625" spans="1:28" x14ac:dyDescent="0.25">
      <c r="A5625" t="s">
        <v>5629</v>
      </c>
      <c r="B5625">
        <v>0.99334974765950101</v>
      </c>
      <c r="C5625">
        <v>1.0995813740848099</v>
      </c>
      <c r="D5625">
        <v>1.2251034219797301</v>
      </c>
      <c r="E5625">
        <v>1.8567738015197099</v>
      </c>
      <c r="F5625">
        <v>2.1812803092738</v>
      </c>
      <c r="G5625">
        <v>1.6987879087342099</v>
      </c>
      <c r="H5625">
        <v>4.5312897344600396</v>
      </c>
      <c r="I5625">
        <v>4.2209811165537703</v>
      </c>
      <c r="J5625">
        <v>0.87957768674041903</v>
      </c>
      <c r="K5625">
        <v>0.32348309730618402</v>
      </c>
      <c r="L5625">
        <v>11509.1924068221</v>
      </c>
      <c r="M5625">
        <v>250</v>
      </c>
      <c r="O5625">
        <v>46.0338233370639</v>
      </c>
      <c r="P5625">
        <v>0.67884867270959404</v>
      </c>
      <c r="Q5625">
        <v>1.5</v>
      </c>
      <c r="R5625">
        <v>-6.2960440446996099E-2</v>
      </c>
      <c r="S5625" t="s">
        <v>11486</v>
      </c>
      <c r="T5625" t="s">
        <v>11720</v>
      </c>
      <c r="U5625" t="s">
        <v>11720</v>
      </c>
      <c r="V5625" t="s">
        <v>11720</v>
      </c>
      <c r="W5625" t="s">
        <v>17283</v>
      </c>
      <c r="X5625">
        <v>14</v>
      </c>
      <c r="Y5625" t="s">
        <v>22977</v>
      </c>
      <c r="Z5625" t="s">
        <v>28832</v>
      </c>
      <c r="AA5625">
        <v>1.399346775971424</v>
      </c>
      <c r="AB5625" t="str">
        <f>HYPERLINK("Melting_Curves/meltCurve_Q9UNS2_COPS3.pdf", "Melting_Curves/meltCurve_Q9UNS2_COPS3.pdf")</f>
        <v>Melting_Curves/meltCurve_Q9UNS2_COPS3.pdf</v>
      </c>
    </row>
    <row r="5626" spans="1:28" x14ac:dyDescent="0.25">
      <c r="A5626" t="s">
        <v>5630</v>
      </c>
      <c r="B5626">
        <v>0.99334974765950101</v>
      </c>
      <c r="C5626">
        <v>0.97418845980230895</v>
      </c>
      <c r="D5626">
        <v>1.0020410369786501</v>
      </c>
      <c r="E5626">
        <v>0.86088066765085702</v>
      </c>
      <c r="F5626">
        <v>0.72330045160616097</v>
      </c>
      <c r="G5626">
        <v>0.53502229864345396</v>
      </c>
      <c r="H5626">
        <v>0.355515989389805</v>
      </c>
      <c r="I5626">
        <v>0.354935247536738</v>
      </c>
      <c r="J5626">
        <v>0.20614621629896801</v>
      </c>
      <c r="K5626">
        <v>0.124303749457349</v>
      </c>
      <c r="L5626">
        <v>647.21087908566699</v>
      </c>
      <c r="M5626">
        <v>11.2167331791303</v>
      </c>
      <c r="N5626">
        <v>58.143914525650104</v>
      </c>
      <c r="O5626">
        <v>55.957648083082198</v>
      </c>
      <c r="P5626">
        <v>-4.8073317787655001E-2</v>
      </c>
      <c r="Q5626">
        <v>4.0993951311244302E-2</v>
      </c>
      <c r="R5626">
        <v>0.989405085019607</v>
      </c>
      <c r="S5626" t="s">
        <v>11487</v>
      </c>
      <c r="T5626" t="s">
        <v>11720</v>
      </c>
      <c r="U5626" t="s">
        <v>11720</v>
      </c>
      <c r="V5626" t="s">
        <v>11720</v>
      </c>
      <c r="W5626" t="s">
        <v>17284</v>
      </c>
      <c r="X5626">
        <v>14</v>
      </c>
      <c r="Y5626" t="s">
        <v>22978</v>
      </c>
      <c r="Z5626" t="s">
        <v>28833</v>
      </c>
      <c r="AA5626">
        <v>0.61968107449415477</v>
      </c>
      <c r="AB5626" t="str">
        <f>HYPERLINK("Melting_Curves/meltCurve_Q9UNW1_MINPP1.pdf", "Melting_Curves/meltCurve_Q9UNW1_MINPP1.pdf")</f>
        <v>Melting_Curves/meltCurve_Q9UNW1_MINPP1.pdf</v>
      </c>
    </row>
    <row r="5627" spans="1:28" x14ac:dyDescent="0.25">
      <c r="A5627" t="s">
        <v>5631</v>
      </c>
      <c r="B5627">
        <v>0.99334974765950101</v>
      </c>
      <c r="C5627">
        <v>1.02289019611595</v>
      </c>
      <c r="D5627">
        <v>0.57777401122418304</v>
      </c>
      <c r="E5627">
        <v>0.29048089407301902</v>
      </c>
      <c r="F5627">
        <v>0.431677406064636</v>
      </c>
      <c r="G5627">
        <v>0.26222705571645499</v>
      </c>
      <c r="H5627">
        <v>8.6150014104793796E-2</v>
      </c>
      <c r="I5627">
        <v>8.6526041476277807E-2</v>
      </c>
      <c r="J5627">
        <v>0.29162871511949201</v>
      </c>
      <c r="K5627">
        <v>0</v>
      </c>
      <c r="L5627">
        <v>843.25427488707396</v>
      </c>
      <c r="M5627">
        <v>17.857597092869799</v>
      </c>
      <c r="N5627">
        <v>48.159247958394097</v>
      </c>
      <c r="O5627">
        <v>46.640819522964001</v>
      </c>
      <c r="P5627">
        <v>-8.1660634347402006E-2</v>
      </c>
      <c r="Q5627">
        <v>0.14691209639292799</v>
      </c>
      <c r="R5627">
        <v>0.89063765574529696</v>
      </c>
      <c r="S5627" t="s">
        <v>11488</v>
      </c>
      <c r="T5627" t="s">
        <v>11720</v>
      </c>
      <c r="U5627" t="s">
        <v>11720</v>
      </c>
      <c r="V5627" t="s">
        <v>11720</v>
      </c>
      <c r="W5627" t="s">
        <v>17285</v>
      </c>
      <c r="X5627">
        <v>1</v>
      </c>
      <c r="Y5627" t="s">
        <v>22979</v>
      </c>
      <c r="Z5627" t="s">
        <v>28834</v>
      </c>
      <c r="AA5627">
        <v>0.36809799135556998</v>
      </c>
      <c r="AB5627" t="str">
        <f>HYPERLINK("Melting_Curves/meltCurve_Q9UNY4_2_TTF2.pdf", "Melting_Curves/meltCurve_Q9UNY4_2_TTF2.pdf")</f>
        <v>Melting_Curves/meltCurve_Q9UNY4_2_TTF2.pdf</v>
      </c>
    </row>
    <row r="5628" spans="1:28" x14ac:dyDescent="0.25">
      <c r="A5628" t="s">
        <v>5632</v>
      </c>
      <c r="B5628">
        <v>0.99334974765950101</v>
      </c>
      <c r="C5628">
        <v>0.990411223335396</v>
      </c>
      <c r="D5628">
        <v>0.81457395123288701</v>
      </c>
      <c r="E5628">
        <v>1.06554997139568</v>
      </c>
      <c r="F5628">
        <v>0.95752094483767602</v>
      </c>
      <c r="G5628">
        <v>0.67939657121920904</v>
      </c>
      <c r="H5628">
        <v>0.49581295137416298</v>
      </c>
      <c r="I5628">
        <v>0.67842061343208804</v>
      </c>
      <c r="J5628">
        <v>0.34029090934264999</v>
      </c>
      <c r="K5628">
        <v>0.12556936360575499</v>
      </c>
      <c r="L5628">
        <v>733.05747468035997</v>
      </c>
      <c r="M5628">
        <v>11.617610600766801</v>
      </c>
      <c r="N5628">
        <v>63.0988161024585</v>
      </c>
      <c r="O5628">
        <v>61.316191724520799</v>
      </c>
      <c r="P5628">
        <v>-4.7380563969532399E-2</v>
      </c>
      <c r="Q5628">
        <v>0</v>
      </c>
      <c r="R5628">
        <v>0.85668764799372799</v>
      </c>
      <c r="S5628" t="s">
        <v>11489</v>
      </c>
      <c r="T5628" t="s">
        <v>11720</v>
      </c>
      <c r="U5628" t="s">
        <v>11720</v>
      </c>
      <c r="V5628" t="s">
        <v>11720</v>
      </c>
      <c r="W5628" t="s">
        <v>17286</v>
      </c>
      <c r="X5628">
        <v>3</v>
      </c>
      <c r="Y5628" t="s">
        <v>22980</v>
      </c>
      <c r="Z5628" t="s">
        <v>28835</v>
      </c>
      <c r="AA5628">
        <v>0.74748500955771002</v>
      </c>
      <c r="AB5628" t="str">
        <f>HYPERLINK("Melting_Curves/meltCurve_Q9UP38_FZD1.pdf", "Melting_Curves/meltCurve_Q9UP38_FZD1.pdf")</f>
        <v>Melting_Curves/meltCurve_Q9UP38_FZD1.pdf</v>
      </c>
    </row>
    <row r="5629" spans="1:28" x14ac:dyDescent="0.25">
      <c r="A5629" t="s">
        <v>5633</v>
      </c>
      <c r="B5629">
        <v>0.99334974765950101</v>
      </c>
      <c r="C5629">
        <v>0.89133456848674997</v>
      </c>
      <c r="D5629">
        <v>0.88223136181918205</v>
      </c>
      <c r="E5629">
        <v>0.74182441853770298</v>
      </c>
      <c r="F5629">
        <v>0.60146186037992599</v>
      </c>
      <c r="G5629">
        <v>0.46584570209349202</v>
      </c>
      <c r="H5629">
        <v>0.40276906767088599</v>
      </c>
      <c r="I5629">
        <v>0.403462866352222</v>
      </c>
      <c r="J5629">
        <v>0.366573022049485</v>
      </c>
      <c r="K5629">
        <v>0.26883503292789401</v>
      </c>
      <c r="L5629">
        <v>539.21137664601201</v>
      </c>
      <c r="M5629">
        <v>10.266220597908699</v>
      </c>
      <c r="N5629">
        <v>56.642134349750897</v>
      </c>
      <c r="O5629">
        <v>50.6470861901294</v>
      </c>
      <c r="P5629">
        <v>-3.7363442877475297E-2</v>
      </c>
      <c r="Q5629">
        <v>0.26301338908879202</v>
      </c>
      <c r="R5629">
        <v>0.98582108448236105</v>
      </c>
      <c r="S5629" t="s">
        <v>11490</v>
      </c>
      <c r="T5629" t="s">
        <v>11720</v>
      </c>
      <c r="U5629" t="s">
        <v>11720</v>
      </c>
      <c r="V5629" t="s">
        <v>11720</v>
      </c>
      <c r="W5629" t="s">
        <v>17287</v>
      </c>
      <c r="X5629">
        <v>2</v>
      </c>
      <c r="Y5629" t="s">
        <v>22981</v>
      </c>
      <c r="Z5629" t="s">
        <v>28836</v>
      </c>
      <c r="AA5629">
        <v>0.59651090587393307</v>
      </c>
      <c r="AB5629" t="str">
        <f>HYPERLINK("Melting_Curves/meltCurve_Q9UP79_ADAMTS8.pdf", "Melting_Curves/meltCurve_Q9UP79_ADAMTS8.pdf")</f>
        <v>Melting_Curves/meltCurve_Q9UP79_ADAMTS8.pdf</v>
      </c>
    </row>
    <row r="5630" spans="1:28" x14ac:dyDescent="0.25">
      <c r="A5630" t="s">
        <v>5634</v>
      </c>
      <c r="B5630">
        <v>0.99334974765950101</v>
      </c>
      <c r="C5630">
        <v>0.88983528335314199</v>
      </c>
      <c r="D5630">
        <v>0.69484849551615202</v>
      </c>
      <c r="E5630">
        <v>0.25722512913963502</v>
      </c>
      <c r="F5630">
        <v>0.14155445151820301</v>
      </c>
      <c r="G5630">
        <v>0.107411956005522</v>
      </c>
      <c r="H5630">
        <v>8.0032994067066002E-2</v>
      </c>
      <c r="I5630">
        <v>6.34797823482455E-2</v>
      </c>
      <c r="J5630">
        <v>5.17409957552755E-2</v>
      </c>
      <c r="K5630">
        <v>4.0831217589094797E-2</v>
      </c>
      <c r="L5630">
        <v>1060.79183603417</v>
      </c>
      <c r="M5630">
        <v>22.424892004935199</v>
      </c>
      <c r="N5630">
        <v>47.579890704795702</v>
      </c>
      <c r="O5630">
        <v>46.932855285523999</v>
      </c>
      <c r="P5630">
        <v>-0.112176962160803</v>
      </c>
      <c r="Q5630">
        <v>6.0922802702725001E-2</v>
      </c>
      <c r="R5630">
        <v>0.99773578875588298</v>
      </c>
      <c r="S5630" t="s">
        <v>11491</v>
      </c>
      <c r="T5630" t="s">
        <v>11720</v>
      </c>
      <c r="U5630" t="s">
        <v>11720</v>
      </c>
      <c r="V5630" t="s">
        <v>11720</v>
      </c>
      <c r="W5630" t="s">
        <v>17288</v>
      </c>
      <c r="X5630">
        <v>11</v>
      </c>
      <c r="Y5630" t="s">
        <v>22982</v>
      </c>
      <c r="Z5630" t="s">
        <v>28837</v>
      </c>
      <c r="AA5630">
        <v>0.30014484426989141</v>
      </c>
      <c r="AB5630" t="str">
        <f>HYPERLINK("Melting_Curves/meltCurve_Q9UP83_COG5.pdf", "Melting_Curves/meltCurve_Q9UP83_COG5.pdf")</f>
        <v>Melting_Curves/meltCurve_Q9UP83_COG5.pdf</v>
      </c>
    </row>
    <row r="5631" spans="1:28" x14ac:dyDescent="0.25">
      <c r="A5631" t="s">
        <v>5635</v>
      </c>
      <c r="B5631">
        <v>0.99334974765950101</v>
      </c>
      <c r="C5631">
        <v>0.95747602463090198</v>
      </c>
      <c r="D5631">
        <v>0.93890456463712302</v>
      </c>
      <c r="E5631">
        <v>1.1652509369658901</v>
      </c>
      <c r="F5631">
        <v>0.92570017730197796</v>
      </c>
      <c r="G5631">
        <v>0.59327802854980105</v>
      </c>
      <c r="H5631">
        <v>0.43347786071876199</v>
      </c>
      <c r="I5631">
        <v>0.57512182472732198</v>
      </c>
      <c r="J5631">
        <v>0.41599496789149898</v>
      </c>
      <c r="K5631">
        <v>0.32172944214244598</v>
      </c>
      <c r="L5631">
        <v>2400.5524901645699</v>
      </c>
      <c r="M5631">
        <v>43.057076036904597</v>
      </c>
      <c r="N5631">
        <v>58.4732553211743</v>
      </c>
      <c r="O5631">
        <v>55.632960313929701</v>
      </c>
      <c r="P5631">
        <v>-0.109794569277142</v>
      </c>
      <c r="Q5631">
        <v>0.43254995374911998</v>
      </c>
      <c r="R5631">
        <v>0.91494283638291296</v>
      </c>
      <c r="S5631" t="s">
        <v>11492</v>
      </c>
      <c r="T5631" t="s">
        <v>11720</v>
      </c>
      <c r="U5631" t="s">
        <v>11720</v>
      </c>
      <c r="V5631" t="s">
        <v>11720</v>
      </c>
      <c r="W5631" t="s">
        <v>17289</v>
      </c>
      <c r="X5631">
        <v>6</v>
      </c>
      <c r="Y5631" t="s">
        <v>22983</v>
      </c>
      <c r="Z5631" t="s">
        <v>28838</v>
      </c>
      <c r="AA5631">
        <v>0.73239331418778808</v>
      </c>
      <c r="AB5631" t="str">
        <f>HYPERLINK("Melting_Curves/meltCurve_Q9UP95_5_SLC12A4.pdf", "Melting_Curves/meltCurve_Q9UP95_5_SLC12A4.pdf")</f>
        <v>Melting_Curves/meltCurve_Q9UP95_5_SLC12A4.pdf</v>
      </c>
    </row>
    <row r="5632" spans="1:28" x14ac:dyDescent="0.25">
      <c r="A5632" t="s">
        <v>5636</v>
      </c>
      <c r="B5632">
        <v>0.99334974765950101</v>
      </c>
      <c r="C5632">
        <v>0.96262574443341498</v>
      </c>
      <c r="D5632">
        <v>0.84915014810405298</v>
      </c>
      <c r="E5632">
        <v>0.43932562361309102</v>
      </c>
      <c r="F5632">
        <v>0.41714340262883398</v>
      </c>
      <c r="G5632">
        <v>0.55690027958276</v>
      </c>
      <c r="H5632">
        <v>0.493143305185193</v>
      </c>
      <c r="I5632">
        <v>0.33313374100121601</v>
      </c>
      <c r="J5632">
        <v>0.229573055311319</v>
      </c>
      <c r="K5632">
        <v>0.179650808909215</v>
      </c>
      <c r="L5632">
        <v>1378.6438313634701</v>
      </c>
      <c r="M5632">
        <v>28.976304967755102</v>
      </c>
      <c r="N5632">
        <v>49.717829663413497</v>
      </c>
      <c r="O5632">
        <v>47.353420546761903</v>
      </c>
      <c r="P5632">
        <v>-9.8471939541233705E-2</v>
      </c>
      <c r="Q5632">
        <v>0.35630856215641799</v>
      </c>
      <c r="R5632">
        <v>0.860976612195964</v>
      </c>
      <c r="S5632" t="s">
        <v>11493</v>
      </c>
      <c r="T5632" t="s">
        <v>11720</v>
      </c>
      <c r="U5632" t="s">
        <v>11720</v>
      </c>
      <c r="V5632" t="s">
        <v>11720</v>
      </c>
      <c r="W5632" t="s">
        <v>17290</v>
      </c>
      <c r="X5632">
        <v>2</v>
      </c>
      <c r="Y5632" t="s">
        <v>22984</v>
      </c>
      <c r="Z5632" t="s">
        <v>28839</v>
      </c>
      <c r="AA5632">
        <v>0.52306941040914412</v>
      </c>
      <c r="AB5632" t="str">
        <f>HYPERLINK("Melting_Curves/meltCurve_Q9UPM8_2_AP4E1.pdf", "Melting_Curves/meltCurve_Q9UPM8_2_AP4E1.pdf")</f>
        <v>Melting_Curves/meltCurve_Q9UPM8_2_AP4E1.pdf</v>
      </c>
    </row>
    <row r="5633" spans="1:28" x14ac:dyDescent="0.25">
      <c r="A5633" t="s">
        <v>5637</v>
      </c>
      <c r="B5633">
        <v>0.99334974765950101</v>
      </c>
      <c r="C5633">
        <v>0.95009167114576798</v>
      </c>
      <c r="D5633">
        <v>0.66773713910579802</v>
      </c>
      <c r="E5633">
        <v>0.55006521082968796</v>
      </c>
      <c r="F5633">
        <v>0.64446984606751201</v>
      </c>
      <c r="G5633">
        <v>0.354967039995705</v>
      </c>
      <c r="H5633">
        <v>0.35262811768376601</v>
      </c>
      <c r="I5633">
        <v>0.45949633916169003</v>
      </c>
      <c r="J5633">
        <v>0.63640467337932005</v>
      </c>
      <c r="K5633">
        <v>0.616749340755949</v>
      </c>
      <c r="L5633">
        <v>1606.2293051643701</v>
      </c>
      <c r="M5633">
        <v>35.561865293300798</v>
      </c>
      <c r="O5633">
        <v>45.0250803256803</v>
      </c>
      <c r="P5633">
        <v>-9.6218015057456904E-2</v>
      </c>
      <c r="Q5633">
        <v>0.51271300196137704</v>
      </c>
      <c r="R5633">
        <v>0.77077822596666401</v>
      </c>
      <c r="S5633" t="s">
        <v>11494</v>
      </c>
      <c r="T5633" t="s">
        <v>11720</v>
      </c>
      <c r="U5633" t="s">
        <v>11720</v>
      </c>
      <c r="V5633" t="s">
        <v>11720</v>
      </c>
      <c r="W5633" t="s">
        <v>17291</v>
      </c>
      <c r="X5633">
        <v>5</v>
      </c>
      <c r="Y5633" t="s">
        <v>22985</v>
      </c>
      <c r="Z5633" t="s">
        <v>28840</v>
      </c>
      <c r="AA5633">
        <v>0.5987280194837229</v>
      </c>
      <c r="AB5633" t="str">
        <f>HYPERLINK("Melting_Curves/meltCurve_Q9UPN6_SCAF8.pdf", "Melting_Curves/meltCurve_Q9UPN6_SCAF8.pdf")</f>
        <v>Melting_Curves/meltCurve_Q9UPN6_SCAF8.pdf</v>
      </c>
    </row>
    <row r="5634" spans="1:28" x14ac:dyDescent="0.25">
      <c r="A5634" t="s">
        <v>5638</v>
      </c>
      <c r="B5634">
        <v>0.99334974765950101</v>
      </c>
      <c r="C5634">
        <v>1.0522911419408401</v>
      </c>
      <c r="D5634">
        <v>1.1751411469906301</v>
      </c>
      <c r="E5634">
        <v>1.44290846177097</v>
      </c>
      <c r="F5634">
        <v>1.3071427063932199</v>
      </c>
      <c r="G5634">
        <v>0.65549699714529297</v>
      </c>
      <c r="H5634">
        <v>0.31337753381889699</v>
      </c>
      <c r="I5634">
        <v>0.196893162714911</v>
      </c>
      <c r="J5634">
        <v>0.14390820034357499</v>
      </c>
      <c r="K5634">
        <v>0.105478656058362</v>
      </c>
      <c r="L5634">
        <v>2761.6190822213198</v>
      </c>
      <c r="M5634">
        <v>47.872629998498198</v>
      </c>
      <c r="N5634">
        <v>58.188109669905799</v>
      </c>
      <c r="O5634">
        <v>57.586412890388402</v>
      </c>
      <c r="P5634">
        <v>-0.17271034364309201</v>
      </c>
      <c r="Q5634">
        <v>0.16898160087641101</v>
      </c>
      <c r="R5634">
        <v>0.85608313501591304</v>
      </c>
      <c r="S5634" t="s">
        <v>11495</v>
      </c>
      <c r="T5634" t="s">
        <v>11720</v>
      </c>
      <c r="U5634" t="s">
        <v>11720</v>
      </c>
      <c r="V5634" t="s">
        <v>11720</v>
      </c>
      <c r="W5634" t="s">
        <v>17292</v>
      </c>
      <c r="X5634">
        <v>8</v>
      </c>
      <c r="Y5634" t="s">
        <v>22986</v>
      </c>
      <c r="Z5634" t="s">
        <v>28841</v>
      </c>
      <c r="AA5634">
        <v>0.66121343410670841</v>
      </c>
      <c r="AB5634" t="str">
        <f>HYPERLINK("Melting_Curves/meltCurve_Q9UPN7_PPP6R1.pdf", "Melting_Curves/meltCurve_Q9UPN7_PPP6R1.pdf")</f>
        <v>Melting_Curves/meltCurve_Q9UPN7_PPP6R1.pdf</v>
      </c>
    </row>
    <row r="5635" spans="1:28" x14ac:dyDescent="0.25">
      <c r="A5635" t="s">
        <v>5639</v>
      </c>
      <c r="B5635">
        <v>0.99334974765950101</v>
      </c>
      <c r="C5635">
        <v>0.87646226678276995</v>
      </c>
      <c r="D5635">
        <v>0.81791869959696595</v>
      </c>
      <c r="E5635">
        <v>0.421253521359502</v>
      </c>
      <c r="F5635">
        <v>0.501919535898394</v>
      </c>
      <c r="G5635">
        <v>0.33881282511539701</v>
      </c>
      <c r="H5635">
        <v>0.37015079507535298</v>
      </c>
      <c r="I5635">
        <v>0.32942755913259097</v>
      </c>
      <c r="J5635">
        <v>0.33986285409436101</v>
      </c>
      <c r="K5635">
        <v>0.290210081880663</v>
      </c>
      <c r="L5635">
        <v>893.24355595837596</v>
      </c>
      <c r="M5635">
        <v>18.837035693882299</v>
      </c>
      <c r="N5635">
        <v>50.3036629727019</v>
      </c>
      <c r="O5635">
        <v>46.894804775502898</v>
      </c>
      <c r="P5635">
        <v>-6.7264820963553504E-2</v>
      </c>
      <c r="Q5635">
        <v>0.33020432091136498</v>
      </c>
      <c r="R5635">
        <v>0.95968140497091803</v>
      </c>
      <c r="S5635" t="s">
        <v>11496</v>
      </c>
      <c r="T5635" t="s">
        <v>11720</v>
      </c>
      <c r="U5635" t="s">
        <v>11720</v>
      </c>
      <c r="V5635" t="s">
        <v>11720</v>
      </c>
      <c r="W5635" t="s">
        <v>17293</v>
      </c>
      <c r="X5635">
        <v>7</v>
      </c>
      <c r="Y5635" t="s">
        <v>22987</v>
      </c>
      <c r="Z5635" t="s">
        <v>28842</v>
      </c>
      <c r="AA5635">
        <v>0.50685618875996963</v>
      </c>
      <c r="AB5635" t="str">
        <f>HYPERLINK("Melting_Curves/meltCurve_Q9UPN9_2_TRIM33.pdf", "Melting_Curves/meltCurve_Q9UPN9_2_TRIM33.pdf")</f>
        <v>Melting_Curves/meltCurve_Q9UPN9_2_TRIM33.pdf</v>
      </c>
    </row>
    <row r="5636" spans="1:28" x14ac:dyDescent="0.25">
      <c r="A5636" t="s">
        <v>5640</v>
      </c>
      <c r="B5636">
        <v>0.99334974765950101</v>
      </c>
      <c r="C5636">
        <v>0.85578770758135303</v>
      </c>
      <c r="D5636">
        <v>0.759688350267961</v>
      </c>
      <c r="E5636">
        <v>0.565368991656933</v>
      </c>
      <c r="F5636">
        <v>0.45352411237866602</v>
      </c>
      <c r="G5636">
        <v>0.33208912541299002</v>
      </c>
      <c r="H5636">
        <v>0.30202719470856798</v>
      </c>
      <c r="I5636">
        <v>0.23046746877633101</v>
      </c>
      <c r="J5636">
        <v>0.25813700255191202</v>
      </c>
      <c r="K5636">
        <v>0.1702216693086</v>
      </c>
      <c r="L5636">
        <v>549.96079778946603</v>
      </c>
      <c r="M5636">
        <v>11.0795175536412</v>
      </c>
      <c r="N5636">
        <v>51.7196710966167</v>
      </c>
      <c r="O5636">
        <v>48.102859086693897</v>
      </c>
      <c r="P5636">
        <v>-4.7237950434406803E-2</v>
      </c>
      <c r="Q5636">
        <v>0.17991555623078501</v>
      </c>
      <c r="R5636">
        <v>0.99114619311723196</v>
      </c>
      <c r="S5636" t="s">
        <v>11497</v>
      </c>
      <c r="T5636" t="s">
        <v>11720</v>
      </c>
      <c r="U5636" t="s">
        <v>11720</v>
      </c>
      <c r="V5636" t="s">
        <v>11720</v>
      </c>
      <c r="W5636" t="s">
        <v>17294</v>
      </c>
      <c r="X5636">
        <v>2</v>
      </c>
      <c r="Y5636" t="s">
        <v>22988</v>
      </c>
      <c r="Z5636" t="s">
        <v>28843</v>
      </c>
      <c r="AA5636">
        <v>0.4762224755758378</v>
      </c>
      <c r="AB5636" t="str">
        <f>HYPERLINK("Melting_Curves/meltCurve_Q9UPP5_2_KIAA1107.pdf", "Melting_Curves/meltCurve_Q9UPP5_2_KIAA1107.pdf")</f>
        <v>Melting_Curves/meltCurve_Q9UPP5_2_KIAA1107.pdf</v>
      </c>
    </row>
    <row r="5637" spans="1:28" x14ac:dyDescent="0.25">
      <c r="A5637" t="s">
        <v>5641</v>
      </c>
      <c r="B5637">
        <v>0.99334974765950101</v>
      </c>
      <c r="C5637">
        <v>0.97176382866803701</v>
      </c>
      <c r="D5637">
        <v>0.82531022816198096</v>
      </c>
      <c r="E5637">
        <v>0.71612200665749703</v>
      </c>
      <c r="F5637">
        <v>0.61326915072649701</v>
      </c>
      <c r="G5637">
        <v>0.496643763809058</v>
      </c>
      <c r="H5637">
        <v>0.43208563418587598</v>
      </c>
      <c r="I5637">
        <v>0.49746386555321798</v>
      </c>
      <c r="J5637">
        <v>0.48490261910544102</v>
      </c>
      <c r="K5637">
        <v>0.54094287494179205</v>
      </c>
      <c r="L5637">
        <v>806.75780384178802</v>
      </c>
      <c r="M5637">
        <v>16.506797068557098</v>
      </c>
      <c r="N5637">
        <v>60.5132374228874</v>
      </c>
      <c r="O5637">
        <v>48.173864898740803</v>
      </c>
      <c r="P5637">
        <v>-4.46247166206412E-2</v>
      </c>
      <c r="Q5637">
        <v>0.47910041567061201</v>
      </c>
      <c r="R5637">
        <v>0.97067553833662801</v>
      </c>
      <c r="S5637" t="s">
        <v>11498</v>
      </c>
      <c r="T5637" t="s">
        <v>11720</v>
      </c>
      <c r="U5637" t="s">
        <v>11720</v>
      </c>
      <c r="V5637" t="s">
        <v>11720</v>
      </c>
      <c r="W5637" t="s">
        <v>17295</v>
      </c>
      <c r="X5637">
        <v>4</v>
      </c>
      <c r="Y5637" t="s">
        <v>22989</v>
      </c>
      <c r="Z5637" t="s">
        <v>28844</v>
      </c>
      <c r="AA5637">
        <v>0.64392733338829655</v>
      </c>
      <c r="AB5637" t="str">
        <f>HYPERLINK("Melting_Curves/meltCurve_Q9UPQ9_1_TNRC6B.pdf", "Melting_Curves/meltCurve_Q9UPQ9_1_TNRC6B.pdf")</f>
        <v>Melting_Curves/meltCurve_Q9UPQ9_1_TNRC6B.pdf</v>
      </c>
    </row>
    <row r="5638" spans="1:28" x14ac:dyDescent="0.25">
      <c r="A5638" t="s">
        <v>5642</v>
      </c>
      <c r="B5638">
        <v>0.99334974765950101</v>
      </c>
      <c r="C5638">
        <v>1.24025235880785</v>
      </c>
      <c r="D5638">
        <v>0.92669510518444198</v>
      </c>
      <c r="E5638">
        <v>0.82140303163683803</v>
      </c>
      <c r="F5638">
        <v>0.64222430291016097</v>
      </c>
      <c r="G5638">
        <v>0.60970060730765896</v>
      </c>
      <c r="H5638">
        <v>0.272161173253195</v>
      </c>
      <c r="I5638">
        <v>0.68172989287287</v>
      </c>
      <c r="J5638">
        <v>0.188628041932308</v>
      </c>
      <c r="K5638">
        <v>0</v>
      </c>
      <c r="L5638">
        <v>568.25448634620102</v>
      </c>
      <c r="M5638">
        <v>9.6502061698256298</v>
      </c>
      <c r="N5638">
        <v>58.885214780088702</v>
      </c>
      <c r="O5638">
        <v>56.523295067245002</v>
      </c>
      <c r="P5638">
        <v>-4.2706210525461197E-2</v>
      </c>
      <c r="Q5638">
        <v>0</v>
      </c>
      <c r="R5638">
        <v>0.79868735978115701</v>
      </c>
      <c r="S5638" t="s">
        <v>11499</v>
      </c>
      <c r="T5638" t="s">
        <v>11720</v>
      </c>
      <c r="U5638" t="s">
        <v>11720</v>
      </c>
      <c r="V5638" t="s">
        <v>11720</v>
      </c>
      <c r="W5638" t="s">
        <v>17296</v>
      </c>
      <c r="X5638">
        <v>2</v>
      </c>
      <c r="Y5638" t="s">
        <v>22990</v>
      </c>
      <c r="Z5638" t="s">
        <v>28845</v>
      </c>
      <c r="AA5638">
        <v>0.63251118509364934</v>
      </c>
      <c r="AB5638" t="str">
        <f>HYPERLINK("Melting_Curves/meltCurve_Q9UPR3_SMG5.pdf", "Melting_Curves/meltCurve_Q9UPR3_SMG5.pdf")</f>
        <v>Melting_Curves/meltCurve_Q9UPR3_SMG5.pdf</v>
      </c>
    </row>
    <row r="5639" spans="1:28" x14ac:dyDescent="0.25">
      <c r="A5639" t="s">
        <v>5643</v>
      </c>
      <c r="B5639">
        <v>0.99334974765950101</v>
      </c>
      <c r="C5639">
        <v>0.971771511315631</v>
      </c>
      <c r="D5639">
        <v>1.0152679085202301</v>
      </c>
      <c r="E5639">
        <v>0.72196299051883905</v>
      </c>
      <c r="F5639">
        <v>0.299405245854719</v>
      </c>
      <c r="G5639">
        <v>0.23377916729622</v>
      </c>
      <c r="H5639">
        <v>0.16481814524428601</v>
      </c>
      <c r="I5639">
        <v>0.114141099818484</v>
      </c>
      <c r="J5639">
        <v>0.119684822279575</v>
      </c>
      <c r="K5639">
        <v>0.100998134632261</v>
      </c>
      <c r="L5639">
        <v>1833.7924037632799</v>
      </c>
      <c r="M5639">
        <v>35.949445932826002</v>
      </c>
      <c r="N5639">
        <v>51.478333896446898</v>
      </c>
      <c r="O5639">
        <v>50.853238097271799</v>
      </c>
      <c r="P5639">
        <v>-0.15209507453643001</v>
      </c>
      <c r="Q5639">
        <v>0.13940231412163001</v>
      </c>
      <c r="R5639">
        <v>0.99252610880130498</v>
      </c>
      <c r="S5639" t="s">
        <v>11500</v>
      </c>
      <c r="T5639" t="s">
        <v>11720</v>
      </c>
      <c r="U5639" t="s">
        <v>11720</v>
      </c>
      <c r="V5639" t="s">
        <v>11720</v>
      </c>
      <c r="W5639" t="s">
        <v>17297</v>
      </c>
      <c r="X5639">
        <v>17</v>
      </c>
      <c r="Y5639" t="s">
        <v>22991</v>
      </c>
      <c r="Z5639" t="s">
        <v>28846</v>
      </c>
      <c r="AA5639">
        <v>0.45901281577036918</v>
      </c>
      <c r="AB5639" t="str">
        <f>HYPERLINK("Melting_Curves/meltCurve_Q9UPT5_2_EXOC7.pdf", "Melting_Curves/meltCurve_Q9UPT5_2_EXOC7.pdf")</f>
        <v>Melting_Curves/meltCurve_Q9UPT5_2_EXOC7.pdf</v>
      </c>
    </row>
    <row r="5640" spans="1:28" x14ac:dyDescent="0.25">
      <c r="A5640" t="s">
        <v>5644</v>
      </c>
      <c r="B5640">
        <v>0.99334974765950101</v>
      </c>
      <c r="C5640">
        <v>0.97771864671612296</v>
      </c>
      <c r="D5640">
        <v>1.16729132244545</v>
      </c>
      <c r="E5640">
        <v>0.84653705459782502</v>
      </c>
      <c r="F5640">
        <v>0.45611404038758502</v>
      </c>
      <c r="G5640">
        <v>0.23514477423961699</v>
      </c>
      <c r="H5640">
        <v>0.146706721150417</v>
      </c>
      <c r="I5640">
        <v>0.104513749511516</v>
      </c>
      <c r="J5640">
        <v>0.131000475130642</v>
      </c>
      <c r="K5640">
        <v>0.12536101280218601</v>
      </c>
      <c r="L5640">
        <v>1797.6215723410701</v>
      </c>
      <c r="M5640">
        <v>34.373031115176502</v>
      </c>
      <c r="N5640">
        <v>52.780720011090402</v>
      </c>
      <c r="O5640">
        <v>52.121380381558403</v>
      </c>
      <c r="P5640">
        <v>-0.14261188730641799</v>
      </c>
      <c r="Q5640">
        <v>0.13500788497211699</v>
      </c>
      <c r="R5640">
        <v>0.97877682594747495</v>
      </c>
      <c r="S5640" t="s">
        <v>11501</v>
      </c>
      <c r="T5640" t="s">
        <v>11720</v>
      </c>
      <c r="U5640" t="s">
        <v>11720</v>
      </c>
      <c r="V5640" t="s">
        <v>11720</v>
      </c>
      <c r="W5640" t="s">
        <v>17298</v>
      </c>
      <c r="X5640">
        <v>7</v>
      </c>
      <c r="Y5640" t="s">
        <v>22992</v>
      </c>
      <c r="Z5640" t="s">
        <v>28847</v>
      </c>
      <c r="AA5640">
        <v>0.49381630947667249</v>
      </c>
      <c r="AB5640" t="str">
        <f>HYPERLINK("Melting_Curves/meltCurve_Q9UPU5_USP24.pdf", "Melting_Curves/meltCurve_Q9UPU5_USP24.pdf")</f>
        <v>Melting_Curves/meltCurve_Q9UPU5_USP24.pdf</v>
      </c>
    </row>
    <row r="5641" spans="1:28" x14ac:dyDescent="0.25">
      <c r="A5641" t="s">
        <v>5645</v>
      </c>
      <c r="B5641">
        <v>0.99334974765950101</v>
      </c>
      <c r="C5641">
        <v>0.90647143554456699</v>
      </c>
      <c r="D5641">
        <v>0.69826455991477399</v>
      </c>
      <c r="E5641">
        <v>0.44431003956424497</v>
      </c>
      <c r="F5641">
        <v>0.18810022735419499</v>
      </c>
      <c r="G5641">
        <v>0.115817912551903</v>
      </c>
      <c r="H5641">
        <v>7.9953908948750901E-2</v>
      </c>
      <c r="I5641">
        <v>5.2340585263391803E-2</v>
      </c>
      <c r="J5641">
        <v>4.9722775836819E-2</v>
      </c>
      <c r="K5641">
        <v>3.8815389875101101E-2</v>
      </c>
      <c r="L5641">
        <v>807.18465947219295</v>
      </c>
      <c r="M5641">
        <v>16.635750276862801</v>
      </c>
      <c r="N5641">
        <v>48.747999136575601</v>
      </c>
      <c r="O5641">
        <v>47.836220918285299</v>
      </c>
      <c r="P5641">
        <v>-8.3707632840736901E-2</v>
      </c>
      <c r="Q5641">
        <v>3.7257160785931498E-2</v>
      </c>
      <c r="R5641">
        <v>0.99647449278925304</v>
      </c>
      <c r="S5641" t="s">
        <v>11502</v>
      </c>
      <c r="T5641" t="s">
        <v>11720</v>
      </c>
      <c r="U5641" t="s">
        <v>11720</v>
      </c>
      <c r="V5641" t="s">
        <v>11720</v>
      </c>
      <c r="W5641" t="s">
        <v>17299</v>
      </c>
      <c r="X5641">
        <v>5</v>
      </c>
      <c r="Y5641" t="s">
        <v>22993</v>
      </c>
      <c r="Z5641" t="s">
        <v>28848</v>
      </c>
      <c r="AA5641">
        <v>0.33046378270123961</v>
      </c>
      <c r="AB5641" t="str">
        <f>HYPERLINK("Melting_Curves/meltCurve_Q9UPU7_2_TBC1D2B.pdf", "Melting_Curves/meltCurve_Q9UPU7_2_TBC1D2B.pdf")</f>
        <v>Melting_Curves/meltCurve_Q9UPU7_2_TBC1D2B.pdf</v>
      </c>
    </row>
    <row r="5642" spans="1:28" x14ac:dyDescent="0.25">
      <c r="A5642" t="s">
        <v>5646</v>
      </c>
      <c r="B5642">
        <v>0.99334974765950101</v>
      </c>
      <c r="C5642">
        <v>0.90169506539921196</v>
      </c>
      <c r="D5642">
        <v>0.79184277070914799</v>
      </c>
      <c r="E5642">
        <v>0.72792812709240295</v>
      </c>
      <c r="F5642">
        <v>0.22576607489243899</v>
      </c>
      <c r="G5642">
        <v>0.19133717934405101</v>
      </c>
      <c r="H5642">
        <v>0.14485745466761901</v>
      </c>
      <c r="I5642">
        <v>0.15635548100997701</v>
      </c>
      <c r="J5642">
        <v>0.134938561997308</v>
      </c>
      <c r="K5642">
        <v>8.3879783707306699E-2</v>
      </c>
      <c r="L5642">
        <v>970.61944532654195</v>
      </c>
      <c r="M5642">
        <v>19.286400345010499</v>
      </c>
      <c r="N5642">
        <v>50.961607942205497</v>
      </c>
      <c r="O5642">
        <v>49.794932216034098</v>
      </c>
      <c r="P5642">
        <v>-8.6490348140763895E-2</v>
      </c>
      <c r="Q5642">
        <v>0.10680705296458599</v>
      </c>
      <c r="R5642">
        <v>0.95800746425388605</v>
      </c>
      <c r="S5642" t="s">
        <v>11503</v>
      </c>
      <c r="T5642" t="s">
        <v>11720</v>
      </c>
      <c r="U5642" t="s">
        <v>11720</v>
      </c>
      <c r="V5642" t="s">
        <v>11720</v>
      </c>
      <c r="W5642" t="s">
        <v>17300</v>
      </c>
      <c r="X5642">
        <v>13</v>
      </c>
      <c r="Y5642" t="s">
        <v>22994</v>
      </c>
      <c r="Z5642" t="s">
        <v>28849</v>
      </c>
      <c r="AA5642">
        <v>0.42757878381879399</v>
      </c>
      <c r="AB5642" t="str">
        <f>HYPERLINK("Melting_Curves/meltCurve_Q9UPY8_MAPRE3.pdf", "Melting_Curves/meltCurve_Q9UPY8_MAPRE3.pdf")</f>
        <v>Melting_Curves/meltCurve_Q9UPY8_MAPRE3.pdf</v>
      </c>
    </row>
    <row r="5643" spans="1:28" x14ac:dyDescent="0.25">
      <c r="A5643" t="s">
        <v>5647</v>
      </c>
      <c r="B5643">
        <v>0.99334974765950101</v>
      </c>
      <c r="C5643">
        <v>0.92949724930280497</v>
      </c>
      <c r="D5643">
        <v>0.68961925556584203</v>
      </c>
      <c r="E5643">
        <v>0.28864678119563802</v>
      </c>
      <c r="F5643">
        <v>0.12102794213139099</v>
      </c>
      <c r="G5643">
        <v>0.102755052521394</v>
      </c>
      <c r="H5643">
        <v>7.3529346145363703E-2</v>
      </c>
      <c r="I5643">
        <v>6.1033560479273601E-2</v>
      </c>
      <c r="J5643">
        <v>3.82849011652973E-2</v>
      </c>
      <c r="K5643">
        <v>5.1377410845884902E-2</v>
      </c>
      <c r="L5643">
        <v>1086.41538299079</v>
      </c>
      <c r="M5643">
        <v>22.885298203519199</v>
      </c>
      <c r="N5643">
        <v>47.725158303236697</v>
      </c>
      <c r="O5643">
        <v>47.114156135945002</v>
      </c>
      <c r="P5643">
        <v>-0.114501552459294</v>
      </c>
      <c r="Q5643">
        <v>5.7116280597720302E-2</v>
      </c>
      <c r="R5643">
        <v>0.99882057958652504</v>
      </c>
      <c r="S5643" t="s">
        <v>11504</v>
      </c>
      <c r="T5643" t="s">
        <v>11720</v>
      </c>
      <c r="U5643" t="s">
        <v>11720</v>
      </c>
      <c r="V5643" t="s">
        <v>11720</v>
      </c>
      <c r="W5643" t="s">
        <v>17301</v>
      </c>
      <c r="X5643">
        <v>3</v>
      </c>
      <c r="Y5643" t="s">
        <v>22995</v>
      </c>
      <c r="Z5643" t="s">
        <v>28850</v>
      </c>
      <c r="AA5643">
        <v>0.30209193517089789</v>
      </c>
      <c r="AB5643" t="str">
        <f>HYPERLINK("Melting_Curves/meltCurve_Q9UPZ3_2_HPS5.pdf", "Melting_Curves/meltCurve_Q9UPZ3_2_HPS5.pdf")</f>
        <v>Melting_Curves/meltCurve_Q9UPZ3_2_HPS5.pdf</v>
      </c>
    </row>
    <row r="5644" spans="1:28" x14ac:dyDescent="0.25">
      <c r="A5644" t="s">
        <v>5648</v>
      </c>
      <c r="B5644">
        <v>0.99334974765950101</v>
      </c>
      <c r="C5644">
        <v>1.0551535766169</v>
      </c>
      <c r="D5644">
        <v>0.97820493215277404</v>
      </c>
      <c r="E5644">
        <v>0.73911153961098597</v>
      </c>
      <c r="F5644">
        <v>0.32044361782516401</v>
      </c>
      <c r="G5644">
        <v>0.19793339702523899</v>
      </c>
      <c r="H5644">
        <v>0.14697686294427401</v>
      </c>
      <c r="I5644">
        <v>0.14851483679466301</v>
      </c>
      <c r="J5644">
        <v>0.111425271439098</v>
      </c>
      <c r="K5644">
        <v>8.9459686414050693E-2</v>
      </c>
      <c r="L5644">
        <v>1757.39046894282</v>
      </c>
      <c r="M5644">
        <v>34.337406854216198</v>
      </c>
      <c r="N5644">
        <v>51.635909319617603</v>
      </c>
      <c r="O5644">
        <v>51.007405449836099</v>
      </c>
      <c r="P5644">
        <v>-0.14629142106198001</v>
      </c>
      <c r="Q5644">
        <v>0.13075357366040299</v>
      </c>
      <c r="R5644">
        <v>0.99488980667153504</v>
      </c>
      <c r="S5644" t="s">
        <v>11505</v>
      </c>
      <c r="T5644" t="s">
        <v>11720</v>
      </c>
      <c r="U5644" t="s">
        <v>11720</v>
      </c>
      <c r="V5644" t="s">
        <v>11720</v>
      </c>
      <c r="W5644" t="s">
        <v>17302</v>
      </c>
      <c r="X5644">
        <v>4</v>
      </c>
      <c r="Y5644" t="s">
        <v>22996</v>
      </c>
      <c r="Z5644" t="s">
        <v>28851</v>
      </c>
      <c r="AA5644">
        <v>0.45887511346182741</v>
      </c>
      <c r="AB5644" t="str">
        <f>HYPERLINK("Melting_Curves/meltCurve_Q9UQ13_2_SHOC2.pdf", "Melting_Curves/meltCurve_Q9UQ13_2_SHOC2.pdf")</f>
        <v>Melting_Curves/meltCurve_Q9UQ13_2_SHOC2.pdf</v>
      </c>
    </row>
    <row r="5645" spans="1:28" x14ac:dyDescent="0.25">
      <c r="A5645" t="s">
        <v>5649</v>
      </c>
      <c r="B5645">
        <v>0.99334974765950101</v>
      </c>
      <c r="C5645">
        <v>0.91690754632412996</v>
      </c>
      <c r="D5645">
        <v>0.74249723885542696</v>
      </c>
      <c r="E5645">
        <v>0.60665745406275495</v>
      </c>
      <c r="F5645">
        <v>0.45295518102205501</v>
      </c>
      <c r="G5645">
        <v>0.35004172828047297</v>
      </c>
      <c r="H5645">
        <v>0.31470221810009102</v>
      </c>
      <c r="I5645">
        <v>0.33157210370071699</v>
      </c>
      <c r="J5645">
        <v>0.31975325125232201</v>
      </c>
      <c r="K5645">
        <v>0.31267452806446699</v>
      </c>
      <c r="L5645">
        <v>707.61947198884604</v>
      </c>
      <c r="M5645">
        <v>14.607752584142901</v>
      </c>
      <c r="N5645">
        <v>51.680073982436703</v>
      </c>
      <c r="O5645">
        <v>47.5607014207772</v>
      </c>
      <c r="P5645">
        <v>-5.3768399411494999E-2</v>
      </c>
      <c r="Q5645">
        <v>0.29983035862303398</v>
      </c>
      <c r="R5645">
        <v>0.993323690941051</v>
      </c>
      <c r="S5645" t="s">
        <v>11506</v>
      </c>
      <c r="T5645" t="s">
        <v>11720</v>
      </c>
      <c r="U5645" t="s">
        <v>11720</v>
      </c>
      <c r="V5645" t="s">
        <v>11720</v>
      </c>
      <c r="W5645" t="s">
        <v>17303</v>
      </c>
      <c r="X5645">
        <v>21</v>
      </c>
      <c r="Y5645" t="s">
        <v>22997</v>
      </c>
      <c r="Z5645" t="s">
        <v>28852</v>
      </c>
      <c r="AA5645">
        <v>0.51543573922370545</v>
      </c>
      <c r="AB5645" t="str">
        <f>HYPERLINK("Melting_Curves/meltCurve_Q9UQ35_SRRM2.pdf", "Melting_Curves/meltCurve_Q9UQ35_SRRM2.pdf")</f>
        <v>Melting_Curves/meltCurve_Q9UQ35_SRRM2.pdf</v>
      </c>
    </row>
    <row r="5646" spans="1:28" x14ac:dyDescent="0.25">
      <c r="A5646" t="s">
        <v>5650</v>
      </c>
      <c r="B5646">
        <v>0.99334974765950101</v>
      </c>
      <c r="C5646">
        <v>1.0662091635453499</v>
      </c>
      <c r="D5646">
        <v>0.82643111746435904</v>
      </c>
      <c r="E5646">
        <v>0.462913963729984</v>
      </c>
      <c r="F5646">
        <v>0.15725680505567999</v>
      </c>
      <c r="G5646">
        <v>0.10878831597119901</v>
      </c>
      <c r="H5646">
        <v>7.9281905926398305E-2</v>
      </c>
      <c r="I5646">
        <v>7.1892048740889697E-2</v>
      </c>
      <c r="J5646">
        <v>6.1765147822299103E-2</v>
      </c>
      <c r="K5646">
        <v>5.62051966759834E-2</v>
      </c>
      <c r="L5646">
        <v>1282.0433756211601</v>
      </c>
      <c r="M5646">
        <v>26.0618652879187</v>
      </c>
      <c r="N5646">
        <v>49.457782279452097</v>
      </c>
      <c r="O5646">
        <v>48.905424000286899</v>
      </c>
      <c r="P5646">
        <v>-0.12453123283878099</v>
      </c>
      <c r="Q5646">
        <v>6.5272843221787197E-2</v>
      </c>
      <c r="R5646">
        <v>0.99264352237631304</v>
      </c>
      <c r="S5646" t="s">
        <v>11507</v>
      </c>
      <c r="T5646" t="s">
        <v>11720</v>
      </c>
      <c r="U5646" t="s">
        <v>11720</v>
      </c>
      <c r="V5646" t="s">
        <v>11720</v>
      </c>
      <c r="W5646" t="s">
        <v>17304</v>
      </c>
      <c r="X5646">
        <v>23</v>
      </c>
      <c r="Y5646" t="s">
        <v>22998</v>
      </c>
      <c r="Z5646" t="s">
        <v>28853</v>
      </c>
      <c r="AA5646">
        <v>0.35929887833683583</v>
      </c>
      <c r="AB5646" t="str">
        <f>HYPERLINK("Melting_Curves/meltCurve_Q9UQ80_PA2G4.pdf", "Melting_Curves/meltCurve_Q9UQ80_PA2G4.pdf")</f>
        <v>Melting_Curves/meltCurve_Q9UQ80_PA2G4.pdf</v>
      </c>
    </row>
    <row r="5647" spans="1:28" x14ac:dyDescent="0.25">
      <c r="A5647" t="s">
        <v>5651</v>
      </c>
      <c r="B5647">
        <v>0.99334974765950101</v>
      </c>
      <c r="C5647">
        <v>0.92154335036452495</v>
      </c>
      <c r="D5647">
        <v>0.78748108528298</v>
      </c>
      <c r="E5647">
        <v>0.62848916790769804</v>
      </c>
      <c r="F5647">
        <v>0.48098585318529202</v>
      </c>
      <c r="G5647">
        <v>0.36728955309953398</v>
      </c>
      <c r="H5647">
        <v>0.289823237709114</v>
      </c>
      <c r="I5647">
        <v>0.24308261655663399</v>
      </c>
      <c r="J5647">
        <v>0.22113859409237899</v>
      </c>
      <c r="K5647">
        <v>0.22209794643400699</v>
      </c>
      <c r="L5647">
        <v>598.63791583109105</v>
      </c>
      <c r="M5647">
        <v>11.835628749132701</v>
      </c>
      <c r="N5647">
        <v>52.676030116286299</v>
      </c>
      <c r="O5647">
        <v>49.200193817832499</v>
      </c>
      <c r="P5647">
        <v>-4.88556026342764E-2</v>
      </c>
      <c r="Q5647">
        <v>0.18784385233762699</v>
      </c>
      <c r="R5647">
        <v>0.99791586495628104</v>
      </c>
      <c r="S5647" t="s">
        <v>11508</v>
      </c>
      <c r="T5647" t="s">
        <v>11720</v>
      </c>
      <c r="U5647" t="s">
        <v>11720</v>
      </c>
      <c r="V5647" t="s">
        <v>11720</v>
      </c>
      <c r="W5647" t="s">
        <v>17305</v>
      </c>
      <c r="X5647">
        <v>7</v>
      </c>
      <c r="Y5647" t="s">
        <v>22999</v>
      </c>
      <c r="Z5647" t="s">
        <v>28854</v>
      </c>
      <c r="AA5647">
        <v>0.50197328616472514</v>
      </c>
      <c r="AB5647" t="str">
        <f>HYPERLINK("Melting_Curves/meltCurve_Q9UQB8_2_BAIAP2.pdf", "Melting_Curves/meltCurve_Q9UQB8_2_BAIAP2.pdf")</f>
        <v>Melting_Curves/meltCurve_Q9UQB8_2_BAIAP2.pdf</v>
      </c>
    </row>
    <row r="5648" spans="1:28" x14ac:dyDescent="0.25">
      <c r="A5648" t="s">
        <v>5652</v>
      </c>
      <c r="B5648">
        <v>0.99334974765950101</v>
      </c>
      <c r="C5648">
        <v>0.85435900253188202</v>
      </c>
      <c r="D5648">
        <v>0.64395993660526296</v>
      </c>
      <c r="E5648">
        <v>0.446402141245895</v>
      </c>
      <c r="F5648">
        <v>0.317152247879945</v>
      </c>
      <c r="G5648">
        <v>0.29105002796822899</v>
      </c>
      <c r="H5648">
        <v>0.19761690318359301</v>
      </c>
      <c r="I5648">
        <v>0.20814218132680801</v>
      </c>
      <c r="J5648">
        <v>0.17852775984865199</v>
      </c>
      <c r="K5648">
        <v>0.185378189404556</v>
      </c>
      <c r="L5648">
        <v>695.77562088555305</v>
      </c>
      <c r="M5648">
        <v>14.725757984995299</v>
      </c>
      <c r="N5648">
        <v>48.788234124218498</v>
      </c>
      <c r="O5648">
        <v>46.403214837577202</v>
      </c>
      <c r="P5648">
        <v>-6.4601204833742099E-2</v>
      </c>
      <c r="Q5648">
        <v>0.18581373063366499</v>
      </c>
      <c r="R5648">
        <v>0.99278026956004695</v>
      </c>
      <c r="S5648" t="s">
        <v>11509</v>
      </c>
      <c r="T5648" t="s">
        <v>11720</v>
      </c>
      <c r="U5648" t="s">
        <v>11720</v>
      </c>
      <c r="V5648" t="s">
        <v>11720</v>
      </c>
      <c r="W5648" t="s">
        <v>17306</v>
      </c>
      <c r="X5648">
        <v>2</v>
      </c>
      <c r="Y5648" t="s">
        <v>23000</v>
      </c>
      <c r="Z5648" t="s">
        <v>28855</v>
      </c>
      <c r="AA5648">
        <v>0.40517021247723839</v>
      </c>
      <c r="AB5648" t="str">
        <f>HYPERLINK("Melting_Curves/meltCurve_Q9UQC2_2_GAB2.pdf", "Melting_Curves/meltCurve_Q9UQC2_2_GAB2.pdf")</f>
        <v>Melting_Curves/meltCurve_Q9UQC2_2_GAB2.pdf</v>
      </c>
    </row>
    <row r="5649" spans="1:28" x14ac:dyDescent="0.25">
      <c r="A5649" t="s">
        <v>5653</v>
      </c>
      <c r="B5649">
        <v>0.99334974765950101</v>
      </c>
      <c r="C5649">
        <v>1.0434107733883999</v>
      </c>
      <c r="D5649">
        <v>0.89115251295303299</v>
      </c>
      <c r="E5649">
        <v>0.794781974774593</v>
      </c>
      <c r="F5649">
        <v>0.72770889382258597</v>
      </c>
      <c r="G5649">
        <v>0.50000447578746698</v>
      </c>
      <c r="H5649">
        <v>0.37893205612251502</v>
      </c>
      <c r="I5649">
        <v>0.336155821332422</v>
      </c>
      <c r="J5649">
        <v>0.35581595592673798</v>
      </c>
      <c r="K5649">
        <v>0.26888516481193397</v>
      </c>
      <c r="L5649">
        <v>710.98056927239304</v>
      </c>
      <c r="M5649">
        <v>13.0985895239151</v>
      </c>
      <c r="N5649">
        <v>57.387877161322102</v>
      </c>
      <c r="O5649">
        <v>53.0607958713668</v>
      </c>
      <c r="P5649">
        <v>-4.60431154237642E-2</v>
      </c>
      <c r="Q5649">
        <v>0.25406772851486298</v>
      </c>
      <c r="R5649">
        <v>0.98510297184333695</v>
      </c>
      <c r="S5649" t="s">
        <v>11510</v>
      </c>
      <c r="T5649" t="s">
        <v>11720</v>
      </c>
      <c r="U5649" t="s">
        <v>11720</v>
      </c>
      <c r="V5649" t="s">
        <v>11720</v>
      </c>
      <c r="W5649" t="s">
        <v>17307</v>
      </c>
      <c r="X5649">
        <v>9</v>
      </c>
      <c r="Y5649" t="s">
        <v>23001</v>
      </c>
      <c r="Z5649" t="s">
        <v>28856</v>
      </c>
      <c r="AA5649">
        <v>0.62658462253284197</v>
      </c>
      <c r="AB5649" t="str">
        <f>HYPERLINK("Melting_Curves/meltCurve_Q9UQN3_CHMP2B.pdf", "Melting_Curves/meltCurve_Q9UQN3_CHMP2B.pdf")</f>
        <v>Melting_Curves/meltCurve_Q9UQN3_CHMP2B.pdf</v>
      </c>
    </row>
    <row r="5650" spans="1:28" x14ac:dyDescent="0.25">
      <c r="A5650" t="s">
        <v>5654</v>
      </c>
      <c r="B5650">
        <v>0.99334974765950101</v>
      </c>
      <c r="C5650">
        <v>0.96922991116177903</v>
      </c>
      <c r="D5650">
        <v>0.97907917738757899</v>
      </c>
      <c r="E5650">
        <v>0.68047327338368901</v>
      </c>
      <c r="F5650">
        <v>0.34790214726139301</v>
      </c>
      <c r="G5650">
        <v>0.24684691555309099</v>
      </c>
      <c r="H5650">
        <v>0.22545659305262999</v>
      </c>
      <c r="I5650">
        <v>0.32953473703027197</v>
      </c>
      <c r="J5650">
        <v>0.219122975107366</v>
      </c>
      <c r="K5650">
        <v>0.19822323302429501</v>
      </c>
      <c r="L5650">
        <v>1877.1936487983101</v>
      </c>
      <c r="M5650">
        <v>37.229381754965097</v>
      </c>
      <c r="N5650">
        <v>51.331974587886897</v>
      </c>
      <c r="O5650">
        <v>50.2775653590435</v>
      </c>
      <c r="P5650">
        <v>-0.14041367741438801</v>
      </c>
      <c r="Q5650">
        <v>0.241498428327032</v>
      </c>
      <c r="R5650">
        <v>0.989550485787975</v>
      </c>
      <c r="S5650" t="s">
        <v>11511</v>
      </c>
      <c r="T5650" t="s">
        <v>11720</v>
      </c>
      <c r="U5650" t="s">
        <v>11720</v>
      </c>
      <c r="V5650" t="s">
        <v>11720</v>
      </c>
      <c r="W5650" t="s">
        <v>17308</v>
      </c>
      <c r="X5650">
        <v>15</v>
      </c>
      <c r="Y5650" t="s">
        <v>23002</v>
      </c>
      <c r="Z5650" t="s">
        <v>28857</v>
      </c>
      <c r="AA5650">
        <v>0.50806718653128102</v>
      </c>
      <c r="AB5650" t="str">
        <f>HYPERLINK("Melting_Curves/meltCurve_Q9Y217_MTMR6.pdf", "Melting_Curves/meltCurve_Q9Y217_MTMR6.pdf")</f>
        <v>Melting_Curves/meltCurve_Q9Y217_MTMR6.pdf</v>
      </c>
    </row>
    <row r="5651" spans="1:28" x14ac:dyDescent="0.25">
      <c r="A5651" t="s">
        <v>5655</v>
      </c>
      <c r="B5651">
        <v>0.99334974765950101</v>
      </c>
      <c r="C5651">
        <v>1.0212221120016101</v>
      </c>
      <c r="D5651">
        <v>1.24304988327424</v>
      </c>
      <c r="E5651">
        <v>1.83899741771016</v>
      </c>
      <c r="F5651">
        <v>1.06642723400536</v>
      </c>
      <c r="G5651">
        <v>0.39628001229959597</v>
      </c>
      <c r="H5651">
        <v>0.20143104916021701</v>
      </c>
      <c r="I5651">
        <v>0.18197564265528299</v>
      </c>
      <c r="J5651">
        <v>0.123555688525108</v>
      </c>
      <c r="K5651">
        <v>0.11157241563159601</v>
      </c>
      <c r="L5651">
        <v>13463.330663287799</v>
      </c>
      <c r="M5651">
        <v>237.114419987302</v>
      </c>
      <c r="N5651">
        <v>56.868628059607197</v>
      </c>
      <c r="O5651">
        <v>56.7758739446042</v>
      </c>
      <c r="P5651">
        <v>-0.88263118328758705</v>
      </c>
      <c r="Q5651">
        <v>0.15463367603550801</v>
      </c>
      <c r="R5651">
        <v>0.75825271848922204</v>
      </c>
      <c r="S5651" t="s">
        <v>11512</v>
      </c>
      <c r="T5651" t="s">
        <v>11720</v>
      </c>
      <c r="U5651" t="s">
        <v>11720</v>
      </c>
      <c r="V5651" t="s">
        <v>11720</v>
      </c>
      <c r="W5651" t="s">
        <v>17309</v>
      </c>
      <c r="X5651">
        <v>6</v>
      </c>
      <c r="Y5651" t="s">
        <v>23003</v>
      </c>
      <c r="Z5651" t="s">
        <v>28858</v>
      </c>
      <c r="AA5651">
        <v>0.62756578337559232</v>
      </c>
      <c r="AB5651" t="str">
        <f>HYPERLINK("Melting_Curves/meltCurve_Q9Y223_3_GNE.pdf", "Melting_Curves/meltCurve_Q9Y223_3_GNE.pdf")</f>
        <v>Melting_Curves/meltCurve_Q9Y223_3_GNE.pdf</v>
      </c>
    </row>
    <row r="5652" spans="1:28" x14ac:dyDescent="0.25">
      <c r="A5652" t="s">
        <v>5656</v>
      </c>
      <c r="B5652">
        <v>0.99334974765950101</v>
      </c>
      <c r="C5652">
        <v>0.99044442644945196</v>
      </c>
      <c r="D5652">
        <v>0.90281005767056499</v>
      </c>
      <c r="E5652">
        <v>0.84054052466982498</v>
      </c>
      <c r="F5652">
        <v>0.80722487043675895</v>
      </c>
      <c r="G5652">
        <v>0.569064462000203</v>
      </c>
      <c r="H5652">
        <v>0.49978479261039599</v>
      </c>
      <c r="I5652">
        <v>0.41118976135735602</v>
      </c>
      <c r="J5652">
        <v>0.29401799833660403</v>
      </c>
      <c r="K5652">
        <v>0.20043809334766699</v>
      </c>
      <c r="L5652">
        <v>517.76722327375705</v>
      </c>
      <c r="M5652">
        <v>8.5889689625840795</v>
      </c>
      <c r="N5652">
        <v>60.282812984549302</v>
      </c>
      <c r="O5652">
        <v>57.281844861826499</v>
      </c>
      <c r="P5652">
        <v>-3.75180388016556E-2</v>
      </c>
      <c r="Q5652">
        <v>0</v>
      </c>
      <c r="R5652">
        <v>0.98840382434573304</v>
      </c>
      <c r="S5652" t="s">
        <v>11513</v>
      </c>
      <c r="T5652" t="s">
        <v>11720</v>
      </c>
      <c r="U5652" t="s">
        <v>11720</v>
      </c>
      <c r="V5652" t="s">
        <v>11720</v>
      </c>
      <c r="W5652" t="s">
        <v>17310</v>
      </c>
      <c r="X5652">
        <v>10</v>
      </c>
      <c r="Y5652" t="s">
        <v>23004</v>
      </c>
      <c r="Z5652" t="s">
        <v>28859</v>
      </c>
      <c r="AA5652">
        <v>0.66223460632446318</v>
      </c>
      <c r="AB5652" t="str">
        <f>HYPERLINK("Melting_Curves/meltCurve_Q9Y224_C14orf166.pdf", "Melting_Curves/meltCurve_Q9Y224_C14orf166.pdf")</f>
        <v>Melting_Curves/meltCurve_Q9Y224_C14orf166.pdf</v>
      </c>
    </row>
    <row r="5653" spans="1:28" x14ac:dyDescent="0.25">
      <c r="A5653" t="s">
        <v>5657</v>
      </c>
      <c r="B5653">
        <v>0.99334974765950101</v>
      </c>
      <c r="C5653">
        <v>0.93145123684763897</v>
      </c>
      <c r="D5653">
        <v>0.83888051253732898</v>
      </c>
      <c r="E5653">
        <v>0.88440685297156296</v>
      </c>
      <c r="F5653">
        <v>1.0574156967539701</v>
      </c>
      <c r="G5653">
        <v>1.91828018217601</v>
      </c>
      <c r="H5653">
        <v>1.58766784663317</v>
      </c>
      <c r="I5653">
        <v>1.3133417206255</v>
      </c>
      <c r="J5653">
        <v>0.27775260357262699</v>
      </c>
      <c r="K5653">
        <v>0.19967996043886899</v>
      </c>
      <c r="L5653">
        <v>15000</v>
      </c>
      <c r="M5653">
        <v>226.08388451340201</v>
      </c>
      <c r="N5653">
        <v>66.496273334465997</v>
      </c>
      <c r="O5653">
        <v>66.341866742349197</v>
      </c>
      <c r="P5653">
        <v>-0.68245636310953295</v>
      </c>
      <c r="Q5653">
        <v>0.198962328694063</v>
      </c>
      <c r="R5653">
        <v>0.465501319932761</v>
      </c>
      <c r="S5653" t="s">
        <v>11514</v>
      </c>
      <c r="T5653" t="s">
        <v>11720</v>
      </c>
      <c r="U5653" t="s">
        <v>11720</v>
      </c>
      <c r="V5653" t="s">
        <v>11720</v>
      </c>
      <c r="W5653" t="s">
        <v>17311</v>
      </c>
      <c r="X5653">
        <v>26</v>
      </c>
      <c r="Y5653" t="s">
        <v>23005</v>
      </c>
      <c r="Z5653" t="s">
        <v>28860</v>
      </c>
      <c r="AA5653">
        <v>0.90257577854201521</v>
      </c>
      <c r="AB5653" t="str">
        <f>HYPERLINK("Melting_Curves/meltCurve_Q9Y230_RUVBL2.pdf", "Melting_Curves/meltCurve_Q9Y230_RUVBL2.pdf")</f>
        <v>Melting_Curves/meltCurve_Q9Y230_RUVBL2.pdf</v>
      </c>
    </row>
    <row r="5654" spans="1:28" x14ac:dyDescent="0.25">
      <c r="A5654" t="s">
        <v>5658</v>
      </c>
      <c r="B5654">
        <v>0.99334974765950101</v>
      </c>
      <c r="C5654">
        <v>1.00304095934645</v>
      </c>
      <c r="D5654">
        <v>0.82412160823768399</v>
      </c>
      <c r="E5654">
        <v>0.74734425917403402</v>
      </c>
      <c r="F5654">
        <v>0.57159132370086196</v>
      </c>
      <c r="G5654">
        <v>0.36598418160241297</v>
      </c>
      <c r="H5654">
        <v>0.242312575287355</v>
      </c>
      <c r="I5654">
        <v>0.23710819743043501</v>
      </c>
      <c r="J5654">
        <v>0.22855583376938199</v>
      </c>
      <c r="K5654">
        <v>0.20982874942261001</v>
      </c>
      <c r="L5654">
        <v>727.21699635641505</v>
      </c>
      <c r="M5654">
        <v>13.883969007909</v>
      </c>
      <c r="N5654">
        <v>54.053253507225499</v>
      </c>
      <c r="O5654">
        <v>51.3274536549903</v>
      </c>
      <c r="P5654">
        <v>-5.5809293227135001E-2</v>
      </c>
      <c r="Q5654">
        <v>0.174830486327892</v>
      </c>
      <c r="R5654">
        <v>0.99023171923103004</v>
      </c>
      <c r="S5654" t="s">
        <v>11515</v>
      </c>
      <c r="T5654" t="s">
        <v>11720</v>
      </c>
      <c r="U5654" t="s">
        <v>11720</v>
      </c>
      <c r="V5654" t="s">
        <v>11720</v>
      </c>
      <c r="W5654" t="s">
        <v>17312</v>
      </c>
      <c r="X5654">
        <v>6</v>
      </c>
      <c r="Y5654" t="s">
        <v>23006</v>
      </c>
      <c r="Z5654" t="s">
        <v>28861</v>
      </c>
      <c r="AA5654">
        <v>0.53563393375612711</v>
      </c>
      <c r="AB5654" t="str">
        <f>HYPERLINK("Melting_Curves/meltCurve_Q9Y237_PIN4.pdf", "Melting_Curves/meltCurve_Q9Y237_PIN4.pdf")</f>
        <v>Melting_Curves/meltCurve_Q9Y237_PIN4.pdf</v>
      </c>
    </row>
    <row r="5655" spans="1:28" x14ac:dyDescent="0.25">
      <c r="A5655" t="s">
        <v>5659</v>
      </c>
      <c r="B5655">
        <v>0.99334974765950101</v>
      </c>
      <c r="C5655">
        <v>0.96127111489211803</v>
      </c>
      <c r="D5655">
        <v>0.99757632526436102</v>
      </c>
      <c r="E5655">
        <v>1.1482439074761099</v>
      </c>
      <c r="F5655">
        <v>1.04612659193785</v>
      </c>
      <c r="G5655">
        <v>1.3177803651334601</v>
      </c>
      <c r="H5655">
        <v>1.2040230542056201</v>
      </c>
      <c r="I5655">
        <v>2.14503786522444</v>
      </c>
      <c r="J5655">
        <v>1.35662025442434</v>
      </c>
      <c r="K5655">
        <v>0.86517521289687904</v>
      </c>
      <c r="L5655">
        <v>2043.42252506621</v>
      </c>
      <c r="M5655">
        <v>37.0656361377998</v>
      </c>
      <c r="O5655">
        <v>54.970102188459002</v>
      </c>
      <c r="P5655">
        <v>6.7095376404272405E-2</v>
      </c>
      <c r="Q5655">
        <v>1.3980214270315099</v>
      </c>
      <c r="R5655">
        <v>0.254591515528585</v>
      </c>
      <c r="S5655" t="s">
        <v>11516</v>
      </c>
      <c r="T5655" t="s">
        <v>11720</v>
      </c>
      <c r="U5655" t="s">
        <v>11720</v>
      </c>
      <c r="V5655" t="s">
        <v>11720</v>
      </c>
      <c r="W5655" t="s">
        <v>17313</v>
      </c>
      <c r="X5655">
        <v>1</v>
      </c>
      <c r="Y5655" t="s">
        <v>23007</v>
      </c>
      <c r="Z5655" t="s">
        <v>28862</v>
      </c>
      <c r="AA5655">
        <v>1.195531602701049</v>
      </c>
      <c r="AB5655" t="str">
        <f>HYPERLINK("Melting_Curves/meltCurve_Q9Y241_HIGD1A.pdf", "Melting_Curves/meltCurve_Q9Y241_HIGD1A.pdf")</f>
        <v>Melting_Curves/meltCurve_Q9Y241_HIGD1A.pdf</v>
      </c>
    </row>
    <row r="5656" spans="1:28" x14ac:dyDescent="0.25">
      <c r="A5656" t="s">
        <v>5660</v>
      </c>
      <c r="B5656">
        <v>0.99334974765950101</v>
      </c>
      <c r="C5656">
        <v>0.89298620032651599</v>
      </c>
      <c r="D5656">
        <v>0.82176939924231795</v>
      </c>
      <c r="E5656">
        <v>0.68279591029237297</v>
      </c>
      <c r="F5656">
        <v>0.52739466918253297</v>
      </c>
      <c r="G5656">
        <v>0.21428493419417799</v>
      </c>
      <c r="H5656">
        <v>0.11306639720915899</v>
      </c>
      <c r="I5656">
        <v>9.1339865438160001E-2</v>
      </c>
      <c r="J5656">
        <v>0.107487427873981</v>
      </c>
      <c r="K5656">
        <v>9.5368955540173106E-2</v>
      </c>
      <c r="L5656">
        <v>698.53085563748198</v>
      </c>
      <c r="M5656">
        <v>13.3795302605297</v>
      </c>
      <c r="N5656">
        <v>52.464443103889103</v>
      </c>
      <c r="O5656">
        <v>51.0839832462038</v>
      </c>
      <c r="P5656">
        <v>-6.3422766669291405E-2</v>
      </c>
      <c r="Q5656">
        <v>3.1542699942690003E-2</v>
      </c>
      <c r="R5656">
        <v>0.98684319891371397</v>
      </c>
      <c r="S5656" t="s">
        <v>11517</v>
      </c>
      <c r="T5656" t="s">
        <v>11720</v>
      </c>
      <c r="U5656" t="s">
        <v>11720</v>
      </c>
      <c r="V5656" t="s">
        <v>11720</v>
      </c>
      <c r="W5656" t="s">
        <v>17314</v>
      </c>
      <c r="X5656">
        <v>9</v>
      </c>
      <c r="Y5656" t="s">
        <v>23008</v>
      </c>
      <c r="Z5656" t="s">
        <v>28863</v>
      </c>
      <c r="AA5656">
        <v>0.45100114371783079</v>
      </c>
      <c r="AB5656" t="str">
        <f>HYPERLINK("Melting_Curves/meltCurve_Q9Y243_2_AKT3.pdf", "Melting_Curves/meltCurve_Q9Y243_2_AKT3.pdf")</f>
        <v>Melting_Curves/meltCurve_Q9Y243_2_AKT3.pdf</v>
      </c>
    </row>
    <row r="5657" spans="1:28" x14ac:dyDescent="0.25">
      <c r="A5657" t="s">
        <v>5661</v>
      </c>
      <c r="B5657">
        <v>0.99334974765950101</v>
      </c>
      <c r="C5657">
        <v>0.94710731672009196</v>
      </c>
      <c r="D5657">
        <v>0.77873319348803605</v>
      </c>
      <c r="E5657">
        <v>0.67748384293252695</v>
      </c>
      <c r="F5657">
        <v>0.44428304947158198</v>
      </c>
      <c r="G5657">
        <v>0.49815385861999101</v>
      </c>
      <c r="H5657">
        <v>0.37224059389876302</v>
      </c>
      <c r="I5657">
        <v>0.405819831503969</v>
      </c>
      <c r="J5657">
        <v>0.33070956768041199</v>
      </c>
      <c r="K5657">
        <v>0.31976294856713</v>
      </c>
      <c r="L5657">
        <v>661.34356235148596</v>
      </c>
      <c r="M5657">
        <v>13.431475642316499</v>
      </c>
      <c r="N5657">
        <v>53.708087340600798</v>
      </c>
      <c r="O5657">
        <v>48.185306195600099</v>
      </c>
      <c r="P5657">
        <v>-4.6244091840856601E-2</v>
      </c>
      <c r="Q5657">
        <v>0.336502012615498</v>
      </c>
      <c r="R5657">
        <v>0.968597772959507</v>
      </c>
      <c r="S5657" t="s">
        <v>11518</v>
      </c>
      <c r="T5657" t="s">
        <v>11720</v>
      </c>
      <c r="U5657" t="s">
        <v>11720</v>
      </c>
      <c r="V5657" t="s">
        <v>11720</v>
      </c>
      <c r="W5657" t="s">
        <v>17315</v>
      </c>
      <c r="X5657">
        <v>1</v>
      </c>
      <c r="Y5657" t="s">
        <v>23009</v>
      </c>
      <c r="Z5657" t="s">
        <v>28864</v>
      </c>
      <c r="AA5657">
        <v>0.56064809678899807</v>
      </c>
      <c r="AB5657" t="str">
        <f>HYPERLINK("Melting_Curves/meltCurve_Q9Y244_POMP.pdf", "Melting_Curves/meltCurve_Q9Y244_POMP.pdf")</f>
        <v>Melting_Curves/meltCurve_Q9Y244_POMP.pdf</v>
      </c>
    </row>
    <row r="5658" spans="1:28" x14ac:dyDescent="0.25">
      <c r="A5658" t="s">
        <v>5662</v>
      </c>
      <c r="B5658">
        <v>0.99334974765950101</v>
      </c>
      <c r="C5658">
        <v>1.13871829998869</v>
      </c>
      <c r="D5658">
        <v>0.84702142005233005</v>
      </c>
      <c r="E5658">
        <v>0.68594021331340005</v>
      </c>
      <c r="F5658">
        <v>0.57961697586208305</v>
      </c>
      <c r="G5658">
        <v>0.32871566430176202</v>
      </c>
      <c r="H5658">
        <v>0.39699909309291898</v>
      </c>
      <c r="I5658">
        <v>0.34694729642211702</v>
      </c>
      <c r="J5658">
        <v>0.365563446825795</v>
      </c>
      <c r="K5658">
        <v>0.36733218992386202</v>
      </c>
      <c r="L5658">
        <v>1028.13449703988</v>
      </c>
      <c r="M5658">
        <v>20.4371108691081</v>
      </c>
      <c r="N5658">
        <v>53.491632665596597</v>
      </c>
      <c r="O5658">
        <v>49.833000906027003</v>
      </c>
      <c r="P5658">
        <v>-6.6451636883517101E-2</v>
      </c>
      <c r="Q5658">
        <v>0.35188773674356899</v>
      </c>
      <c r="R5658">
        <v>0.94981503142087398</v>
      </c>
      <c r="S5658" t="s">
        <v>11519</v>
      </c>
      <c r="T5658" t="s">
        <v>11720</v>
      </c>
      <c r="U5658" t="s">
        <v>11720</v>
      </c>
      <c r="V5658" t="s">
        <v>11720</v>
      </c>
      <c r="W5658" t="s">
        <v>17316</v>
      </c>
      <c r="X5658">
        <v>2</v>
      </c>
      <c r="Y5658" t="s">
        <v>23010</v>
      </c>
      <c r="Z5658" t="s">
        <v>28865</v>
      </c>
      <c r="AA5658">
        <v>0.58320709594540909</v>
      </c>
      <c r="AB5658" t="str">
        <f>HYPERLINK("Melting_Curves/meltCurve_Q9Y257_KCNK6.pdf", "Melting_Curves/meltCurve_Q9Y257_KCNK6.pdf")</f>
        <v>Melting_Curves/meltCurve_Q9Y257_KCNK6.pdf</v>
      </c>
    </row>
    <row r="5659" spans="1:28" x14ac:dyDescent="0.25">
      <c r="A5659" t="s">
        <v>5663</v>
      </c>
      <c r="B5659">
        <v>0.99334974765950101</v>
      </c>
      <c r="C5659">
        <v>0.97468631397719596</v>
      </c>
      <c r="D5659">
        <v>0.95476324259646805</v>
      </c>
      <c r="E5659">
        <v>0.84478459800376204</v>
      </c>
      <c r="F5659">
        <v>0.61040193110071395</v>
      </c>
      <c r="G5659">
        <v>0.47334624487469601</v>
      </c>
      <c r="H5659">
        <v>0.265573170575371</v>
      </c>
      <c r="I5659">
        <v>0.22565809889203101</v>
      </c>
      <c r="J5659">
        <v>0.19343176908342699</v>
      </c>
      <c r="K5659">
        <v>0.175983373659861</v>
      </c>
      <c r="L5659">
        <v>810.06832287373402</v>
      </c>
      <c r="M5659">
        <v>14.8859641069101</v>
      </c>
      <c r="N5659">
        <v>55.680508363399497</v>
      </c>
      <c r="O5659">
        <v>53.4645144198686</v>
      </c>
      <c r="P5659">
        <v>-5.9644689998078697E-2</v>
      </c>
      <c r="Q5659">
        <v>0.14320833723323101</v>
      </c>
      <c r="R5659">
        <v>0.99537636947777297</v>
      </c>
      <c r="S5659" t="s">
        <v>11520</v>
      </c>
      <c r="T5659" t="s">
        <v>11720</v>
      </c>
      <c r="U5659" t="s">
        <v>11720</v>
      </c>
      <c r="V5659" t="s">
        <v>11720</v>
      </c>
      <c r="W5659" t="s">
        <v>17317</v>
      </c>
      <c r="X5659">
        <v>8</v>
      </c>
      <c r="Y5659" t="s">
        <v>23011</v>
      </c>
      <c r="Z5659" t="s">
        <v>28866</v>
      </c>
      <c r="AA5659">
        <v>0.57230758503314993</v>
      </c>
      <c r="AB5659" t="str">
        <f>HYPERLINK("Melting_Curves/meltCurve_Q9Y259_CHKB.pdf", "Melting_Curves/meltCurve_Q9Y259_CHKB.pdf")</f>
        <v>Melting_Curves/meltCurve_Q9Y259_CHKB.pdf</v>
      </c>
    </row>
    <row r="5660" spans="1:28" x14ac:dyDescent="0.25">
      <c r="A5660" t="s">
        <v>5664</v>
      </c>
      <c r="B5660">
        <v>0.99334974765950101</v>
      </c>
      <c r="C5660">
        <v>0.93710266776309303</v>
      </c>
      <c r="D5660">
        <v>0.90194184177926096</v>
      </c>
      <c r="E5660">
        <v>0.49355178303292502</v>
      </c>
      <c r="F5660">
        <v>0.19017198107063099</v>
      </c>
      <c r="G5660">
        <v>0.116042984991263</v>
      </c>
      <c r="H5660">
        <v>9.2302803406613898E-2</v>
      </c>
      <c r="I5660">
        <v>7.5659604847502601E-2</v>
      </c>
      <c r="J5660">
        <v>7.7144415194309604E-2</v>
      </c>
      <c r="K5660">
        <v>5.8826868342456498E-2</v>
      </c>
      <c r="L5660">
        <v>1336.32752680005</v>
      </c>
      <c r="M5660">
        <v>26.960607231164602</v>
      </c>
      <c r="N5660">
        <v>49.862877344805597</v>
      </c>
      <c r="O5660">
        <v>49.295626740313899</v>
      </c>
      <c r="P5660">
        <v>-0.12658991011526999</v>
      </c>
      <c r="Q5660">
        <v>7.4164961649472297E-2</v>
      </c>
      <c r="R5660">
        <v>0.99747676492191395</v>
      </c>
      <c r="S5660" t="s">
        <v>11521</v>
      </c>
      <c r="T5660" t="s">
        <v>11720</v>
      </c>
      <c r="U5660" t="s">
        <v>11720</v>
      </c>
      <c r="V5660" t="s">
        <v>11720</v>
      </c>
      <c r="W5660" t="s">
        <v>17318</v>
      </c>
      <c r="X5660">
        <v>30</v>
      </c>
      <c r="Y5660" t="s">
        <v>23012</v>
      </c>
      <c r="Z5660" t="s">
        <v>28867</v>
      </c>
      <c r="AA5660">
        <v>0.37644839161121818</v>
      </c>
      <c r="AB5660" t="str">
        <f>HYPERLINK("Melting_Curves/meltCurve_Q9Y263_PLAA.pdf", "Melting_Curves/meltCurve_Q9Y263_PLAA.pdf")</f>
        <v>Melting_Curves/meltCurve_Q9Y263_PLAA.pdf</v>
      </c>
    </row>
    <row r="5661" spans="1:28" x14ac:dyDescent="0.25">
      <c r="A5661" t="s">
        <v>5665</v>
      </c>
      <c r="B5661">
        <v>0.99334974765950101</v>
      </c>
      <c r="C5661">
        <v>0.99525787686324496</v>
      </c>
      <c r="D5661">
        <v>0.90954802890278497</v>
      </c>
      <c r="E5661">
        <v>1.11413257757996</v>
      </c>
      <c r="F5661">
        <v>1.23938755390869</v>
      </c>
      <c r="G5661">
        <v>2.17779999718746</v>
      </c>
      <c r="H5661">
        <v>1.7846974829167299</v>
      </c>
      <c r="I5661">
        <v>1.5804657653716301</v>
      </c>
      <c r="J5661">
        <v>0.324120884109105</v>
      </c>
      <c r="K5661">
        <v>0.212802995602867</v>
      </c>
      <c r="L5661">
        <v>15000</v>
      </c>
      <c r="M5661">
        <v>225.670814403181</v>
      </c>
      <c r="N5661">
        <v>66.631597781726697</v>
      </c>
      <c r="O5661">
        <v>66.463278690659493</v>
      </c>
      <c r="P5661">
        <v>-0.668713609487946</v>
      </c>
      <c r="Q5661">
        <v>0.21221716951213199</v>
      </c>
      <c r="R5661">
        <v>0.27098325973436099</v>
      </c>
      <c r="S5661" t="s">
        <v>11522</v>
      </c>
      <c r="T5661" t="s">
        <v>11720</v>
      </c>
      <c r="U5661" t="s">
        <v>11720</v>
      </c>
      <c r="V5661" t="s">
        <v>11720</v>
      </c>
      <c r="W5661" t="s">
        <v>17319</v>
      </c>
      <c r="X5661">
        <v>21</v>
      </c>
      <c r="Y5661" t="s">
        <v>23013</v>
      </c>
      <c r="Z5661" t="s">
        <v>28868</v>
      </c>
      <c r="AA5661">
        <v>0.90737745519259461</v>
      </c>
      <c r="AB5661" t="str">
        <f>HYPERLINK("Melting_Curves/meltCurve_Q9Y265_RUVBL1.pdf", "Melting_Curves/meltCurve_Q9Y265_RUVBL1.pdf")</f>
        <v>Melting_Curves/meltCurve_Q9Y265_RUVBL1.pdf</v>
      </c>
    </row>
    <row r="5662" spans="1:28" x14ac:dyDescent="0.25">
      <c r="A5662" t="s">
        <v>5666</v>
      </c>
      <c r="B5662">
        <v>0.99334974765950101</v>
      </c>
      <c r="C5662">
        <v>1.02428705676609</v>
      </c>
      <c r="D5662">
        <v>0.89800354078135303</v>
      </c>
      <c r="E5662">
        <v>0.80628716450330695</v>
      </c>
      <c r="F5662">
        <v>0.42893898513051498</v>
      </c>
      <c r="G5662">
        <v>0.13364269686331401</v>
      </c>
      <c r="H5662">
        <v>0.1051416997775</v>
      </c>
      <c r="I5662">
        <v>8.8672679520514996E-2</v>
      </c>
      <c r="J5662">
        <v>0.10659438929523</v>
      </c>
      <c r="K5662">
        <v>8.5730470317724003E-2</v>
      </c>
      <c r="L5662">
        <v>1535.13216327639</v>
      </c>
      <c r="M5662">
        <v>29.486411935781099</v>
      </c>
      <c r="N5662">
        <v>52.406785597846699</v>
      </c>
      <c r="O5662">
        <v>51.824660814179197</v>
      </c>
      <c r="P5662">
        <v>-0.12971237653171</v>
      </c>
      <c r="Q5662">
        <v>8.8088034877970997E-2</v>
      </c>
      <c r="R5662">
        <v>0.99439904244251298</v>
      </c>
      <c r="S5662" t="s">
        <v>11523</v>
      </c>
      <c r="T5662" t="s">
        <v>11720</v>
      </c>
      <c r="U5662" t="s">
        <v>11720</v>
      </c>
      <c r="V5662" t="s">
        <v>11720</v>
      </c>
      <c r="W5662" t="s">
        <v>17320</v>
      </c>
      <c r="X5662">
        <v>31</v>
      </c>
      <c r="Y5662" t="s">
        <v>23014</v>
      </c>
      <c r="Z5662" t="s">
        <v>28869</v>
      </c>
      <c r="AA5662">
        <v>0.46078330037801429</v>
      </c>
      <c r="AB5662" t="str">
        <f>HYPERLINK("Melting_Curves/meltCurve_Q9Y266_NUDC.pdf", "Melting_Curves/meltCurve_Q9Y266_NUDC.pdf")</f>
        <v>Melting_Curves/meltCurve_Q9Y266_NUDC.pdf</v>
      </c>
    </row>
    <row r="5663" spans="1:28" x14ac:dyDescent="0.25">
      <c r="A5663" t="s">
        <v>5667</v>
      </c>
      <c r="B5663">
        <v>0.99334974765950101</v>
      </c>
      <c r="C5663">
        <v>0.95545825564518305</v>
      </c>
      <c r="D5663">
        <v>1.0112629299014</v>
      </c>
      <c r="E5663">
        <v>1.4544851765531499</v>
      </c>
      <c r="F5663">
        <v>1.55189126504313</v>
      </c>
      <c r="G5663">
        <v>0.94516881630792604</v>
      </c>
      <c r="H5663">
        <v>0.36541487485950702</v>
      </c>
      <c r="I5663">
        <v>0.309906899362342</v>
      </c>
      <c r="J5663">
        <v>0.294519152038003</v>
      </c>
      <c r="K5663">
        <v>0.23779993351727999</v>
      </c>
      <c r="L5663">
        <v>3991.3213196892798</v>
      </c>
      <c r="M5663">
        <v>67.418180831703197</v>
      </c>
      <c r="N5663">
        <v>59.9277055507211</v>
      </c>
      <c r="O5663">
        <v>59.150427530994101</v>
      </c>
      <c r="P5663">
        <v>-0.205478763373004</v>
      </c>
      <c r="Q5663">
        <v>0.27887982237937098</v>
      </c>
      <c r="R5663">
        <v>0.75650501504749001</v>
      </c>
      <c r="S5663" t="s">
        <v>11524</v>
      </c>
      <c r="T5663" t="s">
        <v>11720</v>
      </c>
      <c r="U5663" t="s">
        <v>11720</v>
      </c>
      <c r="V5663" t="s">
        <v>11720</v>
      </c>
      <c r="W5663" t="s">
        <v>17321</v>
      </c>
      <c r="X5663">
        <v>4</v>
      </c>
      <c r="Y5663" t="s">
        <v>23015</v>
      </c>
      <c r="Z5663" t="s">
        <v>28870</v>
      </c>
      <c r="AA5663">
        <v>0.74148782301596938</v>
      </c>
      <c r="AB5663" t="str">
        <f>HYPERLINK("Melting_Curves/meltCurve_Q9Y276_BCS1L.pdf", "Melting_Curves/meltCurve_Q9Y276_BCS1L.pdf")</f>
        <v>Melting_Curves/meltCurve_Q9Y276_BCS1L.pdf</v>
      </c>
    </row>
    <row r="5664" spans="1:28" x14ac:dyDescent="0.25">
      <c r="A5664" t="s">
        <v>5668</v>
      </c>
      <c r="B5664">
        <v>0.99334974765950101</v>
      </c>
      <c r="C5664">
        <v>0.98396950829383201</v>
      </c>
      <c r="D5664">
        <v>1.0003745038799099</v>
      </c>
      <c r="E5664">
        <v>1.0029678057795099</v>
      </c>
      <c r="F5664">
        <v>1.2378657526985899</v>
      </c>
      <c r="G5664">
        <v>0.84083005112266396</v>
      </c>
      <c r="H5664">
        <v>0.24923408469329</v>
      </c>
      <c r="I5664">
        <v>0.16916788790464099</v>
      </c>
      <c r="J5664">
        <v>0.13880205476739901</v>
      </c>
      <c r="K5664">
        <v>0.114120753191861</v>
      </c>
      <c r="L5664">
        <v>3072.7554918955302</v>
      </c>
      <c r="M5664">
        <v>52.329731679896703</v>
      </c>
      <c r="N5664">
        <v>59.081886084795897</v>
      </c>
      <c r="O5664">
        <v>58.633551403144601</v>
      </c>
      <c r="P5664">
        <v>-0.19246420661633401</v>
      </c>
      <c r="Q5664">
        <v>0.13740418494036299</v>
      </c>
      <c r="R5664">
        <v>0.96684539475383302</v>
      </c>
      <c r="S5664" t="s">
        <v>11525</v>
      </c>
      <c r="T5664" t="s">
        <v>11720</v>
      </c>
      <c r="U5664" t="s">
        <v>11720</v>
      </c>
      <c r="V5664" t="s">
        <v>11720</v>
      </c>
      <c r="W5664" t="s">
        <v>17322</v>
      </c>
      <c r="X5664">
        <v>16</v>
      </c>
      <c r="Y5664" t="s">
        <v>23016</v>
      </c>
      <c r="Z5664" t="s">
        <v>28871</v>
      </c>
      <c r="AA5664">
        <v>0.67766676694379402</v>
      </c>
      <c r="AB5664" t="str">
        <f>HYPERLINK("Melting_Curves/meltCurve_Q9Y281_CFL2.pdf", "Melting_Curves/meltCurve_Q9Y281_CFL2.pdf")</f>
        <v>Melting_Curves/meltCurve_Q9Y281_CFL2.pdf</v>
      </c>
    </row>
    <row r="5665" spans="1:28" x14ac:dyDescent="0.25">
      <c r="A5665" t="s">
        <v>5669</v>
      </c>
      <c r="B5665">
        <v>0.99334974765950101</v>
      </c>
      <c r="C5665">
        <v>1.00693223498005</v>
      </c>
      <c r="D5665">
        <v>1.11175232920695</v>
      </c>
      <c r="E5665">
        <v>1.5514912599255699</v>
      </c>
      <c r="F5665">
        <v>1.1781255283065599</v>
      </c>
      <c r="G5665">
        <v>0.40121081234231698</v>
      </c>
      <c r="H5665">
        <v>0.27480698082454402</v>
      </c>
      <c r="I5665">
        <v>0.16572709932962601</v>
      </c>
      <c r="J5665">
        <v>0.18702601217499801</v>
      </c>
      <c r="K5665">
        <v>6.00155734195571E-2</v>
      </c>
      <c r="L5665">
        <v>14195.291145019601</v>
      </c>
      <c r="M5665">
        <v>250</v>
      </c>
      <c r="N5665">
        <v>56.876997348218097</v>
      </c>
      <c r="O5665">
        <v>56.777542363825702</v>
      </c>
      <c r="P5665">
        <v>-0.91156889335184599</v>
      </c>
      <c r="Q5665">
        <v>0.171893903386895</v>
      </c>
      <c r="R5665">
        <v>0.85310205112903503</v>
      </c>
      <c r="S5665" t="s">
        <v>11526</v>
      </c>
      <c r="T5665" t="s">
        <v>11720</v>
      </c>
      <c r="U5665" t="s">
        <v>11720</v>
      </c>
      <c r="V5665" t="s">
        <v>11720</v>
      </c>
      <c r="W5665" t="s">
        <v>17323</v>
      </c>
      <c r="X5665">
        <v>1</v>
      </c>
      <c r="Y5665" t="s">
        <v>23017</v>
      </c>
      <c r="Z5665" t="s">
        <v>28872</v>
      </c>
      <c r="AA5665">
        <v>0.63519591411024201</v>
      </c>
      <c r="AB5665" t="str">
        <f>HYPERLINK("Melting_Curves/meltCurve_Q9Y294_ASF1A.pdf", "Melting_Curves/meltCurve_Q9Y294_ASF1A.pdf")</f>
        <v>Melting_Curves/meltCurve_Q9Y294_ASF1A.pdf</v>
      </c>
    </row>
    <row r="5666" spans="1:28" x14ac:dyDescent="0.25">
      <c r="A5666" t="s">
        <v>5670</v>
      </c>
      <c r="B5666">
        <v>0.99334974765950101</v>
      </c>
      <c r="C5666">
        <v>1.0159757931739199</v>
      </c>
      <c r="D5666">
        <v>0.98622010023651396</v>
      </c>
      <c r="E5666">
        <v>0.74582395904177401</v>
      </c>
      <c r="F5666">
        <v>0.428450798800731</v>
      </c>
      <c r="G5666">
        <v>0.163275125632526</v>
      </c>
      <c r="H5666">
        <v>0.12448297542195499</v>
      </c>
      <c r="I5666">
        <v>9.4487433406318905E-2</v>
      </c>
      <c r="J5666">
        <v>9.9261118107508206E-2</v>
      </c>
      <c r="K5666">
        <v>7.40378652768411E-2</v>
      </c>
      <c r="L5666">
        <v>1360.81209293048</v>
      </c>
      <c r="M5666">
        <v>26.223645570477199</v>
      </c>
      <c r="N5666">
        <v>52.288779806670803</v>
      </c>
      <c r="O5666">
        <v>51.593611684232499</v>
      </c>
      <c r="P5666">
        <v>-0.115619615004683</v>
      </c>
      <c r="Q5666">
        <v>9.0108627149864298E-2</v>
      </c>
      <c r="R5666">
        <v>0.99907119087670904</v>
      </c>
      <c r="S5666" t="s">
        <v>11527</v>
      </c>
      <c r="T5666" t="s">
        <v>11720</v>
      </c>
      <c r="U5666" t="s">
        <v>11720</v>
      </c>
      <c r="V5666" t="s">
        <v>11720</v>
      </c>
      <c r="W5666" t="s">
        <v>17324</v>
      </c>
      <c r="X5666">
        <v>11</v>
      </c>
      <c r="Y5666" t="s">
        <v>23018</v>
      </c>
      <c r="Z5666" t="s">
        <v>28873</v>
      </c>
      <c r="AA5666">
        <v>0.45836988014775742</v>
      </c>
      <c r="AB5666" t="str">
        <f>HYPERLINK("Melting_Curves/meltCurve_Q9Y295_DRG1.pdf", "Melting_Curves/meltCurve_Q9Y295_DRG1.pdf")</f>
        <v>Melting_Curves/meltCurve_Q9Y295_DRG1.pdf</v>
      </c>
    </row>
    <row r="5667" spans="1:28" x14ac:dyDescent="0.25">
      <c r="A5667" t="s">
        <v>5671</v>
      </c>
      <c r="B5667">
        <v>0.99334974765950101</v>
      </c>
      <c r="C5667">
        <v>0.86998501613783696</v>
      </c>
      <c r="D5667">
        <v>0.75665627557580095</v>
      </c>
      <c r="E5667">
        <v>0.62710398285313096</v>
      </c>
      <c r="F5667">
        <v>0.52762535891441498</v>
      </c>
      <c r="G5667">
        <v>0.30908715391054398</v>
      </c>
      <c r="H5667">
        <v>0.150808728064176</v>
      </c>
      <c r="I5667">
        <v>0.12630598336662499</v>
      </c>
      <c r="J5667">
        <v>9.3830562070612203E-2</v>
      </c>
      <c r="K5667">
        <v>6.2579247635045299E-2</v>
      </c>
      <c r="L5667">
        <v>531.38222480268098</v>
      </c>
      <c r="M5667">
        <v>10.1472105406481</v>
      </c>
      <c r="N5667">
        <v>52.3673157012338</v>
      </c>
      <c r="O5667">
        <v>50.455588046487399</v>
      </c>
      <c r="P5667">
        <v>-5.0301064642066101E-2</v>
      </c>
      <c r="Q5667">
        <v>0</v>
      </c>
      <c r="R5667">
        <v>0.99097349097281995</v>
      </c>
      <c r="S5667" t="s">
        <v>11528</v>
      </c>
      <c r="T5667" t="s">
        <v>11720</v>
      </c>
      <c r="U5667" t="s">
        <v>11720</v>
      </c>
      <c r="V5667" t="s">
        <v>11720</v>
      </c>
      <c r="W5667" t="s">
        <v>17325</v>
      </c>
      <c r="X5667">
        <v>6</v>
      </c>
      <c r="Y5667" t="s">
        <v>23019</v>
      </c>
      <c r="Z5667" t="s">
        <v>28874</v>
      </c>
      <c r="AA5667">
        <v>0.44830630845450831</v>
      </c>
      <c r="AB5667" t="str">
        <f>HYPERLINK("Melting_Curves/meltCurve_Q9Y296_TRAPPC4.pdf", "Melting_Curves/meltCurve_Q9Y296_TRAPPC4.pdf")</f>
        <v>Melting_Curves/meltCurve_Q9Y296_TRAPPC4.pdf</v>
      </c>
    </row>
    <row r="5668" spans="1:28" x14ac:dyDescent="0.25">
      <c r="A5668" t="s">
        <v>5672</v>
      </c>
      <c r="B5668">
        <v>0.99334974765950101</v>
      </c>
      <c r="C5668">
        <v>0.96339268068288297</v>
      </c>
      <c r="D5668">
        <v>0.83184580048187395</v>
      </c>
      <c r="E5668">
        <v>0.62674695572126704</v>
      </c>
      <c r="F5668">
        <v>0.31456331682779698</v>
      </c>
      <c r="G5668">
        <v>0.16868744437171801</v>
      </c>
      <c r="H5668">
        <v>0.12772038210084999</v>
      </c>
      <c r="I5668">
        <v>0.107517841025418</v>
      </c>
      <c r="J5668">
        <v>9.3379306989574404E-2</v>
      </c>
      <c r="K5668">
        <v>8.2090876230285603E-2</v>
      </c>
      <c r="L5668">
        <v>934.94881220074706</v>
      </c>
      <c r="M5668">
        <v>18.533836358522699</v>
      </c>
      <c r="N5668">
        <v>50.934239426045501</v>
      </c>
      <c r="O5668">
        <v>49.869237113855803</v>
      </c>
      <c r="P5668">
        <v>-8.5347212639107495E-2</v>
      </c>
      <c r="Q5668">
        <v>8.1460927907559794E-2</v>
      </c>
      <c r="R5668">
        <v>0.99609231810691201</v>
      </c>
      <c r="S5668" t="s">
        <v>11529</v>
      </c>
      <c r="T5668" t="s">
        <v>11720</v>
      </c>
      <c r="U5668" t="s">
        <v>11720</v>
      </c>
      <c r="V5668" t="s">
        <v>11720</v>
      </c>
      <c r="W5668" t="s">
        <v>17326</v>
      </c>
      <c r="X5668">
        <v>10</v>
      </c>
      <c r="Y5668" t="s">
        <v>23020</v>
      </c>
      <c r="Z5668" t="s">
        <v>28875</v>
      </c>
      <c r="AA5668">
        <v>0.4160322979927748</v>
      </c>
      <c r="AB5668" t="str">
        <f>HYPERLINK("Melting_Curves/meltCurve_Q9Y2A7_NCKAP1.pdf", "Melting_Curves/meltCurve_Q9Y2A7_NCKAP1.pdf")</f>
        <v>Melting_Curves/meltCurve_Q9Y2A7_NCKAP1.pdf</v>
      </c>
    </row>
    <row r="5669" spans="1:28" x14ac:dyDescent="0.25">
      <c r="A5669" t="s">
        <v>5673</v>
      </c>
      <c r="B5669">
        <v>0.99334974765950101</v>
      </c>
      <c r="C5669">
        <v>1.00466995987168</v>
      </c>
      <c r="D5669">
        <v>0.97369064257325499</v>
      </c>
      <c r="E5669">
        <v>0.92055955612510398</v>
      </c>
      <c r="F5669">
        <v>1.0162640559378</v>
      </c>
      <c r="G5669">
        <v>0.85925972633774494</v>
      </c>
      <c r="H5669">
        <v>0.75181920997074103</v>
      </c>
      <c r="I5669">
        <v>0.64742960513404901</v>
      </c>
      <c r="J5669">
        <v>0.68878750393307298</v>
      </c>
      <c r="K5669">
        <v>0.50486029678296696</v>
      </c>
      <c r="L5669">
        <v>670.51819143604303</v>
      </c>
      <c r="M5669">
        <v>10.3233470756602</v>
      </c>
      <c r="O5669">
        <v>62.656061366834599</v>
      </c>
      <c r="P5669">
        <v>-2.79211117120566E-2</v>
      </c>
      <c r="Q5669">
        <v>0.32243915333679601</v>
      </c>
      <c r="R5669">
        <v>0.93527943554350801</v>
      </c>
      <c r="S5669" t="s">
        <v>11530</v>
      </c>
      <c r="T5669" t="s">
        <v>11720</v>
      </c>
      <c r="U5669" t="s">
        <v>11720</v>
      </c>
      <c r="V5669" t="s">
        <v>11720</v>
      </c>
      <c r="W5669" t="s">
        <v>17327</v>
      </c>
      <c r="X5669">
        <v>15</v>
      </c>
      <c r="Y5669" t="s">
        <v>23021</v>
      </c>
      <c r="Z5669" t="s">
        <v>28876</v>
      </c>
      <c r="AA5669">
        <v>0.85137021273695623</v>
      </c>
      <c r="AB5669" t="str">
        <f>HYPERLINK("Melting_Curves/meltCurve_Q9Y2B0_CNPY2.pdf", "Melting_Curves/meltCurve_Q9Y2B0_CNPY2.pdf")</f>
        <v>Melting_Curves/meltCurve_Q9Y2B0_CNPY2.pdf</v>
      </c>
    </row>
    <row r="5670" spans="1:28" x14ac:dyDescent="0.25">
      <c r="A5670" t="s">
        <v>5674</v>
      </c>
      <c r="B5670">
        <v>0.99334974765950101</v>
      </c>
      <c r="C5670">
        <v>0.95750646267635298</v>
      </c>
      <c r="D5670">
        <v>1.07404518027107</v>
      </c>
      <c r="E5670">
        <v>1.0017881111351401</v>
      </c>
      <c r="F5670">
        <v>0.78550131271922596</v>
      </c>
      <c r="G5670">
        <v>0.77405399235050898</v>
      </c>
      <c r="H5670">
        <v>0.64171495306303294</v>
      </c>
      <c r="I5670">
        <v>0.58078784107022996</v>
      </c>
      <c r="J5670">
        <v>0.31278321650326402</v>
      </c>
      <c r="K5670">
        <v>0.19024322174840699</v>
      </c>
      <c r="L5670">
        <v>742.20542246275795</v>
      </c>
      <c r="M5670">
        <v>11.6868492359401</v>
      </c>
      <c r="N5670">
        <v>63.5077434131708</v>
      </c>
      <c r="O5670">
        <v>61.733789680472498</v>
      </c>
      <c r="P5670">
        <v>-4.7340233213007697E-2</v>
      </c>
      <c r="Q5670">
        <v>0</v>
      </c>
      <c r="R5670">
        <v>0.94684819130657105</v>
      </c>
      <c r="S5670" t="s">
        <v>11531</v>
      </c>
      <c r="T5670" t="s">
        <v>11720</v>
      </c>
      <c r="U5670" t="s">
        <v>11720</v>
      </c>
      <c r="V5670" t="s">
        <v>11720</v>
      </c>
      <c r="W5670" t="s">
        <v>17328</v>
      </c>
      <c r="X5670">
        <v>3</v>
      </c>
      <c r="Y5670" t="s">
        <v>23022</v>
      </c>
      <c r="Z5670" t="s">
        <v>28877</v>
      </c>
      <c r="AA5670">
        <v>0.75758908880715459</v>
      </c>
      <c r="AB5670" t="str">
        <f>HYPERLINK("Melting_Curves/meltCurve_Q9Y2C2_UST.pdf", "Melting_Curves/meltCurve_Q9Y2C2_UST.pdf")</f>
        <v>Melting_Curves/meltCurve_Q9Y2C2_UST.pdf</v>
      </c>
    </row>
    <row r="5671" spans="1:28" x14ac:dyDescent="0.25">
      <c r="A5671" t="s">
        <v>5675</v>
      </c>
      <c r="B5671">
        <v>0.99334974765950101</v>
      </c>
      <c r="C5671">
        <v>0.96722568410524101</v>
      </c>
      <c r="D5671">
        <v>1.09442062177342</v>
      </c>
      <c r="E5671">
        <v>1.44152396944188</v>
      </c>
      <c r="F5671">
        <v>2.8769921254850401</v>
      </c>
      <c r="G5671">
        <v>1.7358968746558601</v>
      </c>
      <c r="H5671">
        <v>1.38554877780862</v>
      </c>
      <c r="I5671">
        <v>1.2886549532606899</v>
      </c>
      <c r="J5671">
        <v>0.92921241059905502</v>
      </c>
      <c r="K5671">
        <v>0.213063489853797</v>
      </c>
      <c r="L5671">
        <v>15000</v>
      </c>
      <c r="M5671">
        <v>221.56548545797401</v>
      </c>
      <c r="N5671">
        <v>67.869609466675698</v>
      </c>
      <c r="O5671">
        <v>67.694560609493493</v>
      </c>
      <c r="P5671">
        <v>-0.64435820701565605</v>
      </c>
      <c r="Q5671">
        <v>0.212520942265435</v>
      </c>
      <c r="R5671">
        <v>-5.42892866784805E-2</v>
      </c>
      <c r="S5671" t="s">
        <v>11532</v>
      </c>
      <c r="T5671" t="s">
        <v>11720</v>
      </c>
      <c r="U5671" t="s">
        <v>11720</v>
      </c>
      <c r="V5671" t="s">
        <v>11720</v>
      </c>
      <c r="W5671" t="s">
        <v>17329</v>
      </c>
      <c r="X5671">
        <v>4</v>
      </c>
      <c r="Y5671" t="s">
        <v>23023</v>
      </c>
      <c r="Z5671" t="s">
        <v>28878</v>
      </c>
      <c r="AA5671">
        <v>0.93974173657922344</v>
      </c>
      <c r="AB5671" t="str">
        <f>HYPERLINK("Melting_Curves/meltCurve_Q9Y2C4_EXOG.pdf", "Melting_Curves/meltCurve_Q9Y2C4_EXOG.pdf")</f>
        <v>Melting_Curves/meltCurve_Q9Y2C4_EXOG.pdf</v>
      </c>
    </row>
    <row r="5672" spans="1:28" x14ac:dyDescent="0.25">
      <c r="A5672" t="s">
        <v>5676</v>
      </c>
      <c r="B5672">
        <v>0.99334974765950101</v>
      </c>
      <c r="C5672">
        <v>0.97939759304804497</v>
      </c>
      <c r="D5672">
        <v>0.80009652161651901</v>
      </c>
      <c r="E5672">
        <v>0.72229314831759295</v>
      </c>
      <c r="F5672">
        <v>0.55835026685502898</v>
      </c>
      <c r="G5672">
        <v>0.34553618038376699</v>
      </c>
      <c r="H5672">
        <v>0.16198063343288299</v>
      </c>
      <c r="I5672">
        <v>0.117217460422715</v>
      </c>
      <c r="J5672">
        <v>0.11560500632111299</v>
      </c>
      <c r="K5672">
        <v>9.2914470737444799E-2</v>
      </c>
      <c r="L5672">
        <v>628.63073431732403</v>
      </c>
      <c r="M5672">
        <v>11.7478146931529</v>
      </c>
      <c r="N5672">
        <v>53.637356004392302</v>
      </c>
      <c r="O5672">
        <v>52.030519609166703</v>
      </c>
      <c r="P5672">
        <v>-5.5687575436787803E-2</v>
      </c>
      <c r="Q5672">
        <v>1.3707516524349501E-2</v>
      </c>
      <c r="R5672">
        <v>0.99135820820479303</v>
      </c>
      <c r="S5672" t="s">
        <v>11533</v>
      </c>
      <c r="T5672" t="s">
        <v>11720</v>
      </c>
      <c r="U5672" t="s">
        <v>11720</v>
      </c>
      <c r="V5672" t="s">
        <v>11720</v>
      </c>
      <c r="W5672" t="s">
        <v>17330</v>
      </c>
      <c r="X5672">
        <v>8</v>
      </c>
      <c r="Y5672" t="s">
        <v>23024</v>
      </c>
      <c r="Z5672" t="s">
        <v>28879</v>
      </c>
      <c r="AA5672">
        <v>0.48539414140344428</v>
      </c>
      <c r="AB5672" t="str">
        <f>HYPERLINK("Melting_Curves/meltCurve_Q9Y2D0_CA5B.pdf", "Melting_Curves/meltCurve_Q9Y2D0_CA5B.pdf")</f>
        <v>Melting_Curves/meltCurve_Q9Y2D0_CA5B.pdf</v>
      </c>
    </row>
    <row r="5673" spans="1:28" x14ac:dyDescent="0.25">
      <c r="A5673" t="s">
        <v>5677</v>
      </c>
      <c r="B5673">
        <v>0.99334974765950101</v>
      </c>
      <c r="C5673">
        <v>0.93287282347979095</v>
      </c>
      <c r="D5673">
        <v>1.05254268011134</v>
      </c>
      <c r="E5673">
        <v>0.74499025564976895</v>
      </c>
      <c r="F5673">
        <v>0.26971569881341301</v>
      </c>
      <c r="G5673">
        <v>0.18108766745434299</v>
      </c>
      <c r="H5673">
        <v>0.14781215534120401</v>
      </c>
      <c r="I5673">
        <v>0.117673082083321</v>
      </c>
      <c r="J5673">
        <v>0.100298070876965</v>
      </c>
      <c r="K5673">
        <v>8.2327882414530401E-2</v>
      </c>
      <c r="L5673">
        <v>2195.7806818712202</v>
      </c>
      <c r="M5673">
        <v>43.007905955315998</v>
      </c>
      <c r="N5673">
        <v>51.392577082331101</v>
      </c>
      <c r="O5673">
        <v>50.945267532643399</v>
      </c>
      <c r="P5673">
        <v>-0.185097265963443</v>
      </c>
      <c r="Q5673">
        <v>0.122969148949512</v>
      </c>
      <c r="R5673">
        <v>0.99138331063719198</v>
      </c>
      <c r="S5673" t="s">
        <v>11534</v>
      </c>
      <c r="T5673" t="s">
        <v>11720</v>
      </c>
      <c r="U5673" t="s">
        <v>11720</v>
      </c>
      <c r="V5673" t="s">
        <v>11720</v>
      </c>
      <c r="W5673" t="s">
        <v>17331</v>
      </c>
      <c r="X5673">
        <v>8</v>
      </c>
      <c r="Y5673" t="s">
        <v>23025</v>
      </c>
      <c r="Z5673" t="s">
        <v>28880</v>
      </c>
      <c r="AA5673">
        <v>0.44883761109141751</v>
      </c>
      <c r="AB5673" t="str">
        <f>HYPERLINK("Melting_Curves/meltCurve_Q9Y2D4_EXOC6B.pdf", "Melting_Curves/meltCurve_Q9Y2D4_EXOC6B.pdf")</f>
        <v>Melting_Curves/meltCurve_Q9Y2D4_EXOC6B.pdf</v>
      </c>
    </row>
    <row r="5674" spans="1:28" x14ac:dyDescent="0.25">
      <c r="A5674" t="s">
        <v>5678</v>
      </c>
      <c r="B5674">
        <v>0.99334974765950101</v>
      </c>
      <c r="C5674">
        <v>1.02855417213191</v>
      </c>
      <c r="D5674">
        <v>0.945835405778232</v>
      </c>
      <c r="E5674">
        <v>0.98673128082665396</v>
      </c>
      <c r="F5674">
        <v>1.109164710463</v>
      </c>
      <c r="G5674">
        <v>0.89938570239200799</v>
      </c>
      <c r="H5674">
        <v>0.94642076880091697</v>
      </c>
      <c r="I5674">
        <v>1.3763985818429301</v>
      </c>
      <c r="J5674">
        <v>1.66967666790985</v>
      </c>
      <c r="K5674">
        <v>1.4277310322985599</v>
      </c>
      <c r="L5674">
        <v>15000</v>
      </c>
      <c r="M5674">
        <v>235.48858275663699</v>
      </c>
      <c r="O5674">
        <v>63.692765153469203</v>
      </c>
      <c r="P5674">
        <v>0.46215727091847297</v>
      </c>
      <c r="Q5674">
        <v>1.5</v>
      </c>
      <c r="R5674">
        <v>0.89699900860585902</v>
      </c>
      <c r="S5674" t="s">
        <v>11535</v>
      </c>
      <c r="T5674" t="s">
        <v>11720</v>
      </c>
      <c r="U5674" t="s">
        <v>11720</v>
      </c>
      <c r="V5674" t="s">
        <v>11720</v>
      </c>
      <c r="W5674" t="s">
        <v>17332</v>
      </c>
      <c r="X5674">
        <v>74</v>
      </c>
      <c r="Y5674" t="s">
        <v>23026</v>
      </c>
      <c r="Z5674" t="s">
        <v>28881</v>
      </c>
      <c r="AA5674">
        <v>1.1049810764130661</v>
      </c>
      <c r="AB5674" t="str">
        <f>HYPERLINK("Melting_Curves/meltCurve_Q9Y2D5_6_AKAP2.pdf", "Melting_Curves/meltCurve_Q9Y2D5_6_AKAP2.pdf")</f>
        <v>Melting_Curves/meltCurve_Q9Y2D5_6_AKAP2.pdf</v>
      </c>
    </row>
    <row r="5675" spans="1:28" x14ac:dyDescent="0.25">
      <c r="A5675" t="s">
        <v>5679</v>
      </c>
      <c r="B5675">
        <v>0.99334974765950101</v>
      </c>
      <c r="C5675">
        <v>0.94553930334828895</v>
      </c>
      <c r="D5675">
        <v>1.0213260077366799</v>
      </c>
      <c r="E5675">
        <v>0.92740269875154502</v>
      </c>
      <c r="F5675">
        <v>0.43085071694541799</v>
      </c>
      <c r="G5675">
        <v>0.29975948093432497</v>
      </c>
      <c r="H5675">
        <v>0.18597739282251199</v>
      </c>
      <c r="I5675">
        <v>0.17490208327018</v>
      </c>
      <c r="J5675">
        <v>0.128864858898148</v>
      </c>
      <c r="K5675">
        <v>0.120339995808028</v>
      </c>
      <c r="L5675">
        <v>2390.3396308718902</v>
      </c>
      <c r="M5675">
        <v>45.785389000228399</v>
      </c>
      <c r="N5675">
        <v>52.7054170198967</v>
      </c>
      <c r="O5675">
        <v>52.1081713299982</v>
      </c>
      <c r="P5675">
        <v>-0.18109700880017701</v>
      </c>
      <c r="Q5675">
        <v>0.175577774820249</v>
      </c>
      <c r="R5675">
        <v>0.98500770626718503</v>
      </c>
      <c r="S5675" t="s">
        <v>11536</v>
      </c>
      <c r="T5675" t="s">
        <v>11720</v>
      </c>
      <c r="U5675" t="s">
        <v>11720</v>
      </c>
      <c r="V5675" t="s">
        <v>11720</v>
      </c>
      <c r="W5675" t="s">
        <v>17333</v>
      </c>
      <c r="X5675">
        <v>2</v>
      </c>
      <c r="Y5675" t="s">
        <v>23027</v>
      </c>
      <c r="Z5675" t="s">
        <v>28882</v>
      </c>
      <c r="AA5675">
        <v>0.51331440511813453</v>
      </c>
      <c r="AB5675" t="str">
        <f>HYPERLINK("Melting_Curves/meltCurve_Q9Y2E4_DIP2C.pdf", "Melting_Curves/meltCurve_Q9Y2E4_DIP2C.pdf")</f>
        <v>Melting_Curves/meltCurve_Q9Y2E4_DIP2C.pdf</v>
      </c>
    </row>
    <row r="5676" spans="1:28" x14ac:dyDescent="0.25">
      <c r="A5676" t="s">
        <v>5680</v>
      </c>
      <c r="B5676">
        <v>0.99334974765950101</v>
      </c>
      <c r="C5676">
        <v>0.96634290956007296</v>
      </c>
      <c r="D5676">
        <v>1.0579272668780699</v>
      </c>
      <c r="E5676">
        <v>0.97674687651587599</v>
      </c>
      <c r="F5676">
        <v>0.79824262718765204</v>
      </c>
      <c r="G5676">
        <v>0.78834952094785604</v>
      </c>
      <c r="H5676">
        <v>0.45600346894881599</v>
      </c>
      <c r="I5676">
        <v>0.24281099240061699</v>
      </c>
      <c r="J5676">
        <v>0.17262432928433499</v>
      </c>
      <c r="K5676">
        <v>0.17894223093116601</v>
      </c>
      <c r="L5676">
        <v>1049.3216150919</v>
      </c>
      <c r="M5676">
        <v>17.5963059122159</v>
      </c>
      <c r="N5676">
        <v>60.196114050564198</v>
      </c>
      <c r="O5676">
        <v>58.8788675551382</v>
      </c>
      <c r="P5676">
        <v>-6.9048572820425702E-2</v>
      </c>
      <c r="Q5676">
        <v>7.5878160648280804E-2</v>
      </c>
      <c r="R5676">
        <v>0.97751743612101705</v>
      </c>
      <c r="S5676" t="s">
        <v>11537</v>
      </c>
      <c r="T5676" t="s">
        <v>11720</v>
      </c>
      <c r="U5676" t="s">
        <v>11720</v>
      </c>
      <c r="V5676" t="s">
        <v>11720</v>
      </c>
      <c r="W5676" t="s">
        <v>17334</v>
      </c>
      <c r="X5676">
        <v>13</v>
      </c>
      <c r="Y5676" t="s">
        <v>23028</v>
      </c>
      <c r="Z5676" t="s">
        <v>28883</v>
      </c>
      <c r="AA5676">
        <v>0.68912393741763001</v>
      </c>
      <c r="AB5676" t="str">
        <f>HYPERLINK("Melting_Curves/meltCurve_Q9Y2E5_MAN2B2.pdf", "Melting_Curves/meltCurve_Q9Y2E5_MAN2B2.pdf")</f>
        <v>Melting_Curves/meltCurve_Q9Y2E5_MAN2B2.pdf</v>
      </c>
    </row>
    <row r="5677" spans="1:28" x14ac:dyDescent="0.25">
      <c r="A5677" t="s">
        <v>5681</v>
      </c>
      <c r="B5677">
        <v>0.99334974765950101</v>
      </c>
      <c r="C5677">
        <v>1.0024297454659501</v>
      </c>
      <c r="D5677">
        <v>1.05257472251416</v>
      </c>
      <c r="E5677">
        <v>1.2842663111289501</v>
      </c>
      <c r="F5677">
        <v>1.2971277283721301</v>
      </c>
      <c r="G5677">
        <v>1.09766290806698</v>
      </c>
      <c r="H5677">
        <v>0.46837014432985202</v>
      </c>
      <c r="I5677">
        <v>0.20862753717233301</v>
      </c>
      <c r="J5677">
        <v>0.16075055441983599</v>
      </c>
      <c r="K5677">
        <v>0.16083146786816799</v>
      </c>
      <c r="L5677">
        <v>7229.31562584119</v>
      </c>
      <c r="M5677">
        <v>119.108912799511</v>
      </c>
      <c r="N5677">
        <v>60.9169671176492</v>
      </c>
      <c r="O5677">
        <v>60.677894297940497</v>
      </c>
      <c r="P5677">
        <v>-0.40435266517936103</v>
      </c>
      <c r="Q5677">
        <v>0.176039208739147</v>
      </c>
      <c r="R5677">
        <v>0.90769274081193196</v>
      </c>
      <c r="S5677" t="s">
        <v>11538</v>
      </c>
      <c r="T5677" t="s">
        <v>11720</v>
      </c>
      <c r="U5677" t="s">
        <v>11720</v>
      </c>
      <c r="V5677" t="s">
        <v>11720</v>
      </c>
      <c r="W5677" t="s">
        <v>17335</v>
      </c>
      <c r="X5677">
        <v>11</v>
      </c>
      <c r="Y5677" t="s">
        <v>23029</v>
      </c>
      <c r="Z5677" t="s">
        <v>28884</v>
      </c>
      <c r="AA5677">
        <v>0.74482181045002105</v>
      </c>
      <c r="AB5677" t="str">
        <f>HYPERLINK("Melting_Curves/meltCurve_Q9Y2G3_ATP11B.pdf", "Melting_Curves/meltCurve_Q9Y2G3_ATP11B.pdf")</f>
        <v>Melting_Curves/meltCurve_Q9Y2G3_ATP11B.pdf</v>
      </c>
    </row>
    <row r="5678" spans="1:28" x14ac:dyDescent="0.25">
      <c r="A5678" t="s">
        <v>5682</v>
      </c>
      <c r="B5678">
        <v>0.99334974765950101</v>
      </c>
      <c r="C5678">
        <v>1.0001711796299999</v>
      </c>
      <c r="D5678">
        <v>0.89209243325491105</v>
      </c>
      <c r="E5678">
        <v>0.56051417010888405</v>
      </c>
      <c r="F5678">
        <v>0.19325500240354701</v>
      </c>
      <c r="G5678">
        <v>0.137750483403215</v>
      </c>
      <c r="H5678">
        <v>9.6736783588141306E-2</v>
      </c>
      <c r="I5678">
        <v>8.7744385523133406E-2</v>
      </c>
      <c r="J5678">
        <v>6.9840836799222802E-2</v>
      </c>
      <c r="K5678">
        <v>6.10229647090808E-2</v>
      </c>
      <c r="L5678">
        <v>1389.62830635411</v>
      </c>
      <c r="M5678">
        <v>27.819261297071002</v>
      </c>
      <c r="N5678">
        <v>50.260538990904202</v>
      </c>
      <c r="O5678">
        <v>49.6960430256526</v>
      </c>
      <c r="P5678">
        <v>-0.128963877349551</v>
      </c>
      <c r="Q5678">
        <v>7.8489115555435598E-2</v>
      </c>
      <c r="R5678">
        <v>0.99670179703798401</v>
      </c>
      <c r="S5678" t="s">
        <v>11539</v>
      </c>
      <c r="T5678" t="s">
        <v>11720</v>
      </c>
      <c r="U5678" t="s">
        <v>11720</v>
      </c>
      <c r="V5678" t="s">
        <v>11720</v>
      </c>
      <c r="W5678" t="s">
        <v>17336</v>
      </c>
      <c r="X5678">
        <v>21</v>
      </c>
      <c r="Y5678" t="s">
        <v>23030</v>
      </c>
      <c r="Z5678" t="s">
        <v>28885</v>
      </c>
      <c r="AA5678">
        <v>0.3908207202885251</v>
      </c>
      <c r="AB5678" t="str">
        <f>HYPERLINK("Melting_Curves/meltCurve_Q9Y2G5_POFUT2.pdf", "Melting_Curves/meltCurve_Q9Y2G5_POFUT2.pdf")</f>
        <v>Melting_Curves/meltCurve_Q9Y2G5_POFUT2.pdf</v>
      </c>
    </row>
    <row r="5679" spans="1:28" x14ac:dyDescent="0.25">
      <c r="A5679" t="s">
        <v>5683</v>
      </c>
      <c r="B5679">
        <v>0.99334974765950101</v>
      </c>
      <c r="C5679">
        <v>0.87960161962328098</v>
      </c>
      <c r="D5679">
        <v>0.76511754032711199</v>
      </c>
      <c r="E5679">
        <v>0.42982963190575102</v>
      </c>
      <c r="F5679">
        <v>0.248586154760355</v>
      </c>
      <c r="G5679">
        <v>0.15857597644799001</v>
      </c>
      <c r="H5679">
        <v>0.13456092432491301</v>
      </c>
      <c r="I5679">
        <v>0.106612984347497</v>
      </c>
      <c r="J5679">
        <v>9.7030647311581897E-2</v>
      </c>
      <c r="K5679">
        <v>7.3987999045995304E-2</v>
      </c>
      <c r="L5679">
        <v>829.52810893722597</v>
      </c>
      <c r="M5679">
        <v>17.092374394556199</v>
      </c>
      <c r="N5679">
        <v>49.0874849060503</v>
      </c>
      <c r="O5679">
        <v>47.882350601000397</v>
      </c>
      <c r="P5679">
        <v>-8.1399950778578298E-2</v>
      </c>
      <c r="Q5679">
        <v>8.7924214023481606E-2</v>
      </c>
      <c r="R5679">
        <v>0.99758372750698299</v>
      </c>
      <c r="S5679" t="s">
        <v>11540</v>
      </c>
      <c r="T5679" t="s">
        <v>11720</v>
      </c>
      <c r="U5679" t="s">
        <v>11720</v>
      </c>
      <c r="V5679" t="s">
        <v>11720</v>
      </c>
      <c r="W5679" t="s">
        <v>17337</v>
      </c>
      <c r="X5679">
        <v>13</v>
      </c>
      <c r="Y5679" t="s">
        <v>23031</v>
      </c>
      <c r="Z5679" t="s">
        <v>28886</v>
      </c>
      <c r="AA5679">
        <v>0.36503805522256039</v>
      </c>
      <c r="AB5679" t="str">
        <f>HYPERLINK("Melting_Curves/meltCurve_Q9Y2H1_STK38L.pdf", "Melting_Curves/meltCurve_Q9Y2H1_STK38L.pdf")</f>
        <v>Melting_Curves/meltCurve_Q9Y2H1_STK38L.pdf</v>
      </c>
    </row>
    <row r="5680" spans="1:28" x14ac:dyDescent="0.25">
      <c r="A5680" t="s">
        <v>5684</v>
      </c>
      <c r="B5680">
        <v>0.99334974765950101</v>
      </c>
      <c r="C5680">
        <v>0.82007202240197496</v>
      </c>
      <c r="D5680">
        <v>0.36526800305418999</v>
      </c>
      <c r="E5680">
        <v>0.196383724338731</v>
      </c>
      <c r="F5680">
        <v>0.199980535565456</v>
      </c>
      <c r="G5680">
        <v>0.12868900044151901</v>
      </c>
      <c r="H5680">
        <v>9.7860787208630895E-2</v>
      </c>
      <c r="I5680">
        <v>9.0459368193901102E-2</v>
      </c>
      <c r="J5680">
        <v>8.9256102288967895E-2</v>
      </c>
      <c r="K5680">
        <v>6.5652026590914306E-2</v>
      </c>
      <c r="L5680">
        <v>1316.18400932492</v>
      </c>
      <c r="M5680">
        <v>29.404764861870401</v>
      </c>
      <c r="N5680">
        <v>45.160384290201499</v>
      </c>
      <c r="O5680">
        <v>44.555418759122702</v>
      </c>
      <c r="P5680">
        <v>-0.146097073342291</v>
      </c>
      <c r="Q5680">
        <v>0.114514891442255</v>
      </c>
      <c r="R5680">
        <v>0.98692278821931601</v>
      </c>
      <c r="S5680" t="s">
        <v>11541</v>
      </c>
      <c r="T5680" t="s">
        <v>11720</v>
      </c>
      <c r="U5680" t="s">
        <v>11720</v>
      </c>
      <c r="V5680" t="s">
        <v>11720</v>
      </c>
      <c r="W5680" t="s">
        <v>17338</v>
      </c>
      <c r="X5680">
        <v>13</v>
      </c>
      <c r="Y5680" t="s">
        <v>23032</v>
      </c>
      <c r="Z5680" t="s">
        <v>28887</v>
      </c>
      <c r="AA5680">
        <v>0.26115359762611062</v>
      </c>
      <c r="AB5680" t="str">
        <f>HYPERLINK("Melting_Curves/meltCurve_Q9Y2H6_2_FNDC3A.pdf", "Melting_Curves/meltCurve_Q9Y2H6_2_FNDC3A.pdf")</f>
        <v>Melting_Curves/meltCurve_Q9Y2H6_2_FNDC3A.pdf</v>
      </c>
    </row>
    <row r="5681" spans="1:28" x14ac:dyDescent="0.25">
      <c r="A5681" t="s">
        <v>5685</v>
      </c>
      <c r="B5681">
        <v>0.99334974765950101</v>
      </c>
      <c r="C5681">
        <v>0.97961209958286799</v>
      </c>
      <c r="D5681">
        <v>0.92202365656253604</v>
      </c>
      <c r="E5681">
        <v>0.60231056910902203</v>
      </c>
      <c r="F5681">
        <v>0.21899039239047099</v>
      </c>
      <c r="G5681">
        <v>0.15057977934546099</v>
      </c>
      <c r="H5681">
        <v>0.108322690966823</v>
      </c>
      <c r="I5681">
        <v>8.11247065355854E-2</v>
      </c>
      <c r="J5681">
        <v>5.7515450800328702E-2</v>
      </c>
      <c r="K5681">
        <v>5.2610630551506603E-2</v>
      </c>
      <c r="L5681">
        <v>1436.3294189179901</v>
      </c>
      <c r="M5681">
        <v>28.540842081114601</v>
      </c>
      <c r="N5681">
        <v>50.624100728928397</v>
      </c>
      <c r="O5681">
        <v>50.080296568616198</v>
      </c>
      <c r="P5681">
        <v>-0.13143584943731601</v>
      </c>
      <c r="Q5681">
        <v>7.7491483884818996E-2</v>
      </c>
      <c r="R5681">
        <v>0.99627128436132595</v>
      </c>
      <c r="S5681" t="s">
        <v>11542</v>
      </c>
      <c r="T5681" t="s">
        <v>11720</v>
      </c>
      <c r="U5681" t="s">
        <v>11720</v>
      </c>
      <c r="V5681" t="s">
        <v>11720</v>
      </c>
      <c r="W5681" t="s">
        <v>17339</v>
      </c>
      <c r="X5681">
        <v>7</v>
      </c>
      <c r="Y5681" t="s">
        <v>23033</v>
      </c>
      <c r="Z5681" t="s">
        <v>28888</v>
      </c>
      <c r="AA5681">
        <v>0.40134312909549252</v>
      </c>
      <c r="AB5681" t="str">
        <f>HYPERLINK("Melting_Curves/meltCurve_Q9Y2I1_NISCH.pdf", "Melting_Curves/meltCurve_Q9Y2I1_NISCH.pdf")</f>
        <v>Melting_Curves/meltCurve_Q9Y2I1_NISCH.pdf</v>
      </c>
    </row>
    <row r="5682" spans="1:28" x14ac:dyDescent="0.25">
      <c r="A5682" t="s">
        <v>5686</v>
      </c>
      <c r="B5682">
        <v>0.99334974765950101</v>
      </c>
      <c r="C5682">
        <v>0.88171269128346796</v>
      </c>
      <c r="D5682">
        <v>0.78067961723957102</v>
      </c>
      <c r="E5682">
        <v>0.92787132690454999</v>
      </c>
      <c r="F5682">
        <v>0.62654586356409103</v>
      </c>
      <c r="G5682">
        <v>0.39159199560527902</v>
      </c>
      <c r="H5682">
        <v>0.30350429894341202</v>
      </c>
      <c r="I5682">
        <v>0</v>
      </c>
      <c r="J5682">
        <v>0</v>
      </c>
      <c r="K5682">
        <v>0</v>
      </c>
      <c r="L5682">
        <v>845.92061133515801</v>
      </c>
      <c r="M5682">
        <v>15.3062328178597</v>
      </c>
      <c r="N5682">
        <v>55.2664136411912</v>
      </c>
      <c r="O5682">
        <v>54.348821854066401</v>
      </c>
      <c r="P5682">
        <v>-7.0413951945039299E-2</v>
      </c>
      <c r="Q5682">
        <v>0</v>
      </c>
      <c r="R5682">
        <v>0.94392442700772505</v>
      </c>
      <c r="S5682" t="s">
        <v>11543</v>
      </c>
      <c r="T5682" t="s">
        <v>11720</v>
      </c>
      <c r="U5682" t="s">
        <v>11720</v>
      </c>
      <c r="V5682" t="s">
        <v>11720</v>
      </c>
      <c r="W5682" t="s">
        <v>17340</v>
      </c>
      <c r="X5682">
        <v>1</v>
      </c>
      <c r="Y5682" t="s">
        <v>23034</v>
      </c>
      <c r="Z5682" t="s">
        <v>28889</v>
      </c>
      <c r="AA5682">
        <v>0.52739708477845892</v>
      </c>
      <c r="AB5682" t="str">
        <f>HYPERLINK("Melting_Curves/meltCurve_Q9Y2I8_WDR37.pdf", "Melting_Curves/meltCurve_Q9Y2I8_WDR37.pdf")</f>
        <v>Melting_Curves/meltCurve_Q9Y2I8_WDR37.pdf</v>
      </c>
    </row>
    <row r="5683" spans="1:28" x14ac:dyDescent="0.25">
      <c r="A5683" t="s">
        <v>5687</v>
      </c>
      <c r="B5683">
        <v>0.99334974765950101</v>
      </c>
      <c r="C5683">
        <v>0.98734048616645997</v>
      </c>
      <c r="D5683">
        <v>0.96553281533390301</v>
      </c>
      <c r="E5683">
        <v>0.92215523521731302</v>
      </c>
      <c r="F5683">
        <v>0.90456159609279496</v>
      </c>
      <c r="G5683">
        <v>0.38184371258758798</v>
      </c>
      <c r="H5683">
        <v>0.28255463212967602</v>
      </c>
      <c r="I5683">
        <v>0.23194541030263199</v>
      </c>
      <c r="J5683">
        <v>0.24903602837443101</v>
      </c>
      <c r="K5683">
        <v>0.20290255743403901</v>
      </c>
      <c r="L5683">
        <v>2362.8911875660201</v>
      </c>
      <c r="M5683">
        <v>42.812040902232901</v>
      </c>
      <c r="N5683">
        <v>56.027683323607398</v>
      </c>
      <c r="O5683">
        <v>55.0721811985876</v>
      </c>
      <c r="P5683">
        <v>-0.14849300758144801</v>
      </c>
      <c r="Q5683">
        <v>0.235932402887715</v>
      </c>
      <c r="R5683">
        <v>0.99253956419908496</v>
      </c>
      <c r="S5683" t="s">
        <v>11544</v>
      </c>
      <c r="T5683" t="s">
        <v>11720</v>
      </c>
      <c r="U5683" t="s">
        <v>11720</v>
      </c>
      <c r="V5683" t="s">
        <v>11720</v>
      </c>
      <c r="W5683" t="s">
        <v>17341</v>
      </c>
      <c r="X5683">
        <v>28</v>
      </c>
      <c r="Y5683" t="s">
        <v>23035</v>
      </c>
      <c r="Z5683" t="s">
        <v>28890</v>
      </c>
      <c r="AA5683">
        <v>0.62539750155623652</v>
      </c>
      <c r="AB5683" t="str">
        <f>HYPERLINK("Melting_Curves/meltCurve_Q9Y2J2_2_EPB41L3.pdf", "Melting_Curves/meltCurve_Q9Y2J2_2_EPB41L3.pdf")</f>
        <v>Melting_Curves/meltCurve_Q9Y2J2_2_EPB41L3.pdf</v>
      </c>
    </row>
    <row r="5684" spans="1:28" x14ac:dyDescent="0.25">
      <c r="A5684" t="s">
        <v>5688</v>
      </c>
      <c r="B5684">
        <v>0.99334974765950101</v>
      </c>
      <c r="C5684">
        <v>1.0800526252887901</v>
      </c>
      <c r="D5684">
        <v>1.0763794390039501</v>
      </c>
      <c r="E5684">
        <v>0.94106552091085105</v>
      </c>
      <c r="F5684">
        <v>0.92949109656613904</v>
      </c>
      <c r="G5684">
        <v>0.55682499260975005</v>
      </c>
      <c r="H5684">
        <v>0.38587016465106899</v>
      </c>
      <c r="I5684">
        <v>0.402140107899501</v>
      </c>
      <c r="J5684">
        <v>0.50947293926731596</v>
      </c>
      <c r="K5684">
        <v>0.48706985679529402</v>
      </c>
      <c r="L5684">
        <v>2567.2615176756999</v>
      </c>
      <c r="M5684">
        <v>46.5188075265485</v>
      </c>
      <c r="N5684">
        <v>57.960328830484897</v>
      </c>
      <c r="O5684">
        <v>55.085907472519303</v>
      </c>
      <c r="P5684">
        <v>-0.116963026747716</v>
      </c>
      <c r="Q5684">
        <v>0.445986911767423</v>
      </c>
      <c r="R5684">
        <v>0.96382430541631803</v>
      </c>
      <c r="S5684" t="s">
        <v>11545</v>
      </c>
      <c r="T5684" t="s">
        <v>11720</v>
      </c>
      <c r="U5684" t="s">
        <v>11720</v>
      </c>
      <c r="V5684" t="s">
        <v>11720</v>
      </c>
      <c r="W5684" t="s">
        <v>17342</v>
      </c>
      <c r="X5684">
        <v>6</v>
      </c>
      <c r="Y5684" t="s">
        <v>23036</v>
      </c>
      <c r="Z5684" t="s">
        <v>28891</v>
      </c>
      <c r="AA5684">
        <v>0.72801540478389515</v>
      </c>
      <c r="AB5684" t="str">
        <f>HYPERLINK("Melting_Curves/meltCurve_Q9Y2J4_AMOTL2.pdf", "Melting_Curves/meltCurve_Q9Y2J4_AMOTL2.pdf")</f>
        <v>Melting_Curves/meltCurve_Q9Y2J4_AMOTL2.pdf</v>
      </c>
    </row>
    <row r="5685" spans="1:28" x14ac:dyDescent="0.25">
      <c r="A5685" t="s">
        <v>5689</v>
      </c>
      <c r="B5685">
        <v>0.99334974765950101</v>
      </c>
      <c r="C5685">
        <v>0.96715675815565705</v>
      </c>
      <c r="D5685">
        <v>0.79964796444972497</v>
      </c>
      <c r="E5685">
        <v>0.58558302416550201</v>
      </c>
      <c r="F5685">
        <v>0.39982825727735499</v>
      </c>
      <c r="G5685">
        <v>0.336683397615961</v>
      </c>
      <c r="H5685">
        <v>0.29602361991386</v>
      </c>
      <c r="I5685">
        <v>0.22572711032224099</v>
      </c>
      <c r="J5685">
        <v>0.23201833467785299</v>
      </c>
      <c r="K5685">
        <v>0.22707171088737299</v>
      </c>
      <c r="L5685">
        <v>791.73127736255503</v>
      </c>
      <c r="M5685">
        <v>16.032145868182301</v>
      </c>
      <c r="N5685">
        <v>51.350361977520798</v>
      </c>
      <c r="O5685">
        <v>48.634812027044198</v>
      </c>
      <c r="P5685">
        <v>-6.3511855296952302E-2</v>
      </c>
      <c r="Q5685">
        <v>0.22938659181818399</v>
      </c>
      <c r="R5685">
        <v>0.99490176772716099</v>
      </c>
      <c r="S5685" t="s">
        <v>11546</v>
      </c>
      <c r="T5685" t="s">
        <v>11720</v>
      </c>
      <c r="U5685" t="s">
        <v>11720</v>
      </c>
      <c r="V5685" t="s">
        <v>11720</v>
      </c>
      <c r="W5685" t="s">
        <v>17343</v>
      </c>
      <c r="X5685">
        <v>4</v>
      </c>
      <c r="Y5685" t="s">
        <v>23037</v>
      </c>
      <c r="Z5685" t="s">
        <v>28892</v>
      </c>
      <c r="AA5685">
        <v>0.48700300912555278</v>
      </c>
      <c r="AB5685" t="str">
        <f>HYPERLINK("Melting_Curves/meltCurve_Q9Y2L1_DIS3.pdf", "Melting_Curves/meltCurve_Q9Y2L1_DIS3.pdf")</f>
        <v>Melting_Curves/meltCurve_Q9Y2L1_DIS3.pdf</v>
      </c>
    </row>
    <row r="5686" spans="1:28" x14ac:dyDescent="0.25">
      <c r="A5686" t="s">
        <v>5690</v>
      </c>
      <c r="B5686">
        <v>0.99334974765950101</v>
      </c>
      <c r="C5686">
        <v>0.95912209219801203</v>
      </c>
      <c r="D5686">
        <v>0.82280817062879497</v>
      </c>
      <c r="E5686">
        <v>0.53151419150797297</v>
      </c>
      <c r="F5686">
        <v>0.142324990061929</v>
      </c>
      <c r="G5686">
        <v>9.4646125104140597E-2</v>
      </c>
      <c r="H5686">
        <v>7.3657467983805694E-2</v>
      </c>
      <c r="I5686">
        <v>6.3575144400859596E-2</v>
      </c>
      <c r="J5686">
        <v>5.3313600628578602E-2</v>
      </c>
      <c r="K5686">
        <v>4.1247840827487003E-2</v>
      </c>
      <c r="L5686">
        <v>1164.3626369122301</v>
      </c>
      <c r="M5686">
        <v>23.516235870849101</v>
      </c>
      <c r="N5686">
        <v>49.721528435658101</v>
      </c>
      <c r="O5686">
        <v>49.159263103058102</v>
      </c>
      <c r="P5686">
        <v>-0.113981675122204</v>
      </c>
      <c r="Q5686">
        <v>4.69292553157356E-2</v>
      </c>
      <c r="R5686">
        <v>0.99222575901830801</v>
      </c>
      <c r="S5686" t="s">
        <v>11547</v>
      </c>
      <c r="T5686" t="s">
        <v>11720</v>
      </c>
      <c r="U5686" t="s">
        <v>11720</v>
      </c>
      <c r="V5686" t="s">
        <v>11720</v>
      </c>
      <c r="W5686" t="s">
        <v>17344</v>
      </c>
      <c r="X5686">
        <v>16</v>
      </c>
      <c r="Y5686" t="s">
        <v>23038</v>
      </c>
      <c r="Z5686" t="s">
        <v>28893</v>
      </c>
      <c r="AA5686">
        <v>0.35875326768420779</v>
      </c>
      <c r="AB5686" t="str">
        <f>HYPERLINK("Melting_Curves/meltCurve_Q9Y2Q3_GSTK1.pdf", "Melting_Curves/meltCurve_Q9Y2Q3_GSTK1.pdf")</f>
        <v>Melting_Curves/meltCurve_Q9Y2Q3_GSTK1.pdf</v>
      </c>
    </row>
    <row r="5687" spans="1:28" x14ac:dyDescent="0.25">
      <c r="A5687" t="s">
        <v>5691</v>
      </c>
      <c r="B5687">
        <v>0.99334974765950101</v>
      </c>
      <c r="C5687">
        <v>0.91861879282468395</v>
      </c>
      <c r="D5687">
        <v>0.97543073035736205</v>
      </c>
      <c r="E5687">
        <v>0.87059305693880595</v>
      </c>
      <c r="F5687">
        <v>0.91576748395388197</v>
      </c>
      <c r="G5687">
        <v>0.83480217798448797</v>
      </c>
      <c r="H5687">
        <v>0.76011311176148</v>
      </c>
      <c r="I5687">
        <v>0.85852342825249195</v>
      </c>
      <c r="J5687">
        <v>0.49550615812542198</v>
      </c>
      <c r="K5687">
        <v>0.15527408108423801</v>
      </c>
      <c r="L5687">
        <v>1719.3704765180801</v>
      </c>
      <c r="M5687">
        <v>25.777311642375</v>
      </c>
      <c r="N5687">
        <v>66.700922562512105</v>
      </c>
      <c r="O5687">
        <v>66.303381226386804</v>
      </c>
      <c r="P5687">
        <v>-9.7195723034659703E-2</v>
      </c>
      <c r="Q5687">
        <v>0</v>
      </c>
      <c r="R5687">
        <v>0.84068533136560897</v>
      </c>
      <c r="S5687" t="s">
        <v>11548</v>
      </c>
      <c r="T5687" t="s">
        <v>11720</v>
      </c>
      <c r="U5687" t="s">
        <v>11720</v>
      </c>
      <c r="V5687" t="s">
        <v>11720</v>
      </c>
      <c r="W5687" t="s">
        <v>17345</v>
      </c>
      <c r="X5687">
        <v>8</v>
      </c>
      <c r="Y5687" t="s">
        <v>23039</v>
      </c>
      <c r="Z5687" t="s">
        <v>28894</v>
      </c>
      <c r="AA5687">
        <v>0.87412165781388362</v>
      </c>
      <c r="AB5687" t="str">
        <f>HYPERLINK("Melting_Curves/meltCurve_Q9Y2Q5_LAMTOR2.pdf", "Melting_Curves/meltCurve_Q9Y2Q5_LAMTOR2.pdf")</f>
        <v>Melting_Curves/meltCurve_Q9Y2Q5_LAMTOR2.pdf</v>
      </c>
    </row>
    <row r="5688" spans="1:28" x14ac:dyDescent="0.25">
      <c r="A5688" t="s">
        <v>5692</v>
      </c>
      <c r="B5688">
        <v>0.99334974765950101</v>
      </c>
      <c r="C5688">
        <v>0.98489462196374999</v>
      </c>
      <c r="D5688">
        <v>1.08670381438235</v>
      </c>
      <c r="E5688">
        <v>1.1050474491545399</v>
      </c>
      <c r="F5688">
        <v>0.514186107433388</v>
      </c>
      <c r="G5688">
        <v>0.31326003308003098</v>
      </c>
      <c r="H5688">
        <v>0.207703551583724</v>
      </c>
      <c r="I5688">
        <v>0.18375854182606399</v>
      </c>
      <c r="J5688">
        <v>0.14767271690035</v>
      </c>
      <c r="K5688">
        <v>0.14442996986639201</v>
      </c>
      <c r="L5688">
        <v>13227.0075589194</v>
      </c>
      <c r="M5688">
        <v>250</v>
      </c>
      <c r="N5688">
        <v>53.015924370765603</v>
      </c>
      <c r="O5688">
        <v>52.904653619897502</v>
      </c>
      <c r="P5688">
        <v>-0.94584684716022405</v>
      </c>
      <c r="Q5688">
        <v>0.199364941771487</v>
      </c>
      <c r="R5688">
        <v>0.97657298894868805</v>
      </c>
      <c r="S5688" t="s">
        <v>11549</v>
      </c>
      <c r="T5688" t="s">
        <v>11720</v>
      </c>
      <c r="U5688" t="s">
        <v>11720</v>
      </c>
      <c r="V5688" t="s">
        <v>11720</v>
      </c>
      <c r="W5688" t="s">
        <v>17346</v>
      </c>
      <c r="X5688">
        <v>4</v>
      </c>
      <c r="Y5688" t="s">
        <v>23040</v>
      </c>
      <c r="Z5688" t="s">
        <v>28895</v>
      </c>
      <c r="AA5688">
        <v>0.54392666759934805</v>
      </c>
      <c r="AB5688" t="str">
        <f>HYPERLINK("Melting_Curves/meltCurve_Q9Y2Q9_MRPS28.pdf", "Melting_Curves/meltCurve_Q9Y2Q9_MRPS28.pdf")</f>
        <v>Melting_Curves/meltCurve_Q9Y2Q9_MRPS28.pdf</v>
      </c>
    </row>
    <row r="5689" spans="1:28" x14ac:dyDescent="0.25">
      <c r="A5689" t="s">
        <v>5693</v>
      </c>
      <c r="B5689">
        <v>0.99334974765950101</v>
      </c>
      <c r="C5689">
        <v>0.96833198832656497</v>
      </c>
      <c r="D5689">
        <v>0.88460302822993497</v>
      </c>
      <c r="E5689">
        <v>0.82088653838056402</v>
      </c>
      <c r="F5689">
        <v>0.71036736311346005</v>
      </c>
      <c r="G5689">
        <v>0.61425271766968303</v>
      </c>
      <c r="H5689">
        <v>0.52331380903559399</v>
      </c>
      <c r="I5689">
        <v>0.53422718909812394</v>
      </c>
      <c r="J5689">
        <v>0.52154395284667798</v>
      </c>
      <c r="K5689">
        <v>0.36856475678853001</v>
      </c>
      <c r="L5689">
        <v>476.66871150594801</v>
      </c>
      <c r="M5689">
        <v>8.6560177264126104</v>
      </c>
      <c r="N5689">
        <v>63.698249258039603</v>
      </c>
      <c r="O5689">
        <v>52.365494671651902</v>
      </c>
      <c r="P5689">
        <v>-2.7080412746242101E-2</v>
      </c>
      <c r="Q5689">
        <v>0.34524793544414401</v>
      </c>
      <c r="R5689">
        <v>0.97249231848988904</v>
      </c>
      <c r="S5689" t="s">
        <v>11550</v>
      </c>
      <c r="T5689" t="s">
        <v>11720</v>
      </c>
      <c r="U5689" t="s">
        <v>11720</v>
      </c>
      <c r="V5689" t="s">
        <v>11720</v>
      </c>
      <c r="W5689" t="s">
        <v>17347</v>
      </c>
      <c r="X5689">
        <v>6</v>
      </c>
      <c r="Y5689" t="s">
        <v>23041</v>
      </c>
      <c r="Z5689" t="s">
        <v>28896</v>
      </c>
      <c r="AA5689">
        <v>0.69146232474244707</v>
      </c>
      <c r="AB5689" t="str">
        <f>HYPERLINK("Melting_Curves/meltCurve_Q9Y2R0_COA3.pdf", "Melting_Curves/meltCurve_Q9Y2R0_COA3.pdf")</f>
        <v>Melting_Curves/meltCurve_Q9Y2R0_COA3.pdf</v>
      </c>
    </row>
    <row r="5690" spans="1:28" x14ac:dyDescent="0.25">
      <c r="A5690" t="s">
        <v>5694</v>
      </c>
      <c r="B5690">
        <v>0.99334974765950101</v>
      </c>
      <c r="C5690">
        <v>1.0200701170912101</v>
      </c>
      <c r="D5690">
        <v>0.95936017469503698</v>
      </c>
      <c r="E5690">
        <v>0.75908454900571598</v>
      </c>
      <c r="F5690">
        <v>0.40622688495486597</v>
      </c>
      <c r="G5690">
        <v>0.224223092264525</v>
      </c>
      <c r="H5690">
        <v>0.140606439833937</v>
      </c>
      <c r="I5690">
        <v>0.123729971835944</v>
      </c>
      <c r="J5690">
        <v>0.11361550758024801</v>
      </c>
      <c r="K5690">
        <v>0.10316039775227299</v>
      </c>
      <c r="L5690">
        <v>1324.7156692839101</v>
      </c>
      <c r="M5690">
        <v>25.596759400198501</v>
      </c>
      <c r="N5690">
        <v>52.300121399494301</v>
      </c>
      <c r="O5690">
        <v>51.440473869012699</v>
      </c>
      <c r="P5690">
        <v>-0.10979532356586</v>
      </c>
      <c r="Q5690">
        <v>0.117410969537524</v>
      </c>
      <c r="R5690">
        <v>0.99815876253514901</v>
      </c>
      <c r="S5690" t="s">
        <v>11551</v>
      </c>
      <c r="T5690" t="s">
        <v>11720</v>
      </c>
      <c r="U5690" t="s">
        <v>11720</v>
      </c>
      <c r="V5690" t="s">
        <v>11720</v>
      </c>
      <c r="W5690" t="s">
        <v>17348</v>
      </c>
      <c r="X5690">
        <v>14</v>
      </c>
      <c r="Y5690" t="s">
        <v>23042</v>
      </c>
      <c r="Z5690" t="s">
        <v>28897</v>
      </c>
      <c r="AA5690">
        <v>0.47086528909511249</v>
      </c>
      <c r="AB5690" t="str">
        <f>HYPERLINK("Melting_Curves/meltCurve_Q9Y2S2_2_CRYL1.pdf", "Melting_Curves/meltCurve_Q9Y2S2_2_CRYL1.pdf")</f>
        <v>Melting_Curves/meltCurve_Q9Y2S2_2_CRYL1.pdf</v>
      </c>
    </row>
    <row r="5691" spans="1:28" x14ac:dyDescent="0.25">
      <c r="A5691" t="s">
        <v>5695</v>
      </c>
      <c r="B5691">
        <v>0.99334974765950101</v>
      </c>
      <c r="C5691">
        <v>1.04861637561216</v>
      </c>
      <c r="D5691">
        <v>0.774724378383707</v>
      </c>
      <c r="E5691">
        <v>0.83849149499073505</v>
      </c>
      <c r="F5691">
        <v>0.82215876396941601</v>
      </c>
      <c r="G5691">
        <v>0.753613743438309</v>
      </c>
      <c r="H5691">
        <v>0.81640322201607396</v>
      </c>
      <c r="I5691">
        <v>1.1198652077764799</v>
      </c>
      <c r="J5691">
        <v>1.0541435889397299</v>
      </c>
      <c r="K5691">
        <v>0.940238505392888</v>
      </c>
      <c r="L5691">
        <v>11081.3835719818</v>
      </c>
      <c r="M5691">
        <v>250</v>
      </c>
      <c r="O5691">
        <v>44.322675804431199</v>
      </c>
      <c r="P5691">
        <v>-0.15517360517967399</v>
      </c>
      <c r="Q5691">
        <v>0.88995659489427503</v>
      </c>
      <c r="R5691">
        <v>0.170555620230502</v>
      </c>
      <c r="S5691" t="s">
        <v>11552</v>
      </c>
      <c r="T5691" t="s">
        <v>11720</v>
      </c>
      <c r="U5691" t="s">
        <v>11720</v>
      </c>
      <c r="V5691" t="s">
        <v>11720</v>
      </c>
      <c r="W5691" t="s">
        <v>17349</v>
      </c>
      <c r="X5691">
        <v>5</v>
      </c>
      <c r="Y5691" t="s">
        <v>23043</v>
      </c>
      <c r="Z5691" t="s">
        <v>28898</v>
      </c>
      <c r="AA5691">
        <v>0.90583170597079865</v>
      </c>
      <c r="AB5691" t="str">
        <f>HYPERLINK("Melting_Curves/meltCurve_Q9Y2S6_TMA7.pdf", "Melting_Curves/meltCurve_Q9Y2S6_TMA7.pdf")</f>
        <v>Melting_Curves/meltCurve_Q9Y2S6_TMA7.pdf</v>
      </c>
    </row>
    <row r="5692" spans="1:28" x14ac:dyDescent="0.25">
      <c r="A5692" t="s">
        <v>5696</v>
      </c>
      <c r="B5692">
        <v>0.99334974765950101</v>
      </c>
      <c r="C5692">
        <v>0.88665447002410502</v>
      </c>
      <c r="D5692">
        <v>0.87039934715761602</v>
      </c>
      <c r="E5692">
        <v>0.57231948645755104</v>
      </c>
      <c r="F5692">
        <v>0.28510343481279199</v>
      </c>
      <c r="G5692">
        <v>0.13658615443029301</v>
      </c>
      <c r="H5692">
        <v>9.5281923755889397E-2</v>
      </c>
      <c r="I5692">
        <v>9.1802334778617406E-2</v>
      </c>
      <c r="J5692">
        <v>7.9014470379513396E-2</v>
      </c>
      <c r="K5692">
        <v>5.7143562172077098E-2</v>
      </c>
      <c r="L5692">
        <v>955.01096636577904</v>
      </c>
      <c r="M5692">
        <v>19.039856183763</v>
      </c>
      <c r="N5692">
        <v>50.509368374387897</v>
      </c>
      <c r="O5692">
        <v>49.615011688357903</v>
      </c>
      <c r="P5692">
        <v>-8.9998959769061401E-2</v>
      </c>
      <c r="Q5692">
        <v>6.1941417883084701E-2</v>
      </c>
      <c r="R5692">
        <v>0.99393821739906696</v>
      </c>
      <c r="S5692" t="s">
        <v>11553</v>
      </c>
      <c r="T5692" t="s">
        <v>11720</v>
      </c>
      <c r="U5692" t="s">
        <v>11720</v>
      </c>
      <c r="V5692" t="s">
        <v>11720</v>
      </c>
      <c r="W5692" t="s">
        <v>17350</v>
      </c>
      <c r="X5692">
        <v>13</v>
      </c>
      <c r="Y5692" t="s">
        <v>23044</v>
      </c>
      <c r="Z5692" t="s">
        <v>28899</v>
      </c>
      <c r="AA5692">
        <v>0.3939334628865519</v>
      </c>
      <c r="AB5692" t="str">
        <f>HYPERLINK("Melting_Curves/meltCurve_Q9Y2S7_POLDIP2.pdf", "Melting_Curves/meltCurve_Q9Y2S7_POLDIP2.pdf")</f>
        <v>Melting_Curves/meltCurve_Q9Y2S7_POLDIP2.pdf</v>
      </c>
    </row>
    <row r="5693" spans="1:28" x14ac:dyDescent="0.25">
      <c r="A5693" t="s">
        <v>5697</v>
      </c>
      <c r="B5693">
        <v>0.99334974765950101</v>
      </c>
      <c r="C5693">
        <v>0.97555419284760303</v>
      </c>
      <c r="D5693">
        <v>0.99602425130829397</v>
      </c>
      <c r="E5693">
        <v>0.77976507457605304</v>
      </c>
      <c r="F5693">
        <v>0.326603714034012</v>
      </c>
      <c r="G5693">
        <v>0.21688533300590401</v>
      </c>
      <c r="H5693">
        <v>0.15620351251315601</v>
      </c>
      <c r="I5693">
        <v>0.11046255411391399</v>
      </c>
      <c r="J5693">
        <v>8.2519741418501505E-2</v>
      </c>
      <c r="K5693">
        <v>8.1229479183879905E-2</v>
      </c>
      <c r="L5693">
        <v>1815.0822121168601</v>
      </c>
      <c r="M5693">
        <v>35.277665072557703</v>
      </c>
      <c r="N5693">
        <v>51.853244819910103</v>
      </c>
      <c r="O5693">
        <v>51.286824221504098</v>
      </c>
      <c r="P5693">
        <v>-0.15139127777700401</v>
      </c>
      <c r="Q5693">
        <v>0.119629795670469</v>
      </c>
      <c r="R5693">
        <v>0.99315259479206697</v>
      </c>
      <c r="S5693" t="s">
        <v>11554</v>
      </c>
      <c r="T5693" t="s">
        <v>11720</v>
      </c>
      <c r="U5693" t="s">
        <v>11720</v>
      </c>
      <c r="V5693" t="s">
        <v>11720</v>
      </c>
      <c r="W5693" t="s">
        <v>17351</v>
      </c>
      <c r="X5693">
        <v>12</v>
      </c>
      <c r="Y5693" t="s">
        <v>23045</v>
      </c>
      <c r="Z5693" t="s">
        <v>28900</v>
      </c>
      <c r="AA5693">
        <v>0.45970664495006802</v>
      </c>
      <c r="AB5693" t="str">
        <f>HYPERLINK("Melting_Curves/meltCurve_Q9Y2T2_AP3M1.pdf", "Melting_Curves/meltCurve_Q9Y2T2_AP3M1.pdf")</f>
        <v>Melting_Curves/meltCurve_Q9Y2T2_AP3M1.pdf</v>
      </c>
    </row>
    <row r="5694" spans="1:28" x14ac:dyDescent="0.25">
      <c r="A5694" t="s">
        <v>5698</v>
      </c>
      <c r="B5694">
        <v>0.99334974765950101</v>
      </c>
      <c r="C5694">
        <v>1.03287909072253</v>
      </c>
      <c r="D5694">
        <v>1.01090651365605</v>
      </c>
      <c r="E5694">
        <v>0.83874848253617795</v>
      </c>
      <c r="F5694">
        <v>0.34940695795580501</v>
      </c>
      <c r="G5694">
        <v>0.15720371834305399</v>
      </c>
      <c r="H5694">
        <v>9.0598022733757499E-2</v>
      </c>
      <c r="I5694">
        <v>7.0480950428061601E-2</v>
      </c>
      <c r="J5694">
        <v>7.9691529967745797E-2</v>
      </c>
      <c r="K5694">
        <v>5.1977361631272499E-2</v>
      </c>
      <c r="L5694">
        <v>2036.42281890959</v>
      </c>
      <c r="M5694">
        <v>39.245432517374297</v>
      </c>
      <c r="N5694">
        <v>52.128274769130897</v>
      </c>
      <c r="O5694">
        <v>51.755242969453498</v>
      </c>
      <c r="P5694">
        <v>-0.17397254625875</v>
      </c>
      <c r="Q5694">
        <v>8.22910415145469E-2</v>
      </c>
      <c r="R5694">
        <v>0.99708633438322702</v>
      </c>
      <c r="S5694" t="s">
        <v>11555</v>
      </c>
      <c r="T5694" t="s">
        <v>11720</v>
      </c>
      <c r="U5694" t="s">
        <v>11720</v>
      </c>
      <c r="V5694" t="s">
        <v>11720</v>
      </c>
      <c r="W5694" t="s">
        <v>17352</v>
      </c>
      <c r="X5694">
        <v>7</v>
      </c>
      <c r="Y5694" t="s">
        <v>23046</v>
      </c>
      <c r="Z5694" t="s">
        <v>28901</v>
      </c>
      <c r="AA5694">
        <v>0.44941068063650358</v>
      </c>
      <c r="AB5694" t="str">
        <f>HYPERLINK("Melting_Curves/meltCurve_Q9Y2U5_MAP3K2.pdf", "Melting_Curves/meltCurve_Q9Y2U5_MAP3K2.pdf")</f>
        <v>Melting_Curves/meltCurve_Q9Y2U5_MAP3K2.pdf</v>
      </c>
    </row>
    <row r="5695" spans="1:28" x14ac:dyDescent="0.25">
      <c r="A5695" t="s">
        <v>5699</v>
      </c>
      <c r="B5695">
        <v>0.99334974765950101</v>
      </c>
      <c r="C5695">
        <v>0.89775244350195105</v>
      </c>
      <c r="D5695">
        <v>0.70118134402915</v>
      </c>
      <c r="E5695">
        <v>0.50941282438559399</v>
      </c>
      <c r="F5695">
        <v>0.48376115619714699</v>
      </c>
      <c r="G5695">
        <v>0.362671530016688</v>
      </c>
      <c r="H5695">
        <v>0.34456991166329398</v>
      </c>
      <c r="I5695">
        <v>0.31155065177784802</v>
      </c>
      <c r="J5695">
        <v>0.38355622143287899</v>
      </c>
      <c r="K5695">
        <v>0.25014563579752402</v>
      </c>
      <c r="L5695">
        <v>692.03566001928698</v>
      </c>
      <c r="M5695">
        <v>14.5976767579421</v>
      </c>
      <c r="N5695">
        <v>50.818837841306099</v>
      </c>
      <c r="O5695">
        <v>46.544239661377297</v>
      </c>
      <c r="P5695">
        <v>-5.3923804121429698E-2</v>
      </c>
      <c r="Q5695">
        <v>0.31233992611141898</v>
      </c>
      <c r="R5695">
        <v>0.97553733435901202</v>
      </c>
      <c r="S5695" t="s">
        <v>11556</v>
      </c>
      <c r="T5695" t="s">
        <v>11720</v>
      </c>
      <c r="U5695" t="s">
        <v>11720</v>
      </c>
      <c r="V5695" t="s">
        <v>11720</v>
      </c>
      <c r="W5695" t="s">
        <v>17353</v>
      </c>
      <c r="X5695">
        <v>7</v>
      </c>
      <c r="Y5695" t="s">
        <v>23047</v>
      </c>
      <c r="Z5695" t="s">
        <v>28902</v>
      </c>
      <c r="AA5695">
        <v>0.50139818560085703</v>
      </c>
      <c r="AB5695" t="str">
        <f>HYPERLINK("Melting_Curves/meltCurve_Q9Y2U8_LEMD3.pdf", "Melting_Curves/meltCurve_Q9Y2U8_LEMD3.pdf")</f>
        <v>Melting_Curves/meltCurve_Q9Y2U8_LEMD3.pdf</v>
      </c>
    </row>
    <row r="5696" spans="1:28" x14ac:dyDescent="0.25">
      <c r="A5696" t="s">
        <v>5700</v>
      </c>
      <c r="B5696">
        <v>0.99334974765950101</v>
      </c>
      <c r="C5696">
        <v>0.92532572271423297</v>
      </c>
      <c r="D5696">
        <v>0.77603311148638998</v>
      </c>
      <c r="E5696">
        <v>0.28294311197794297</v>
      </c>
      <c r="F5696">
        <v>0.165941582754597</v>
      </c>
      <c r="G5696">
        <v>0.135046850673221</v>
      </c>
      <c r="H5696">
        <v>0.11987682342152001</v>
      </c>
      <c r="I5696">
        <v>0.10277560565301801</v>
      </c>
      <c r="J5696">
        <v>8.12562396261267E-2</v>
      </c>
      <c r="K5696">
        <v>7.27648232536377E-2</v>
      </c>
      <c r="L5696">
        <v>1287.67970043132</v>
      </c>
      <c r="M5696">
        <v>26.9950547785248</v>
      </c>
      <c r="N5696">
        <v>48.094047406472299</v>
      </c>
      <c r="O5696">
        <v>47.441140178057999</v>
      </c>
      <c r="P5696">
        <v>-0.128161606850861</v>
      </c>
      <c r="Q5696">
        <v>9.9083889679703094E-2</v>
      </c>
      <c r="R5696">
        <v>0.99696411163019205</v>
      </c>
      <c r="S5696" t="s">
        <v>11557</v>
      </c>
      <c r="T5696" t="s">
        <v>11720</v>
      </c>
      <c r="U5696" t="s">
        <v>11720</v>
      </c>
      <c r="V5696" t="s">
        <v>11720</v>
      </c>
      <c r="W5696" t="s">
        <v>17354</v>
      </c>
      <c r="X5696">
        <v>12</v>
      </c>
      <c r="Y5696" t="s">
        <v>23048</v>
      </c>
      <c r="Z5696" t="s">
        <v>28903</v>
      </c>
      <c r="AA5696">
        <v>0.33710196052876301</v>
      </c>
      <c r="AB5696" t="str">
        <f>HYPERLINK("Melting_Curves/meltCurve_Q9Y2V7_COG6.pdf", "Melting_Curves/meltCurve_Q9Y2V7_COG6.pdf")</f>
        <v>Melting_Curves/meltCurve_Q9Y2V7_COG6.pdf</v>
      </c>
    </row>
    <row r="5697" spans="1:28" x14ac:dyDescent="0.25">
      <c r="A5697" t="s">
        <v>5701</v>
      </c>
      <c r="B5697">
        <v>0.99334974765950101</v>
      </c>
      <c r="C5697">
        <v>1.0709560902900499</v>
      </c>
      <c r="D5697">
        <v>0.99696115416722497</v>
      </c>
      <c r="E5697">
        <v>0.93400513225701198</v>
      </c>
      <c r="F5697">
        <v>0.86354391464310798</v>
      </c>
      <c r="G5697">
        <v>0.596272041124703</v>
      </c>
      <c r="H5697">
        <v>0.52143567984669703</v>
      </c>
      <c r="I5697">
        <v>0.46918024656247198</v>
      </c>
      <c r="J5697">
        <v>0.59686630136760899</v>
      </c>
      <c r="K5697">
        <v>0.553598441451987</v>
      </c>
      <c r="L5697">
        <v>1884.3685503301599</v>
      </c>
      <c r="M5697">
        <v>34.8156340001402</v>
      </c>
      <c r="O5697">
        <v>53.9465736724637</v>
      </c>
      <c r="P5697">
        <v>-7.5496732585742896E-2</v>
      </c>
      <c r="Q5697">
        <v>0.53207511760908499</v>
      </c>
      <c r="R5697">
        <v>0.96663795038427003</v>
      </c>
      <c r="S5697" t="s">
        <v>11558</v>
      </c>
      <c r="T5697" t="s">
        <v>11720</v>
      </c>
      <c r="U5697" t="s">
        <v>11720</v>
      </c>
      <c r="V5697" t="s">
        <v>11720</v>
      </c>
      <c r="W5697" t="s">
        <v>17355</v>
      </c>
      <c r="X5697">
        <v>11</v>
      </c>
      <c r="Y5697" t="s">
        <v>23049</v>
      </c>
      <c r="Z5697" t="s">
        <v>28904</v>
      </c>
      <c r="AA5697">
        <v>0.75467915846693834</v>
      </c>
      <c r="AB5697" t="str">
        <f>HYPERLINK("Melting_Curves/meltCurve_Q9Y2W1_THRAP3.pdf", "Melting_Curves/meltCurve_Q9Y2W1_THRAP3.pdf")</f>
        <v>Melting_Curves/meltCurve_Q9Y2W1_THRAP3.pdf</v>
      </c>
    </row>
    <row r="5698" spans="1:28" x14ac:dyDescent="0.25">
      <c r="A5698" t="s">
        <v>5702</v>
      </c>
      <c r="B5698">
        <v>0.99334974765950101</v>
      </c>
      <c r="C5698">
        <v>0.97534132214899405</v>
      </c>
      <c r="D5698">
        <v>1.0356372388562201</v>
      </c>
      <c r="E5698">
        <v>1.0516977552095701</v>
      </c>
      <c r="F5698">
        <v>0.94820065082046401</v>
      </c>
      <c r="G5698">
        <v>0.84480437226605198</v>
      </c>
      <c r="H5698">
        <v>0.75393155028180903</v>
      </c>
      <c r="I5698">
        <v>0.72267410487704697</v>
      </c>
      <c r="J5698">
        <v>0.206959463119848</v>
      </c>
      <c r="K5698">
        <v>0.123920106634024</v>
      </c>
      <c r="L5698">
        <v>1630.48115780072</v>
      </c>
      <c r="M5698">
        <v>25.167661849385901</v>
      </c>
      <c r="N5698">
        <v>64.784768488626099</v>
      </c>
      <c r="O5698">
        <v>64.379907004251706</v>
      </c>
      <c r="P5698">
        <v>-9.7732323232312596E-2</v>
      </c>
      <c r="Q5698">
        <v>0</v>
      </c>
      <c r="R5698">
        <v>0.94258923019546004</v>
      </c>
      <c r="S5698" t="s">
        <v>11559</v>
      </c>
      <c r="T5698" t="s">
        <v>11720</v>
      </c>
      <c r="U5698" t="s">
        <v>11720</v>
      </c>
      <c r="V5698" t="s">
        <v>11720</v>
      </c>
      <c r="W5698" t="s">
        <v>17356</v>
      </c>
      <c r="X5698">
        <v>2</v>
      </c>
      <c r="Y5698" t="s">
        <v>23050</v>
      </c>
      <c r="Z5698" t="s">
        <v>28905</v>
      </c>
      <c r="AA5698">
        <v>0.82186580170042245</v>
      </c>
      <c r="AB5698" t="str">
        <f>HYPERLINK("Melting_Curves/meltCurve_Q9Y2X7_GIT1.pdf", "Melting_Curves/meltCurve_Q9Y2X7_GIT1.pdf")</f>
        <v>Melting_Curves/meltCurve_Q9Y2X7_GIT1.pdf</v>
      </c>
    </row>
    <row r="5699" spans="1:28" x14ac:dyDescent="0.25">
      <c r="A5699" t="s">
        <v>5703</v>
      </c>
      <c r="B5699">
        <v>0.99334974765950101</v>
      </c>
      <c r="C5699">
        <v>0.87270420367328705</v>
      </c>
      <c r="D5699">
        <v>1.0257671398480701</v>
      </c>
      <c r="E5699">
        <v>0.81304265096643202</v>
      </c>
      <c r="F5699">
        <v>1.50232322108237</v>
      </c>
      <c r="G5699">
        <v>1.00311180763487</v>
      </c>
      <c r="H5699">
        <v>0.623922087802258</v>
      </c>
      <c r="I5699">
        <v>0.59651657000503799</v>
      </c>
      <c r="J5699">
        <v>0.72182510038410197</v>
      </c>
      <c r="K5699">
        <v>1.1241633511461699</v>
      </c>
      <c r="L5699">
        <v>14624.0833742905</v>
      </c>
      <c r="M5699">
        <v>250</v>
      </c>
      <c r="O5699">
        <v>58.492608740593198</v>
      </c>
      <c r="P5699">
        <v>-0.249382859514692</v>
      </c>
      <c r="Q5699">
        <v>0.76660720975238705</v>
      </c>
      <c r="R5699">
        <v>0.25514997348999602</v>
      </c>
      <c r="S5699" t="s">
        <v>11560</v>
      </c>
      <c r="T5699" t="s">
        <v>11720</v>
      </c>
      <c r="U5699" t="s">
        <v>11720</v>
      </c>
      <c r="V5699" t="s">
        <v>11720</v>
      </c>
      <c r="W5699" t="s">
        <v>17357</v>
      </c>
      <c r="X5699">
        <v>1</v>
      </c>
      <c r="Y5699" t="s">
        <v>23051</v>
      </c>
      <c r="Z5699" t="s">
        <v>28906</v>
      </c>
      <c r="AA5699">
        <v>0.91052819936748342</v>
      </c>
      <c r="AB5699" t="str">
        <f>HYPERLINK("Melting_Curves/meltCurve_Q9Y2Y1_POLR3K.pdf", "Melting_Curves/meltCurve_Q9Y2Y1_POLR3K.pdf")</f>
        <v>Melting_Curves/meltCurve_Q9Y2Y1_POLR3K.pdf</v>
      </c>
    </row>
    <row r="5700" spans="1:28" x14ac:dyDescent="0.25">
      <c r="A5700" t="s">
        <v>5704</v>
      </c>
      <c r="B5700">
        <v>0.99334974765950101</v>
      </c>
      <c r="C5700">
        <v>0.95786369997056398</v>
      </c>
      <c r="D5700">
        <v>0.88648835202665899</v>
      </c>
      <c r="E5700">
        <v>0.66590839625916498</v>
      </c>
      <c r="F5700">
        <v>0.52233484360856097</v>
      </c>
      <c r="G5700">
        <v>0.25502455130475699</v>
      </c>
      <c r="H5700">
        <v>0.26775931051736301</v>
      </c>
      <c r="I5700">
        <v>0.21905200678041201</v>
      </c>
      <c r="J5700">
        <v>0.444855344617965</v>
      </c>
      <c r="K5700">
        <v>0.43035633845208499</v>
      </c>
      <c r="L5700">
        <v>1135.6442154941501</v>
      </c>
      <c r="M5700">
        <v>22.720580999178601</v>
      </c>
      <c r="N5700">
        <v>52.358804841058202</v>
      </c>
      <c r="O5700">
        <v>49.600708368057298</v>
      </c>
      <c r="P5700">
        <v>-7.7683050148514801E-2</v>
      </c>
      <c r="Q5700">
        <v>0.32166215582818503</v>
      </c>
      <c r="R5700">
        <v>0.92682105200814002</v>
      </c>
      <c r="S5700" t="s">
        <v>11561</v>
      </c>
      <c r="T5700" t="s">
        <v>11720</v>
      </c>
      <c r="U5700" t="s">
        <v>11720</v>
      </c>
      <c r="V5700" t="s">
        <v>11720</v>
      </c>
      <c r="W5700" t="s">
        <v>17358</v>
      </c>
      <c r="X5700">
        <v>20</v>
      </c>
      <c r="Y5700" t="s">
        <v>23052</v>
      </c>
      <c r="Z5700" t="s">
        <v>28907</v>
      </c>
      <c r="AA5700">
        <v>0.55473323878760017</v>
      </c>
      <c r="AB5700" t="str">
        <f>HYPERLINK("Melting_Curves/meltCurve_Q9Y2Z0_SUGT1.pdf", "Melting_Curves/meltCurve_Q9Y2Z0_SUGT1.pdf")</f>
        <v>Melting_Curves/meltCurve_Q9Y2Z0_SUGT1.pdf</v>
      </c>
    </row>
    <row r="5701" spans="1:28" x14ac:dyDescent="0.25">
      <c r="A5701" t="s">
        <v>5705</v>
      </c>
      <c r="B5701">
        <v>0.99334974765950101</v>
      </c>
      <c r="C5701">
        <v>0.99042425313938498</v>
      </c>
      <c r="D5701">
        <v>0.95066078876316396</v>
      </c>
      <c r="E5701">
        <v>0.80756574880199905</v>
      </c>
      <c r="F5701">
        <v>0.684755899247801</v>
      </c>
      <c r="G5701">
        <v>0.33246458917315902</v>
      </c>
      <c r="H5701">
        <v>0.139281512822655</v>
      </c>
      <c r="I5701">
        <v>0.122149922987838</v>
      </c>
      <c r="J5701">
        <v>0.14183002994774099</v>
      </c>
      <c r="K5701">
        <v>7.53238042077609E-2</v>
      </c>
      <c r="L5701">
        <v>1024.85310815701</v>
      </c>
      <c r="M5701">
        <v>18.882334341706301</v>
      </c>
      <c r="N5701">
        <v>54.738830014717998</v>
      </c>
      <c r="O5701">
        <v>53.677997038972798</v>
      </c>
      <c r="P5701">
        <v>-8.1454556306785594E-2</v>
      </c>
      <c r="Q5701">
        <v>7.3813918623711505E-2</v>
      </c>
      <c r="R5701">
        <v>0.99482982695297195</v>
      </c>
      <c r="S5701" t="s">
        <v>11562</v>
      </c>
      <c r="T5701" t="s">
        <v>11720</v>
      </c>
      <c r="U5701" t="s">
        <v>11720</v>
      </c>
      <c r="V5701" t="s">
        <v>11720</v>
      </c>
      <c r="W5701" t="s">
        <v>17359</v>
      </c>
      <c r="X5701">
        <v>20</v>
      </c>
      <c r="Y5701" t="s">
        <v>23052</v>
      </c>
      <c r="Z5701" t="s">
        <v>28908</v>
      </c>
      <c r="AA5701">
        <v>0.52824242285003353</v>
      </c>
      <c r="AB5701" t="str">
        <f>HYPERLINK("Melting_Curves/meltCurve_Q9Y2Z0_2_SUGT1.pdf", "Melting_Curves/meltCurve_Q9Y2Z0_2_SUGT1.pdf")</f>
        <v>Melting_Curves/meltCurve_Q9Y2Z0_2_SUGT1.pdf</v>
      </c>
    </row>
    <row r="5702" spans="1:28" x14ac:dyDescent="0.25">
      <c r="A5702" t="s">
        <v>5706</v>
      </c>
      <c r="B5702">
        <v>0.99334974765950101</v>
      </c>
      <c r="C5702">
        <v>0.89396369075986304</v>
      </c>
      <c r="D5702">
        <v>0.56232443876303895</v>
      </c>
      <c r="E5702">
        <v>0.25866493351535103</v>
      </c>
      <c r="F5702">
        <v>0.26962900301874598</v>
      </c>
      <c r="G5702">
        <v>0.154227897130117</v>
      </c>
      <c r="H5702">
        <v>0.121199582168737</v>
      </c>
      <c r="I5702">
        <v>9.5410280430720001E-2</v>
      </c>
      <c r="J5702">
        <v>6.4701073188455693E-2</v>
      </c>
      <c r="K5702">
        <v>4.6927505242046599E-2</v>
      </c>
      <c r="L5702">
        <v>866.14267355559105</v>
      </c>
      <c r="M5702">
        <v>18.5817564954462</v>
      </c>
      <c r="N5702">
        <v>47.144048576820197</v>
      </c>
      <c r="O5702">
        <v>46.082749681454899</v>
      </c>
      <c r="P5702">
        <v>-9.1283837149881905E-2</v>
      </c>
      <c r="Q5702">
        <v>9.4504161951380006E-2</v>
      </c>
      <c r="R5702">
        <v>0.98312043733894805</v>
      </c>
      <c r="S5702" t="s">
        <v>11563</v>
      </c>
      <c r="T5702" t="s">
        <v>11720</v>
      </c>
      <c r="U5702" t="s">
        <v>11720</v>
      </c>
      <c r="V5702" t="s">
        <v>11720</v>
      </c>
      <c r="W5702" t="s">
        <v>17360</v>
      </c>
      <c r="X5702">
        <v>3</v>
      </c>
      <c r="Y5702" t="s">
        <v>23053</v>
      </c>
      <c r="Z5702" t="s">
        <v>28909</v>
      </c>
      <c r="AA5702">
        <v>0.30999004595265173</v>
      </c>
      <c r="AB5702" t="str">
        <f>HYPERLINK("Melting_Curves/meltCurve_Q9Y2Z4_YARS2.pdf", "Melting_Curves/meltCurve_Q9Y2Z4_YARS2.pdf")</f>
        <v>Melting_Curves/meltCurve_Q9Y2Z4_YARS2.pdf</v>
      </c>
    </row>
    <row r="5703" spans="1:28" x14ac:dyDescent="0.25">
      <c r="A5703" t="s">
        <v>5707</v>
      </c>
      <c r="B5703">
        <v>0.99334974765950101</v>
      </c>
      <c r="C5703">
        <v>0.89411752410188405</v>
      </c>
      <c r="D5703">
        <v>0.89467951334179396</v>
      </c>
      <c r="E5703">
        <v>0.70472571087112101</v>
      </c>
      <c r="F5703">
        <v>0.46979387366723602</v>
      </c>
      <c r="G5703">
        <v>0.35748798269668602</v>
      </c>
      <c r="H5703">
        <v>0.18437658846428401</v>
      </c>
      <c r="I5703">
        <v>0.108609498175323</v>
      </c>
      <c r="J5703">
        <v>6.5310821026440605E-2</v>
      </c>
      <c r="K5703">
        <v>4.93299760425513E-2</v>
      </c>
      <c r="L5703">
        <v>633.35940812863396</v>
      </c>
      <c r="M5703">
        <v>11.8865940929759</v>
      </c>
      <c r="N5703">
        <v>53.283504584619699</v>
      </c>
      <c r="O5703">
        <v>51.842550712712601</v>
      </c>
      <c r="P5703">
        <v>-5.7334982419963799E-2</v>
      </c>
      <c r="Q5703">
        <v>0</v>
      </c>
      <c r="R5703">
        <v>0.99338339039476797</v>
      </c>
      <c r="S5703" t="s">
        <v>11564</v>
      </c>
      <c r="T5703" t="s">
        <v>11720</v>
      </c>
      <c r="U5703" t="s">
        <v>11720</v>
      </c>
      <c r="V5703" t="s">
        <v>11720</v>
      </c>
      <c r="W5703" t="s">
        <v>17361</v>
      </c>
      <c r="X5703">
        <v>4</v>
      </c>
      <c r="Y5703" t="s">
        <v>23054</v>
      </c>
      <c r="Z5703" t="s">
        <v>28910</v>
      </c>
      <c r="AA5703">
        <v>0.470895087131736</v>
      </c>
      <c r="AB5703" t="str">
        <f>HYPERLINK("Melting_Curves/meltCurve_Q9Y2Z9_3_COQ6.pdf", "Melting_Curves/meltCurve_Q9Y2Z9_3_COQ6.pdf")</f>
        <v>Melting_Curves/meltCurve_Q9Y2Z9_3_COQ6.pdf</v>
      </c>
    </row>
    <row r="5704" spans="1:28" x14ac:dyDescent="0.25">
      <c r="A5704" t="s">
        <v>5708</v>
      </c>
      <c r="B5704">
        <v>0.99334974765950101</v>
      </c>
      <c r="C5704">
        <v>1.06450763418798</v>
      </c>
      <c r="D5704">
        <v>1.0661023205257001</v>
      </c>
      <c r="E5704">
        <v>1.1782581997664301</v>
      </c>
      <c r="F5704">
        <v>0.81377898764957302</v>
      </c>
      <c r="G5704">
        <v>0.58282375633913996</v>
      </c>
      <c r="H5704">
        <v>0.19185934797231699</v>
      </c>
      <c r="I5704">
        <v>0.13584198142323001</v>
      </c>
      <c r="J5704">
        <v>0.10455109609229001</v>
      </c>
      <c r="K5704">
        <v>7.5395350524209301E-2</v>
      </c>
      <c r="L5704">
        <v>1585.9276256123601</v>
      </c>
      <c r="M5704">
        <v>27.7573307585468</v>
      </c>
      <c r="N5704">
        <v>57.493450205442201</v>
      </c>
      <c r="O5704">
        <v>56.841366231570497</v>
      </c>
      <c r="P5704">
        <v>-0.112394423300322</v>
      </c>
      <c r="Q5704">
        <v>7.9364521123071394E-2</v>
      </c>
      <c r="R5704">
        <v>0.96948950946418899</v>
      </c>
      <c r="S5704" t="s">
        <v>11565</v>
      </c>
      <c r="T5704" t="s">
        <v>11720</v>
      </c>
      <c r="U5704" t="s">
        <v>11720</v>
      </c>
      <c r="V5704" t="s">
        <v>11720</v>
      </c>
      <c r="W5704" t="s">
        <v>17362</v>
      </c>
      <c r="X5704">
        <v>9</v>
      </c>
      <c r="Y5704" t="s">
        <v>23055</v>
      </c>
      <c r="Z5704" t="s">
        <v>28911</v>
      </c>
      <c r="AA5704">
        <v>0.61220702238882363</v>
      </c>
      <c r="AB5704" t="str">
        <f>HYPERLINK("Melting_Curves/meltCurve_Q9Y303_AMDHD2.pdf", "Melting_Curves/meltCurve_Q9Y303_AMDHD2.pdf")</f>
        <v>Melting_Curves/meltCurve_Q9Y303_AMDHD2.pdf</v>
      </c>
    </row>
    <row r="5705" spans="1:28" x14ac:dyDescent="0.25">
      <c r="A5705" t="s">
        <v>5709</v>
      </c>
      <c r="B5705">
        <v>0.99334974765950101</v>
      </c>
      <c r="C5705">
        <v>0.99593277442591899</v>
      </c>
      <c r="D5705">
        <v>1.1345104523232701</v>
      </c>
      <c r="E5705">
        <v>1.0992296832514601</v>
      </c>
      <c r="F5705">
        <v>1.0632298468593</v>
      </c>
      <c r="G5705">
        <v>0.32497677256575602</v>
      </c>
      <c r="H5705">
        <v>0.25127810762846797</v>
      </c>
      <c r="I5705">
        <v>0.18914966704581601</v>
      </c>
      <c r="J5705">
        <v>0.18255056180766699</v>
      </c>
      <c r="K5705">
        <v>0.13974961278248299</v>
      </c>
      <c r="L5705">
        <v>14157.9615558975</v>
      </c>
      <c r="M5705">
        <v>250</v>
      </c>
      <c r="N5705">
        <v>56.740849394466998</v>
      </c>
      <c r="O5705">
        <v>56.628228232434701</v>
      </c>
      <c r="P5705">
        <v>-0.89323617141864597</v>
      </c>
      <c r="Q5705">
        <v>0.19068197908550499</v>
      </c>
      <c r="R5705">
        <v>0.97869395383217195</v>
      </c>
      <c r="S5705" t="s">
        <v>11566</v>
      </c>
      <c r="T5705" t="s">
        <v>11720</v>
      </c>
      <c r="U5705" t="s">
        <v>11720</v>
      </c>
      <c r="V5705" t="s">
        <v>11720</v>
      </c>
      <c r="W5705" t="s">
        <v>17363</v>
      </c>
      <c r="X5705">
        <v>18</v>
      </c>
      <c r="Y5705" t="s">
        <v>23056</v>
      </c>
      <c r="Z5705" t="s">
        <v>28912</v>
      </c>
      <c r="AA5705">
        <v>0.63944417791970676</v>
      </c>
      <c r="AB5705" t="str">
        <f>HYPERLINK("Melting_Curves/meltCurve_Q9Y305_ACOT9.pdf", "Melting_Curves/meltCurve_Q9Y305_ACOT9.pdf")</f>
        <v>Melting_Curves/meltCurve_Q9Y305_ACOT9.pdf</v>
      </c>
    </row>
    <row r="5706" spans="1:28" x14ac:dyDescent="0.25">
      <c r="A5706" t="s">
        <v>5710</v>
      </c>
      <c r="B5706">
        <v>0.99334974765950101</v>
      </c>
      <c r="C5706">
        <v>1.00790189132797</v>
      </c>
      <c r="D5706">
        <v>0.53517935799059502</v>
      </c>
      <c r="E5706">
        <v>0.19039581605390199</v>
      </c>
      <c r="F5706">
        <v>0.125812846289307</v>
      </c>
      <c r="G5706">
        <v>9.62048947624322E-2</v>
      </c>
      <c r="H5706">
        <v>9.2780701512309993E-2</v>
      </c>
      <c r="I5706">
        <v>9.4242338700471398E-2</v>
      </c>
      <c r="J5706">
        <v>0.10693896052690099</v>
      </c>
      <c r="K5706">
        <v>0.111904422897007</v>
      </c>
      <c r="L5706">
        <v>2069.0594949149299</v>
      </c>
      <c r="M5706">
        <v>45.020787928843198</v>
      </c>
      <c r="N5706">
        <v>46.219450117268799</v>
      </c>
      <c r="O5706">
        <v>45.867488522623098</v>
      </c>
      <c r="P5706">
        <v>-0.21778682368423699</v>
      </c>
      <c r="Q5706">
        <v>0.112470656773727</v>
      </c>
      <c r="R5706">
        <v>0.99513586050793901</v>
      </c>
      <c r="S5706" t="s">
        <v>11567</v>
      </c>
      <c r="T5706" t="s">
        <v>11720</v>
      </c>
      <c r="U5706" t="s">
        <v>11720</v>
      </c>
      <c r="V5706" t="s">
        <v>11720</v>
      </c>
      <c r="W5706" t="s">
        <v>17364</v>
      </c>
      <c r="X5706">
        <v>4</v>
      </c>
      <c r="Y5706" t="s">
        <v>23057</v>
      </c>
      <c r="Z5706" t="s">
        <v>28913</v>
      </c>
      <c r="AA5706">
        <v>0.29097920437861019</v>
      </c>
      <c r="AB5706" t="str">
        <f>HYPERLINK("Melting_Curves/meltCurve_Q9Y314_NOSIP.pdf", "Melting_Curves/meltCurve_Q9Y314_NOSIP.pdf")</f>
        <v>Melting_Curves/meltCurve_Q9Y314_NOSIP.pdf</v>
      </c>
    </row>
    <row r="5707" spans="1:28" x14ac:dyDescent="0.25">
      <c r="A5707" t="s">
        <v>5711</v>
      </c>
      <c r="B5707">
        <v>0.99334974765950101</v>
      </c>
      <c r="C5707">
        <v>0.944902544516801</v>
      </c>
      <c r="D5707">
        <v>0.92753260461004905</v>
      </c>
      <c r="E5707">
        <v>0.81854786642620703</v>
      </c>
      <c r="F5707">
        <v>0.82961669915111003</v>
      </c>
      <c r="G5707">
        <v>0.34598461501032302</v>
      </c>
      <c r="H5707">
        <v>0.24048966953523099</v>
      </c>
      <c r="I5707">
        <v>0.195430303004647</v>
      </c>
      <c r="J5707">
        <v>0.22136898655947801</v>
      </c>
      <c r="K5707">
        <v>0.208223522021627</v>
      </c>
      <c r="L5707">
        <v>1438.9189948987801</v>
      </c>
      <c r="M5707">
        <v>26.367366835751401</v>
      </c>
      <c r="N5707">
        <v>55.6062612151796</v>
      </c>
      <c r="O5707">
        <v>54.260987138016297</v>
      </c>
      <c r="P5707">
        <v>-9.7938940783285994E-2</v>
      </c>
      <c r="Q5707">
        <v>0.19382109708866399</v>
      </c>
      <c r="R5707">
        <v>0.97302814082869205</v>
      </c>
      <c r="S5707" t="s">
        <v>11568</v>
      </c>
      <c r="T5707" t="s">
        <v>11720</v>
      </c>
      <c r="U5707" t="s">
        <v>11720</v>
      </c>
      <c r="V5707" t="s">
        <v>11720</v>
      </c>
      <c r="W5707" t="s">
        <v>17365</v>
      </c>
      <c r="X5707">
        <v>10</v>
      </c>
      <c r="Y5707" t="s">
        <v>23058</v>
      </c>
      <c r="Z5707" t="s">
        <v>28914</v>
      </c>
      <c r="AA5707">
        <v>0.59218909488991023</v>
      </c>
      <c r="AB5707" t="str">
        <f>HYPERLINK("Melting_Curves/meltCurve_Q9Y316_MEMO1.pdf", "Melting_Curves/meltCurve_Q9Y316_MEMO1.pdf")</f>
        <v>Melting_Curves/meltCurve_Q9Y316_MEMO1.pdf</v>
      </c>
    </row>
    <row r="5708" spans="1:28" x14ac:dyDescent="0.25">
      <c r="A5708" t="s">
        <v>5712</v>
      </c>
      <c r="B5708">
        <v>0.99334974765950101</v>
      </c>
      <c r="C5708">
        <v>0.87882897978584396</v>
      </c>
      <c r="D5708">
        <v>0.80871409340178502</v>
      </c>
      <c r="E5708">
        <v>0.80876679336481905</v>
      </c>
      <c r="F5708">
        <v>0.48805908931799402</v>
      </c>
      <c r="G5708">
        <v>0.27242011606337402</v>
      </c>
      <c r="H5708">
        <v>7.2737258289313697E-2</v>
      </c>
      <c r="I5708">
        <v>6.0445616152408899E-2</v>
      </c>
      <c r="J5708">
        <v>4.7936074526322897E-2</v>
      </c>
      <c r="K5708">
        <v>3.7726810921520401E-2</v>
      </c>
      <c r="L5708">
        <v>788.98027672572903</v>
      </c>
      <c r="M5708">
        <v>14.8686053537206</v>
      </c>
      <c r="N5708">
        <v>53.063508563476603</v>
      </c>
      <c r="O5708">
        <v>52.131410215358898</v>
      </c>
      <c r="P5708">
        <v>-7.1310974820909395E-2</v>
      </c>
      <c r="Q5708">
        <v>0</v>
      </c>
      <c r="R5708">
        <v>0.97781398671602804</v>
      </c>
      <c r="S5708" t="s">
        <v>11569</v>
      </c>
      <c r="T5708" t="s">
        <v>11720</v>
      </c>
      <c r="U5708" t="s">
        <v>11720</v>
      </c>
      <c r="V5708" t="s">
        <v>11720</v>
      </c>
      <c r="W5708" t="s">
        <v>17366</v>
      </c>
      <c r="X5708">
        <v>8</v>
      </c>
      <c r="Y5708" t="s">
        <v>23059</v>
      </c>
      <c r="Z5708" t="s">
        <v>28915</v>
      </c>
      <c r="AA5708">
        <v>0.45717248123632798</v>
      </c>
      <c r="AB5708" t="str">
        <f>HYPERLINK("Melting_Curves/meltCurve_Q9Y320_2_TMX2.pdf", "Melting_Curves/meltCurve_Q9Y320_2_TMX2.pdf")</f>
        <v>Melting_Curves/meltCurve_Q9Y320_2_TMX2.pdf</v>
      </c>
    </row>
    <row r="5709" spans="1:28" x14ac:dyDescent="0.25">
      <c r="A5709" t="s">
        <v>5713</v>
      </c>
      <c r="B5709">
        <v>0.99334974765950101</v>
      </c>
      <c r="C5709">
        <v>0.92967695661895799</v>
      </c>
      <c r="D5709">
        <v>0.95972797722812297</v>
      </c>
      <c r="E5709">
        <v>0.95073638133204297</v>
      </c>
      <c r="F5709">
        <v>1.2176968685292999</v>
      </c>
      <c r="G5709">
        <v>1.17760259443823</v>
      </c>
      <c r="H5709">
        <v>1.1278186125654099</v>
      </c>
      <c r="I5709">
        <v>1.3258003079384599</v>
      </c>
      <c r="J5709">
        <v>1.13020731797003</v>
      </c>
      <c r="K5709">
        <v>0.88980645981241402</v>
      </c>
      <c r="L5709">
        <v>5092.18773707526</v>
      </c>
      <c r="M5709">
        <v>99.116799484810002</v>
      </c>
      <c r="O5709">
        <v>51.354721032667896</v>
      </c>
      <c r="P5709">
        <v>6.9826705660067101E-2</v>
      </c>
      <c r="Q5709">
        <v>1.14471536469039</v>
      </c>
      <c r="R5709">
        <v>0.39185193401728502</v>
      </c>
      <c r="S5709" t="s">
        <v>11570</v>
      </c>
      <c r="T5709" t="s">
        <v>11720</v>
      </c>
      <c r="U5709" t="s">
        <v>11720</v>
      </c>
      <c r="V5709" t="s">
        <v>11720</v>
      </c>
      <c r="W5709" t="s">
        <v>17367</v>
      </c>
      <c r="X5709">
        <v>4</v>
      </c>
      <c r="Y5709" t="s">
        <v>23060</v>
      </c>
      <c r="Z5709" t="s">
        <v>28916</v>
      </c>
      <c r="AA5709">
        <v>1.0897579880879471</v>
      </c>
      <c r="AB5709" t="str">
        <f>HYPERLINK("Melting_Curves/meltCurve_Q9Y333_LSM2.pdf", "Melting_Curves/meltCurve_Q9Y333_LSM2.pdf")</f>
        <v>Melting_Curves/meltCurve_Q9Y333_LSM2.pdf</v>
      </c>
    </row>
    <row r="5710" spans="1:28" x14ac:dyDescent="0.25">
      <c r="A5710" t="s">
        <v>5714</v>
      </c>
      <c r="B5710">
        <v>0.99334974765950101</v>
      </c>
      <c r="C5710">
        <v>0.83928880157967201</v>
      </c>
      <c r="D5710">
        <v>0.43996108524160099</v>
      </c>
      <c r="E5710">
        <v>0.23820626271185</v>
      </c>
      <c r="F5710">
        <v>9.9112333120812399E-2</v>
      </c>
      <c r="G5710">
        <v>6.6176894262339206E-2</v>
      </c>
      <c r="H5710">
        <v>5.2254460393830901E-2</v>
      </c>
      <c r="I5710">
        <v>4.9867167842006101E-2</v>
      </c>
      <c r="J5710">
        <v>4.6030861926725002E-2</v>
      </c>
      <c r="K5710">
        <v>3.8631549344516097E-2</v>
      </c>
      <c r="L5710">
        <v>986.31995547861595</v>
      </c>
      <c r="M5710">
        <v>21.593030503055498</v>
      </c>
      <c r="N5710">
        <v>45.914734914184599</v>
      </c>
      <c r="O5710">
        <v>45.291368776046603</v>
      </c>
      <c r="P5710">
        <v>-0.11290635110739999</v>
      </c>
      <c r="Q5710">
        <v>5.2739222641076E-2</v>
      </c>
      <c r="R5710">
        <v>0.992741461781951</v>
      </c>
      <c r="S5710" t="s">
        <v>11571</v>
      </c>
      <c r="T5710" t="s">
        <v>11720</v>
      </c>
      <c r="U5710" t="s">
        <v>11720</v>
      </c>
      <c r="V5710" t="s">
        <v>11720</v>
      </c>
      <c r="W5710" t="s">
        <v>17368</v>
      </c>
      <c r="X5710">
        <v>15</v>
      </c>
      <c r="Y5710" t="s">
        <v>23061</v>
      </c>
      <c r="Z5710" t="s">
        <v>28917</v>
      </c>
      <c r="AA5710">
        <v>0.24457784824326709</v>
      </c>
      <c r="AB5710" t="str">
        <f>HYPERLINK("Melting_Curves/meltCurve_Q9Y371_SH3GLB1.pdf", "Melting_Curves/meltCurve_Q9Y371_SH3GLB1.pdf")</f>
        <v>Melting_Curves/meltCurve_Q9Y371_SH3GLB1.pdf</v>
      </c>
    </row>
    <row r="5711" spans="1:28" x14ac:dyDescent="0.25">
      <c r="A5711" t="s">
        <v>5715</v>
      </c>
      <c r="B5711">
        <v>0.99334974765950101</v>
      </c>
      <c r="C5711">
        <v>0.90028162864071104</v>
      </c>
      <c r="D5711">
        <v>0.76322380670701695</v>
      </c>
      <c r="E5711">
        <v>1.0230379551375599</v>
      </c>
      <c r="F5711">
        <v>1.2428595465082399</v>
      </c>
      <c r="G5711">
        <v>1.0516197996803101</v>
      </c>
      <c r="H5711">
        <v>0.57632129026888701</v>
      </c>
      <c r="I5711">
        <v>0.261258850800832</v>
      </c>
      <c r="J5711">
        <v>0.197910045324519</v>
      </c>
      <c r="K5711">
        <v>0.121986595276944</v>
      </c>
      <c r="L5711">
        <v>3289.8173884836101</v>
      </c>
      <c r="M5711">
        <v>53.892683481412803</v>
      </c>
      <c r="N5711">
        <v>61.508013962792297</v>
      </c>
      <c r="O5711">
        <v>60.959981818590897</v>
      </c>
      <c r="P5711">
        <v>-0.184090656659604</v>
      </c>
      <c r="Q5711">
        <v>0.167073878545276</v>
      </c>
      <c r="R5711">
        <v>0.90703906144805002</v>
      </c>
      <c r="S5711" t="s">
        <v>11572</v>
      </c>
      <c r="T5711" t="s">
        <v>11720</v>
      </c>
      <c r="U5711" t="s">
        <v>11720</v>
      </c>
      <c r="V5711" t="s">
        <v>11720</v>
      </c>
      <c r="W5711" t="s">
        <v>17369</v>
      </c>
      <c r="X5711">
        <v>1</v>
      </c>
      <c r="Y5711" t="s">
        <v>23062</v>
      </c>
      <c r="Z5711" t="s">
        <v>28918</v>
      </c>
      <c r="AA5711">
        <v>0.75322511519557289</v>
      </c>
      <c r="AB5711" t="str">
        <f>HYPERLINK("Melting_Curves/meltCurve_Q9Y375_NDUFAF1.pdf", "Melting_Curves/meltCurve_Q9Y375_NDUFAF1.pdf")</f>
        <v>Melting_Curves/meltCurve_Q9Y375_NDUFAF1.pdf</v>
      </c>
    </row>
    <row r="5712" spans="1:28" x14ac:dyDescent="0.25">
      <c r="A5712" t="s">
        <v>5716</v>
      </c>
      <c r="B5712">
        <v>0.99334974765950101</v>
      </c>
      <c r="C5712">
        <v>1.0931679456519801</v>
      </c>
      <c r="D5712">
        <v>1.0640558228338599</v>
      </c>
      <c r="E5712">
        <v>1.08177737537082</v>
      </c>
      <c r="F5712">
        <v>0.86143545897990204</v>
      </c>
      <c r="G5712">
        <v>0.67322842846842401</v>
      </c>
      <c r="H5712">
        <v>0.23304070046247699</v>
      </c>
      <c r="I5712">
        <v>0.117038332705946</v>
      </c>
      <c r="J5712">
        <v>9.2633016682270905E-2</v>
      </c>
      <c r="K5712">
        <v>6.88298328391138E-2</v>
      </c>
      <c r="L5712">
        <v>1614.19207587696</v>
      </c>
      <c r="M5712">
        <v>27.819234045079799</v>
      </c>
      <c r="N5712">
        <v>58.285301416406902</v>
      </c>
      <c r="O5712">
        <v>57.726975653030301</v>
      </c>
      <c r="P5712">
        <v>-0.113424063929944</v>
      </c>
      <c r="Q5712">
        <v>5.8554905801240599E-2</v>
      </c>
      <c r="R5712">
        <v>0.98430067986877301</v>
      </c>
      <c r="S5712" t="s">
        <v>11573</v>
      </c>
      <c r="T5712" t="s">
        <v>11720</v>
      </c>
      <c r="U5712" t="s">
        <v>11720</v>
      </c>
      <c r="V5712" t="s">
        <v>11720</v>
      </c>
      <c r="W5712" t="s">
        <v>17370</v>
      </c>
      <c r="X5712">
        <v>22</v>
      </c>
      <c r="Y5712" t="s">
        <v>23063</v>
      </c>
      <c r="Z5712" t="s">
        <v>28919</v>
      </c>
      <c r="AA5712">
        <v>0.63117502453344443</v>
      </c>
      <c r="AB5712" t="str">
        <f>HYPERLINK("Melting_Curves/meltCurve_Q9Y376_CAB39.pdf", "Melting_Curves/meltCurve_Q9Y376_CAB39.pdf")</f>
        <v>Melting_Curves/meltCurve_Q9Y376_CAB39.pdf</v>
      </c>
    </row>
    <row r="5713" spans="1:28" x14ac:dyDescent="0.25">
      <c r="A5713" t="s">
        <v>5717</v>
      </c>
      <c r="B5713">
        <v>0.99334974765950101</v>
      </c>
      <c r="C5713">
        <v>0.95854851195895496</v>
      </c>
      <c r="D5713">
        <v>0.78023678982486699</v>
      </c>
      <c r="E5713">
        <v>0.42517701529358998</v>
      </c>
      <c r="F5713">
        <v>0.44394087993612502</v>
      </c>
      <c r="G5713">
        <v>0.42685222971577202</v>
      </c>
      <c r="H5713">
        <v>0.28809198316252699</v>
      </c>
      <c r="I5713">
        <v>0.15790226535839699</v>
      </c>
      <c r="J5713">
        <v>0.11207102015107299</v>
      </c>
      <c r="K5713">
        <v>9.7576161656130103E-2</v>
      </c>
      <c r="L5713">
        <v>516.41103223530104</v>
      </c>
      <c r="M5713">
        <v>10.1565265271329</v>
      </c>
      <c r="N5713">
        <v>51.7186337862043</v>
      </c>
      <c r="O5713">
        <v>48.9922667097672</v>
      </c>
      <c r="P5713">
        <v>-4.7764720014896803E-2</v>
      </c>
      <c r="Q5713">
        <v>7.8807168410193307E-2</v>
      </c>
      <c r="R5713">
        <v>0.94643223954015399</v>
      </c>
      <c r="S5713" t="s">
        <v>11574</v>
      </c>
      <c r="T5713" t="s">
        <v>11720</v>
      </c>
      <c r="U5713" t="s">
        <v>11720</v>
      </c>
      <c r="V5713" t="s">
        <v>11720</v>
      </c>
      <c r="W5713" t="s">
        <v>17371</v>
      </c>
      <c r="X5713">
        <v>12</v>
      </c>
      <c r="Y5713" t="s">
        <v>23064</v>
      </c>
      <c r="Z5713" t="s">
        <v>28920</v>
      </c>
      <c r="AA5713">
        <v>0.44989667257367039</v>
      </c>
      <c r="AB5713" t="str">
        <f>HYPERLINK("Melting_Curves/meltCurve_Q9Y383_LUC7L2.pdf", "Melting_Curves/meltCurve_Q9Y383_LUC7L2.pdf")</f>
        <v>Melting_Curves/meltCurve_Q9Y383_LUC7L2.pdf</v>
      </c>
    </row>
    <row r="5714" spans="1:28" x14ac:dyDescent="0.25">
      <c r="A5714" t="s">
        <v>5718</v>
      </c>
      <c r="B5714">
        <v>0.99334974765950101</v>
      </c>
      <c r="C5714">
        <v>0.89830870682605601</v>
      </c>
      <c r="D5714">
        <v>0.74613480401178001</v>
      </c>
      <c r="E5714">
        <v>0.56214268276302903</v>
      </c>
      <c r="F5714">
        <v>0.498578439417593</v>
      </c>
      <c r="G5714">
        <v>0.338230180501147</v>
      </c>
      <c r="H5714">
        <v>0.36790875347663399</v>
      </c>
      <c r="I5714">
        <v>0.31305766309247601</v>
      </c>
      <c r="J5714">
        <v>0.50775603573605799</v>
      </c>
      <c r="K5714">
        <v>0.30029943687015498</v>
      </c>
      <c r="L5714">
        <v>762.32640897219096</v>
      </c>
      <c r="M5714">
        <v>16.0481169119453</v>
      </c>
      <c r="N5714">
        <v>51.517811559101197</v>
      </c>
      <c r="O5714">
        <v>46.783327382658101</v>
      </c>
      <c r="P5714">
        <v>-5.5158545061575102E-2</v>
      </c>
      <c r="Q5714">
        <v>0.35685931125693199</v>
      </c>
      <c r="R5714">
        <v>0.93975529199756802</v>
      </c>
      <c r="S5714" t="s">
        <v>11575</v>
      </c>
      <c r="T5714" t="s">
        <v>11720</v>
      </c>
      <c r="U5714" t="s">
        <v>11720</v>
      </c>
      <c r="V5714" t="s">
        <v>11720</v>
      </c>
      <c r="W5714" t="s">
        <v>17372</v>
      </c>
      <c r="X5714">
        <v>2</v>
      </c>
      <c r="Y5714" t="s">
        <v>23065</v>
      </c>
      <c r="Z5714" t="s">
        <v>28921</v>
      </c>
      <c r="AA5714">
        <v>0.53247871072554287</v>
      </c>
      <c r="AB5714" t="str">
        <f>HYPERLINK("Melting_Curves/meltCurve_Q9Y385_UBE2J1.pdf", "Melting_Curves/meltCurve_Q9Y385_UBE2J1.pdf")</f>
        <v>Melting_Curves/meltCurve_Q9Y385_UBE2J1.pdf</v>
      </c>
    </row>
    <row r="5715" spans="1:28" x14ac:dyDescent="0.25">
      <c r="A5715" t="s">
        <v>5719</v>
      </c>
      <c r="B5715">
        <v>0.99334974765950101</v>
      </c>
      <c r="C5715">
        <v>0.99610100135788304</v>
      </c>
      <c r="D5715">
        <v>0.995497363666072</v>
      </c>
      <c r="E5715">
        <v>0.91836199232328297</v>
      </c>
      <c r="F5715">
        <v>0.82456569611158104</v>
      </c>
      <c r="G5715">
        <v>0.59974999062524803</v>
      </c>
      <c r="H5715">
        <v>0.30518060150106202</v>
      </c>
      <c r="I5715">
        <v>0.13925873282243401</v>
      </c>
      <c r="J5715">
        <v>9.7561878947645203E-2</v>
      </c>
      <c r="K5715">
        <v>7.2824596279054105E-2</v>
      </c>
      <c r="L5715">
        <v>999.17169129812203</v>
      </c>
      <c r="M5715">
        <v>17.233127611363599</v>
      </c>
      <c r="N5715">
        <v>58.025104163722503</v>
      </c>
      <c r="O5715">
        <v>57.215873967512799</v>
      </c>
      <c r="P5715">
        <v>-7.4798901230032105E-2</v>
      </c>
      <c r="Q5715">
        <v>6.6959545143620604E-3</v>
      </c>
      <c r="R5715">
        <v>0.99825681929869903</v>
      </c>
      <c r="S5715" t="s">
        <v>11576</v>
      </c>
      <c r="T5715" t="s">
        <v>11720</v>
      </c>
      <c r="U5715" t="s">
        <v>11720</v>
      </c>
      <c r="V5715" t="s">
        <v>11720</v>
      </c>
      <c r="W5715" t="s">
        <v>17373</v>
      </c>
      <c r="X5715">
        <v>16</v>
      </c>
      <c r="Y5715" t="s">
        <v>23066</v>
      </c>
      <c r="Z5715" t="s">
        <v>28922</v>
      </c>
      <c r="AA5715">
        <v>0.61468070309364653</v>
      </c>
      <c r="AB5715" t="str">
        <f>HYPERLINK("Melting_Curves/meltCurve_Q9Y394_2_DHRS7.pdf", "Melting_Curves/meltCurve_Q9Y394_2_DHRS7.pdf")</f>
        <v>Melting_Curves/meltCurve_Q9Y394_2_DHRS7.pdf</v>
      </c>
    </row>
    <row r="5716" spans="1:28" x14ac:dyDescent="0.25">
      <c r="A5716" t="s">
        <v>5720</v>
      </c>
      <c r="B5716">
        <v>0.99334974765950101</v>
      </c>
      <c r="C5716">
        <v>0.95415774428322797</v>
      </c>
      <c r="D5716">
        <v>0.87716896487033302</v>
      </c>
      <c r="E5716">
        <v>0.93232240550536805</v>
      </c>
      <c r="F5716">
        <v>0.76962966340286698</v>
      </c>
      <c r="G5716">
        <v>0.47287516681105801</v>
      </c>
      <c r="H5716">
        <v>0.320635681576733</v>
      </c>
      <c r="I5716">
        <v>0.258489385262545</v>
      </c>
      <c r="J5716">
        <v>0.224625364202682</v>
      </c>
      <c r="K5716">
        <v>0.164128942654861</v>
      </c>
      <c r="L5716">
        <v>934.35992325053496</v>
      </c>
      <c r="M5716">
        <v>16.763015067438701</v>
      </c>
      <c r="N5716">
        <v>57.0382811439015</v>
      </c>
      <c r="O5716">
        <v>54.964249413600903</v>
      </c>
      <c r="P5716">
        <v>-6.4152077028048607E-2</v>
      </c>
      <c r="Q5716">
        <v>0.15866197882248301</v>
      </c>
      <c r="R5716">
        <v>0.98529425658637604</v>
      </c>
      <c r="S5716" t="s">
        <v>11577</v>
      </c>
      <c r="T5716" t="s">
        <v>11720</v>
      </c>
      <c r="U5716" t="s">
        <v>11720</v>
      </c>
      <c r="V5716" t="s">
        <v>11720</v>
      </c>
      <c r="W5716" t="s">
        <v>17374</v>
      </c>
      <c r="X5716">
        <v>5</v>
      </c>
      <c r="Y5716" t="s">
        <v>23067</v>
      </c>
      <c r="Z5716" t="s">
        <v>28923</v>
      </c>
      <c r="AA5716">
        <v>0.61373541937248643</v>
      </c>
      <c r="AB5716" t="str">
        <f>HYPERLINK("Melting_Curves/meltCurve_Q9Y3A3_3_MOB4.pdf", "Melting_Curves/meltCurve_Q9Y3A3_3_MOB4.pdf")</f>
        <v>Melting_Curves/meltCurve_Q9Y3A3_3_MOB4.pdf</v>
      </c>
    </row>
    <row r="5717" spans="1:28" x14ac:dyDescent="0.25">
      <c r="A5717" t="s">
        <v>5721</v>
      </c>
      <c r="B5717">
        <v>0.99334974765950101</v>
      </c>
      <c r="C5717">
        <v>0.89341229312945802</v>
      </c>
      <c r="D5717">
        <v>0.76857484223990202</v>
      </c>
      <c r="E5717">
        <v>0.53994442249668595</v>
      </c>
      <c r="F5717">
        <v>0.163794089370603</v>
      </c>
      <c r="G5717">
        <v>8.2843754491328497E-2</v>
      </c>
      <c r="H5717">
        <v>5.67892855179922E-2</v>
      </c>
      <c r="I5717">
        <v>4.7997068408824499E-2</v>
      </c>
      <c r="J5717">
        <v>4.35063703328602E-2</v>
      </c>
      <c r="K5717">
        <v>3.8037311330509402E-2</v>
      </c>
      <c r="L5717">
        <v>900.33749721884897</v>
      </c>
      <c r="M5717">
        <v>18.2428891521058</v>
      </c>
      <c r="N5717">
        <v>49.482068936556097</v>
      </c>
      <c r="O5717">
        <v>48.771228714780797</v>
      </c>
      <c r="P5717">
        <v>-9.1340619352745706E-2</v>
      </c>
      <c r="Q5717">
        <v>2.3271868752662E-2</v>
      </c>
      <c r="R5717">
        <v>0.98788227058467004</v>
      </c>
      <c r="S5717" t="s">
        <v>11578</v>
      </c>
      <c r="T5717" t="s">
        <v>11720</v>
      </c>
      <c r="U5717" t="s">
        <v>11720</v>
      </c>
      <c r="V5717" t="s">
        <v>11720</v>
      </c>
      <c r="W5717" t="s">
        <v>17375</v>
      </c>
      <c r="X5717">
        <v>23</v>
      </c>
      <c r="Y5717" t="s">
        <v>23068</v>
      </c>
      <c r="Z5717" t="s">
        <v>28924</v>
      </c>
      <c r="AA5717">
        <v>0.34415322796490289</v>
      </c>
      <c r="AB5717" t="str">
        <f>HYPERLINK("Melting_Curves/meltCurve_Q9Y3A5_SBDS.pdf", "Melting_Curves/meltCurve_Q9Y3A5_SBDS.pdf")</f>
        <v>Melting_Curves/meltCurve_Q9Y3A5_SBDS.pdf</v>
      </c>
    </row>
    <row r="5718" spans="1:28" x14ac:dyDescent="0.25">
      <c r="A5718" t="s">
        <v>5722</v>
      </c>
      <c r="B5718">
        <v>0.99334974765950101</v>
      </c>
      <c r="C5718">
        <v>0.95234871207330096</v>
      </c>
      <c r="D5718">
        <v>0.91591546890828701</v>
      </c>
      <c r="E5718">
        <v>0.93671968668148797</v>
      </c>
      <c r="F5718">
        <v>0.77680723694828102</v>
      </c>
      <c r="G5718">
        <v>0.60954316561449395</v>
      </c>
      <c r="H5718">
        <v>0.30717005342646397</v>
      </c>
      <c r="I5718">
        <v>0.25005789230800901</v>
      </c>
      <c r="J5718">
        <v>0.141389581133603</v>
      </c>
      <c r="K5718">
        <v>0.11263079324287401</v>
      </c>
      <c r="L5718">
        <v>810.76655741342404</v>
      </c>
      <c r="M5718">
        <v>13.96646753393</v>
      </c>
      <c r="N5718">
        <v>58.222863738651697</v>
      </c>
      <c r="O5718">
        <v>56.899677997365501</v>
      </c>
      <c r="P5718">
        <v>-6.0132839147909498E-2</v>
      </c>
      <c r="Q5718">
        <v>2.0201149593685099E-2</v>
      </c>
      <c r="R5718">
        <v>0.99126875182418495</v>
      </c>
      <c r="S5718" t="s">
        <v>11579</v>
      </c>
      <c r="T5718" t="s">
        <v>11720</v>
      </c>
      <c r="U5718" t="s">
        <v>11720</v>
      </c>
      <c r="V5718" t="s">
        <v>11720</v>
      </c>
      <c r="W5718" t="s">
        <v>17376</v>
      </c>
      <c r="X5718">
        <v>10</v>
      </c>
      <c r="Y5718" t="s">
        <v>23069</v>
      </c>
      <c r="Z5718" t="s">
        <v>28925</v>
      </c>
      <c r="AA5718">
        <v>0.62279527982657046</v>
      </c>
      <c r="AB5718" t="str">
        <f>HYPERLINK("Melting_Curves/meltCurve_Q9Y3B3_TMED7.pdf", "Melting_Curves/meltCurve_Q9Y3B3_TMED7.pdf")</f>
        <v>Melting_Curves/meltCurve_Q9Y3B3_TMED7.pdf</v>
      </c>
    </row>
    <row r="5719" spans="1:28" x14ac:dyDescent="0.25">
      <c r="A5719" t="s">
        <v>5723</v>
      </c>
      <c r="B5719">
        <v>0.99334974765950101</v>
      </c>
      <c r="C5719">
        <v>1.0369843396680101</v>
      </c>
      <c r="D5719">
        <v>1.0043329404193</v>
      </c>
      <c r="E5719">
        <v>1.14798466742871</v>
      </c>
      <c r="F5719">
        <v>2.0098127317177901</v>
      </c>
      <c r="G5719">
        <v>1.5147897441646101</v>
      </c>
      <c r="H5719">
        <v>1.55246183456621</v>
      </c>
      <c r="I5719">
        <v>1.94831681097612</v>
      </c>
      <c r="J5719">
        <v>2.65216280692696</v>
      </c>
      <c r="K5719">
        <v>2.58742093353424</v>
      </c>
      <c r="L5719">
        <v>12543.326509356601</v>
      </c>
      <c r="M5719">
        <v>250</v>
      </c>
      <c r="O5719">
        <v>50.170078836683402</v>
      </c>
      <c r="P5719">
        <v>0.62288101727858403</v>
      </c>
      <c r="Q5719">
        <v>1.5</v>
      </c>
      <c r="R5719">
        <v>0.17467300861246701</v>
      </c>
      <c r="S5719" t="s">
        <v>11580</v>
      </c>
      <c r="T5719" t="s">
        <v>11720</v>
      </c>
      <c r="U5719" t="s">
        <v>11720</v>
      </c>
      <c r="V5719" t="s">
        <v>11720</v>
      </c>
      <c r="W5719" t="s">
        <v>17377</v>
      </c>
      <c r="X5719">
        <v>7</v>
      </c>
      <c r="Y5719" t="s">
        <v>23070</v>
      </c>
      <c r="Z5719" t="s">
        <v>28926</v>
      </c>
      <c r="AA5719">
        <v>1.3304008726906129</v>
      </c>
      <c r="AB5719" t="str">
        <f>HYPERLINK("Melting_Curves/meltCurve_Q9Y3B9_RRP15.pdf", "Melting_Curves/meltCurve_Q9Y3B9_RRP15.pdf")</f>
        <v>Melting_Curves/meltCurve_Q9Y3B9_RRP15.pdf</v>
      </c>
    </row>
    <row r="5720" spans="1:28" x14ac:dyDescent="0.25">
      <c r="A5720" t="s">
        <v>5724</v>
      </c>
      <c r="B5720">
        <v>0.99334974765950101</v>
      </c>
      <c r="C5720">
        <v>1.03178086114596</v>
      </c>
      <c r="D5720">
        <v>1.2031163682027199</v>
      </c>
      <c r="E5720">
        <v>1.2085634233157501</v>
      </c>
      <c r="F5720">
        <v>0.99969623177695599</v>
      </c>
      <c r="G5720">
        <v>0.85218178680367296</v>
      </c>
      <c r="H5720">
        <v>0.79073006960953096</v>
      </c>
      <c r="I5720">
        <v>0.68942075745390197</v>
      </c>
      <c r="J5720">
        <v>0.74858612345185305</v>
      </c>
      <c r="K5720">
        <v>0.97217154783719895</v>
      </c>
      <c r="L5720">
        <v>14190.400128473901</v>
      </c>
      <c r="M5720">
        <v>250</v>
      </c>
      <c r="O5720">
        <v>56.757968167847302</v>
      </c>
      <c r="P5720">
        <v>-0.219983294165815</v>
      </c>
      <c r="Q5720">
        <v>0.80022712338063495</v>
      </c>
      <c r="R5720">
        <v>0.543776635461658</v>
      </c>
      <c r="S5720" t="s">
        <v>11581</v>
      </c>
      <c r="T5720" t="s">
        <v>11720</v>
      </c>
      <c r="U5720" t="s">
        <v>11720</v>
      </c>
      <c r="V5720" t="s">
        <v>11720</v>
      </c>
      <c r="W5720" t="s">
        <v>17378</v>
      </c>
      <c r="X5720">
        <v>3</v>
      </c>
      <c r="Y5720" t="s">
        <v>23071</v>
      </c>
      <c r="Z5720" t="s">
        <v>28927</v>
      </c>
      <c r="AA5720">
        <v>0.91186412894752567</v>
      </c>
      <c r="AB5720" t="str">
        <f>HYPERLINK("Melting_Curves/meltCurve_Q9Y3C1_NOP16.pdf", "Melting_Curves/meltCurve_Q9Y3C1_NOP16.pdf")</f>
        <v>Melting_Curves/meltCurve_Q9Y3C1_NOP16.pdf</v>
      </c>
    </row>
    <row r="5721" spans="1:28" x14ac:dyDescent="0.25">
      <c r="A5721" t="s">
        <v>5725</v>
      </c>
      <c r="B5721">
        <v>0.99334974765950101</v>
      </c>
      <c r="C5721">
        <v>1.0228053841158</v>
      </c>
      <c r="D5721">
        <v>0.98228827183515599</v>
      </c>
      <c r="E5721">
        <v>0.82739001108608301</v>
      </c>
      <c r="F5721">
        <v>0.65724242576120895</v>
      </c>
      <c r="G5721">
        <v>0.49206777987504502</v>
      </c>
      <c r="H5721">
        <v>0.26057926757258199</v>
      </c>
      <c r="I5721">
        <v>0.25202206050070602</v>
      </c>
      <c r="J5721">
        <v>0.21611708540861099</v>
      </c>
      <c r="K5721">
        <v>0.24482573437361199</v>
      </c>
      <c r="L5721">
        <v>911.064156918609</v>
      </c>
      <c r="M5721">
        <v>16.8094280978146</v>
      </c>
      <c r="N5721">
        <v>55.878903709868297</v>
      </c>
      <c r="O5721">
        <v>53.449944194734499</v>
      </c>
      <c r="P5721">
        <v>-6.3035804007437496E-2</v>
      </c>
      <c r="Q5721">
        <v>0.19829692167160101</v>
      </c>
      <c r="R5721">
        <v>0.99292118168679599</v>
      </c>
      <c r="S5721" t="s">
        <v>11582</v>
      </c>
      <c r="T5721" t="s">
        <v>11720</v>
      </c>
      <c r="U5721" t="s">
        <v>11720</v>
      </c>
      <c r="V5721" t="s">
        <v>11720</v>
      </c>
      <c r="W5721" t="s">
        <v>17379</v>
      </c>
      <c r="X5721">
        <v>2</v>
      </c>
      <c r="Y5721" t="s">
        <v>23072</v>
      </c>
      <c r="Z5721" t="s">
        <v>28928</v>
      </c>
      <c r="AA5721">
        <v>0.59180782414802791</v>
      </c>
      <c r="AB5721" t="str">
        <f>HYPERLINK("Melting_Curves/meltCurve_Q9Y3C4_2_TPRKB.pdf", "Melting_Curves/meltCurve_Q9Y3C4_2_TPRKB.pdf")</f>
        <v>Melting_Curves/meltCurve_Q9Y3C4_2_TPRKB.pdf</v>
      </c>
    </row>
    <row r="5722" spans="1:28" x14ac:dyDescent="0.25">
      <c r="A5722" t="s">
        <v>5726</v>
      </c>
      <c r="B5722">
        <v>0.99334974765950101</v>
      </c>
      <c r="C5722">
        <v>0.91245141481530501</v>
      </c>
      <c r="D5722">
        <v>0.81121785626207199</v>
      </c>
      <c r="E5722">
        <v>0.82102582448260697</v>
      </c>
      <c r="F5722">
        <v>0.78033668521628297</v>
      </c>
      <c r="G5722">
        <v>0.61847238543612004</v>
      </c>
      <c r="H5722">
        <v>0.53970563614094302</v>
      </c>
      <c r="I5722">
        <v>0.40782151812110301</v>
      </c>
      <c r="J5722">
        <v>0.29331454281764402</v>
      </c>
      <c r="K5722">
        <v>0.18585342678904701</v>
      </c>
      <c r="L5722">
        <v>458.26119645888599</v>
      </c>
      <c r="M5722">
        <v>7.6016802126275502</v>
      </c>
      <c r="N5722">
        <v>60.2841981579517</v>
      </c>
      <c r="O5722">
        <v>56.536608448785003</v>
      </c>
      <c r="P5722">
        <v>-3.3659950372041503E-2</v>
      </c>
      <c r="Q5722">
        <v>0</v>
      </c>
      <c r="R5722">
        <v>0.96369054549363398</v>
      </c>
      <c r="S5722" t="s">
        <v>11583</v>
      </c>
      <c r="T5722" t="s">
        <v>11720</v>
      </c>
      <c r="U5722" t="s">
        <v>11720</v>
      </c>
      <c r="V5722" t="s">
        <v>11720</v>
      </c>
      <c r="W5722" t="s">
        <v>17380</v>
      </c>
      <c r="X5722">
        <v>4</v>
      </c>
      <c r="Y5722" t="s">
        <v>23073</v>
      </c>
      <c r="Z5722" t="s">
        <v>28929</v>
      </c>
      <c r="AA5722">
        <v>0.65496074075350552</v>
      </c>
      <c r="AB5722" t="str">
        <f>HYPERLINK("Melting_Curves/meltCurve_Q9Y3C5_RNF11.pdf", "Melting_Curves/meltCurve_Q9Y3C5_RNF11.pdf")</f>
        <v>Melting_Curves/meltCurve_Q9Y3C5_RNF11.pdf</v>
      </c>
    </row>
    <row r="5723" spans="1:28" x14ac:dyDescent="0.25">
      <c r="A5723" t="s">
        <v>5727</v>
      </c>
      <c r="B5723">
        <v>0.99334974765950101</v>
      </c>
      <c r="C5723">
        <v>0.88859214586812196</v>
      </c>
      <c r="D5723">
        <v>0.56164648814319895</v>
      </c>
      <c r="E5723">
        <v>0.199580608109658</v>
      </c>
      <c r="F5723">
        <v>0.145154637459083</v>
      </c>
      <c r="G5723">
        <v>6.6737269640566005E-2</v>
      </c>
      <c r="H5723">
        <v>5.9823087804757598E-2</v>
      </c>
      <c r="I5723">
        <v>6.61248953780319E-2</v>
      </c>
      <c r="J5723">
        <v>3.8568337153756203E-2</v>
      </c>
      <c r="K5723">
        <v>3.5048745270958803E-2</v>
      </c>
      <c r="L5723">
        <v>1064.8588246919001</v>
      </c>
      <c r="M5723">
        <v>22.950188926256601</v>
      </c>
      <c r="N5723">
        <v>46.634674514621103</v>
      </c>
      <c r="O5723">
        <v>46.050747757058801</v>
      </c>
      <c r="P5723">
        <v>-0.117763920883871</v>
      </c>
      <c r="Q5723">
        <v>5.4820564092643201E-2</v>
      </c>
      <c r="R5723">
        <v>0.99754969593049003</v>
      </c>
      <c r="S5723" t="s">
        <v>11584</v>
      </c>
      <c r="T5723" t="s">
        <v>11720</v>
      </c>
      <c r="U5723" t="s">
        <v>11720</v>
      </c>
      <c r="V5723" t="s">
        <v>11720</v>
      </c>
      <c r="W5723" t="s">
        <v>17381</v>
      </c>
      <c r="X5723">
        <v>6</v>
      </c>
      <c r="Y5723" t="s">
        <v>23074</v>
      </c>
      <c r="Z5723" t="s">
        <v>28930</v>
      </c>
      <c r="AA5723">
        <v>0.26683862075200721</v>
      </c>
      <c r="AB5723" t="str">
        <f>HYPERLINK("Melting_Curves/meltCurve_Q9Y3C6_PPIL1.pdf", "Melting_Curves/meltCurve_Q9Y3C6_PPIL1.pdf")</f>
        <v>Melting_Curves/meltCurve_Q9Y3C6_PPIL1.pdf</v>
      </c>
    </row>
    <row r="5724" spans="1:28" x14ac:dyDescent="0.25">
      <c r="A5724" t="s">
        <v>5728</v>
      </c>
      <c r="B5724">
        <v>0.99334974765950101</v>
      </c>
      <c r="C5724">
        <v>1.00057029398062</v>
      </c>
      <c r="D5724">
        <v>0.91079672205087003</v>
      </c>
      <c r="E5724">
        <v>0.80013239407737502</v>
      </c>
      <c r="F5724">
        <v>0.71894317085982795</v>
      </c>
      <c r="G5724">
        <v>0.49924374344111799</v>
      </c>
      <c r="H5724">
        <v>0.23174809173515201</v>
      </c>
      <c r="I5724">
        <v>8.8831469999274396E-2</v>
      </c>
      <c r="J5724">
        <v>8.3857655324995201E-2</v>
      </c>
      <c r="K5724">
        <v>6.6470391910141605E-2</v>
      </c>
      <c r="L5724">
        <v>795.88072873725696</v>
      </c>
      <c r="M5724">
        <v>14.1819294420128</v>
      </c>
      <c r="N5724">
        <v>56.119354240871601</v>
      </c>
      <c r="O5724">
        <v>55.038906625108801</v>
      </c>
      <c r="P5724">
        <v>-6.4425865758407697E-2</v>
      </c>
      <c r="Q5724">
        <v>0</v>
      </c>
      <c r="R5724">
        <v>0.99128944003916297</v>
      </c>
      <c r="S5724" t="s">
        <v>11585</v>
      </c>
      <c r="T5724" t="s">
        <v>11720</v>
      </c>
      <c r="U5724" t="s">
        <v>11720</v>
      </c>
      <c r="V5724" t="s">
        <v>11720</v>
      </c>
      <c r="W5724" t="s">
        <v>17382</v>
      </c>
      <c r="X5724">
        <v>9</v>
      </c>
      <c r="Y5724" t="s">
        <v>23075</v>
      </c>
      <c r="Z5724" t="s">
        <v>28931</v>
      </c>
      <c r="AA5724">
        <v>0.55561191299809309</v>
      </c>
      <c r="AB5724" t="str">
        <f>HYPERLINK("Melting_Curves/meltCurve_Q9Y3C8_UFC1.pdf", "Melting_Curves/meltCurve_Q9Y3C8_UFC1.pdf")</f>
        <v>Melting_Curves/meltCurve_Q9Y3C8_UFC1.pdf</v>
      </c>
    </row>
    <row r="5725" spans="1:28" x14ac:dyDescent="0.25">
      <c r="A5725" t="s">
        <v>5729</v>
      </c>
      <c r="B5725">
        <v>0.99334974765950101</v>
      </c>
      <c r="C5725">
        <v>0.93730796924465998</v>
      </c>
      <c r="D5725">
        <v>0.81940148959299997</v>
      </c>
      <c r="E5725">
        <v>0.447573810920046</v>
      </c>
      <c r="F5725">
        <v>0.40299219327807101</v>
      </c>
      <c r="G5725">
        <v>0.27287327486823099</v>
      </c>
      <c r="H5725">
        <v>0.210057454421652</v>
      </c>
      <c r="I5725">
        <v>0.26531426036981898</v>
      </c>
      <c r="J5725">
        <v>0.239702281961894</v>
      </c>
      <c r="K5725">
        <v>0.20346868785226199</v>
      </c>
      <c r="L5725">
        <v>946.34995181889201</v>
      </c>
      <c r="M5725">
        <v>19.553812192904001</v>
      </c>
      <c r="N5725">
        <v>49.966913591419697</v>
      </c>
      <c r="O5725">
        <v>47.899556176546199</v>
      </c>
      <c r="P5725">
        <v>-7.86387444243003E-2</v>
      </c>
      <c r="Q5725">
        <v>0.22948494319086099</v>
      </c>
      <c r="R5725">
        <v>0.99003993139069901</v>
      </c>
      <c r="S5725" t="s">
        <v>11586</v>
      </c>
      <c r="T5725" t="s">
        <v>11720</v>
      </c>
      <c r="U5725" t="s">
        <v>11720</v>
      </c>
      <c r="V5725" t="s">
        <v>11720</v>
      </c>
      <c r="W5725" t="s">
        <v>17383</v>
      </c>
      <c r="X5725">
        <v>5</v>
      </c>
      <c r="Y5725" t="s">
        <v>23076</v>
      </c>
      <c r="Z5725" t="s">
        <v>28932</v>
      </c>
      <c r="AA5725">
        <v>0.45655295345173019</v>
      </c>
      <c r="AB5725" t="str">
        <f>HYPERLINK("Melting_Curves/meltCurve_Q9Y3D0_FAM96B.pdf", "Melting_Curves/meltCurve_Q9Y3D0_FAM96B.pdf")</f>
        <v>Melting_Curves/meltCurve_Q9Y3D0_FAM96B.pdf</v>
      </c>
    </row>
    <row r="5726" spans="1:28" x14ac:dyDescent="0.25">
      <c r="A5726" t="s">
        <v>5730</v>
      </c>
      <c r="B5726">
        <v>0.99334974765950101</v>
      </c>
      <c r="C5726">
        <v>0.94906513341805199</v>
      </c>
      <c r="D5726">
        <v>0.79540684694000996</v>
      </c>
      <c r="E5726">
        <v>0.61104706495985595</v>
      </c>
      <c r="F5726">
        <v>0.35126375902866103</v>
      </c>
      <c r="G5726">
        <v>0.26817618657930697</v>
      </c>
      <c r="H5726">
        <v>0.22107653953779199</v>
      </c>
      <c r="I5726">
        <v>0.22896861529329501</v>
      </c>
      <c r="J5726">
        <v>0.22973908061951401</v>
      </c>
      <c r="K5726">
        <v>0.21483520707593901</v>
      </c>
      <c r="L5726">
        <v>869.84616249170006</v>
      </c>
      <c r="M5726">
        <v>17.622404766610099</v>
      </c>
      <c r="N5726">
        <v>50.905276743443302</v>
      </c>
      <c r="O5726">
        <v>48.737781517245502</v>
      </c>
      <c r="P5726">
        <v>-7.16751486947559E-2</v>
      </c>
      <c r="Q5726">
        <v>0.20712288476190699</v>
      </c>
      <c r="R5726">
        <v>0.99373801286182395</v>
      </c>
      <c r="S5726" t="s">
        <v>11587</v>
      </c>
      <c r="T5726" t="s">
        <v>11720</v>
      </c>
      <c r="U5726" t="s">
        <v>11720</v>
      </c>
      <c r="V5726" t="s">
        <v>11720</v>
      </c>
      <c r="W5726" t="s">
        <v>17384</v>
      </c>
      <c r="X5726">
        <v>8</v>
      </c>
      <c r="Y5726" t="s">
        <v>23077</v>
      </c>
      <c r="Z5726" t="s">
        <v>28933</v>
      </c>
      <c r="AA5726">
        <v>0.4687313697046695</v>
      </c>
      <c r="AB5726" t="str">
        <f>HYPERLINK("Melting_Curves/meltCurve_Q9Y3D2_MSRB2.pdf", "Melting_Curves/meltCurve_Q9Y3D2_MSRB2.pdf")</f>
        <v>Melting_Curves/meltCurve_Q9Y3D2_MSRB2.pdf</v>
      </c>
    </row>
    <row r="5727" spans="1:28" x14ac:dyDescent="0.25">
      <c r="A5727" t="s">
        <v>5731</v>
      </c>
      <c r="B5727">
        <v>0.99334974765950101</v>
      </c>
      <c r="C5727">
        <v>1.04276712854798</v>
      </c>
      <c r="D5727">
        <v>0.96696384100208399</v>
      </c>
      <c r="E5727">
        <v>0.96629747324750703</v>
      </c>
      <c r="F5727">
        <v>1.0208509969158099</v>
      </c>
      <c r="G5727">
        <v>0.72874393895081302</v>
      </c>
      <c r="H5727">
        <v>0.56871590394159699</v>
      </c>
      <c r="I5727">
        <v>1.2080265415473701</v>
      </c>
      <c r="J5727">
        <v>0.56423594785967102</v>
      </c>
      <c r="K5727">
        <v>0.47017013171809602</v>
      </c>
      <c r="L5727">
        <v>556.32590965235397</v>
      </c>
      <c r="M5727">
        <v>7.6775986158024301</v>
      </c>
      <c r="O5727">
        <v>68.036282436854293</v>
      </c>
      <c r="P5727">
        <v>-2.8248609082668099E-2</v>
      </c>
      <c r="Q5727">
        <v>0</v>
      </c>
      <c r="R5727">
        <v>0.40594651473035398</v>
      </c>
      <c r="S5727" t="s">
        <v>11588</v>
      </c>
      <c r="T5727" t="s">
        <v>11720</v>
      </c>
      <c r="U5727" t="s">
        <v>11720</v>
      </c>
      <c r="V5727" t="s">
        <v>11720</v>
      </c>
      <c r="W5727" t="s">
        <v>17385</v>
      </c>
      <c r="X5727">
        <v>3</v>
      </c>
      <c r="Y5727" t="s">
        <v>23078</v>
      </c>
      <c r="Z5727" t="s">
        <v>28934</v>
      </c>
      <c r="AA5727">
        <v>0.86865712651058791</v>
      </c>
      <c r="AB5727" t="str">
        <f>HYPERLINK("Melting_Curves/meltCurve_Q9Y3D6_FIS1.pdf", "Melting_Curves/meltCurve_Q9Y3D6_FIS1.pdf")</f>
        <v>Melting_Curves/meltCurve_Q9Y3D6_FIS1.pdf</v>
      </c>
    </row>
    <row r="5728" spans="1:28" x14ac:dyDescent="0.25">
      <c r="A5728" t="s">
        <v>5732</v>
      </c>
      <c r="B5728">
        <v>0.99334974765950101</v>
      </c>
      <c r="C5728">
        <v>0.88541145068021399</v>
      </c>
      <c r="D5728">
        <v>0.68225820177117902</v>
      </c>
      <c r="E5728">
        <v>0.26501454521564199</v>
      </c>
      <c r="F5728">
        <v>0.20284074580035899</v>
      </c>
      <c r="G5728">
        <v>0.148402255483879</v>
      </c>
      <c r="H5728">
        <v>0.15704720161295299</v>
      </c>
      <c r="I5728">
        <v>7.5792149525518798E-2</v>
      </c>
      <c r="J5728">
        <v>7.8270887883236898E-2</v>
      </c>
      <c r="K5728">
        <v>5.4726788431222202E-2</v>
      </c>
      <c r="L5728">
        <v>993.51864764168499</v>
      </c>
      <c r="M5728">
        <v>21.080384579807198</v>
      </c>
      <c r="N5728">
        <v>47.609590180259197</v>
      </c>
      <c r="O5728">
        <v>46.712033016314699</v>
      </c>
      <c r="P5728">
        <v>-0.102031360810332</v>
      </c>
      <c r="Q5728">
        <v>9.5658565505608695E-2</v>
      </c>
      <c r="R5728">
        <v>0.99178993264746396</v>
      </c>
      <c r="S5728" t="s">
        <v>11589</v>
      </c>
      <c r="T5728" t="s">
        <v>11720</v>
      </c>
      <c r="U5728" t="s">
        <v>11720</v>
      </c>
      <c r="V5728" t="s">
        <v>11720</v>
      </c>
      <c r="W5728" t="s">
        <v>17386</v>
      </c>
      <c r="X5728">
        <v>5</v>
      </c>
      <c r="Y5728" t="s">
        <v>23079</v>
      </c>
      <c r="Z5728" t="s">
        <v>28935</v>
      </c>
      <c r="AA5728">
        <v>0.32232146256535882</v>
      </c>
      <c r="AB5728" t="str">
        <f>HYPERLINK("Melting_Curves/meltCurve_Q9Y3D8_TAF9.pdf", "Melting_Curves/meltCurve_Q9Y3D8_TAF9.pdf")</f>
        <v>Melting_Curves/meltCurve_Q9Y3D8_TAF9.pdf</v>
      </c>
    </row>
    <row r="5729" spans="1:28" x14ac:dyDescent="0.25">
      <c r="A5729" t="s">
        <v>5733</v>
      </c>
      <c r="B5729">
        <v>0.99334974765950101</v>
      </c>
      <c r="C5729">
        <v>0.90522058840831499</v>
      </c>
      <c r="D5729">
        <v>0.89912565777007902</v>
      </c>
      <c r="E5729">
        <v>0.79734024358411204</v>
      </c>
      <c r="F5729">
        <v>0.61430107657385602</v>
      </c>
      <c r="G5729">
        <v>0.60249632033170897</v>
      </c>
      <c r="H5729">
        <v>0.52430711722832002</v>
      </c>
      <c r="I5729">
        <v>0.63613916893119105</v>
      </c>
      <c r="J5729">
        <v>0.47726573664569799</v>
      </c>
      <c r="K5729">
        <v>0.332514363553577</v>
      </c>
      <c r="L5729">
        <v>382.62550915539401</v>
      </c>
      <c r="M5729">
        <v>6.8661020549426297</v>
      </c>
      <c r="N5729">
        <v>63.568876709661701</v>
      </c>
      <c r="O5729">
        <v>51.574249219210998</v>
      </c>
      <c r="P5729">
        <v>-2.3822493567922799E-2</v>
      </c>
      <c r="Q5729">
        <v>0.28565734200182902</v>
      </c>
      <c r="R5729">
        <v>0.89846173677571095</v>
      </c>
      <c r="S5729" t="s">
        <v>11590</v>
      </c>
      <c r="T5729" t="s">
        <v>11720</v>
      </c>
      <c r="U5729" t="s">
        <v>11720</v>
      </c>
      <c r="V5729" t="s">
        <v>11720</v>
      </c>
      <c r="W5729" t="s">
        <v>17387</v>
      </c>
      <c r="X5729">
        <v>2</v>
      </c>
      <c r="Y5729" t="s">
        <v>23080</v>
      </c>
      <c r="Z5729" t="s">
        <v>28936</v>
      </c>
      <c r="AA5729">
        <v>0.6745710350192976</v>
      </c>
      <c r="AB5729" t="str">
        <f>HYPERLINK("Melting_Curves/meltCurve_Q9Y3E0_GOLT1B.pdf", "Melting_Curves/meltCurve_Q9Y3E0_GOLT1B.pdf")</f>
        <v>Melting_Curves/meltCurve_Q9Y3E0_GOLT1B.pdf</v>
      </c>
    </row>
    <row r="5730" spans="1:28" x14ac:dyDescent="0.25">
      <c r="A5730" t="s">
        <v>5734</v>
      </c>
      <c r="B5730">
        <v>0.99334974765950101</v>
      </c>
      <c r="C5730">
        <v>1.07698740180068</v>
      </c>
      <c r="D5730">
        <v>0.99991245316386101</v>
      </c>
      <c r="E5730">
        <v>0.69349065077632099</v>
      </c>
      <c r="F5730">
        <v>0.64381955923813805</v>
      </c>
      <c r="G5730">
        <v>0.32881941094503903</v>
      </c>
      <c r="H5730">
        <v>0.35782617833289299</v>
      </c>
      <c r="I5730">
        <v>0.34683415375086302</v>
      </c>
      <c r="J5730">
        <v>1.25315986618199</v>
      </c>
      <c r="K5730">
        <v>1.37440719551093</v>
      </c>
      <c r="L5730">
        <v>11845.669299483199</v>
      </c>
      <c r="M5730">
        <v>250</v>
      </c>
      <c r="O5730">
        <v>47.379645091895199</v>
      </c>
      <c r="P5730">
        <v>-0.37720453582755298</v>
      </c>
      <c r="Q5730">
        <v>0.71405092821079197</v>
      </c>
      <c r="R5730">
        <v>0.14793053570657</v>
      </c>
      <c r="S5730" t="s">
        <v>11591</v>
      </c>
      <c r="T5730" t="s">
        <v>11720</v>
      </c>
      <c r="U5730" t="s">
        <v>11720</v>
      </c>
      <c r="V5730" t="s">
        <v>11720</v>
      </c>
      <c r="W5730" t="s">
        <v>17388</v>
      </c>
      <c r="X5730">
        <v>5</v>
      </c>
      <c r="Y5730" t="s">
        <v>23081</v>
      </c>
      <c r="Z5730" t="s">
        <v>28937</v>
      </c>
      <c r="AA5730">
        <v>0.78444369628767807</v>
      </c>
      <c r="AB5730" t="str">
        <f>HYPERLINK("Melting_Curves/meltCurve_Q9Y3E1_HDGFRP3.pdf", "Melting_Curves/meltCurve_Q9Y3E1_HDGFRP3.pdf")</f>
        <v>Melting_Curves/meltCurve_Q9Y3E1_HDGFRP3.pdf</v>
      </c>
    </row>
    <row r="5731" spans="1:28" x14ac:dyDescent="0.25">
      <c r="A5731" t="s">
        <v>5735</v>
      </c>
      <c r="B5731">
        <v>0.99334974765950101</v>
      </c>
      <c r="C5731">
        <v>0.94768586291099</v>
      </c>
      <c r="D5731">
        <v>0.74717333245115802</v>
      </c>
      <c r="E5731">
        <v>0.59248802394449196</v>
      </c>
      <c r="F5731">
        <v>0.37714871984162501</v>
      </c>
      <c r="G5731">
        <v>0.27966118434974202</v>
      </c>
      <c r="H5731">
        <v>0.23148498108013699</v>
      </c>
      <c r="I5731">
        <v>0.28029655438539802</v>
      </c>
      <c r="J5731">
        <v>0.28858214528710802</v>
      </c>
      <c r="K5731">
        <v>0.273579753696921</v>
      </c>
      <c r="L5731">
        <v>834.41665247063395</v>
      </c>
      <c r="M5731">
        <v>17.178153650368099</v>
      </c>
      <c r="N5731">
        <v>50.654836961869897</v>
      </c>
      <c r="O5731">
        <v>47.930356584606699</v>
      </c>
      <c r="P5731">
        <v>-6.6927348714577797E-2</v>
      </c>
      <c r="Q5731">
        <v>0.25308356657949299</v>
      </c>
      <c r="R5731">
        <v>0.98727893789768495</v>
      </c>
      <c r="S5731" t="s">
        <v>11592</v>
      </c>
      <c r="T5731" t="s">
        <v>11720</v>
      </c>
      <c r="U5731" t="s">
        <v>11720</v>
      </c>
      <c r="V5731" t="s">
        <v>11720</v>
      </c>
      <c r="W5731" t="s">
        <v>17389</v>
      </c>
      <c r="X5731">
        <v>5</v>
      </c>
      <c r="Y5731" t="s">
        <v>23082</v>
      </c>
      <c r="Z5731" t="s">
        <v>28938</v>
      </c>
      <c r="AA5731">
        <v>0.48090653561118879</v>
      </c>
      <c r="AB5731" t="str">
        <f>HYPERLINK("Melting_Curves/meltCurve_Q9Y3E2_BOLA1.pdf", "Melting_Curves/meltCurve_Q9Y3E2_BOLA1.pdf")</f>
        <v>Melting_Curves/meltCurve_Q9Y3E2_BOLA1.pdf</v>
      </c>
    </row>
    <row r="5732" spans="1:28" x14ac:dyDescent="0.25">
      <c r="A5732" t="s">
        <v>5736</v>
      </c>
      <c r="B5732">
        <v>0.99334974765950101</v>
      </c>
      <c r="C5732">
        <v>1.0612896656983399</v>
      </c>
      <c r="D5732">
        <v>0.93292075013293096</v>
      </c>
      <c r="E5732">
        <v>0.88814299481440395</v>
      </c>
      <c r="F5732">
        <v>0.49259405338490497</v>
      </c>
      <c r="G5732">
        <v>0.210981861057085</v>
      </c>
      <c r="H5732">
        <v>0.127422685248685</v>
      </c>
      <c r="I5732">
        <v>0.10039460677145</v>
      </c>
      <c r="J5732">
        <v>8.8029743726469503E-2</v>
      </c>
      <c r="K5732">
        <v>8.4422221279274096E-2</v>
      </c>
      <c r="L5732">
        <v>1583.2087908881099</v>
      </c>
      <c r="M5732">
        <v>30.0105487500736</v>
      </c>
      <c r="N5732">
        <v>53.141875199866597</v>
      </c>
      <c r="O5732">
        <v>52.522495563910503</v>
      </c>
      <c r="P5732">
        <v>-0.128832116971732</v>
      </c>
      <c r="Q5732">
        <v>9.8111786410594704E-2</v>
      </c>
      <c r="R5732">
        <v>0.99383234135069598</v>
      </c>
      <c r="S5732" t="s">
        <v>11593</v>
      </c>
      <c r="T5732" t="s">
        <v>11720</v>
      </c>
      <c r="U5732" t="s">
        <v>11720</v>
      </c>
      <c r="V5732" t="s">
        <v>11720</v>
      </c>
      <c r="W5732" t="s">
        <v>17390</v>
      </c>
      <c r="X5732">
        <v>12</v>
      </c>
      <c r="Y5732" t="s">
        <v>23083</v>
      </c>
      <c r="Z5732" t="s">
        <v>28939</v>
      </c>
      <c r="AA5732">
        <v>0.48739126227906149</v>
      </c>
      <c r="AB5732" t="str">
        <f>HYPERLINK("Melting_Curves/meltCurve_Q9Y3E7_CHMP3.pdf", "Melting_Curves/meltCurve_Q9Y3E7_CHMP3.pdf")</f>
        <v>Melting_Curves/meltCurve_Q9Y3E7_CHMP3.pdf</v>
      </c>
    </row>
    <row r="5733" spans="1:28" x14ac:dyDescent="0.25">
      <c r="A5733" t="s">
        <v>5737</v>
      </c>
      <c r="B5733">
        <v>0.99334974765950101</v>
      </c>
      <c r="C5733">
        <v>0.97146724871921597</v>
      </c>
      <c r="D5733">
        <v>0.9231515119682</v>
      </c>
      <c r="E5733">
        <v>0.83929495898211104</v>
      </c>
      <c r="F5733">
        <v>0.77206338427310595</v>
      </c>
      <c r="G5733">
        <v>0.46760256457215299</v>
      </c>
      <c r="H5733">
        <v>0.22576259810927299</v>
      </c>
      <c r="I5733">
        <v>0.10376546801275099</v>
      </c>
      <c r="J5733">
        <v>9.9455970455083406E-2</v>
      </c>
      <c r="K5733">
        <v>7.89205552631361E-2</v>
      </c>
      <c r="L5733">
        <v>879.43902145059701</v>
      </c>
      <c r="M5733">
        <v>15.6196240949175</v>
      </c>
      <c r="N5733">
        <v>56.385973774986603</v>
      </c>
      <c r="O5733">
        <v>55.404814578498403</v>
      </c>
      <c r="P5733">
        <v>-6.9689248703257101E-2</v>
      </c>
      <c r="Q5733">
        <v>1.12983414120673E-2</v>
      </c>
      <c r="R5733">
        <v>0.99374180437634296</v>
      </c>
      <c r="S5733" t="s">
        <v>11594</v>
      </c>
      <c r="T5733" t="s">
        <v>11720</v>
      </c>
      <c r="U5733" t="s">
        <v>11720</v>
      </c>
      <c r="V5733" t="s">
        <v>11720</v>
      </c>
      <c r="W5733" t="s">
        <v>17391</v>
      </c>
      <c r="X5733">
        <v>19</v>
      </c>
      <c r="Y5733" t="s">
        <v>23084</v>
      </c>
      <c r="Z5733" t="s">
        <v>28940</v>
      </c>
      <c r="AA5733">
        <v>0.56506465089800717</v>
      </c>
      <c r="AB5733" t="str">
        <f>HYPERLINK("Melting_Curves/meltCurve_Q9Y3F4_STRAP.pdf", "Melting_Curves/meltCurve_Q9Y3F4_STRAP.pdf")</f>
        <v>Melting_Curves/meltCurve_Q9Y3F4_STRAP.pdf</v>
      </c>
    </row>
    <row r="5734" spans="1:28" x14ac:dyDescent="0.25">
      <c r="A5734" t="s">
        <v>5738</v>
      </c>
      <c r="B5734">
        <v>0.99334974765950101</v>
      </c>
      <c r="C5734">
        <v>1.02441848755523</v>
      </c>
      <c r="D5734">
        <v>1.09758125087637</v>
      </c>
      <c r="E5734">
        <v>1.10064898903019</v>
      </c>
      <c r="F5734">
        <v>1.19771176959516</v>
      </c>
      <c r="G5734">
        <v>0.80264505150291099</v>
      </c>
      <c r="H5734">
        <v>0.39623941181324601</v>
      </c>
      <c r="I5734">
        <v>0.18568147274897401</v>
      </c>
      <c r="J5734">
        <v>0.13404868200603001</v>
      </c>
      <c r="K5734">
        <v>0.10479187661280601</v>
      </c>
      <c r="L5734">
        <v>2079.7539788793301</v>
      </c>
      <c r="M5734">
        <v>34.9262163126199</v>
      </c>
      <c r="N5734">
        <v>59.982153367653197</v>
      </c>
      <c r="O5734">
        <v>59.352872469073503</v>
      </c>
      <c r="P5734">
        <v>-0.130652194508071</v>
      </c>
      <c r="Q5734">
        <v>0.11189286761936899</v>
      </c>
      <c r="R5734">
        <v>0.96296103701756997</v>
      </c>
      <c r="S5734" t="s">
        <v>11595</v>
      </c>
      <c r="T5734" t="s">
        <v>11720</v>
      </c>
      <c r="U5734" t="s">
        <v>11720</v>
      </c>
      <c r="V5734" t="s">
        <v>11720</v>
      </c>
      <c r="W5734" t="s">
        <v>17392</v>
      </c>
      <c r="X5734">
        <v>12</v>
      </c>
      <c r="Y5734" t="s">
        <v>23085</v>
      </c>
      <c r="Z5734" t="s">
        <v>28941</v>
      </c>
      <c r="AA5734">
        <v>0.69495927599509666</v>
      </c>
      <c r="AB5734" t="str">
        <f>HYPERLINK("Melting_Curves/meltCurve_Q9Y3I0_C22orf28.pdf", "Melting_Curves/meltCurve_Q9Y3I0_C22orf28.pdf")</f>
        <v>Melting_Curves/meltCurve_Q9Y3I0_C22orf28.pdf</v>
      </c>
    </row>
    <row r="5735" spans="1:28" x14ac:dyDescent="0.25">
      <c r="A5735" t="s">
        <v>5739</v>
      </c>
      <c r="B5735">
        <v>0.99334974765950101</v>
      </c>
      <c r="C5735">
        <v>0.75852415564822395</v>
      </c>
      <c r="D5735">
        <v>0.53638049164930302</v>
      </c>
      <c r="E5735">
        <v>0.39210620163038601</v>
      </c>
      <c r="F5735">
        <v>0.28703434884502399</v>
      </c>
      <c r="G5735">
        <v>0.16038599582874799</v>
      </c>
      <c r="H5735">
        <v>0.115517039802295</v>
      </c>
      <c r="I5735">
        <v>9.9135210282087105E-2</v>
      </c>
      <c r="J5735">
        <v>0.106558784358067</v>
      </c>
      <c r="K5735">
        <v>8.0369015755141202E-2</v>
      </c>
      <c r="L5735">
        <v>593.90686355415505</v>
      </c>
      <c r="M5735">
        <v>12.675457450364799</v>
      </c>
      <c r="N5735">
        <v>47.4951648047726</v>
      </c>
      <c r="O5735">
        <v>45.734541902779903</v>
      </c>
      <c r="P5735">
        <v>-6.3858760168982898E-2</v>
      </c>
      <c r="Q5735">
        <v>7.8539558206833907E-2</v>
      </c>
      <c r="R5735">
        <v>0.984666954383837</v>
      </c>
      <c r="S5735" t="s">
        <v>11596</v>
      </c>
      <c r="T5735" t="s">
        <v>11720</v>
      </c>
      <c r="U5735" t="s">
        <v>11720</v>
      </c>
      <c r="V5735" t="s">
        <v>11720</v>
      </c>
      <c r="W5735" t="s">
        <v>17393</v>
      </c>
      <c r="X5735">
        <v>5</v>
      </c>
      <c r="Y5735" t="s">
        <v>23086</v>
      </c>
      <c r="Z5735" t="s">
        <v>28942</v>
      </c>
      <c r="AA5735">
        <v>0.3243968786593267</v>
      </c>
      <c r="AB5735" t="str">
        <f>HYPERLINK("Melting_Curves/meltCurve_Q9Y3I1_FBXO7.pdf", "Melting_Curves/meltCurve_Q9Y3I1_FBXO7.pdf")</f>
        <v>Melting_Curves/meltCurve_Q9Y3I1_FBXO7.pdf</v>
      </c>
    </row>
    <row r="5736" spans="1:28" x14ac:dyDescent="0.25">
      <c r="A5736" t="s">
        <v>5740</v>
      </c>
      <c r="B5736">
        <v>0.99334974765950101</v>
      </c>
      <c r="C5736">
        <v>0.96532810946802605</v>
      </c>
      <c r="D5736">
        <v>0.83889340797010103</v>
      </c>
      <c r="E5736">
        <v>0.85234083726659904</v>
      </c>
      <c r="F5736">
        <v>0.47686981641587201</v>
      </c>
      <c r="G5736">
        <v>0.16615647829477301</v>
      </c>
      <c r="H5736">
        <v>0.12078076536277001</v>
      </c>
      <c r="I5736">
        <v>0.107727151358122</v>
      </c>
      <c r="J5736">
        <v>0.11974876093919</v>
      </c>
      <c r="K5736">
        <v>8.2252372510435004E-2</v>
      </c>
      <c r="L5736">
        <v>1464.11464806505</v>
      </c>
      <c r="M5736">
        <v>27.916179224255</v>
      </c>
      <c r="N5736">
        <v>52.855174219981997</v>
      </c>
      <c r="O5736">
        <v>52.179895420905503</v>
      </c>
      <c r="P5736">
        <v>-0.120776793869694</v>
      </c>
      <c r="Q5736">
        <v>9.7001610079329503E-2</v>
      </c>
      <c r="R5736">
        <v>0.98303695717032702</v>
      </c>
      <c r="S5736" t="s">
        <v>11597</v>
      </c>
      <c r="T5736" t="s">
        <v>11720</v>
      </c>
      <c r="U5736" t="s">
        <v>11720</v>
      </c>
      <c r="V5736" t="s">
        <v>11720</v>
      </c>
      <c r="W5736" t="s">
        <v>17394</v>
      </c>
      <c r="X5736">
        <v>8</v>
      </c>
      <c r="Y5736" t="s">
        <v>23087</v>
      </c>
      <c r="Z5736" t="s">
        <v>28943</v>
      </c>
      <c r="AA5736">
        <v>0.47834068185858569</v>
      </c>
      <c r="AB5736" t="str">
        <f>HYPERLINK("Melting_Curves/meltCurve_Q9Y3L3_SH3BP1.pdf", "Melting_Curves/meltCurve_Q9Y3L3_SH3BP1.pdf")</f>
        <v>Melting_Curves/meltCurve_Q9Y3L3_SH3BP1.pdf</v>
      </c>
    </row>
    <row r="5737" spans="1:28" x14ac:dyDescent="0.25">
      <c r="A5737" t="s">
        <v>5741</v>
      </c>
      <c r="B5737">
        <v>0.99334974765950101</v>
      </c>
      <c r="C5737">
        <v>0.89029762441795801</v>
      </c>
      <c r="D5737">
        <v>0.79703706240885797</v>
      </c>
      <c r="E5737">
        <v>0.66399005302278002</v>
      </c>
      <c r="F5737">
        <v>0.48223574140764702</v>
      </c>
      <c r="G5737">
        <v>0.41076226579615899</v>
      </c>
      <c r="H5737">
        <v>0.36586935367245799</v>
      </c>
      <c r="I5737">
        <v>0.37421963537783698</v>
      </c>
      <c r="J5737">
        <v>0.270038418108902</v>
      </c>
      <c r="K5737">
        <v>0.186809471431504</v>
      </c>
      <c r="L5737">
        <v>503.02294530881301</v>
      </c>
      <c r="M5737">
        <v>9.8336079765231705</v>
      </c>
      <c r="N5737">
        <v>53.989610796313698</v>
      </c>
      <c r="O5737">
        <v>49.172682294664703</v>
      </c>
      <c r="P5737">
        <v>-3.9930963653608202E-2</v>
      </c>
      <c r="Q5737">
        <v>0.20171939650644199</v>
      </c>
      <c r="R5737">
        <v>0.97697802514331999</v>
      </c>
      <c r="S5737" t="s">
        <v>11598</v>
      </c>
      <c r="T5737" t="s">
        <v>11720</v>
      </c>
      <c r="U5737" t="s">
        <v>11720</v>
      </c>
      <c r="V5737" t="s">
        <v>11720</v>
      </c>
      <c r="W5737" t="s">
        <v>17395</v>
      </c>
      <c r="X5737">
        <v>7</v>
      </c>
      <c r="Y5737" t="s">
        <v>23088</v>
      </c>
      <c r="Z5737" t="s">
        <v>28944</v>
      </c>
      <c r="AA5737">
        <v>0.53193525026525257</v>
      </c>
      <c r="AB5737" t="str">
        <f>HYPERLINK("Melting_Curves/meltCurve_Q9Y3L5_RAP2C.pdf", "Melting_Curves/meltCurve_Q9Y3L5_RAP2C.pdf")</f>
        <v>Melting_Curves/meltCurve_Q9Y3L5_RAP2C.pdf</v>
      </c>
    </row>
    <row r="5738" spans="1:28" x14ac:dyDescent="0.25">
      <c r="A5738" t="s">
        <v>5742</v>
      </c>
      <c r="B5738">
        <v>0.99334974765950101</v>
      </c>
      <c r="C5738">
        <v>1.0035828825870601</v>
      </c>
      <c r="D5738">
        <v>1.10225893632905</v>
      </c>
      <c r="E5738">
        <v>0.75539549188498401</v>
      </c>
      <c r="F5738">
        <v>0.40412308411098202</v>
      </c>
      <c r="G5738">
        <v>0.30092046796043997</v>
      </c>
      <c r="H5738">
        <v>0.20236903369921999</v>
      </c>
      <c r="I5738">
        <v>0.13880854682247201</v>
      </c>
      <c r="J5738">
        <v>0.12820026952589</v>
      </c>
      <c r="K5738">
        <v>0.128139661754366</v>
      </c>
      <c r="L5738">
        <v>1496.11719616711</v>
      </c>
      <c r="M5738">
        <v>28.965473359209</v>
      </c>
      <c r="N5738">
        <v>52.356486234727001</v>
      </c>
      <c r="O5738">
        <v>51.407429031761303</v>
      </c>
      <c r="P5738">
        <v>-0.118122788579025</v>
      </c>
      <c r="Q5738">
        <v>0.161437039224234</v>
      </c>
      <c r="R5738">
        <v>0.98063706171028497</v>
      </c>
      <c r="S5738" t="s">
        <v>11599</v>
      </c>
      <c r="T5738" t="s">
        <v>11720</v>
      </c>
      <c r="U5738" t="s">
        <v>11720</v>
      </c>
      <c r="V5738" t="s">
        <v>11720</v>
      </c>
      <c r="W5738" t="s">
        <v>17396</v>
      </c>
      <c r="X5738">
        <v>6</v>
      </c>
      <c r="Y5738" t="s">
        <v>23089</v>
      </c>
      <c r="Z5738" t="s">
        <v>28945</v>
      </c>
      <c r="AA5738">
        <v>0.49284091688814557</v>
      </c>
      <c r="AB5738" t="str">
        <f>HYPERLINK("Melting_Curves/meltCurve_Q9Y3M8_3_STARD13.pdf", "Melting_Curves/meltCurve_Q9Y3M8_3_STARD13.pdf")</f>
        <v>Melting_Curves/meltCurve_Q9Y3M8_3_STARD13.pdf</v>
      </c>
    </row>
    <row r="5739" spans="1:28" x14ac:dyDescent="0.25">
      <c r="A5739" t="s">
        <v>5743</v>
      </c>
      <c r="B5739">
        <v>0.99334974765950101</v>
      </c>
      <c r="C5739">
        <v>0.99354955949123203</v>
      </c>
      <c r="D5739">
        <v>1.02749257648093</v>
      </c>
      <c r="E5739">
        <v>0.82257427605415401</v>
      </c>
      <c r="F5739">
        <v>0.26282226106951401</v>
      </c>
      <c r="G5739">
        <v>0.15255707395430401</v>
      </c>
      <c r="H5739">
        <v>0.112628323072539</v>
      </c>
      <c r="I5739">
        <v>0.10658172601688699</v>
      </c>
      <c r="J5739">
        <v>0.109210960202052</v>
      </c>
      <c r="K5739">
        <v>9.2354215951441707E-2</v>
      </c>
      <c r="L5739">
        <v>2612.6758299354101</v>
      </c>
      <c r="M5739">
        <v>50.869780486242497</v>
      </c>
      <c r="N5739">
        <v>51.620139603299698</v>
      </c>
      <c r="O5739">
        <v>51.280905246601897</v>
      </c>
      <c r="P5739">
        <v>-0.21996484059528401</v>
      </c>
      <c r="Q5739">
        <v>0.113030653624324</v>
      </c>
      <c r="R5739">
        <v>0.99842790592682196</v>
      </c>
      <c r="S5739" t="s">
        <v>11600</v>
      </c>
      <c r="T5739" t="s">
        <v>11720</v>
      </c>
      <c r="U5739" t="s">
        <v>11720</v>
      </c>
      <c r="V5739" t="s">
        <v>11720</v>
      </c>
      <c r="W5739" t="s">
        <v>17397</v>
      </c>
      <c r="X5739">
        <v>24</v>
      </c>
      <c r="Y5739" t="s">
        <v>23090</v>
      </c>
      <c r="Z5739" t="s">
        <v>28946</v>
      </c>
      <c r="AA5739">
        <v>0.45083952515597597</v>
      </c>
      <c r="AB5739" t="str">
        <f>HYPERLINK("Melting_Curves/meltCurve_Q9Y3P9_RABGAP1.pdf", "Melting_Curves/meltCurve_Q9Y3P9_RABGAP1.pdf")</f>
        <v>Melting_Curves/meltCurve_Q9Y3P9_RABGAP1.pdf</v>
      </c>
    </row>
    <row r="5740" spans="1:28" x14ac:dyDescent="0.25">
      <c r="A5740" t="s">
        <v>5744</v>
      </c>
      <c r="B5740">
        <v>0.99334974765950101</v>
      </c>
      <c r="C5740">
        <v>1.00079199475492</v>
      </c>
      <c r="D5740">
        <v>0.85073874399211902</v>
      </c>
      <c r="E5740">
        <v>0.90218987614783897</v>
      </c>
      <c r="F5740">
        <v>0.33426369788504001</v>
      </c>
      <c r="G5740">
        <v>0.16912732887936499</v>
      </c>
      <c r="H5740">
        <v>0.11568647356433399</v>
      </c>
      <c r="I5740">
        <v>0.14228318184877001</v>
      </c>
      <c r="J5740">
        <v>0.12200382658776</v>
      </c>
      <c r="K5740">
        <v>9.8902335337668304E-2</v>
      </c>
      <c r="L5740">
        <v>2766.6191629954801</v>
      </c>
      <c r="M5740">
        <v>53.340666474415301</v>
      </c>
      <c r="N5740">
        <v>52.154789127387602</v>
      </c>
      <c r="O5740">
        <v>51.794230418747297</v>
      </c>
      <c r="P5740">
        <v>-0.22463931306298901</v>
      </c>
      <c r="Q5740">
        <v>0.127494015856533</v>
      </c>
      <c r="R5740">
        <v>0.98352810610128505</v>
      </c>
      <c r="S5740" t="s">
        <v>11601</v>
      </c>
      <c r="T5740" t="s">
        <v>11720</v>
      </c>
      <c r="U5740" t="s">
        <v>11720</v>
      </c>
      <c r="V5740" t="s">
        <v>11720</v>
      </c>
      <c r="W5740" t="s">
        <v>17398</v>
      </c>
      <c r="X5740">
        <v>5</v>
      </c>
      <c r="Y5740" t="s">
        <v>23091</v>
      </c>
      <c r="Z5740" t="s">
        <v>28947</v>
      </c>
      <c r="AA5740">
        <v>0.47438038067187699</v>
      </c>
      <c r="AB5740" t="str">
        <f>HYPERLINK("Melting_Curves/meltCurve_Q9Y3Q3_TMED3.pdf", "Melting_Curves/meltCurve_Q9Y3Q3_TMED3.pdf")</f>
        <v>Melting_Curves/meltCurve_Q9Y3Q3_TMED3.pdf</v>
      </c>
    </row>
    <row r="5741" spans="1:28" x14ac:dyDescent="0.25">
      <c r="A5741" t="s">
        <v>5745</v>
      </c>
      <c r="B5741">
        <v>0.99334974765950101</v>
      </c>
      <c r="C5741">
        <v>0.99080200226131299</v>
      </c>
      <c r="D5741">
        <v>0.98975278541845901</v>
      </c>
      <c r="E5741">
        <v>0.78156111850541099</v>
      </c>
      <c r="F5741">
        <v>0.40743134882195797</v>
      </c>
      <c r="G5741">
        <v>0.25384208656912699</v>
      </c>
      <c r="H5741">
        <v>0.19594971338202</v>
      </c>
      <c r="I5741">
        <v>0.183715939945338</v>
      </c>
      <c r="J5741">
        <v>0.19924782833160401</v>
      </c>
      <c r="K5741">
        <v>0.20103807746510199</v>
      </c>
      <c r="L5741">
        <v>1719.46058821325</v>
      </c>
      <c r="M5741">
        <v>33.4307001486562</v>
      </c>
      <c r="N5741">
        <v>52.223786534856998</v>
      </c>
      <c r="O5741">
        <v>51.250603382499499</v>
      </c>
      <c r="P5741">
        <v>-0.130704432316743</v>
      </c>
      <c r="Q5741">
        <v>0.198503119370496</v>
      </c>
      <c r="R5741">
        <v>0.99903826156373798</v>
      </c>
      <c r="S5741" t="s">
        <v>11602</v>
      </c>
      <c r="T5741" t="s">
        <v>11720</v>
      </c>
      <c r="U5741" t="s">
        <v>11720</v>
      </c>
      <c r="V5741" t="s">
        <v>11720</v>
      </c>
      <c r="W5741" t="s">
        <v>17399</v>
      </c>
      <c r="X5741">
        <v>13</v>
      </c>
      <c r="Y5741" t="s">
        <v>23092</v>
      </c>
      <c r="Z5741" t="s">
        <v>28948</v>
      </c>
      <c r="AA5741">
        <v>0.50805547264142459</v>
      </c>
      <c r="AB5741" t="str">
        <f>HYPERLINK("Melting_Curves/meltCurve_Q9Y3Q8_TSC22D4.pdf", "Melting_Curves/meltCurve_Q9Y3Q8_TSC22D4.pdf")</f>
        <v>Melting_Curves/meltCurve_Q9Y3Q8_TSC22D4.pdf</v>
      </c>
    </row>
    <row r="5742" spans="1:28" x14ac:dyDescent="0.25">
      <c r="A5742" t="s">
        <v>5746</v>
      </c>
      <c r="B5742">
        <v>0.99334974765950101</v>
      </c>
      <c r="C5742">
        <v>0.95279945708047697</v>
      </c>
      <c r="D5742">
        <v>0.71248853347842001</v>
      </c>
      <c r="E5742">
        <v>0.40387130721215603</v>
      </c>
      <c r="F5742">
        <v>0.34789330088494202</v>
      </c>
      <c r="G5742">
        <v>0.24661102704865301</v>
      </c>
      <c r="H5742">
        <v>0.215622898250867</v>
      </c>
      <c r="I5742">
        <v>0.162779149377246</v>
      </c>
      <c r="J5742">
        <v>0.156241524236402</v>
      </c>
      <c r="K5742">
        <v>0.110340957519312</v>
      </c>
      <c r="L5742">
        <v>807.754755705496</v>
      </c>
      <c r="M5742">
        <v>16.7961133205728</v>
      </c>
      <c r="N5742">
        <v>49.205568541814799</v>
      </c>
      <c r="O5742">
        <v>47.425565855291197</v>
      </c>
      <c r="P5742">
        <v>-7.4542816270843401E-2</v>
      </c>
      <c r="Q5742">
        <v>0.158137101641496</v>
      </c>
      <c r="R5742">
        <v>0.98783927177114705</v>
      </c>
      <c r="S5742" t="s">
        <v>11603</v>
      </c>
      <c r="T5742" t="s">
        <v>11720</v>
      </c>
      <c r="U5742" t="s">
        <v>11720</v>
      </c>
      <c r="V5742" t="s">
        <v>11720</v>
      </c>
      <c r="W5742" t="s">
        <v>17400</v>
      </c>
      <c r="X5742">
        <v>5</v>
      </c>
      <c r="Y5742" t="s">
        <v>23093</v>
      </c>
      <c r="Z5742" t="s">
        <v>28949</v>
      </c>
      <c r="AA5742">
        <v>0.40239304300715389</v>
      </c>
      <c r="AB5742" t="str">
        <f>HYPERLINK("Melting_Curves/meltCurve_Q9Y3S2_ZNF330.pdf", "Melting_Curves/meltCurve_Q9Y3S2_ZNF330.pdf")</f>
        <v>Melting_Curves/meltCurve_Q9Y3S2_ZNF330.pdf</v>
      </c>
    </row>
    <row r="5743" spans="1:28" x14ac:dyDescent="0.25">
      <c r="A5743" t="s">
        <v>5747</v>
      </c>
      <c r="B5743">
        <v>0.99334974765950101</v>
      </c>
      <c r="C5743">
        <v>0.91469383585811204</v>
      </c>
      <c r="D5743">
        <v>0.91776636111742205</v>
      </c>
      <c r="E5743">
        <v>0.59728593999473201</v>
      </c>
      <c r="F5743">
        <v>0.18576430025027699</v>
      </c>
      <c r="G5743">
        <v>0.104032143047407</v>
      </c>
      <c r="H5743">
        <v>5.24582032034435E-2</v>
      </c>
      <c r="I5743">
        <v>1.7513445495337801E-2</v>
      </c>
      <c r="J5743">
        <v>1.6303396100547499E-2</v>
      </c>
      <c r="K5743">
        <v>8.6560070210706299E-3</v>
      </c>
      <c r="L5743">
        <v>1374.15227718351</v>
      </c>
      <c r="M5743">
        <v>27.2516793978386</v>
      </c>
      <c r="N5743">
        <v>50.516064091344802</v>
      </c>
      <c r="O5743">
        <v>50.155323328563099</v>
      </c>
      <c r="P5743">
        <v>-0.132564357833792</v>
      </c>
      <c r="Q5743">
        <v>2.4097653069333199E-2</v>
      </c>
      <c r="R5743">
        <v>0.992993980273983</v>
      </c>
      <c r="S5743" t="s">
        <v>11604</v>
      </c>
      <c r="T5743" t="s">
        <v>11720</v>
      </c>
      <c r="U5743" t="s">
        <v>11720</v>
      </c>
      <c r="V5743" t="s">
        <v>11720</v>
      </c>
      <c r="W5743" t="s">
        <v>17401</v>
      </c>
      <c r="X5743">
        <v>4</v>
      </c>
      <c r="Y5743" t="s">
        <v>23094</v>
      </c>
      <c r="Z5743" t="s">
        <v>28950</v>
      </c>
      <c r="AA5743">
        <v>0.37058092319875963</v>
      </c>
      <c r="AB5743" t="str">
        <f>HYPERLINK("Melting_Curves/meltCurve_Q9Y3T6_R3HCC1.pdf", "Melting_Curves/meltCurve_Q9Y3T6_R3HCC1.pdf")</f>
        <v>Melting_Curves/meltCurve_Q9Y3T6_R3HCC1.pdf</v>
      </c>
    </row>
    <row r="5744" spans="1:28" x14ac:dyDescent="0.25">
      <c r="A5744" t="s">
        <v>5748</v>
      </c>
      <c r="B5744">
        <v>0.99334974765950101</v>
      </c>
      <c r="C5744">
        <v>0.891408438417159</v>
      </c>
      <c r="D5744">
        <v>0.80095843755001805</v>
      </c>
      <c r="E5744">
        <v>0.41146986055422102</v>
      </c>
      <c r="F5744">
        <v>0.138904885251353</v>
      </c>
      <c r="G5744">
        <v>5.5792823665692798E-2</v>
      </c>
      <c r="H5744">
        <v>2.4754959796178099E-2</v>
      </c>
      <c r="I5744">
        <v>3.0095506558627499E-2</v>
      </c>
      <c r="J5744">
        <v>5.73019113116634E-2</v>
      </c>
      <c r="K5744">
        <v>3.4800904514299E-2</v>
      </c>
      <c r="L5744">
        <v>1050.22180718441</v>
      </c>
      <c r="M5744">
        <v>21.5361065968887</v>
      </c>
      <c r="N5744">
        <v>48.882427215271001</v>
      </c>
      <c r="O5744">
        <v>48.351007027306103</v>
      </c>
      <c r="P5744">
        <v>-0.108563082702838</v>
      </c>
      <c r="Q5744">
        <v>2.50778666577628E-2</v>
      </c>
      <c r="R5744">
        <v>0.99530910622942903</v>
      </c>
      <c r="S5744" t="s">
        <v>11605</v>
      </c>
      <c r="T5744" t="s">
        <v>11720</v>
      </c>
      <c r="U5744" t="s">
        <v>11720</v>
      </c>
      <c r="V5744" t="s">
        <v>11720</v>
      </c>
      <c r="W5744" t="s">
        <v>17402</v>
      </c>
      <c r="X5744">
        <v>3</v>
      </c>
      <c r="Y5744" t="s">
        <v>23095</v>
      </c>
      <c r="Z5744" t="s">
        <v>28951</v>
      </c>
      <c r="AA5744">
        <v>0.3216913605776292</v>
      </c>
      <c r="AB5744" t="str">
        <f>HYPERLINK("Melting_Curves/meltCurve_Q9Y3T9_NOC2L.pdf", "Melting_Curves/meltCurve_Q9Y3T9_NOC2L.pdf")</f>
        <v>Melting_Curves/meltCurve_Q9Y3T9_NOC2L.pdf</v>
      </c>
    </row>
    <row r="5745" spans="1:28" x14ac:dyDescent="0.25">
      <c r="A5745" t="s">
        <v>5749</v>
      </c>
      <c r="B5745">
        <v>0.99334974765950101</v>
      </c>
      <c r="C5745">
        <v>1.2407087075260199</v>
      </c>
      <c r="D5745">
        <v>1.1400261804506799</v>
      </c>
      <c r="E5745">
        <v>1.3738097933200899</v>
      </c>
      <c r="F5745">
        <v>1.0662726454249301</v>
      </c>
      <c r="G5745">
        <v>1.1807417806123699</v>
      </c>
      <c r="H5745">
        <v>0.85259745675528897</v>
      </c>
      <c r="I5745">
        <v>0.61376323037341596</v>
      </c>
      <c r="J5745">
        <v>0.49333253479484102</v>
      </c>
      <c r="K5745">
        <v>0.45038069143619502</v>
      </c>
      <c r="L5745">
        <v>2943.7011509969998</v>
      </c>
      <c r="M5745">
        <v>47.0305615081529</v>
      </c>
      <c r="N5745">
        <v>66.165918747919903</v>
      </c>
      <c r="O5745">
        <v>62.478375548256402</v>
      </c>
      <c r="P5745">
        <v>-0.101508127823436</v>
      </c>
      <c r="Q5745">
        <v>0.460601179499875</v>
      </c>
      <c r="R5745">
        <v>0.72867947533352695</v>
      </c>
      <c r="S5745" t="s">
        <v>11606</v>
      </c>
      <c r="T5745" t="s">
        <v>11720</v>
      </c>
      <c r="U5745" t="s">
        <v>11720</v>
      </c>
      <c r="V5745" t="s">
        <v>11720</v>
      </c>
      <c r="W5745" t="s">
        <v>17403</v>
      </c>
      <c r="X5745">
        <v>6</v>
      </c>
      <c r="Y5745" t="s">
        <v>23096</v>
      </c>
      <c r="Z5745" t="s">
        <v>28952</v>
      </c>
      <c r="AA5745">
        <v>0.86825918767987698</v>
      </c>
      <c r="AB5745" t="str">
        <f>HYPERLINK("Melting_Curves/meltCurve_Q9Y3U8_RPL36.pdf", "Melting_Curves/meltCurve_Q9Y3U8_RPL36.pdf")</f>
        <v>Melting_Curves/meltCurve_Q9Y3U8_RPL36.pdf</v>
      </c>
    </row>
    <row r="5746" spans="1:28" x14ac:dyDescent="0.25">
      <c r="A5746" t="s">
        <v>5750</v>
      </c>
      <c r="B5746">
        <v>0.99334974765950101</v>
      </c>
      <c r="C5746">
        <v>1.02060502876659</v>
      </c>
      <c r="D5746">
        <v>0.76787999001357499</v>
      </c>
      <c r="E5746">
        <v>0.49615439972476399</v>
      </c>
      <c r="F5746">
        <v>0.33491498030571698</v>
      </c>
      <c r="G5746">
        <v>0.19994532206704399</v>
      </c>
      <c r="H5746">
        <v>0.16295193324688401</v>
      </c>
      <c r="I5746">
        <v>0.12350437047226</v>
      </c>
      <c r="J5746">
        <v>0.169964597540775</v>
      </c>
      <c r="K5746">
        <v>0.130824947011283</v>
      </c>
      <c r="L5746">
        <v>910.95360251501495</v>
      </c>
      <c r="M5746">
        <v>18.548745293432798</v>
      </c>
      <c r="N5746">
        <v>49.986294730050901</v>
      </c>
      <c r="O5746">
        <v>48.551185964197998</v>
      </c>
      <c r="P5746">
        <v>-8.2275153069315696E-2</v>
      </c>
      <c r="Q5746">
        <v>0.13861964969832299</v>
      </c>
      <c r="R5746">
        <v>0.99201879686155003</v>
      </c>
      <c r="S5746" t="s">
        <v>11607</v>
      </c>
      <c r="T5746" t="s">
        <v>11720</v>
      </c>
      <c r="U5746" t="s">
        <v>11720</v>
      </c>
      <c r="V5746" t="s">
        <v>11720</v>
      </c>
      <c r="W5746" t="s">
        <v>17404</v>
      </c>
      <c r="X5746">
        <v>2</v>
      </c>
      <c r="Y5746" t="s">
        <v>23097</v>
      </c>
      <c r="Z5746" t="s">
        <v>28953</v>
      </c>
      <c r="AA5746">
        <v>0.41425590264809631</v>
      </c>
      <c r="AB5746" t="str">
        <f>HYPERLINK("Melting_Curves/meltCurve_Q9Y3V2_RWDD3.pdf", "Melting_Curves/meltCurve_Q9Y3V2_RWDD3.pdf")</f>
        <v>Melting_Curves/meltCurve_Q9Y3V2_RWDD3.pdf</v>
      </c>
    </row>
    <row r="5747" spans="1:28" x14ac:dyDescent="0.25">
      <c r="A5747" t="s">
        <v>5751</v>
      </c>
      <c r="B5747">
        <v>0.99334974765950101</v>
      </c>
      <c r="C5747">
        <v>1.01590314270034</v>
      </c>
      <c r="D5747">
        <v>0.89887116389019495</v>
      </c>
      <c r="E5747">
        <v>0.80612850298993399</v>
      </c>
      <c r="F5747">
        <v>0.88074288935829004</v>
      </c>
      <c r="G5747">
        <v>0.72764202519101595</v>
      </c>
      <c r="H5747">
        <v>0.83543890543647203</v>
      </c>
      <c r="I5747">
        <v>1.01598332830986</v>
      </c>
      <c r="J5747">
        <v>1.04504831628212</v>
      </c>
      <c r="K5747">
        <v>1.09346784729682</v>
      </c>
      <c r="L5747">
        <v>4482.4206323929802</v>
      </c>
      <c r="M5747">
        <v>66.754393845032197</v>
      </c>
      <c r="O5747">
        <v>67.0877661496217</v>
      </c>
      <c r="P5747">
        <v>2.47237584481435E-2</v>
      </c>
      <c r="Q5747">
        <v>1.09938888791308</v>
      </c>
      <c r="R5747">
        <v>-0.28603067259426901</v>
      </c>
      <c r="S5747" t="s">
        <v>11608</v>
      </c>
      <c r="T5747" t="s">
        <v>11720</v>
      </c>
      <c r="U5747" t="s">
        <v>11720</v>
      </c>
      <c r="V5747" t="s">
        <v>11720</v>
      </c>
      <c r="W5747" t="s">
        <v>17405</v>
      </c>
      <c r="X5747">
        <v>14</v>
      </c>
      <c r="Y5747" t="s">
        <v>23098</v>
      </c>
      <c r="Z5747" t="s">
        <v>28954</v>
      </c>
      <c r="AA5747">
        <v>1.0095227784065379</v>
      </c>
      <c r="AB5747" t="str">
        <f>HYPERLINK("Melting_Curves/meltCurve_Q9Y3X0_CCDC9.pdf", "Melting_Curves/meltCurve_Q9Y3X0_CCDC9.pdf")</f>
        <v>Melting_Curves/meltCurve_Q9Y3X0_CCDC9.pdf</v>
      </c>
    </row>
    <row r="5748" spans="1:28" x14ac:dyDescent="0.25">
      <c r="A5748" t="s">
        <v>5752</v>
      </c>
      <c r="B5748">
        <v>0.99334974765950101</v>
      </c>
      <c r="C5748">
        <v>0.93065925251850601</v>
      </c>
      <c r="D5748">
        <v>0.790597032168042</v>
      </c>
      <c r="E5748">
        <v>0.66554788446968505</v>
      </c>
      <c r="F5748">
        <v>0.46393557414408099</v>
      </c>
      <c r="G5748">
        <v>0.39251342782799797</v>
      </c>
      <c r="H5748">
        <v>0.174825648124419</v>
      </c>
      <c r="I5748">
        <v>0.14074183580732799</v>
      </c>
      <c r="J5748">
        <v>0.120241504568993</v>
      </c>
      <c r="K5748">
        <v>0.101421168753576</v>
      </c>
      <c r="L5748">
        <v>543.68232264732001</v>
      </c>
      <c r="M5748">
        <v>10.2986334935473</v>
      </c>
      <c r="N5748">
        <v>52.965510079236097</v>
      </c>
      <c r="O5748">
        <v>50.9174509068894</v>
      </c>
      <c r="P5748">
        <v>-4.9746741965793401E-2</v>
      </c>
      <c r="Q5748">
        <v>1.6616326481102499E-2</v>
      </c>
      <c r="R5748">
        <v>0.99127186146162904</v>
      </c>
      <c r="S5748" t="s">
        <v>11609</v>
      </c>
      <c r="T5748" t="s">
        <v>11720</v>
      </c>
      <c r="U5748" t="s">
        <v>11720</v>
      </c>
      <c r="V5748" t="s">
        <v>11720</v>
      </c>
      <c r="W5748" t="s">
        <v>17406</v>
      </c>
      <c r="X5748">
        <v>5</v>
      </c>
      <c r="Y5748" t="s">
        <v>23099</v>
      </c>
      <c r="Z5748" t="s">
        <v>28955</v>
      </c>
      <c r="AA5748">
        <v>0.46939131963865699</v>
      </c>
      <c r="AB5748" t="str">
        <f>HYPERLINK("Melting_Curves/meltCurve_Q9Y3Z3_4_SAMHD1.pdf", "Melting_Curves/meltCurve_Q9Y3Z3_4_SAMHD1.pdf")</f>
        <v>Melting_Curves/meltCurve_Q9Y3Z3_4_SAMHD1.pdf</v>
      </c>
    </row>
    <row r="5749" spans="1:28" x14ac:dyDescent="0.25">
      <c r="A5749" t="s">
        <v>5753</v>
      </c>
      <c r="B5749">
        <v>0.99334974765950101</v>
      </c>
      <c r="C5749">
        <v>1.0193451826240401</v>
      </c>
      <c r="D5749">
        <v>0.93546480029381895</v>
      </c>
      <c r="E5749">
        <v>0.68978787700746302</v>
      </c>
      <c r="F5749">
        <v>0.27108267503065703</v>
      </c>
      <c r="G5749">
        <v>0.17132951570500199</v>
      </c>
      <c r="H5749">
        <v>0.143600494502931</v>
      </c>
      <c r="I5749">
        <v>0.13471618083077799</v>
      </c>
      <c r="J5749">
        <v>0.123572698538872</v>
      </c>
      <c r="K5749">
        <v>0.10267105302636401</v>
      </c>
      <c r="L5749">
        <v>1776.06385671987</v>
      </c>
      <c r="M5749">
        <v>34.997109513420199</v>
      </c>
      <c r="N5749">
        <v>51.1836454601371</v>
      </c>
      <c r="O5749">
        <v>50.584030635294802</v>
      </c>
      <c r="P5749">
        <v>-0.15072564381536199</v>
      </c>
      <c r="Q5749">
        <v>0.12858131553635699</v>
      </c>
      <c r="R5749">
        <v>0.99707429939829295</v>
      </c>
      <c r="S5749" t="s">
        <v>11610</v>
      </c>
      <c r="T5749" t="s">
        <v>11720</v>
      </c>
      <c r="U5749" t="s">
        <v>11720</v>
      </c>
      <c r="V5749" t="s">
        <v>11720</v>
      </c>
      <c r="W5749" t="s">
        <v>17407</v>
      </c>
      <c r="X5749">
        <v>14</v>
      </c>
      <c r="Y5749" t="s">
        <v>23100</v>
      </c>
      <c r="Z5749" t="s">
        <v>28956</v>
      </c>
      <c r="AA5749">
        <v>0.44480864389014929</v>
      </c>
      <c r="AB5749" t="str">
        <f>HYPERLINK("Melting_Curves/meltCurve_Q9Y450_4_HBS1L.pdf", "Melting_Curves/meltCurve_Q9Y450_4_HBS1L.pdf")</f>
        <v>Melting_Curves/meltCurve_Q9Y450_4_HBS1L.pdf</v>
      </c>
    </row>
    <row r="5750" spans="1:28" x14ac:dyDescent="0.25">
      <c r="A5750" t="s">
        <v>5754</v>
      </c>
      <c r="B5750">
        <v>0.99334974765950101</v>
      </c>
      <c r="C5750">
        <v>0.95225248661561002</v>
      </c>
      <c r="D5750">
        <v>0.97887602675209695</v>
      </c>
      <c r="E5750">
        <v>0.88251082537252101</v>
      </c>
      <c r="F5750">
        <v>0.70092951633537204</v>
      </c>
      <c r="G5750">
        <v>0.41443560934374202</v>
      </c>
      <c r="H5750">
        <v>0.36125260816298899</v>
      </c>
      <c r="I5750">
        <v>0.36517814410224703</v>
      </c>
      <c r="J5750">
        <v>0.34890257348397902</v>
      </c>
      <c r="K5750">
        <v>0.28727055819886399</v>
      </c>
      <c r="L5750">
        <v>1324.6120042508701</v>
      </c>
      <c r="M5750">
        <v>24.856777600561902</v>
      </c>
      <c r="N5750">
        <v>55.652801454819297</v>
      </c>
      <c r="O5750">
        <v>52.948452558102503</v>
      </c>
      <c r="P5750">
        <v>-7.9106451527813093E-2</v>
      </c>
      <c r="Q5750">
        <v>0.32597754487896802</v>
      </c>
      <c r="R5750">
        <v>0.99269160677409396</v>
      </c>
      <c r="S5750" t="s">
        <v>11611</v>
      </c>
      <c r="T5750" t="s">
        <v>11720</v>
      </c>
      <c r="U5750" t="s">
        <v>11720</v>
      </c>
      <c r="V5750" t="s">
        <v>11720</v>
      </c>
      <c r="W5750" t="s">
        <v>17408</v>
      </c>
      <c r="X5750">
        <v>2</v>
      </c>
      <c r="Y5750" t="s">
        <v>23101</v>
      </c>
      <c r="Z5750" t="s">
        <v>28957</v>
      </c>
      <c r="AA5750">
        <v>0.63084877931461236</v>
      </c>
      <c r="AB5750" t="str">
        <f>HYPERLINK("Melting_Curves/meltCurve_Q9Y478_PRKAB1.pdf", "Melting_Curves/meltCurve_Q9Y478_PRKAB1.pdf")</f>
        <v>Melting_Curves/meltCurve_Q9Y478_PRKAB1.pdf</v>
      </c>
    </row>
    <row r="5751" spans="1:28" x14ac:dyDescent="0.25">
      <c r="A5751" t="s">
        <v>5755</v>
      </c>
      <c r="B5751">
        <v>0.99334974765950101</v>
      </c>
      <c r="C5751">
        <v>1.0433856295325299</v>
      </c>
      <c r="D5751">
        <v>1.25269425963348</v>
      </c>
      <c r="E5751">
        <v>1.1771294874923299</v>
      </c>
      <c r="F5751">
        <v>0.41682310793458299</v>
      </c>
      <c r="G5751">
        <v>0.25763063564359701</v>
      </c>
      <c r="H5751">
        <v>0.16161928571100001</v>
      </c>
      <c r="I5751">
        <v>0.14986308491127201</v>
      </c>
      <c r="J5751">
        <v>0.143117372476007</v>
      </c>
      <c r="K5751">
        <v>0.14064206320090999</v>
      </c>
      <c r="L5751">
        <v>13204.306335855899</v>
      </c>
      <c r="M5751">
        <v>250</v>
      </c>
      <c r="N5751">
        <v>52.905518456316798</v>
      </c>
      <c r="O5751">
        <v>52.813831920609601</v>
      </c>
      <c r="P5751">
        <v>-0.981543732522146</v>
      </c>
      <c r="Q5751">
        <v>0.170574417179644</v>
      </c>
      <c r="R5751">
        <v>0.94832978594175799</v>
      </c>
      <c r="S5751" t="s">
        <v>11612</v>
      </c>
      <c r="T5751" t="s">
        <v>11720</v>
      </c>
      <c r="U5751" t="s">
        <v>11720</v>
      </c>
      <c r="V5751" t="s">
        <v>11720</v>
      </c>
      <c r="W5751" t="s">
        <v>17409</v>
      </c>
      <c r="X5751">
        <v>146</v>
      </c>
      <c r="Y5751" t="s">
        <v>23102</v>
      </c>
      <c r="Z5751" t="s">
        <v>28958</v>
      </c>
      <c r="AA5751">
        <v>0.52501578615094469</v>
      </c>
      <c r="AB5751" t="str">
        <f>HYPERLINK("Melting_Curves/meltCurve_Q9Y490_TLN1.pdf", "Melting_Curves/meltCurve_Q9Y490_TLN1.pdf")</f>
        <v>Melting_Curves/meltCurve_Q9Y490_TLN1.pdf</v>
      </c>
    </row>
    <row r="5752" spans="1:28" x14ac:dyDescent="0.25">
      <c r="A5752" t="s">
        <v>5756</v>
      </c>
      <c r="B5752">
        <v>0.99334974765950101</v>
      </c>
      <c r="C5752">
        <v>0.96395173314218197</v>
      </c>
      <c r="D5752">
        <v>0.78884580747813704</v>
      </c>
      <c r="E5752">
        <v>0.610613065554794</v>
      </c>
      <c r="F5752">
        <v>0.38687423861529502</v>
      </c>
      <c r="G5752">
        <v>0.27353153763503102</v>
      </c>
      <c r="H5752">
        <v>0.212553995802407</v>
      </c>
      <c r="I5752">
        <v>0.208849719564419</v>
      </c>
      <c r="J5752">
        <v>0.24807873228341501</v>
      </c>
      <c r="K5752">
        <v>0.203636231098165</v>
      </c>
      <c r="L5752">
        <v>828.74909480577003</v>
      </c>
      <c r="M5752">
        <v>16.7170689607984</v>
      </c>
      <c r="N5752">
        <v>51.139209722085603</v>
      </c>
      <c r="O5752">
        <v>48.881917403613201</v>
      </c>
      <c r="P5752">
        <v>-6.8389708506821106E-2</v>
      </c>
      <c r="Q5752">
        <v>0.20014701025241599</v>
      </c>
      <c r="R5752">
        <v>0.99380056858871602</v>
      </c>
      <c r="S5752" t="s">
        <v>11613</v>
      </c>
      <c r="T5752" t="s">
        <v>11720</v>
      </c>
      <c r="U5752" t="s">
        <v>11720</v>
      </c>
      <c r="V5752" t="s">
        <v>11720</v>
      </c>
      <c r="W5752" t="s">
        <v>17410</v>
      </c>
      <c r="X5752">
        <v>2</v>
      </c>
      <c r="Y5752" t="s">
        <v>23103</v>
      </c>
      <c r="Z5752" t="s">
        <v>28959</v>
      </c>
      <c r="AA5752">
        <v>0.47124680255182111</v>
      </c>
      <c r="AB5752" t="str">
        <f>HYPERLINK("Melting_Curves/meltCurve_Q9Y4B5_SOGA2.pdf", "Melting_Curves/meltCurve_Q9Y4B5_SOGA2.pdf")</f>
        <v>Melting_Curves/meltCurve_Q9Y4B5_SOGA2.pdf</v>
      </c>
    </row>
    <row r="5753" spans="1:28" x14ac:dyDescent="0.25">
      <c r="A5753" t="s">
        <v>5757</v>
      </c>
      <c r="B5753">
        <v>0.99334974765950101</v>
      </c>
      <c r="C5753">
        <v>0.88512977314419305</v>
      </c>
      <c r="D5753">
        <v>0.65884831893513696</v>
      </c>
      <c r="E5753">
        <v>0.25183638297040301</v>
      </c>
      <c r="F5753">
        <v>0.18028441546597701</v>
      </c>
      <c r="G5753">
        <v>0.13038244665774201</v>
      </c>
      <c r="H5753">
        <v>0.102956112868392</v>
      </c>
      <c r="I5753">
        <v>9.9825171016028905E-2</v>
      </c>
      <c r="J5753">
        <v>9.86086009333179E-2</v>
      </c>
      <c r="K5753">
        <v>6.9812592622599798E-2</v>
      </c>
      <c r="L5753">
        <v>1049.81898158067</v>
      </c>
      <c r="M5753">
        <v>22.387704365533001</v>
      </c>
      <c r="N5753">
        <v>47.343055096902297</v>
      </c>
      <c r="O5753">
        <v>46.523326218566098</v>
      </c>
      <c r="P5753">
        <v>-0.108766929926098</v>
      </c>
      <c r="Q5753">
        <v>9.5915547140393506E-2</v>
      </c>
      <c r="R5753">
        <v>0.99772456043686197</v>
      </c>
      <c r="S5753" t="s">
        <v>11614</v>
      </c>
      <c r="T5753" t="s">
        <v>11720</v>
      </c>
      <c r="U5753" t="s">
        <v>11720</v>
      </c>
      <c r="V5753" t="s">
        <v>11720</v>
      </c>
      <c r="W5753" t="s">
        <v>17411</v>
      </c>
      <c r="X5753">
        <v>13</v>
      </c>
      <c r="Y5753" t="s">
        <v>23104</v>
      </c>
      <c r="Z5753" t="s">
        <v>28960</v>
      </c>
      <c r="AA5753">
        <v>0.3139753137195932</v>
      </c>
      <c r="AB5753" t="str">
        <f>HYPERLINK("Melting_Curves/meltCurve_Q9Y4C2_2_FAM115A.pdf", "Melting_Curves/meltCurve_Q9Y4C2_2_FAM115A.pdf")</f>
        <v>Melting_Curves/meltCurve_Q9Y4C2_2_FAM115A.pdf</v>
      </c>
    </row>
    <row r="5754" spans="1:28" x14ac:dyDescent="0.25">
      <c r="A5754" t="s">
        <v>5758</v>
      </c>
      <c r="B5754">
        <v>0.99334974765950101</v>
      </c>
      <c r="C5754">
        <v>0.96934928111381702</v>
      </c>
      <c r="D5754">
        <v>0.984472197524217</v>
      </c>
      <c r="E5754">
        <v>0.95488743309874402</v>
      </c>
      <c r="F5754">
        <v>1.6010803067620001</v>
      </c>
      <c r="G5754">
        <v>0.74543405257000395</v>
      </c>
      <c r="H5754">
        <v>0.75931760875740295</v>
      </c>
      <c r="I5754">
        <v>0.82335221702785399</v>
      </c>
      <c r="J5754">
        <v>1.1068913747139499</v>
      </c>
      <c r="K5754">
        <v>1.1194714526755301</v>
      </c>
      <c r="L5754">
        <v>15000</v>
      </c>
      <c r="M5754">
        <v>225.96148147271299</v>
      </c>
      <c r="O5754">
        <v>66.377805277636298</v>
      </c>
      <c r="P5754">
        <v>0.10194353607917001</v>
      </c>
      <c r="Q5754">
        <v>1.11978656088603</v>
      </c>
      <c r="R5754">
        <v>4.6625339116740598E-2</v>
      </c>
      <c r="S5754" t="s">
        <v>11615</v>
      </c>
      <c r="T5754" t="s">
        <v>11720</v>
      </c>
      <c r="U5754" t="s">
        <v>11720</v>
      </c>
      <c r="V5754" t="s">
        <v>11720</v>
      </c>
      <c r="W5754" t="s">
        <v>17412</v>
      </c>
      <c r="X5754">
        <v>32</v>
      </c>
      <c r="Y5754" t="s">
        <v>23105</v>
      </c>
      <c r="Z5754" t="s">
        <v>28961</v>
      </c>
      <c r="AA5754">
        <v>1.0144252123838271</v>
      </c>
      <c r="AB5754" t="str">
        <f>HYPERLINK("Melting_Curves/meltCurve_Q9Y4E1_2_FAM21C.pdf", "Melting_Curves/meltCurve_Q9Y4E1_2_FAM21C.pdf")</f>
        <v>Melting_Curves/meltCurve_Q9Y4E1_2_FAM21C.pdf</v>
      </c>
    </row>
    <row r="5755" spans="1:28" x14ac:dyDescent="0.25">
      <c r="A5755" t="s">
        <v>5759</v>
      </c>
      <c r="B5755">
        <v>0.99334974765950101</v>
      </c>
      <c r="C5755">
        <v>0.91818549976705299</v>
      </c>
      <c r="D5755">
        <v>1.02454125111505</v>
      </c>
      <c r="E5755">
        <v>0.70372057196425097</v>
      </c>
      <c r="F5755">
        <v>0.182842292458925</v>
      </c>
      <c r="G5755">
        <v>0.14522006095641499</v>
      </c>
      <c r="H5755">
        <v>0.108812246343845</v>
      </c>
      <c r="I5755">
        <v>9.8105443408938495E-2</v>
      </c>
      <c r="J5755">
        <v>9.1775732604248705E-2</v>
      </c>
      <c r="K5755">
        <v>8.9018940130505306E-2</v>
      </c>
      <c r="L5755">
        <v>2706.6781380266998</v>
      </c>
      <c r="M5755">
        <v>53.427447779546803</v>
      </c>
      <c r="N5755">
        <v>50.887669830713399</v>
      </c>
      <c r="O5755">
        <v>50.589991338945502</v>
      </c>
      <c r="P5755">
        <v>-0.23604340240954499</v>
      </c>
      <c r="Q5755">
        <v>0.105970708418786</v>
      </c>
      <c r="R5755">
        <v>0.99397259218334499</v>
      </c>
      <c r="S5755" t="s">
        <v>11616</v>
      </c>
      <c r="T5755" t="s">
        <v>11720</v>
      </c>
      <c r="U5755" t="s">
        <v>11720</v>
      </c>
      <c r="V5755" t="s">
        <v>11720</v>
      </c>
      <c r="W5755" t="s">
        <v>17413</v>
      </c>
      <c r="X5755">
        <v>25</v>
      </c>
      <c r="Y5755" t="s">
        <v>23106</v>
      </c>
      <c r="Z5755" t="s">
        <v>28962</v>
      </c>
      <c r="AA5755">
        <v>0.42542197281544603</v>
      </c>
      <c r="AB5755" t="str">
        <f>HYPERLINK("Melting_Curves/meltCurve_Q9Y4E8_USP15.pdf", "Melting_Curves/meltCurve_Q9Y4E8_USP15.pdf")</f>
        <v>Melting_Curves/meltCurve_Q9Y4E8_USP15.pdf</v>
      </c>
    </row>
    <row r="5756" spans="1:28" x14ac:dyDescent="0.25">
      <c r="A5756" t="s">
        <v>5760</v>
      </c>
      <c r="B5756">
        <v>0.99334974765950101</v>
      </c>
      <c r="C5756">
        <v>1.0774274277917</v>
      </c>
      <c r="D5756">
        <v>0.89923876963806804</v>
      </c>
      <c r="E5756">
        <v>0.62700398700934701</v>
      </c>
      <c r="F5756">
        <v>0.40844362003912099</v>
      </c>
      <c r="G5756">
        <v>0.21985276014568</v>
      </c>
      <c r="H5756">
        <v>0.17011441057099499</v>
      </c>
      <c r="I5756">
        <v>0.147961061575868</v>
      </c>
      <c r="J5756">
        <v>0.12953744605263501</v>
      </c>
      <c r="K5756">
        <v>7.8118281427298097E-2</v>
      </c>
      <c r="L5756">
        <v>1009.14160471257</v>
      </c>
      <c r="M5756">
        <v>19.785852411814702</v>
      </c>
      <c r="N5756">
        <v>51.699271359452297</v>
      </c>
      <c r="O5756">
        <v>50.490769929652501</v>
      </c>
      <c r="P5756">
        <v>-8.6515045475533195E-2</v>
      </c>
      <c r="Q5756">
        <v>0.116932204763275</v>
      </c>
      <c r="R5756">
        <v>0.99088549213491395</v>
      </c>
      <c r="S5756" t="s">
        <v>11617</v>
      </c>
      <c r="T5756" t="s">
        <v>11720</v>
      </c>
      <c r="U5756" t="s">
        <v>11720</v>
      </c>
      <c r="V5756" t="s">
        <v>11720</v>
      </c>
      <c r="W5756" t="s">
        <v>17414</v>
      </c>
      <c r="X5756">
        <v>3</v>
      </c>
      <c r="Y5756" t="s">
        <v>23107</v>
      </c>
      <c r="Z5756" t="s">
        <v>28963</v>
      </c>
      <c r="AA5756">
        <v>0.45332496583969151</v>
      </c>
      <c r="AB5756" t="str">
        <f>HYPERLINK("Melting_Curves/meltCurve_Q9Y4F1_FARP1.pdf", "Melting_Curves/meltCurve_Q9Y4F1_FARP1.pdf")</f>
        <v>Melting_Curves/meltCurve_Q9Y4F1_FARP1.pdf</v>
      </c>
    </row>
    <row r="5757" spans="1:28" x14ac:dyDescent="0.25">
      <c r="A5757" t="s">
        <v>5761</v>
      </c>
      <c r="B5757">
        <v>0.99334974765950101</v>
      </c>
      <c r="C5757">
        <v>0.97083575854156801</v>
      </c>
      <c r="D5757">
        <v>1.10098898611469</v>
      </c>
      <c r="E5757">
        <v>0.79050324675282702</v>
      </c>
      <c r="F5757">
        <v>0.38586851089683799</v>
      </c>
      <c r="G5757">
        <v>0.258063431110654</v>
      </c>
      <c r="H5757">
        <v>0.21142360770808299</v>
      </c>
      <c r="I5757">
        <v>0.21232481172961801</v>
      </c>
      <c r="J5757">
        <v>0.21464643472162101</v>
      </c>
      <c r="K5757">
        <v>0.16811065611619899</v>
      </c>
      <c r="L5757">
        <v>2063.4877189265499</v>
      </c>
      <c r="M5757">
        <v>40.188056096968602</v>
      </c>
      <c r="N5757">
        <v>52.048779821855</v>
      </c>
      <c r="O5757">
        <v>51.219154135117599</v>
      </c>
      <c r="P5757">
        <v>-0.15507496634721801</v>
      </c>
      <c r="Q5757">
        <v>0.20943753644972701</v>
      </c>
      <c r="R5757">
        <v>0.98826381565270005</v>
      </c>
      <c r="S5757" t="s">
        <v>11618</v>
      </c>
      <c r="T5757" t="s">
        <v>11720</v>
      </c>
      <c r="U5757" t="s">
        <v>11720</v>
      </c>
      <c r="V5757" t="s">
        <v>11720</v>
      </c>
      <c r="W5757" t="s">
        <v>17415</v>
      </c>
      <c r="X5757">
        <v>57</v>
      </c>
      <c r="Y5757" t="s">
        <v>23108</v>
      </c>
      <c r="Z5757" t="s">
        <v>28964</v>
      </c>
      <c r="AA5757">
        <v>0.5112018061541439</v>
      </c>
      <c r="AB5757" t="str">
        <f>HYPERLINK("Melting_Curves/meltCurve_Q9Y4G6_TLN2.pdf", "Melting_Curves/meltCurve_Q9Y4G6_TLN2.pdf")</f>
        <v>Melting_Curves/meltCurve_Q9Y4G6_TLN2.pdf</v>
      </c>
    </row>
    <row r="5758" spans="1:28" x14ac:dyDescent="0.25">
      <c r="A5758" t="s">
        <v>5762</v>
      </c>
      <c r="B5758">
        <v>0.99334974765950101</v>
      </c>
      <c r="C5758">
        <v>1.0530541241521101</v>
      </c>
      <c r="D5758">
        <v>0.97130394917743401</v>
      </c>
      <c r="E5758">
        <v>0.77293846598129101</v>
      </c>
      <c r="F5758">
        <v>0.577755803786277</v>
      </c>
      <c r="G5758">
        <v>0.55651391330928202</v>
      </c>
      <c r="H5758">
        <v>0.351468441674603</v>
      </c>
      <c r="I5758">
        <v>0.26715166073769597</v>
      </c>
      <c r="J5758">
        <v>0.298812303305243</v>
      </c>
      <c r="K5758">
        <v>0.28581220536998603</v>
      </c>
      <c r="L5758">
        <v>776.56374463650195</v>
      </c>
      <c r="M5758">
        <v>14.575749918588</v>
      </c>
      <c r="N5758">
        <v>56.038393959253398</v>
      </c>
      <c r="O5758">
        <v>52.305078415921699</v>
      </c>
      <c r="P5758">
        <v>-5.18278897799309E-2</v>
      </c>
      <c r="Q5758">
        <v>0.25614666288694099</v>
      </c>
      <c r="R5758">
        <v>0.97441511583528795</v>
      </c>
      <c r="S5758" t="s">
        <v>11619</v>
      </c>
      <c r="T5758" t="s">
        <v>11720</v>
      </c>
      <c r="U5758" t="s">
        <v>11720</v>
      </c>
      <c r="V5758" t="s">
        <v>11720</v>
      </c>
      <c r="W5758" t="s">
        <v>17416</v>
      </c>
      <c r="X5758">
        <v>5</v>
      </c>
      <c r="Y5758" t="s">
        <v>23109</v>
      </c>
      <c r="Z5758" t="s">
        <v>28965</v>
      </c>
      <c r="AA5758">
        <v>0.60180196474512337</v>
      </c>
      <c r="AB5758" t="str">
        <f>HYPERLINK("Melting_Curves/meltCurve_Q9Y4G8_RAPGEF2.pdf", "Melting_Curves/meltCurve_Q9Y4G8_RAPGEF2.pdf")</f>
        <v>Melting_Curves/meltCurve_Q9Y4G8_RAPGEF2.pdf</v>
      </c>
    </row>
    <row r="5759" spans="1:28" x14ac:dyDescent="0.25">
      <c r="A5759" t="s">
        <v>5763</v>
      </c>
      <c r="B5759">
        <v>0.99334974765950101</v>
      </c>
      <c r="C5759">
        <v>0.91841410111201205</v>
      </c>
      <c r="D5759">
        <v>0.77161254247733801</v>
      </c>
      <c r="E5759">
        <v>0.54859320001847101</v>
      </c>
      <c r="F5759">
        <v>0.52178168524089896</v>
      </c>
      <c r="G5759">
        <v>0.316839281255344</v>
      </c>
      <c r="H5759">
        <v>0.30019207236183199</v>
      </c>
      <c r="I5759">
        <v>0.30430639549932798</v>
      </c>
      <c r="J5759">
        <v>0.31661311085960903</v>
      </c>
      <c r="K5759">
        <v>0.25071883115194699</v>
      </c>
      <c r="L5759">
        <v>673.75675050616599</v>
      </c>
      <c r="M5759">
        <v>13.764162374057699</v>
      </c>
      <c r="N5759">
        <v>51.803797543924397</v>
      </c>
      <c r="O5759">
        <v>47.951538553914098</v>
      </c>
      <c r="P5759">
        <v>-5.26977551758653E-2</v>
      </c>
      <c r="Q5759">
        <v>0.26575112247609101</v>
      </c>
      <c r="R5759">
        <v>0.98562184719591195</v>
      </c>
      <c r="S5759" t="s">
        <v>11620</v>
      </c>
      <c r="T5759" t="s">
        <v>11720</v>
      </c>
      <c r="U5759" t="s">
        <v>11720</v>
      </c>
      <c r="V5759" t="s">
        <v>11720</v>
      </c>
      <c r="W5759" t="s">
        <v>17417</v>
      </c>
      <c r="X5759">
        <v>6</v>
      </c>
      <c r="Y5759" t="s">
        <v>23110</v>
      </c>
      <c r="Z5759" t="s">
        <v>28966</v>
      </c>
      <c r="AA5759">
        <v>0.50609153647951988</v>
      </c>
      <c r="AB5759" t="str">
        <f>HYPERLINK("Melting_Curves/meltCurve_Q9Y4H2_IRS2.pdf", "Melting_Curves/meltCurve_Q9Y4H2_IRS2.pdf")</f>
        <v>Melting_Curves/meltCurve_Q9Y4H2_IRS2.pdf</v>
      </c>
    </row>
    <row r="5760" spans="1:28" x14ac:dyDescent="0.25">
      <c r="A5760" t="s">
        <v>5764</v>
      </c>
      <c r="B5760">
        <v>0.99334974765950101</v>
      </c>
      <c r="C5760">
        <v>0.99064599500083805</v>
      </c>
      <c r="D5760">
        <v>0.96693057526696102</v>
      </c>
      <c r="E5760">
        <v>0.89662409663468701</v>
      </c>
      <c r="F5760">
        <v>0.75807796155485396</v>
      </c>
      <c r="G5760">
        <v>0.62461353521070895</v>
      </c>
      <c r="H5760">
        <v>0.55647754400904004</v>
      </c>
      <c r="I5760">
        <v>0.49868775020429001</v>
      </c>
      <c r="J5760">
        <v>0.37235462273860798</v>
      </c>
      <c r="K5760">
        <v>0.26737048517473599</v>
      </c>
      <c r="L5760">
        <v>481.50677087246697</v>
      </c>
      <c r="M5760">
        <v>7.7313491531341398</v>
      </c>
      <c r="N5760">
        <v>62.2797851100188</v>
      </c>
      <c r="O5760">
        <v>58.524353870489797</v>
      </c>
      <c r="P5760">
        <v>-3.3068615755569797E-2</v>
      </c>
      <c r="Q5760">
        <v>0</v>
      </c>
      <c r="R5760">
        <v>0.98551962294215201</v>
      </c>
      <c r="S5760" t="s">
        <v>11621</v>
      </c>
      <c r="T5760" t="s">
        <v>11720</v>
      </c>
      <c r="U5760" t="s">
        <v>11720</v>
      </c>
      <c r="V5760" t="s">
        <v>11720</v>
      </c>
      <c r="W5760" t="s">
        <v>17418</v>
      </c>
      <c r="X5760">
        <v>3</v>
      </c>
      <c r="Y5760" t="s">
        <v>23111</v>
      </c>
      <c r="Z5760" t="s">
        <v>28967</v>
      </c>
      <c r="AA5760">
        <v>0.69983068889574562</v>
      </c>
      <c r="AB5760" t="str">
        <f>HYPERLINK("Melting_Curves/meltCurve_Q9Y4K0_LOXL2.pdf", "Melting_Curves/meltCurve_Q9Y4K0_LOXL2.pdf")</f>
        <v>Melting_Curves/meltCurve_Q9Y4K0_LOXL2.pdf</v>
      </c>
    </row>
    <row r="5761" spans="1:28" x14ac:dyDescent="0.25">
      <c r="A5761" t="s">
        <v>5765</v>
      </c>
      <c r="B5761">
        <v>0.99334974765950101</v>
      </c>
      <c r="C5761">
        <v>0.81249435850435403</v>
      </c>
      <c r="D5761">
        <v>0.78816981706598299</v>
      </c>
      <c r="E5761">
        <v>0.61892721513419202</v>
      </c>
      <c r="F5761">
        <v>0.42627893934607403</v>
      </c>
      <c r="G5761">
        <v>0.27967151944998597</v>
      </c>
      <c r="H5761">
        <v>0.23549686228300401</v>
      </c>
      <c r="I5761">
        <v>0.26136185400379902</v>
      </c>
      <c r="J5761">
        <v>0.282822191473319</v>
      </c>
      <c r="K5761">
        <v>0.25061273276249502</v>
      </c>
      <c r="L5761">
        <v>637.59113141146997</v>
      </c>
      <c r="M5761">
        <v>12.983394105947999</v>
      </c>
      <c r="N5761">
        <v>51.382658499824302</v>
      </c>
      <c r="O5761">
        <v>47.986960802843797</v>
      </c>
      <c r="P5761">
        <v>-5.2865739107251203E-2</v>
      </c>
      <c r="Q5761">
        <v>0.21856577515481199</v>
      </c>
      <c r="R5761">
        <v>0.97587131871783706</v>
      </c>
      <c r="S5761" t="s">
        <v>11622</v>
      </c>
      <c r="T5761" t="s">
        <v>11720</v>
      </c>
      <c r="U5761" t="s">
        <v>11720</v>
      </c>
      <c r="V5761" t="s">
        <v>11720</v>
      </c>
      <c r="W5761" t="s">
        <v>17419</v>
      </c>
      <c r="X5761">
        <v>4</v>
      </c>
      <c r="Y5761" t="s">
        <v>23112</v>
      </c>
      <c r="Z5761" t="s">
        <v>28968</v>
      </c>
      <c r="AA5761">
        <v>0.48075491031345652</v>
      </c>
      <c r="AB5761" t="str">
        <f>HYPERLINK("Melting_Curves/meltCurve_Q9Y4K1_AIM1.pdf", "Melting_Curves/meltCurve_Q9Y4K1_AIM1.pdf")</f>
        <v>Melting_Curves/meltCurve_Q9Y4K1_AIM1.pdf</v>
      </c>
    </row>
    <row r="5762" spans="1:28" x14ac:dyDescent="0.25">
      <c r="A5762" t="s">
        <v>5766</v>
      </c>
      <c r="B5762">
        <v>0.99334974765950101</v>
      </c>
      <c r="C5762">
        <v>1.0090859399879699</v>
      </c>
      <c r="D5762">
        <v>0.91040245627972605</v>
      </c>
      <c r="E5762">
        <v>0.681107026568741</v>
      </c>
      <c r="F5762">
        <v>0.25218116181676897</v>
      </c>
      <c r="G5762">
        <v>0.140275642525716</v>
      </c>
      <c r="H5762">
        <v>8.7534730311436701E-2</v>
      </c>
      <c r="I5762">
        <v>7.1981856694024599E-2</v>
      </c>
      <c r="J5762">
        <v>7.7182075234966493E-2</v>
      </c>
      <c r="K5762">
        <v>6.7184927605584005E-2</v>
      </c>
      <c r="L5762">
        <v>1562.3755762486601</v>
      </c>
      <c r="M5762">
        <v>30.732448859242101</v>
      </c>
      <c r="N5762">
        <v>51.118002224958801</v>
      </c>
      <c r="O5762">
        <v>50.624182640872696</v>
      </c>
      <c r="P5762">
        <v>-0.14001095711519199</v>
      </c>
      <c r="Q5762">
        <v>7.7470443462376304E-2</v>
      </c>
      <c r="R5762">
        <v>0.99623634217719603</v>
      </c>
      <c r="S5762" t="s">
        <v>11623</v>
      </c>
      <c r="T5762" t="s">
        <v>11720</v>
      </c>
      <c r="U5762" t="s">
        <v>11720</v>
      </c>
      <c r="V5762" t="s">
        <v>11720</v>
      </c>
      <c r="W5762" t="s">
        <v>17420</v>
      </c>
      <c r="X5762">
        <v>14</v>
      </c>
      <c r="Y5762" t="s">
        <v>23113</v>
      </c>
      <c r="Z5762" t="s">
        <v>28969</v>
      </c>
      <c r="AA5762">
        <v>0.41626046504631858</v>
      </c>
      <c r="AB5762" t="str">
        <f>HYPERLINK("Melting_Curves/meltCurve_Q9Y4K4_MAP4K5.pdf", "Melting_Curves/meltCurve_Q9Y4K4_MAP4K5.pdf")</f>
        <v>Melting_Curves/meltCurve_Q9Y4K4_MAP4K5.pdf</v>
      </c>
    </row>
    <row r="5763" spans="1:28" x14ac:dyDescent="0.25">
      <c r="A5763" t="s">
        <v>5767</v>
      </c>
      <c r="B5763">
        <v>0.99334974765950101</v>
      </c>
      <c r="C5763">
        <v>0.96910347570719702</v>
      </c>
      <c r="D5763">
        <v>0.90161254530567903</v>
      </c>
      <c r="E5763">
        <v>0.469879290302536</v>
      </c>
      <c r="F5763">
        <v>0.16376000997836401</v>
      </c>
      <c r="G5763">
        <v>9.5577125678508207E-2</v>
      </c>
      <c r="H5763">
        <v>7.1295691299577801E-2</v>
      </c>
      <c r="I5763">
        <v>6.1005329947285497E-2</v>
      </c>
      <c r="J5763">
        <v>6.3907757503939705E-2</v>
      </c>
      <c r="K5763">
        <v>4.4616903240098801E-2</v>
      </c>
      <c r="L5763">
        <v>1425.19699690172</v>
      </c>
      <c r="M5763">
        <v>28.798301343739801</v>
      </c>
      <c r="N5763">
        <v>49.708357715146498</v>
      </c>
      <c r="O5763">
        <v>49.252136733835002</v>
      </c>
      <c r="P5763">
        <v>-0.13745389060328</v>
      </c>
      <c r="Q5763">
        <v>5.9688159369413102E-2</v>
      </c>
      <c r="R5763">
        <v>0.99912487536050498</v>
      </c>
      <c r="S5763" t="s">
        <v>11624</v>
      </c>
      <c r="T5763" t="s">
        <v>11720</v>
      </c>
      <c r="U5763" t="s">
        <v>11720</v>
      </c>
      <c r="V5763" t="s">
        <v>11720</v>
      </c>
      <c r="W5763" t="s">
        <v>17421</v>
      </c>
      <c r="X5763">
        <v>11</v>
      </c>
      <c r="Y5763" t="s">
        <v>23114</v>
      </c>
      <c r="Z5763" t="s">
        <v>28970</v>
      </c>
      <c r="AA5763">
        <v>0.36337632090282662</v>
      </c>
      <c r="AB5763" t="str">
        <f>HYPERLINK("Melting_Curves/meltCurve_Q9Y4P1_6_ATG4B.pdf", "Melting_Curves/meltCurve_Q9Y4P1_6_ATG4B.pdf")</f>
        <v>Melting_Curves/meltCurve_Q9Y4P1_6_ATG4B.pdf</v>
      </c>
    </row>
    <row r="5764" spans="1:28" x14ac:dyDescent="0.25">
      <c r="A5764" t="s">
        <v>5768</v>
      </c>
      <c r="B5764">
        <v>0.99334974765950101</v>
      </c>
      <c r="C5764">
        <v>0.95185440688038803</v>
      </c>
      <c r="D5764">
        <v>0.83701542047188704</v>
      </c>
      <c r="E5764">
        <v>0.59940176649056698</v>
      </c>
      <c r="F5764">
        <v>0.17198433764384999</v>
      </c>
      <c r="G5764">
        <v>0.10545671541335699</v>
      </c>
      <c r="H5764">
        <v>7.0763621963410905E-2</v>
      </c>
      <c r="I5764">
        <v>6.7520487048326597E-2</v>
      </c>
      <c r="J5764">
        <v>4.8384471367089503E-2</v>
      </c>
      <c r="K5764">
        <v>4.6706041798307403E-2</v>
      </c>
      <c r="L5764">
        <v>1196.77659799974</v>
      </c>
      <c r="M5764">
        <v>23.917292385104599</v>
      </c>
      <c r="N5764">
        <v>50.2484300615141</v>
      </c>
      <c r="O5764">
        <v>49.692259748632701</v>
      </c>
      <c r="P5764">
        <v>-0.114598206620262</v>
      </c>
      <c r="Q5764">
        <v>4.7625878061486902E-2</v>
      </c>
      <c r="R5764">
        <v>0.98969184135157295</v>
      </c>
      <c r="S5764" t="s">
        <v>11625</v>
      </c>
      <c r="T5764" t="s">
        <v>11720</v>
      </c>
      <c r="U5764" t="s">
        <v>11720</v>
      </c>
      <c r="V5764" t="s">
        <v>11720</v>
      </c>
      <c r="W5764" t="s">
        <v>17422</v>
      </c>
      <c r="X5764">
        <v>10</v>
      </c>
      <c r="Y5764" t="s">
        <v>23115</v>
      </c>
      <c r="Z5764" t="s">
        <v>28971</v>
      </c>
      <c r="AA5764">
        <v>0.37560046366495592</v>
      </c>
      <c r="AB5764" t="str">
        <f>HYPERLINK("Melting_Curves/meltCurve_Q9Y4P8_4_WIPI2.pdf", "Melting_Curves/meltCurve_Q9Y4P8_4_WIPI2.pdf")</f>
        <v>Melting_Curves/meltCurve_Q9Y4P8_4_WIPI2.pdf</v>
      </c>
    </row>
    <row r="5765" spans="1:28" x14ac:dyDescent="0.25">
      <c r="A5765" t="s">
        <v>5769</v>
      </c>
      <c r="B5765">
        <v>0.99334974765950101</v>
      </c>
      <c r="C5765">
        <v>0.91279207040000199</v>
      </c>
      <c r="D5765">
        <v>0.60807697820820605</v>
      </c>
      <c r="E5765">
        <v>0.41582903590921699</v>
      </c>
      <c r="F5765">
        <v>0.50496857921022498</v>
      </c>
      <c r="G5765">
        <v>0.36558950338143997</v>
      </c>
      <c r="H5765">
        <v>0.35565895077946502</v>
      </c>
      <c r="I5765">
        <v>0.27579377038293601</v>
      </c>
      <c r="J5765">
        <v>0.28638187263635601</v>
      </c>
      <c r="K5765">
        <v>0.193876576725625</v>
      </c>
      <c r="L5765">
        <v>683.42617908584498</v>
      </c>
      <c r="M5765">
        <v>14.619992223032201</v>
      </c>
      <c r="N5765">
        <v>49.558649501252802</v>
      </c>
      <c r="O5765">
        <v>45.897552355811598</v>
      </c>
      <c r="P5765">
        <v>-5.7189940279673897E-2</v>
      </c>
      <c r="Q5765">
        <v>0.28191908074098299</v>
      </c>
      <c r="R5765">
        <v>0.93507378019422605</v>
      </c>
      <c r="S5765" t="s">
        <v>11626</v>
      </c>
      <c r="T5765" t="s">
        <v>11720</v>
      </c>
      <c r="U5765" t="s">
        <v>11720</v>
      </c>
      <c r="V5765" t="s">
        <v>11720</v>
      </c>
      <c r="W5765" t="s">
        <v>17423</v>
      </c>
      <c r="X5765">
        <v>2</v>
      </c>
      <c r="Y5765" t="s">
        <v>23116</v>
      </c>
      <c r="Z5765" t="s">
        <v>28972</v>
      </c>
      <c r="AA5765">
        <v>0.46430245190829572</v>
      </c>
      <c r="AB5765" t="str">
        <f>HYPERLINK("Melting_Curves/meltCurve_Q9Y4U1_MMACHC.pdf", "Melting_Curves/meltCurve_Q9Y4U1_MMACHC.pdf")</f>
        <v>Melting_Curves/meltCurve_Q9Y4U1_MMACHC.pdf</v>
      </c>
    </row>
    <row r="5766" spans="1:28" x14ac:dyDescent="0.25">
      <c r="A5766" t="s">
        <v>5770</v>
      </c>
      <c r="B5766">
        <v>0.99334974765950101</v>
      </c>
      <c r="C5766">
        <v>0.906754212589299</v>
      </c>
      <c r="D5766">
        <v>0.87014356318963804</v>
      </c>
      <c r="E5766">
        <v>0.95607713566082797</v>
      </c>
      <c r="F5766">
        <v>0.55306037256821305</v>
      </c>
      <c r="G5766">
        <v>0.27827699090077401</v>
      </c>
      <c r="H5766">
        <v>0.12659587397549399</v>
      </c>
      <c r="I5766">
        <v>8.0988078057521395E-2</v>
      </c>
      <c r="J5766">
        <v>8.6443395105199106E-2</v>
      </c>
      <c r="K5766">
        <v>5.7100339156492499E-2</v>
      </c>
      <c r="L5766">
        <v>1308.1852030447899</v>
      </c>
      <c r="M5766">
        <v>24.3721106839096</v>
      </c>
      <c r="N5766">
        <v>54.015516521230502</v>
      </c>
      <c r="O5766">
        <v>53.318052650832101</v>
      </c>
      <c r="P5766">
        <v>-0.106151848691075</v>
      </c>
      <c r="Q5766">
        <v>7.1114398847111293E-2</v>
      </c>
      <c r="R5766">
        <v>0.97753591683030805</v>
      </c>
      <c r="S5766" t="s">
        <v>11627</v>
      </c>
      <c r="T5766" t="s">
        <v>11720</v>
      </c>
      <c r="U5766" t="s">
        <v>11720</v>
      </c>
      <c r="V5766" t="s">
        <v>11720</v>
      </c>
      <c r="W5766" t="s">
        <v>17424</v>
      </c>
      <c r="X5766">
        <v>7</v>
      </c>
      <c r="Y5766" t="s">
        <v>23117</v>
      </c>
      <c r="Z5766" t="s">
        <v>28973</v>
      </c>
      <c r="AA5766">
        <v>0.50354208369975351</v>
      </c>
      <c r="AB5766" t="str">
        <f>HYPERLINK("Melting_Curves/meltCurve_Q9Y4W6_AFG3L2.pdf", "Melting_Curves/meltCurve_Q9Y4W6_AFG3L2.pdf")</f>
        <v>Melting_Curves/meltCurve_Q9Y4W6_AFG3L2.pdf</v>
      </c>
    </row>
    <row r="5767" spans="1:28" x14ac:dyDescent="0.25">
      <c r="A5767" t="s">
        <v>5771</v>
      </c>
      <c r="B5767">
        <v>0.99334974765950101</v>
      </c>
      <c r="C5767">
        <v>0.99365141100856602</v>
      </c>
      <c r="D5767">
        <v>1.05738318884008</v>
      </c>
      <c r="E5767">
        <v>0.97545932214775399</v>
      </c>
      <c r="F5767">
        <v>1.0379155698529401</v>
      </c>
      <c r="G5767">
        <v>0.81743165404945395</v>
      </c>
      <c r="H5767">
        <v>0.35672956823961399</v>
      </c>
      <c r="I5767">
        <v>0.150891299579197</v>
      </c>
      <c r="J5767">
        <v>0.120172241457267</v>
      </c>
      <c r="K5767">
        <v>0.10640296508846001</v>
      </c>
      <c r="L5767">
        <v>2108.9272795106899</v>
      </c>
      <c r="M5767">
        <v>35.546051264571098</v>
      </c>
      <c r="N5767">
        <v>59.7069703683608</v>
      </c>
      <c r="O5767">
        <v>59.142604714781598</v>
      </c>
      <c r="P5767">
        <v>-0.13513409695758299</v>
      </c>
      <c r="Q5767">
        <v>0.100642094496074</v>
      </c>
      <c r="R5767">
        <v>0.995679104802347</v>
      </c>
      <c r="S5767" t="s">
        <v>11628</v>
      </c>
      <c r="T5767" t="s">
        <v>11720</v>
      </c>
      <c r="U5767" t="s">
        <v>11720</v>
      </c>
      <c r="V5767" t="s">
        <v>11720</v>
      </c>
      <c r="W5767" t="s">
        <v>17425</v>
      </c>
      <c r="X5767">
        <v>21</v>
      </c>
      <c r="Y5767" t="s">
        <v>23118</v>
      </c>
      <c r="Z5767" t="s">
        <v>28974</v>
      </c>
      <c r="AA5767">
        <v>0.68446354657513353</v>
      </c>
      <c r="AB5767" t="str">
        <f>HYPERLINK("Melting_Curves/meltCurve_Q9Y4X5_ARIH1.pdf", "Melting_Curves/meltCurve_Q9Y4X5_ARIH1.pdf")</f>
        <v>Melting_Curves/meltCurve_Q9Y4X5_ARIH1.pdf</v>
      </c>
    </row>
    <row r="5768" spans="1:28" x14ac:dyDescent="0.25">
      <c r="A5768" t="s">
        <v>5772</v>
      </c>
      <c r="B5768">
        <v>0.99334974765950101</v>
      </c>
      <c r="C5768">
        <v>1.0848844038234899</v>
      </c>
      <c r="D5768">
        <v>1.1306441248971999</v>
      </c>
      <c r="E5768">
        <v>1.1807020389430301</v>
      </c>
      <c r="F5768">
        <v>1.2829921507878601</v>
      </c>
      <c r="G5768">
        <v>1.3076459260664399</v>
      </c>
      <c r="H5768">
        <v>1.25994877613425</v>
      </c>
      <c r="I5768">
        <v>1.52881731468017</v>
      </c>
      <c r="J5768">
        <v>1.3151941103485301</v>
      </c>
      <c r="K5768">
        <v>1.05538570579117</v>
      </c>
      <c r="L5768">
        <v>788.87989040258697</v>
      </c>
      <c r="M5768">
        <v>16.901071233872401</v>
      </c>
      <c r="O5768">
        <v>46.037557172944403</v>
      </c>
      <c r="P5768">
        <v>2.71829688180725E-2</v>
      </c>
      <c r="Q5768">
        <v>1.2961607156374499</v>
      </c>
      <c r="R5768">
        <v>0.46880032582146502</v>
      </c>
      <c r="S5768" t="s">
        <v>11629</v>
      </c>
      <c r="T5768" t="s">
        <v>11720</v>
      </c>
      <c r="U5768" t="s">
        <v>11720</v>
      </c>
      <c r="V5768" t="s">
        <v>11720</v>
      </c>
      <c r="W5768" t="s">
        <v>17426</v>
      </c>
      <c r="X5768">
        <v>9</v>
      </c>
      <c r="Y5768" t="s">
        <v>23119</v>
      </c>
      <c r="Z5768" t="s">
        <v>28975</v>
      </c>
      <c r="AA5768">
        <v>1.223873240791256</v>
      </c>
      <c r="AB5768" t="str">
        <f>HYPERLINK("Melting_Curves/meltCurve_Q9Y4Z0_LSM4.pdf", "Melting_Curves/meltCurve_Q9Y4Z0_LSM4.pdf")</f>
        <v>Melting_Curves/meltCurve_Q9Y4Z0_LSM4.pdf</v>
      </c>
    </row>
    <row r="5769" spans="1:28" x14ac:dyDescent="0.25">
      <c r="A5769" t="s">
        <v>5773</v>
      </c>
      <c r="B5769">
        <v>0.99334974765950101</v>
      </c>
      <c r="C5769">
        <v>0.92401345642131805</v>
      </c>
      <c r="D5769">
        <v>0.72692463714659505</v>
      </c>
      <c r="E5769">
        <v>0.53311075663079899</v>
      </c>
      <c r="F5769">
        <v>0.334986884935429</v>
      </c>
      <c r="G5769">
        <v>0.193729338167862</v>
      </c>
      <c r="H5769">
        <v>0.14992838758278301</v>
      </c>
      <c r="I5769">
        <v>0.14627935111705201</v>
      </c>
      <c r="J5769">
        <v>0.16015612513793601</v>
      </c>
      <c r="K5769">
        <v>0.195065511855957</v>
      </c>
      <c r="L5769">
        <v>777.097524535405</v>
      </c>
      <c r="M5769">
        <v>15.909821417685899</v>
      </c>
      <c r="N5769">
        <v>49.8950000667868</v>
      </c>
      <c r="O5769">
        <v>48.091760968852299</v>
      </c>
      <c r="P5769">
        <v>-7.0934830783899297E-2</v>
      </c>
      <c r="Q5769">
        <v>0.142389593958655</v>
      </c>
      <c r="R5769">
        <v>0.99259443811217096</v>
      </c>
      <c r="S5769" t="s">
        <v>11630</v>
      </c>
      <c r="T5769" t="s">
        <v>11720</v>
      </c>
      <c r="U5769" t="s">
        <v>11720</v>
      </c>
      <c r="V5769" t="s">
        <v>11720</v>
      </c>
      <c r="W5769" t="s">
        <v>17427</v>
      </c>
      <c r="X5769">
        <v>10</v>
      </c>
      <c r="Y5769" t="s">
        <v>23120</v>
      </c>
      <c r="Z5769" t="s">
        <v>28976</v>
      </c>
      <c r="AA5769">
        <v>0.4142267059336181</v>
      </c>
      <c r="AB5769" t="str">
        <f>HYPERLINK("Melting_Curves/meltCurve_Q9Y508_RNF114.pdf", "Melting_Curves/meltCurve_Q9Y508_RNF114.pdf")</f>
        <v>Melting_Curves/meltCurve_Q9Y508_RNF114.pdf</v>
      </c>
    </row>
    <row r="5770" spans="1:28" x14ac:dyDescent="0.25">
      <c r="A5770" t="s">
        <v>5774</v>
      </c>
      <c r="B5770">
        <v>0.99334974765950101</v>
      </c>
      <c r="C5770">
        <v>0.95207459781053605</v>
      </c>
      <c r="D5770">
        <v>0.79286493910492495</v>
      </c>
      <c r="E5770">
        <v>0.86462025463070102</v>
      </c>
      <c r="F5770">
        <v>0.86102867583209697</v>
      </c>
      <c r="G5770">
        <v>0.73951620100259996</v>
      </c>
      <c r="H5770">
        <v>0.55209599156744105</v>
      </c>
      <c r="I5770">
        <v>0.47482832397873498</v>
      </c>
      <c r="J5770">
        <v>0.43335447952203798</v>
      </c>
      <c r="K5770">
        <v>0.43472672134467899</v>
      </c>
      <c r="L5770">
        <v>377.26094400054899</v>
      </c>
      <c r="M5770">
        <v>5.8164301046502001</v>
      </c>
      <c r="N5770">
        <v>64.861252900178002</v>
      </c>
      <c r="O5770">
        <v>58.427083318903499</v>
      </c>
      <c r="P5770">
        <v>-2.49775724248943E-2</v>
      </c>
      <c r="Q5770">
        <v>0</v>
      </c>
      <c r="R5770">
        <v>0.93134436866991799</v>
      </c>
      <c r="S5770" t="s">
        <v>11631</v>
      </c>
      <c r="T5770" t="s">
        <v>11720</v>
      </c>
      <c r="U5770" t="s">
        <v>11720</v>
      </c>
      <c r="V5770" t="s">
        <v>11720</v>
      </c>
      <c r="W5770" t="s">
        <v>17428</v>
      </c>
      <c r="X5770">
        <v>3</v>
      </c>
      <c r="Y5770" t="s">
        <v>23121</v>
      </c>
      <c r="Z5770" t="s">
        <v>28977</v>
      </c>
      <c r="AA5770">
        <v>0.71990776328988781</v>
      </c>
      <c r="AB5770" t="str">
        <f>HYPERLINK("Melting_Curves/meltCurve_Q9Y512_SAMM50.pdf", "Melting_Curves/meltCurve_Q9Y512_SAMM50.pdf")</f>
        <v>Melting_Curves/meltCurve_Q9Y512_SAMM50.pdf</v>
      </c>
    </row>
    <row r="5771" spans="1:28" x14ac:dyDescent="0.25">
      <c r="A5771" t="s">
        <v>5775</v>
      </c>
      <c r="B5771">
        <v>0.99334974765950101</v>
      </c>
      <c r="C5771">
        <v>1.0117707715435</v>
      </c>
      <c r="D5771">
        <v>0.96002066974220102</v>
      </c>
      <c r="E5771">
        <v>0.96338602318904698</v>
      </c>
      <c r="F5771">
        <v>1.07904654874095</v>
      </c>
      <c r="G5771">
        <v>0.74911519925757797</v>
      </c>
      <c r="H5771">
        <v>0.75278637012252803</v>
      </c>
      <c r="I5771">
        <v>0.750208462255334</v>
      </c>
      <c r="J5771">
        <v>0.86468868819913702</v>
      </c>
      <c r="K5771">
        <v>0.77940581650893104</v>
      </c>
      <c r="L5771">
        <v>5221.3528200808196</v>
      </c>
      <c r="M5771">
        <v>94.628375826996901</v>
      </c>
      <c r="O5771">
        <v>55.152826677100201</v>
      </c>
      <c r="P5771">
        <v>-9.5279314412848398E-2</v>
      </c>
      <c r="Q5771">
        <v>0.77787115645826499</v>
      </c>
      <c r="R5771">
        <v>0.85589080821790098</v>
      </c>
      <c r="S5771" t="s">
        <v>11632</v>
      </c>
      <c r="T5771" t="s">
        <v>11720</v>
      </c>
      <c r="U5771" t="s">
        <v>11720</v>
      </c>
      <c r="V5771" t="s">
        <v>11720</v>
      </c>
      <c r="W5771" t="s">
        <v>17429</v>
      </c>
      <c r="X5771">
        <v>4</v>
      </c>
      <c r="Y5771" t="s">
        <v>23122</v>
      </c>
      <c r="Z5771" t="s">
        <v>28978</v>
      </c>
      <c r="AA5771">
        <v>0.89039982982432775</v>
      </c>
      <c r="AB5771" t="str">
        <f>HYPERLINK("Melting_Curves/meltCurve_Q9Y534_CSDC2.pdf", "Melting_Curves/meltCurve_Q9Y534_CSDC2.pdf")</f>
        <v>Melting_Curves/meltCurve_Q9Y534_CSDC2.pdf</v>
      </c>
    </row>
    <row r="5772" spans="1:28" x14ac:dyDescent="0.25">
      <c r="A5772" t="s">
        <v>5776</v>
      </c>
      <c r="B5772">
        <v>0.99334974765950101</v>
      </c>
      <c r="C5772">
        <v>1.0022937374434899</v>
      </c>
      <c r="D5772">
        <v>0.970897189230013</v>
      </c>
      <c r="E5772">
        <v>0.87181405108525301</v>
      </c>
      <c r="F5772">
        <v>0.451811332900806</v>
      </c>
      <c r="G5772">
        <v>0.14523820402446899</v>
      </c>
      <c r="H5772">
        <v>9.7089923392417093E-2</v>
      </c>
      <c r="I5772">
        <v>8.0174624185071805E-2</v>
      </c>
      <c r="J5772">
        <v>7.2952086335969904E-2</v>
      </c>
      <c r="K5772">
        <v>6.1686626415169199E-2</v>
      </c>
      <c r="L5772">
        <v>1828.3370186469499</v>
      </c>
      <c r="M5772">
        <v>34.8408001877796</v>
      </c>
      <c r="N5772">
        <v>52.732699923584804</v>
      </c>
      <c r="O5772">
        <v>52.304919610501599</v>
      </c>
      <c r="P5772">
        <v>-0.15358034846312801</v>
      </c>
      <c r="Q5772">
        <v>7.7750410846481502E-2</v>
      </c>
      <c r="R5772">
        <v>0.99919857138323498</v>
      </c>
      <c r="S5772" t="s">
        <v>11633</v>
      </c>
      <c r="T5772" t="s">
        <v>11720</v>
      </c>
      <c r="U5772" t="s">
        <v>11720</v>
      </c>
      <c r="V5772" t="s">
        <v>11720</v>
      </c>
      <c r="W5772" t="s">
        <v>17430</v>
      </c>
      <c r="X5772">
        <v>17</v>
      </c>
      <c r="Y5772" t="s">
        <v>23123</v>
      </c>
      <c r="Z5772" t="s">
        <v>28979</v>
      </c>
      <c r="AA5772">
        <v>0.46571997376020741</v>
      </c>
      <c r="AB5772" t="str">
        <f>HYPERLINK("Melting_Curves/meltCurve_Q9Y570_PPME1.pdf", "Melting_Curves/meltCurve_Q9Y570_PPME1.pdf")</f>
        <v>Melting_Curves/meltCurve_Q9Y570_PPME1.pdf</v>
      </c>
    </row>
    <row r="5773" spans="1:28" x14ac:dyDescent="0.25">
      <c r="A5773" t="s">
        <v>5777</v>
      </c>
      <c r="B5773">
        <v>0.99334974765950101</v>
      </c>
      <c r="C5773">
        <v>0.82459308393533404</v>
      </c>
      <c r="D5773">
        <v>0.59136437483536597</v>
      </c>
      <c r="E5773">
        <v>0.22661290844482099</v>
      </c>
      <c r="F5773">
        <v>0.21073882203302999</v>
      </c>
      <c r="G5773">
        <v>0.141528111925218</v>
      </c>
      <c r="H5773">
        <v>7.6584861057188799E-2</v>
      </c>
      <c r="I5773">
        <v>7.9790901686375204E-2</v>
      </c>
      <c r="J5773">
        <v>2.58146299603733E-2</v>
      </c>
      <c r="K5773">
        <v>2.5836419759211301E-2</v>
      </c>
      <c r="L5773">
        <v>823.68509572461699</v>
      </c>
      <c r="M5773">
        <v>17.669897653542499</v>
      </c>
      <c r="N5773">
        <v>46.9473627473904</v>
      </c>
      <c r="O5773">
        <v>46.030408043835003</v>
      </c>
      <c r="P5773">
        <v>-9.0333681984825706E-2</v>
      </c>
      <c r="Q5773">
        <v>5.8766388250431602E-2</v>
      </c>
      <c r="R5773">
        <v>0.98924641204267905</v>
      </c>
      <c r="S5773" t="s">
        <v>11634</v>
      </c>
      <c r="T5773" t="s">
        <v>11720</v>
      </c>
      <c r="U5773" t="s">
        <v>11720</v>
      </c>
      <c r="V5773" t="s">
        <v>11720</v>
      </c>
      <c r="W5773" t="s">
        <v>17431</v>
      </c>
      <c r="X5773">
        <v>1</v>
      </c>
      <c r="Y5773" t="s">
        <v>23124</v>
      </c>
      <c r="Z5773" t="s">
        <v>28980</v>
      </c>
      <c r="AA5773">
        <v>0.28477902638883351</v>
      </c>
      <c r="AB5773" t="str">
        <f>HYPERLINK("Melting_Curves/meltCurve_Q9Y576_ASB1.pdf", "Melting_Curves/meltCurve_Q9Y576_ASB1.pdf")</f>
        <v>Melting_Curves/meltCurve_Q9Y576_ASB1.pdf</v>
      </c>
    </row>
    <row r="5774" spans="1:28" x14ac:dyDescent="0.25">
      <c r="A5774" t="s">
        <v>5778</v>
      </c>
      <c r="B5774">
        <v>0.99334974765950101</v>
      </c>
      <c r="C5774">
        <v>0.91859062859403295</v>
      </c>
      <c r="D5774">
        <v>0.849979490537071</v>
      </c>
      <c r="E5774">
        <v>0.85539312073891705</v>
      </c>
      <c r="F5774">
        <v>0.73415656578431798</v>
      </c>
      <c r="G5774">
        <v>0.75938509591875003</v>
      </c>
      <c r="H5774">
        <v>0.64195051622436905</v>
      </c>
      <c r="I5774">
        <v>0.99628483055952399</v>
      </c>
      <c r="J5774">
        <v>0.694596047280995</v>
      </c>
      <c r="K5774">
        <v>0.564799669921067</v>
      </c>
      <c r="L5774">
        <v>385.83320777128</v>
      </c>
      <c r="M5774">
        <v>7.8686793365695502</v>
      </c>
      <c r="O5774">
        <v>46.170002811678899</v>
      </c>
      <c r="P5774">
        <v>-1.38544982599386E-2</v>
      </c>
      <c r="Q5774">
        <v>0.67522206527486495</v>
      </c>
      <c r="R5774">
        <v>0.4260973310067</v>
      </c>
      <c r="S5774" t="s">
        <v>11635</v>
      </c>
      <c r="T5774" t="s">
        <v>11720</v>
      </c>
      <c r="U5774" t="s">
        <v>11720</v>
      </c>
      <c r="V5774" t="s">
        <v>11720</v>
      </c>
      <c r="W5774" t="s">
        <v>17432</v>
      </c>
      <c r="X5774">
        <v>3</v>
      </c>
      <c r="Y5774" t="s">
        <v>23125</v>
      </c>
      <c r="Z5774" t="s">
        <v>28981</v>
      </c>
      <c r="AA5774">
        <v>0.79482012732500351</v>
      </c>
      <c r="AB5774" t="str">
        <f>HYPERLINK("Melting_Curves/meltCurve_Q9Y584_TIMM22.pdf", "Melting_Curves/meltCurve_Q9Y584_TIMM22.pdf")</f>
        <v>Melting_Curves/meltCurve_Q9Y584_TIMM22.pdf</v>
      </c>
    </row>
    <row r="5775" spans="1:28" x14ac:dyDescent="0.25">
      <c r="A5775" t="s">
        <v>5779</v>
      </c>
      <c r="B5775">
        <v>0.99334974765950101</v>
      </c>
      <c r="C5775">
        <v>1.05802798604016</v>
      </c>
      <c r="D5775">
        <v>0.92736844598067203</v>
      </c>
      <c r="E5775">
        <v>0.71337978324956397</v>
      </c>
      <c r="F5775">
        <v>0.37910137734348998</v>
      </c>
      <c r="G5775">
        <v>0.26591975743153701</v>
      </c>
      <c r="H5775">
        <v>0.20234206035270899</v>
      </c>
      <c r="I5775">
        <v>0.30551296038155501</v>
      </c>
      <c r="J5775">
        <v>0.18673051944840999</v>
      </c>
      <c r="K5775">
        <v>0.203071731536134</v>
      </c>
      <c r="L5775">
        <v>1514.7838645521799</v>
      </c>
      <c r="M5775">
        <v>29.8443047101416</v>
      </c>
      <c r="N5775">
        <v>51.786488023316501</v>
      </c>
      <c r="O5775">
        <v>50.5299560621024</v>
      </c>
      <c r="P5775">
        <v>-0.114601002164864</v>
      </c>
      <c r="Q5775">
        <v>0.22387260292543101</v>
      </c>
      <c r="R5775">
        <v>0.98711109700487998</v>
      </c>
      <c r="S5775" t="s">
        <v>11636</v>
      </c>
      <c r="T5775" t="s">
        <v>11720</v>
      </c>
      <c r="U5775" t="s">
        <v>11720</v>
      </c>
      <c r="V5775" t="s">
        <v>11720</v>
      </c>
      <c r="W5775" t="s">
        <v>17433</v>
      </c>
      <c r="X5775">
        <v>4</v>
      </c>
      <c r="Y5775" t="s">
        <v>23126</v>
      </c>
      <c r="Z5775" t="s">
        <v>28982</v>
      </c>
      <c r="AA5775">
        <v>0.50705701043363727</v>
      </c>
      <c r="AB5775" t="str">
        <f>HYPERLINK("Melting_Curves/meltCurve_Q9Y5A9_2_YTHDF2.pdf", "Melting_Curves/meltCurve_Q9Y5A9_2_YTHDF2.pdf")</f>
        <v>Melting_Curves/meltCurve_Q9Y5A9_2_YTHDF2.pdf</v>
      </c>
    </row>
    <row r="5776" spans="1:28" x14ac:dyDescent="0.25">
      <c r="A5776" t="s">
        <v>5780</v>
      </c>
      <c r="B5776">
        <v>0.99334974765950101</v>
      </c>
      <c r="C5776">
        <v>0.95462018698326301</v>
      </c>
      <c r="D5776">
        <v>0.71257436619606995</v>
      </c>
      <c r="E5776">
        <v>0.318989648894763</v>
      </c>
      <c r="F5776">
        <v>0.27875469964076699</v>
      </c>
      <c r="G5776">
        <v>0.19411018710571401</v>
      </c>
      <c r="H5776">
        <v>0.165018011322313</v>
      </c>
      <c r="I5776">
        <v>0.17158167354387499</v>
      </c>
      <c r="J5776">
        <v>0.175159308513303</v>
      </c>
      <c r="K5776">
        <v>0.148854759002047</v>
      </c>
      <c r="L5776">
        <v>1150.6244004088301</v>
      </c>
      <c r="M5776">
        <v>24.365342786570899</v>
      </c>
      <c r="N5776">
        <v>48.062446944255598</v>
      </c>
      <c r="O5776">
        <v>46.909167890902502</v>
      </c>
      <c r="P5776">
        <v>-0.10736998242762</v>
      </c>
      <c r="Q5776">
        <v>0.17315991461417299</v>
      </c>
      <c r="R5776">
        <v>0.99572333170377403</v>
      </c>
      <c r="S5776" t="s">
        <v>11637</v>
      </c>
      <c r="T5776" t="s">
        <v>11720</v>
      </c>
      <c r="U5776" t="s">
        <v>11720</v>
      </c>
      <c r="V5776" t="s">
        <v>11720</v>
      </c>
      <c r="W5776" t="s">
        <v>17434</v>
      </c>
      <c r="X5776">
        <v>13</v>
      </c>
      <c r="Y5776" t="s">
        <v>23127</v>
      </c>
      <c r="Z5776" t="s">
        <v>28983</v>
      </c>
      <c r="AA5776">
        <v>0.38003741621140369</v>
      </c>
      <c r="AB5776" t="str">
        <f>HYPERLINK("Melting_Curves/meltCurve_Q9Y5B0_CTDP1.pdf", "Melting_Curves/meltCurve_Q9Y5B0_CTDP1.pdf")</f>
        <v>Melting_Curves/meltCurve_Q9Y5B0_CTDP1.pdf</v>
      </c>
    </row>
    <row r="5777" spans="1:28" x14ac:dyDescent="0.25">
      <c r="A5777" t="s">
        <v>5781</v>
      </c>
      <c r="B5777">
        <v>0.99334974765950101</v>
      </c>
      <c r="C5777">
        <v>0.89037340943389598</v>
      </c>
      <c r="D5777">
        <v>0.77792313038184502</v>
      </c>
      <c r="E5777">
        <v>0.37334841349921</v>
      </c>
      <c r="F5777">
        <v>0.128839809494078</v>
      </c>
      <c r="G5777">
        <v>0.102085761476624</v>
      </c>
      <c r="H5777">
        <v>6.2063449085025001E-2</v>
      </c>
      <c r="I5777">
        <v>4.4052479122935702E-2</v>
      </c>
      <c r="J5777">
        <v>5.0600170117563799E-2</v>
      </c>
      <c r="K5777">
        <v>3.8572659135468798E-2</v>
      </c>
      <c r="L5777">
        <v>1031.6678099974599</v>
      </c>
      <c r="M5777">
        <v>21.340142778428699</v>
      </c>
      <c r="N5777">
        <v>48.5490048966656</v>
      </c>
      <c r="O5777">
        <v>47.925480309842598</v>
      </c>
      <c r="P5777">
        <v>-0.106525774540597</v>
      </c>
      <c r="Q5777">
        <v>4.3085939502010701E-2</v>
      </c>
      <c r="R5777">
        <v>0.99599715442139503</v>
      </c>
      <c r="S5777" t="s">
        <v>11638</v>
      </c>
      <c r="T5777" t="s">
        <v>11720</v>
      </c>
      <c r="U5777" t="s">
        <v>11720</v>
      </c>
      <c r="V5777" t="s">
        <v>11720</v>
      </c>
      <c r="W5777" t="s">
        <v>17435</v>
      </c>
      <c r="X5777">
        <v>5</v>
      </c>
      <c r="Y5777" t="s">
        <v>23128</v>
      </c>
      <c r="Z5777" t="s">
        <v>28984</v>
      </c>
      <c r="AA5777">
        <v>0.32103205236886467</v>
      </c>
      <c r="AB5777" t="str">
        <f>HYPERLINK("Melting_Curves/meltCurve_Q9Y5B8_2_NME7.pdf", "Melting_Curves/meltCurve_Q9Y5B8_2_NME7.pdf")</f>
        <v>Melting_Curves/meltCurve_Q9Y5B8_2_NME7.pdf</v>
      </c>
    </row>
    <row r="5778" spans="1:28" x14ac:dyDescent="0.25">
      <c r="A5778" t="s">
        <v>5782</v>
      </c>
      <c r="B5778">
        <v>0.99334974765950101</v>
      </c>
      <c r="C5778">
        <v>0.93063622333946305</v>
      </c>
      <c r="D5778">
        <v>0.59138845019821296</v>
      </c>
      <c r="E5778">
        <v>0.30187691963914098</v>
      </c>
      <c r="F5778">
        <v>0.23404110145187701</v>
      </c>
      <c r="G5778">
        <v>0.163367519990227</v>
      </c>
      <c r="H5778">
        <v>0.12176442433666999</v>
      </c>
      <c r="I5778">
        <v>0.119123641885079</v>
      </c>
      <c r="J5778">
        <v>0.15685026373771199</v>
      </c>
      <c r="K5778">
        <v>0.109681621592061</v>
      </c>
      <c r="L5778">
        <v>1022.84632449943</v>
      </c>
      <c r="M5778">
        <v>21.953478515678398</v>
      </c>
      <c r="N5778">
        <v>47.276825072975797</v>
      </c>
      <c r="O5778">
        <v>46.210124300287902</v>
      </c>
      <c r="P5778">
        <v>-0.10258684729791701</v>
      </c>
      <c r="Q5778">
        <v>0.13627477091881399</v>
      </c>
      <c r="R5778">
        <v>0.99305479472504699</v>
      </c>
      <c r="S5778" t="s">
        <v>11639</v>
      </c>
      <c r="T5778" t="s">
        <v>11720</v>
      </c>
      <c r="U5778" t="s">
        <v>11720</v>
      </c>
      <c r="V5778" t="s">
        <v>11720</v>
      </c>
      <c r="W5778" t="s">
        <v>17436</v>
      </c>
      <c r="X5778">
        <v>4</v>
      </c>
      <c r="Y5778" t="s">
        <v>23129</v>
      </c>
      <c r="Z5778" t="s">
        <v>28985</v>
      </c>
      <c r="AA5778">
        <v>0.33649281198796183</v>
      </c>
      <c r="AB5778" t="str">
        <f>HYPERLINK("Melting_Curves/meltCurve_Q9Y5J5_PHLDA3.pdf", "Melting_Curves/meltCurve_Q9Y5J5_PHLDA3.pdf")</f>
        <v>Melting_Curves/meltCurve_Q9Y5J5_PHLDA3.pdf</v>
      </c>
    </row>
    <row r="5779" spans="1:28" x14ac:dyDescent="0.25">
      <c r="A5779" t="s">
        <v>5783</v>
      </c>
      <c r="B5779">
        <v>0.99334974765950101</v>
      </c>
      <c r="C5779">
        <v>0.97899170571205296</v>
      </c>
      <c r="D5779">
        <v>0.90174441314182197</v>
      </c>
      <c r="E5779">
        <v>0.85866356274412303</v>
      </c>
      <c r="F5779">
        <v>0.783870070433211</v>
      </c>
      <c r="G5779">
        <v>0.58922083249029</v>
      </c>
      <c r="H5779">
        <v>0.27524227431130299</v>
      </c>
      <c r="I5779">
        <v>0.22749800654297</v>
      </c>
      <c r="J5779">
        <v>0.129702775148235</v>
      </c>
      <c r="K5779">
        <v>0.105864160048288</v>
      </c>
      <c r="L5779">
        <v>754.90407492924601</v>
      </c>
      <c r="M5779">
        <v>13.076726289969301</v>
      </c>
      <c r="N5779">
        <v>57.7288274153087</v>
      </c>
      <c r="O5779">
        <v>56.428842357098802</v>
      </c>
      <c r="P5779">
        <v>-5.79445896170728E-2</v>
      </c>
      <c r="Q5779">
        <v>0</v>
      </c>
      <c r="R5779">
        <v>0.990737058359482</v>
      </c>
      <c r="S5779" t="s">
        <v>11640</v>
      </c>
      <c r="T5779" t="s">
        <v>11720</v>
      </c>
      <c r="U5779" t="s">
        <v>11720</v>
      </c>
      <c r="V5779" t="s">
        <v>11720</v>
      </c>
      <c r="W5779" t="s">
        <v>17437</v>
      </c>
      <c r="X5779">
        <v>2</v>
      </c>
      <c r="Y5779" t="s">
        <v>23130</v>
      </c>
      <c r="Z5779" t="s">
        <v>28986</v>
      </c>
      <c r="AA5779">
        <v>0.60524423115486292</v>
      </c>
      <c r="AB5779" t="str">
        <f>HYPERLINK("Melting_Curves/meltCurve_Q9Y5J6_TIMM10B.pdf", "Melting_Curves/meltCurve_Q9Y5J6_TIMM10B.pdf")</f>
        <v>Melting_Curves/meltCurve_Q9Y5J6_TIMM10B.pdf</v>
      </c>
    </row>
    <row r="5780" spans="1:28" x14ac:dyDescent="0.25">
      <c r="A5780" t="s">
        <v>5784</v>
      </c>
      <c r="B5780">
        <v>0.99334974765950101</v>
      </c>
      <c r="C5780">
        <v>0.950081723056173</v>
      </c>
      <c r="D5780">
        <v>0.926205399996197</v>
      </c>
      <c r="E5780">
        <v>0.94181087438726296</v>
      </c>
      <c r="F5780">
        <v>1.01621475741558</v>
      </c>
      <c r="G5780">
        <v>0.89834192698145299</v>
      </c>
      <c r="H5780">
        <v>0.82055241183612504</v>
      </c>
      <c r="I5780">
        <v>1.14574116603762</v>
      </c>
      <c r="J5780">
        <v>0.56556298135072802</v>
      </c>
      <c r="K5780">
        <v>0.310763796059082</v>
      </c>
      <c r="L5780">
        <v>15000</v>
      </c>
      <c r="M5780">
        <v>224.41383441272501</v>
      </c>
      <c r="N5780">
        <v>67.131386242212002</v>
      </c>
      <c r="O5780">
        <v>66.835490839505397</v>
      </c>
      <c r="P5780">
        <v>-0.57859584598373404</v>
      </c>
      <c r="Q5780">
        <v>0.31072453922341697</v>
      </c>
      <c r="R5780">
        <v>0.85885158391978</v>
      </c>
      <c r="S5780" t="s">
        <v>11641</v>
      </c>
      <c r="T5780" t="s">
        <v>11720</v>
      </c>
      <c r="U5780" t="s">
        <v>11720</v>
      </c>
      <c r="V5780" t="s">
        <v>11720</v>
      </c>
      <c r="W5780" t="s">
        <v>17438</v>
      </c>
      <c r="X5780">
        <v>7</v>
      </c>
      <c r="Y5780" t="s">
        <v>23131</v>
      </c>
      <c r="Z5780" t="s">
        <v>28987</v>
      </c>
      <c r="AA5780">
        <v>0.92751472203048146</v>
      </c>
      <c r="AB5780" t="str">
        <f>HYPERLINK("Melting_Curves/meltCurve_Q9Y5J7_TIMM9.pdf", "Melting_Curves/meltCurve_Q9Y5J7_TIMM9.pdf")</f>
        <v>Melting_Curves/meltCurve_Q9Y5J7_TIMM9.pdf</v>
      </c>
    </row>
    <row r="5781" spans="1:28" x14ac:dyDescent="0.25">
      <c r="A5781" t="s">
        <v>5785</v>
      </c>
      <c r="B5781">
        <v>0.99334974765950101</v>
      </c>
      <c r="C5781">
        <v>0.91431750680867196</v>
      </c>
      <c r="D5781">
        <v>0.79301914392495698</v>
      </c>
      <c r="E5781">
        <v>0.36810671665649403</v>
      </c>
      <c r="F5781">
        <v>0.22885962925879899</v>
      </c>
      <c r="G5781">
        <v>0.126390977972025</v>
      </c>
      <c r="H5781">
        <v>0.10206461350401599</v>
      </c>
      <c r="I5781">
        <v>8.2885019406810506E-2</v>
      </c>
      <c r="J5781">
        <v>6.72087797986438E-2</v>
      </c>
      <c r="K5781">
        <v>6.7222121764147602E-2</v>
      </c>
      <c r="L5781">
        <v>994.24386036879002</v>
      </c>
      <c r="M5781">
        <v>20.5262475397438</v>
      </c>
      <c r="N5781">
        <v>48.833027625838199</v>
      </c>
      <c r="O5781">
        <v>47.9849666919634</v>
      </c>
      <c r="P5781">
        <v>-9.8757369904412806E-2</v>
      </c>
      <c r="Q5781">
        <v>7.6552058971290499E-2</v>
      </c>
      <c r="R5781">
        <v>0.99777150901156597</v>
      </c>
      <c r="S5781" t="s">
        <v>11642</v>
      </c>
      <c r="T5781" t="s">
        <v>11720</v>
      </c>
      <c r="U5781" t="s">
        <v>11720</v>
      </c>
      <c r="V5781" t="s">
        <v>11720</v>
      </c>
      <c r="W5781" t="s">
        <v>17439</v>
      </c>
      <c r="X5781">
        <v>14</v>
      </c>
      <c r="Y5781" t="s">
        <v>23132</v>
      </c>
      <c r="Z5781" t="s">
        <v>28988</v>
      </c>
      <c r="AA5781">
        <v>0.34861368597901959</v>
      </c>
      <c r="AB5781" t="str">
        <f>HYPERLINK("Melting_Curves/meltCurve_Q9Y5K5_2_UCHL5.pdf", "Melting_Curves/meltCurve_Q9Y5K5_2_UCHL5.pdf")</f>
        <v>Melting_Curves/meltCurve_Q9Y5K5_2_UCHL5.pdf</v>
      </c>
    </row>
    <row r="5782" spans="1:28" x14ac:dyDescent="0.25">
      <c r="A5782" t="s">
        <v>5786</v>
      </c>
      <c r="B5782">
        <v>0.99334974765950101</v>
      </c>
      <c r="C5782">
        <v>0.97787324676223897</v>
      </c>
      <c r="D5782">
        <v>1.0091498082555499</v>
      </c>
      <c r="E5782">
        <v>0.89355918471218199</v>
      </c>
      <c r="F5782">
        <v>0.61785657498172997</v>
      </c>
      <c r="G5782">
        <v>0.34754354275676502</v>
      </c>
      <c r="H5782">
        <v>0.26135436748223501</v>
      </c>
      <c r="I5782">
        <v>0.24990952466344499</v>
      </c>
      <c r="J5782">
        <v>0.24985748494666299</v>
      </c>
      <c r="K5782">
        <v>0.24577672822674901</v>
      </c>
      <c r="L5782">
        <v>1528.0755817268</v>
      </c>
      <c r="M5782">
        <v>28.819375350462899</v>
      </c>
      <c r="N5782">
        <v>54.308490186145903</v>
      </c>
      <c r="O5782">
        <v>52.769181694772001</v>
      </c>
      <c r="P5782">
        <v>-0.102770241805552</v>
      </c>
      <c r="Q5782">
        <v>0.24730360096102599</v>
      </c>
      <c r="R5782">
        <v>0.99901607594229302</v>
      </c>
      <c r="S5782" t="s">
        <v>11643</v>
      </c>
      <c r="T5782" t="s">
        <v>11720</v>
      </c>
      <c r="U5782" t="s">
        <v>11720</v>
      </c>
      <c r="V5782" t="s">
        <v>11720</v>
      </c>
      <c r="W5782" t="s">
        <v>17440</v>
      </c>
      <c r="X5782">
        <v>17</v>
      </c>
      <c r="Y5782" t="s">
        <v>23133</v>
      </c>
      <c r="Z5782" t="s">
        <v>28989</v>
      </c>
      <c r="AA5782">
        <v>0.57931754859458218</v>
      </c>
      <c r="AB5782" t="str">
        <f>HYPERLINK("Melting_Curves/meltCurve_Q9Y5K6_CD2AP.pdf", "Melting_Curves/meltCurve_Q9Y5K6_CD2AP.pdf")</f>
        <v>Melting_Curves/meltCurve_Q9Y5K6_CD2AP.pdf</v>
      </c>
    </row>
    <row r="5783" spans="1:28" x14ac:dyDescent="0.25">
      <c r="A5783" t="s">
        <v>5787</v>
      </c>
      <c r="B5783">
        <v>0.99334974765950101</v>
      </c>
      <c r="C5783">
        <v>1.05020272627994</v>
      </c>
      <c r="D5783">
        <v>1.0626545965951899</v>
      </c>
      <c r="E5783">
        <v>1.01891027723312</v>
      </c>
      <c r="F5783">
        <v>1.0953350867660701</v>
      </c>
      <c r="G5783">
        <v>1.2921779848101</v>
      </c>
      <c r="H5783">
        <v>1.13846319673733</v>
      </c>
      <c r="I5783">
        <v>0.728384357220481</v>
      </c>
      <c r="J5783">
        <v>0.57460507649996995</v>
      </c>
      <c r="K5783">
        <v>0.30173921493070899</v>
      </c>
      <c r="L5783">
        <v>2551.1707327690001</v>
      </c>
      <c r="M5783">
        <v>38.637473507918202</v>
      </c>
      <c r="N5783">
        <v>67.213474600499296</v>
      </c>
      <c r="O5783">
        <v>65.852272697722896</v>
      </c>
      <c r="P5783">
        <v>-0.110451523421466</v>
      </c>
      <c r="Q5783">
        <v>0.24700392495996801</v>
      </c>
      <c r="R5783">
        <v>0.821530603735381</v>
      </c>
      <c r="S5783" t="s">
        <v>11644</v>
      </c>
      <c r="T5783" t="s">
        <v>11720</v>
      </c>
      <c r="U5783" t="s">
        <v>11720</v>
      </c>
      <c r="V5783" t="s">
        <v>11720</v>
      </c>
      <c r="W5783" t="s">
        <v>17441</v>
      </c>
      <c r="X5783">
        <v>10</v>
      </c>
      <c r="Y5783" t="s">
        <v>23134</v>
      </c>
      <c r="Z5783" t="s">
        <v>28990</v>
      </c>
      <c r="AA5783">
        <v>0.89858192057000552</v>
      </c>
      <c r="AB5783" t="str">
        <f>HYPERLINK("Melting_Curves/meltCurve_Q9Y5K8_ATP6V1D.pdf", "Melting_Curves/meltCurve_Q9Y5K8_ATP6V1D.pdf")</f>
        <v>Melting_Curves/meltCurve_Q9Y5K8_ATP6V1D.pdf</v>
      </c>
    </row>
    <row r="5784" spans="1:28" x14ac:dyDescent="0.25">
      <c r="A5784" t="s">
        <v>5788</v>
      </c>
      <c r="B5784">
        <v>0.99334974765950101</v>
      </c>
      <c r="C5784">
        <v>1.0305068284235199</v>
      </c>
      <c r="D5784">
        <v>0.976215169187438</v>
      </c>
      <c r="E5784">
        <v>0.83203120152045096</v>
      </c>
      <c r="F5784">
        <v>0.33759431390436001</v>
      </c>
      <c r="G5784">
        <v>0.19850320416685899</v>
      </c>
      <c r="H5784">
        <v>0.115554611096085</v>
      </c>
      <c r="I5784">
        <v>8.7598581242694207E-2</v>
      </c>
      <c r="J5784">
        <v>7.8104042449631206E-2</v>
      </c>
      <c r="K5784">
        <v>7.5704355670241197E-2</v>
      </c>
      <c r="L5784">
        <v>2013.0541610991299</v>
      </c>
      <c r="M5784">
        <v>38.901826348396597</v>
      </c>
      <c r="N5784">
        <v>52.055169183873303</v>
      </c>
      <c r="O5784">
        <v>51.610859911109401</v>
      </c>
      <c r="P5784">
        <v>-0.169059071369217</v>
      </c>
      <c r="Q5784">
        <v>0.102842757334035</v>
      </c>
      <c r="R5784">
        <v>0.99467704065118201</v>
      </c>
      <c r="S5784" t="s">
        <v>11645</v>
      </c>
      <c r="T5784" t="s">
        <v>11720</v>
      </c>
      <c r="U5784" t="s">
        <v>11720</v>
      </c>
      <c r="V5784" t="s">
        <v>11720</v>
      </c>
      <c r="W5784" t="s">
        <v>17442</v>
      </c>
      <c r="X5784">
        <v>13</v>
      </c>
      <c r="Y5784" t="s">
        <v>23135</v>
      </c>
      <c r="Z5784" t="s">
        <v>28991</v>
      </c>
      <c r="AA5784">
        <v>0.4575333263324966</v>
      </c>
      <c r="AB5784" t="str">
        <f>HYPERLINK("Melting_Curves/meltCurve_Q9Y5L0_TNPO3.pdf", "Melting_Curves/meltCurve_Q9Y5L0_TNPO3.pdf")</f>
        <v>Melting_Curves/meltCurve_Q9Y5L0_TNPO3.pdf</v>
      </c>
    </row>
    <row r="5785" spans="1:28" x14ac:dyDescent="0.25">
      <c r="A5785" t="s">
        <v>5789</v>
      </c>
      <c r="B5785">
        <v>0.99334974765950101</v>
      </c>
      <c r="C5785">
        <v>1.0160401280017199</v>
      </c>
      <c r="D5785">
        <v>1.04018954377414</v>
      </c>
      <c r="E5785">
        <v>0.98415523051224996</v>
      </c>
      <c r="F5785">
        <v>1.1243259657998499</v>
      </c>
      <c r="G5785">
        <v>0.95159169829447299</v>
      </c>
      <c r="H5785">
        <v>0.79409108433297704</v>
      </c>
      <c r="I5785">
        <v>1.1179809357300099</v>
      </c>
      <c r="J5785">
        <v>0.999294436961365</v>
      </c>
      <c r="K5785">
        <v>0.83370330664649905</v>
      </c>
      <c r="L5785">
        <v>9575.5272560944504</v>
      </c>
      <c r="M5785">
        <v>135.221486831562</v>
      </c>
      <c r="Q5785">
        <v>3.2963144830846301E-2</v>
      </c>
      <c r="R5785">
        <v>0.25085118737062201</v>
      </c>
      <c r="S5785" t="s">
        <v>11646</v>
      </c>
      <c r="T5785" t="s">
        <v>11720</v>
      </c>
      <c r="U5785" t="s">
        <v>11720</v>
      </c>
      <c r="V5785" t="s">
        <v>11720</v>
      </c>
      <c r="W5785" t="s">
        <v>17443</v>
      </c>
      <c r="X5785">
        <v>7</v>
      </c>
      <c r="Y5785" t="s">
        <v>23136</v>
      </c>
      <c r="Z5785" t="s">
        <v>28992</v>
      </c>
      <c r="AA5785">
        <v>0.99693402163953992</v>
      </c>
      <c r="AB5785" t="str">
        <f>HYPERLINK("Melting_Curves/meltCurve_Q9Y5L4_TIMM13.pdf", "Melting_Curves/meltCurve_Q9Y5L4_TIMM13.pdf")</f>
        <v>Melting_Curves/meltCurve_Q9Y5L4_TIMM13.pdf</v>
      </c>
    </row>
    <row r="5786" spans="1:28" x14ac:dyDescent="0.25">
      <c r="A5786" t="s">
        <v>5790</v>
      </c>
      <c r="B5786">
        <v>0.99334974765950101</v>
      </c>
      <c r="C5786">
        <v>0.94626920332262199</v>
      </c>
      <c r="D5786">
        <v>0.76363571333559199</v>
      </c>
      <c r="E5786">
        <v>0.426741469613582</v>
      </c>
      <c r="F5786">
        <v>0.23667070710746299</v>
      </c>
      <c r="G5786">
        <v>0.15007025927113901</v>
      </c>
      <c r="H5786">
        <v>0.123891468965624</v>
      </c>
      <c r="I5786">
        <v>9.9830149906611501E-2</v>
      </c>
      <c r="J5786">
        <v>9.1386741272885E-2</v>
      </c>
      <c r="K5786">
        <v>6.7826762208415797E-2</v>
      </c>
      <c r="L5786">
        <v>931.09774018216399</v>
      </c>
      <c r="M5786">
        <v>19.154654307245899</v>
      </c>
      <c r="N5786">
        <v>49.107137480207697</v>
      </c>
      <c r="O5786">
        <v>48.088959566340399</v>
      </c>
      <c r="P5786">
        <v>-9.0797990148876004E-2</v>
      </c>
      <c r="Q5786">
        <v>8.8218969264670599E-2</v>
      </c>
      <c r="R5786">
        <v>0.99899431829194896</v>
      </c>
      <c r="S5786" t="s">
        <v>11647</v>
      </c>
      <c r="T5786" t="s">
        <v>11720</v>
      </c>
      <c r="U5786" t="s">
        <v>11720</v>
      </c>
      <c r="V5786" t="s">
        <v>11720</v>
      </c>
      <c r="W5786" t="s">
        <v>17444</v>
      </c>
      <c r="X5786">
        <v>16</v>
      </c>
      <c r="Y5786" t="s">
        <v>23137</v>
      </c>
      <c r="Z5786" t="s">
        <v>28993</v>
      </c>
      <c r="AA5786">
        <v>0.36390544105978839</v>
      </c>
      <c r="AB5786" t="str">
        <f>HYPERLINK("Melting_Curves/meltCurve_Q9Y5M8_SRPRB.pdf", "Melting_Curves/meltCurve_Q9Y5M8_SRPRB.pdf")</f>
        <v>Melting_Curves/meltCurve_Q9Y5M8_SRPRB.pdf</v>
      </c>
    </row>
    <row r="5787" spans="1:28" x14ac:dyDescent="0.25">
      <c r="A5787" t="s">
        <v>5791</v>
      </c>
      <c r="B5787">
        <v>0.99334974765950101</v>
      </c>
      <c r="C5787">
        <v>0.95359480739715896</v>
      </c>
      <c r="D5787">
        <v>0.76448098764580197</v>
      </c>
      <c r="E5787">
        <v>0.62203325061619796</v>
      </c>
      <c r="F5787">
        <v>0.31227773400030601</v>
      </c>
      <c r="G5787">
        <v>0.153495901112843</v>
      </c>
      <c r="H5787">
        <v>0.10795022407754</v>
      </c>
      <c r="I5787">
        <v>0.11136655171337401</v>
      </c>
      <c r="J5787">
        <v>0.11880901714014</v>
      </c>
      <c r="K5787">
        <v>7.8029509185974094E-2</v>
      </c>
      <c r="L5787">
        <v>823.38186271495601</v>
      </c>
      <c r="M5787">
        <v>16.424465085582298</v>
      </c>
      <c r="N5787">
        <v>50.622937672359399</v>
      </c>
      <c r="O5787">
        <v>49.405949042473402</v>
      </c>
      <c r="P5787">
        <v>-7.6989853310946196E-2</v>
      </c>
      <c r="Q5787">
        <v>7.3701922938588404E-2</v>
      </c>
      <c r="R5787">
        <v>0.98959749604481295</v>
      </c>
      <c r="S5787" t="s">
        <v>11648</v>
      </c>
      <c r="T5787" t="s">
        <v>11720</v>
      </c>
      <c r="U5787" t="s">
        <v>11720</v>
      </c>
      <c r="V5787" t="s">
        <v>11720</v>
      </c>
      <c r="W5787" t="s">
        <v>17445</v>
      </c>
      <c r="X5787">
        <v>3</v>
      </c>
      <c r="Y5787" t="s">
        <v>23138</v>
      </c>
      <c r="Z5787" t="s">
        <v>28994</v>
      </c>
      <c r="AA5787">
        <v>0.40522087384171379</v>
      </c>
      <c r="AB5787" t="str">
        <f>HYPERLINK("Melting_Curves/meltCurve_Q9Y5N5_N6AMT1.pdf", "Melting_Curves/meltCurve_Q9Y5N5_N6AMT1.pdf")</f>
        <v>Melting_Curves/meltCurve_Q9Y5N5_N6AMT1.pdf</v>
      </c>
    </row>
    <row r="5788" spans="1:28" x14ac:dyDescent="0.25">
      <c r="A5788" t="s">
        <v>5792</v>
      </c>
      <c r="B5788">
        <v>0.99334974765950101</v>
      </c>
      <c r="C5788">
        <v>0.96189074718305001</v>
      </c>
      <c r="D5788">
        <v>1.04338813543505</v>
      </c>
      <c r="E5788">
        <v>0.87161107493411305</v>
      </c>
      <c r="F5788">
        <v>0.29570078843217801</v>
      </c>
      <c r="G5788">
        <v>0.169903227996864</v>
      </c>
      <c r="H5788">
        <v>0.135568863852921</v>
      </c>
      <c r="I5788">
        <v>0.12826459915260499</v>
      </c>
      <c r="J5788">
        <v>0.12742620982452299</v>
      </c>
      <c r="K5788">
        <v>0.102607528433866</v>
      </c>
      <c r="L5788">
        <v>2814.16245850408</v>
      </c>
      <c r="M5788">
        <v>54.537014412317703</v>
      </c>
      <c r="N5788">
        <v>51.891000912817503</v>
      </c>
      <c r="O5788">
        <v>51.531729294147503</v>
      </c>
      <c r="P5788">
        <v>-0.22982085571244901</v>
      </c>
      <c r="Q5788">
        <v>0.13137472235592301</v>
      </c>
      <c r="R5788">
        <v>0.99658682495161799</v>
      </c>
      <c r="S5788" t="s">
        <v>11649</v>
      </c>
      <c r="T5788" t="s">
        <v>11720</v>
      </c>
      <c r="U5788" t="s">
        <v>11720</v>
      </c>
      <c r="V5788" t="s">
        <v>11720</v>
      </c>
      <c r="W5788" t="s">
        <v>17446</v>
      </c>
      <c r="X5788">
        <v>16</v>
      </c>
      <c r="Y5788" t="s">
        <v>23139</v>
      </c>
      <c r="Z5788" t="s">
        <v>28995</v>
      </c>
      <c r="AA5788">
        <v>0.46893136239964478</v>
      </c>
      <c r="AB5788" t="str">
        <f>HYPERLINK("Melting_Curves/meltCurve_Q9Y5P4_2_COL4A3BP.pdf", "Melting_Curves/meltCurve_Q9Y5P4_2_COL4A3BP.pdf")</f>
        <v>Melting_Curves/meltCurve_Q9Y5P4_2_COL4A3BP.pdf</v>
      </c>
    </row>
    <row r="5789" spans="1:28" x14ac:dyDescent="0.25">
      <c r="A5789" t="s">
        <v>5793</v>
      </c>
      <c r="B5789">
        <v>0.99334974765950101</v>
      </c>
      <c r="C5789">
        <v>0.97381111233809003</v>
      </c>
      <c r="D5789">
        <v>1.01099225146808</v>
      </c>
      <c r="E5789">
        <v>1.0020714229280101</v>
      </c>
      <c r="F5789">
        <v>0.79837716251829804</v>
      </c>
      <c r="G5789">
        <v>0.63201732812011702</v>
      </c>
      <c r="H5789">
        <v>0.35994069774495602</v>
      </c>
      <c r="I5789">
        <v>0.22541627639864001</v>
      </c>
      <c r="J5789">
        <v>0.13663531585792499</v>
      </c>
      <c r="K5789">
        <v>0.110165400970716</v>
      </c>
      <c r="L5789">
        <v>973.89093644074399</v>
      </c>
      <c r="M5789">
        <v>16.692901163051101</v>
      </c>
      <c r="N5789">
        <v>58.697232510201502</v>
      </c>
      <c r="O5789">
        <v>57.523619409151699</v>
      </c>
      <c r="P5789">
        <v>-6.9063541911160098E-2</v>
      </c>
      <c r="Q5789">
        <v>4.8092925415604802E-2</v>
      </c>
      <c r="R5789">
        <v>0.99427544370320597</v>
      </c>
      <c r="S5789" t="s">
        <v>11650</v>
      </c>
      <c r="T5789" t="s">
        <v>11720</v>
      </c>
      <c r="U5789" t="s">
        <v>11720</v>
      </c>
      <c r="V5789" t="s">
        <v>11720</v>
      </c>
      <c r="W5789" t="s">
        <v>17447</v>
      </c>
      <c r="X5789">
        <v>9</v>
      </c>
      <c r="Y5789" t="s">
        <v>23140</v>
      </c>
      <c r="Z5789" t="s">
        <v>28996</v>
      </c>
      <c r="AA5789">
        <v>0.64173459864933347</v>
      </c>
      <c r="AB5789" t="str">
        <f>HYPERLINK("Melting_Curves/meltCurve_Q9Y5P6_GMPPB.pdf", "Melting_Curves/meltCurve_Q9Y5P6_GMPPB.pdf")</f>
        <v>Melting_Curves/meltCurve_Q9Y5P6_GMPPB.pdf</v>
      </c>
    </row>
    <row r="5790" spans="1:28" x14ac:dyDescent="0.25">
      <c r="A5790" t="s">
        <v>5794</v>
      </c>
      <c r="B5790">
        <v>0.99334974765950101</v>
      </c>
      <c r="C5790">
        <v>1.03280505417803</v>
      </c>
      <c r="D5790">
        <v>1.1008732151732199</v>
      </c>
      <c r="E5790">
        <v>0.84382833965039505</v>
      </c>
      <c r="F5790">
        <v>0.68683754979214395</v>
      </c>
      <c r="G5790">
        <v>0.47019132755668702</v>
      </c>
      <c r="H5790">
        <v>0.36650440329476702</v>
      </c>
      <c r="I5790">
        <v>0.18399960899388501</v>
      </c>
      <c r="J5790">
        <v>0.240447698688802</v>
      </c>
      <c r="K5790">
        <v>0.37419355877600802</v>
      </c>
      <c r="L5790">
        <v>1154.0969817284599</v>
      </c>
      <c r="M5790">
        <v>21.437494681929099</v>
      </c>
      <c r="N5790">
        <v>55.879117958563498</v>
      </c>
      <c r="O5790">
        <v>53.373550671329099</v>
      </c>
      <c r="P5790">
        <v>-7.31302057765678E-2</v>
      </c>
      <c r="Q5790">
        <v>0.271720458596454</v>
      </c>
      <c r="R5790">
        <v>0.95988805050651205</v>
      </c>
      <c r="S5790" t="s">
        <v>11651</v>
      </c>
      <c r="T5790" t="s">
        <v>11720</v>
      </c>
      <c r="U5790" t="s">
        <v>11720</v>
      </c>
      <c r="V5790" t="s">
        <v>11720</v>
      </c>
      <c r="W5790" t="s">
        <v>17448</v>
      </c>
      <c r="X5790">
        <v>3</v>
      </c>
      <c r="Y5790" t="s">
        <v>23141</v>
      </c>
      <c r="Z5790" t="s">
        <v>28997</v>
      </c>
      <c r="AA5790">
        <v>0.61642991394269564</v>
      </c>
      <c r="AB5790" t="str">
        <f>HYPERLINK("Melting_Curves/meltCurve_Q9Y5R8_TRAPPC1.pdf", "Melting_Curves/meltCurve_Q9Y5R8_TRAPPC1.pdf")</f>
        <v>Melting_Curves/meltCurve_Q9Y5R8_TRAPPC1.pdf</v>
      </c>
    </row>
    <row r="5791" spans="1:28" x14ac:dyDescent="0.25">
      <c r="A5791" t="s">
        <v>5795</v>
      </c>
      <c r="B5791">
        <v>0.99334974765950101</v>
      </c>
      <c r="C5791">
        <v>1.18339637173052</v>
      </c>
      <c r="D5791">
        <v>1.06640114459216</v>
      </c>
      <c r="E5791">
        <v>1.4460217268308</v>
      </c>
      <c r="F5791">
        <v>1.2728714723624099</v>
      </c>
      <c r="G5791">
        <v>0.78104555838541401</v>
      </c>
      <c r="H5791">
        <v>0.38197390894126798</v>
      </c>
      <c r="I5791">
        <v>0.33816712826841699</v>
      </c>
      <c r="J5791">
        <v>0.28513073727384802</v>
      </c>
      <c r="K5791">
        <v>0.231377051375073</v>
      </c>
      <c r="L5791">
        <v>2841.36478765841</v>
      </c>
      <c r="M5791">
        <v>48.8541927741135</v>
      </c>
      <c r="N5791">
        <v>59.2014422680138</v>
      </c>
      <c r="O5791">
        <v>58.062916006437</v>
      </c>
      <c r="P5791">
        <v>-0.14971104985963099</v>
      </c>
      <c r="Q5791">
        <v>0.28827810856403802</v>
      </c>
      <c r="R5791">
        <v>0.82834179655124296</v>
      </c>
      <c r="S5791" t="s">
        <v>11652</v>
      </c>
      <c r="T5791" t="s">
        <v>11720</v>
      </c>
      <c r="U5791" t="s">
        <v>11720</v>
      </c>
      <c r="V5791" t="s">
        <v>11720</v>
      </c>
      <c r="W5791" t="s">
        <v>17449</v>
      </c>
      <c r="X5791">
        <v>3</v>
      </c>
      <c r="Y5791" t="s">
        <v>23142</v>
      </c>
      <c r="Z5791" t="s">
        <v>28998</v>
      </c>
      <c r="AA5791">
        <v>0.72101144560339514</v>
      </c>
      <c r="AB5791" t="str">
        <f>HYPERLINK("Melting_Curves/meltCurve_Q9Y5S1_TRPV2.pdf", "Melting_Curves/meltCurve_Q9Y5S1_TRPV2.pdf")</f>
        <v>Melting_Curves/meltCurve_Q9Y5S1_TRPV2.pdf</v>
      </c>
    </row>
    <row r="5792" spans="1:28" x14ac:dyDescent="0.25">
      <c r="A5792" t="s">
        <v>5796</v>
      </c>
      <c r="B5792">
        <v>0.99334974765950101</v>
      </c>
      <c r="C5792">
        <v>0.94903994816736004</v>
      </c>
      <c r="D5792">
        <v>0.81115720875972697</v>
      </c>
      <c r="E5792">
        <v>0.64351791131742397</v>
      </c>
      <c r="F5792">
        <v>0.38279907971118499</v>
      </c>
      <c r="G5792">
        <v>0.291095945617657</v>
      </c>
      <c r="H5792">
        <v>0.23584462490411401</v>
      </c>
      <c r="I5792">
        <v>0.18872681764854601</v>
      </c>
      <c r="J5792">
        <v>0.14732653711545399</v>
      </c>
      <c r="K5792">
        <v>0.11130375171944</v>
      </c>
      <c r="L5792">
        <v>706.40959295874097</v>
      </c>
      <c r="M5792">
        <v>13.930680067604699</v>
      </c>
      <c r="N5792">
        <v>51.781200371005198</v>
      </c>
      <c r="O5792">
        <v>49.698268354579497</v>
      </c>
      <c r="P5792">
        <v>-6.1304143564055599E-2</v>
      </c>
      <c r="Q5792">
        <v>0.12529820532432101</v>
      </c>
      <c r="R5792">
        <v>0.99281700394877703</v>
      </c>
      <c r="S5792" t="s">
        <v>11653</v>
      </c>
      <c r="T5792" t="s">
        <v>11720</v>
      </c>
      <c r="U5792" t="s">
        <v>11720</v>
      </c>
      <c r="V5792" t="s">
        <v>11720</v>
      </c>
      <c r="W5792" t="s">
        <v>17450</v>
      </c>
      <c r="X5792">
        <v>2</v>
      </c>
      <c r="Y5792" t="s">
        <v>23143</v>
      </c>
      <c r="Z5792" t="s">
        <v>28999</v>
      </c>
      <c r="AA5792">
        <v>0.46058622956120743</v>
      </c>
      <c r="AB5792" t="str">
        <f>HYPERLINK("Melting_Curves/meltCurve_Q9Y5S2_CDC42BPB.pdf", "Melting_Curves/meltCurve_Q9Y5S2_CDC42BPB.pdf")</f>
        <v>Melting_Curves/meltCurve_Q9Y5S2_CDC42BPB.pdf</v>
      </c>
    </row>
    <row r="5793" spans="1:28" x14ac:dyDescent="0.25">
      <c r="A5793" t="s">
        <v>5797</v>
      </c>
      <c r="B5793">
        <v>0.99334974765950101</v>
      </c>
      <c r="C5793">
        <v>1.0524827804168899</v>
      </c>
      <c r="D5793">
        <v>0.92052676883431295</v>
      </c>
      <c r="E5793">
        <v>0.63525175245205801</v>
      </c>
      <c r="F5793">
        <v>0.33902692416137697</v>
      </c>
      <c r="G5793">
        <v>0.27114270410289498</v>
      </c>
      <c r="H5793">
        <v>0.256295824181278</v>
      </c>
      <c r="I5793">
        <v>0.30697483248780999</v>
      </c>
      <c r="J5793">
        <v>0.200413512132852</v>
      </c>
      <c r="K5793">
        <v>0.2199209746936</v>
      </c>
      <c r="L5793">
        <v>1520.24834114602</v>
      </c>
      <c r="M5793">
        <v>30.412067372639399</v>
      </c>
      <c r="N5793">
        <v>51.115702860739702</v>
      </c>
      <c r="O5793">
        <v>49.773692471555997</v>
      </c>
      <c r="P5793">
        <v>-0.115429524735312</v>
      </c>
      <c r="Q5793">
        <v>0.244337213401225</v>
      </c>
      <c r="R5793">
        <v>0.98958050009106802</v>
      </c>
      <c r="S5793" t="s">
        <v>11654</v>
      </c>
      <c r="T5793" t="s">
        <v>11720</v>
      </c>
      <c r="U5793" t="s">
        <v>11720</v>
      </c>
      <c r="V5793" t="s">
        <v>11720</v>
      </c>
      <c r="W5793" t="s">
        <v>17451</v>
      </c>
      <c r="X5793">
        <v>3</v>
      </c>
      <c r="Y5793" t="s">
        <v>23144</v>
      </c>
      <c r="Z5793" t="s">
        <v>29000</v>
      </c>
      <c r="AA5793">
        <v>0.50047650486222262</v>
      </c>
      <c r="AB5793" t="str">
        <f>HYPERLINK("Melting_Curves/meltCurve_Q9Y5S9_RBM8A.pdf", "Melting_Curves/meltCurve_Q9Y5S9_RBM8A.pdf")</f>
        <v>Melting_Curves/meltCurve_Q9Y5S9_RBM8A.pdf</v>
      </c>
    </row>
    <row r="5794" spans="1:28" x14ac:dyDescent="0.25">
      <c r="A5794" t="s">
        <v>5798</v>
      </c>
      <c r="B5794">
        <v>0.99334974765950101</v>
      </c>
      <c r="C5794">
        <v>0.96187539892561202</v>
      </c>
      <c r="D5794">
        <v>0.77249915259935598</v>
      </c>
      <c r="E5794">
        <v>0.61540307377305303</v>
      </c>
      <c r="F5794">
        <v>0.76088775584706203</v>
      </c>
      <c r="G5794">
        <v>0.80915081545879197</v>
      </c>
      <c r="H5794">
        <v>0.77758797651982103</v>
      </c>
      <c r="I5794">
        <v>0.95167653448468803</v>
      </c>
      <c r="J5794">
        <v>1.1808502644156</v>
      </c>
      <c r="K5794">
        <v>1.1238339721219801</v>
      </c>
      <c r="L5794">
        <v>10760.830741850599</v>
      </c>
      <c r="M5794">
        <v>250</v>
      </c>
      <c r="O5794">
        <v>43.040585010155603</v>
      </c>
      <c r="P5794">
        <v>-0.182986961082409</v>
      </c>
      <c r="Q5794">
        <v>0.87398619458622895</v>
      </c>
      <c r="R5794">
        <v>6.2140255608218703E-2</v>
      </c>
      <c r="S5794" t="s">
        <v>11655</v>
      </c>
      <c r="T5794" t="s">
        <v>11720</v>
      </c>
      <c r="U5794" t="s">
        <v>11720</v>
      </c>
      <c r="V5794" t="s">
        <v>11720</v>
      </c>
      <c r="W5794" t="s">
        <v>17452</v>
      </c>
      <c r="X5794">
        <v>6</v>
      </c>
      <c r="Y5794" t="s">
        <v>23145</v>
      </c>
      <c r="Z5794" t="s">
        <v>29001</v>
      </c>
      <c r="AA5794">
        <v>0.88677907065894757</v>
      </c>
      <c r="AB5794" t="str">
        <f>HYPERLINK("Melting_Curves/meltCurve_Q9Y5U2_2_TSSC4.pdf", "Melting_Curves/meltCurve_Q9Y5U2_2_TSSC4.pdf")</f>
        <v>Melting_Curves/meltCurve_Q9Y5U2_2_TSSC4.pdf</v>
      </c>
    </row>
    <row r="5795" spans="1:28" x14ac:dyDescent="0.25">
      <c r="A5795" t="s">
        <v>5799</v>
      </c>
      <c r="B5795">
        <v>0.99334974765950101</v>
      </c>
      <c r="C5795">
        <v>1.04840553673332</v>
      </c>
      <c r="D5795">
        <v>0.81206139304634095</v>
      </c>
      <c r="E5795">
        <v>0.784329918438746</v>
      </c>
      <c r="F5795">
        <v>0.908146004282815</v>
      </c>
      <c r="G5795">
        <v>0.68428527149600804</v>
      </c>
      <c r="H5795">
        <v>0.73046195624488297</v>
      </c>
      <c r="I5795">
        <v>0.87726888483555399</v>
      </c>
      <c r="J5795">
        <v>1.1288325970702899</v>
      </c>
      <c r="K5795">
        <v>1.0351536249450799</v>
      </c>
      <c r="L5795">
        <v>11096.3767896139</v>
      </c>
      <c r="M5795">
        <v>250</v>
      </c>
      <c r="O5795">
        <v>44.382666873299499</v>
      </c>
      <c r="P5795">
        <v>-0.18297244539385699</v>
      </c>
      <c r="Q5795">
        <v>0.870067118969724</v>
      </c>
      <c r="R5795">
        <v>0.179054014680229</v>
      </c>
      <c r="S5795" t="s">
        <v>11656</v>
      </c>
      <c r="T5795" t="s">
        <v>11720</v>
      </c>
      <c r="U5795" t="s">
        <v>11720</v>
      </c>
      <c r="V5795" t="s">
        <v>11720</v>
      </c>
      <c r="W5795" t="s">
        <v>17453</v>
      </c>
      <c r="X5795">
        <v>8</v>
      </c>
      <c r="Y5795" t="s">
        <v>23146</v>
      </c>
      <c r="Z5795" t="s">
        <v>29002</v>
      </c>
      <c r="AA5795">
        <v>0.88907129286765718</v>
      </c>
      <c r="AB5795" t="str">
        <f>HYPERLINK("Melting_Curves/meltCurve_Q9Y5V3_MAGED1.pdf", "Melting_Curves/meltCurve_Q9Y5V3_MAGED1.pdf")</f>
        <v>Melting_Curves/meltCurve_Q9Y5V3_MAGED1.pdf</v>
      </c>
    </row>
    <row r="5796" spans="1:28" x14ac:dyDescent="0.25">
      <c r="A5796" t="s">
        <v>5800</v>
      </c>
      <c r="B5796">
        <v>0.99334974765950101</v>
      </c>
      <c r="C5796">
        <v>0.970350552576417</v>
      </c>
      <c r="D5796">
        <v>0.995375711655619</v>
      </c>
      <c r="E5796">
        <v>0.69135656318930305</v>
      </c>
      <c r="F5796">
        <v>0.25488763898636702</v>
      </c>
      <c r="G5796">
        <v>0.16227180445723599</v>
      </c>
      <c r="H5796">
        <v>0.12756411203246401</v>
      </c>
      <c r="I5796">
        <v>0.12589588163599399</v>
      </c>
      <c r="J5796">
        <v>0.12366327145169</v>
      </c>
      <c r="K5796">
        <v>9.9754875989717995E-2</v>
      </c>
      <c r="L5796">
        <v>2042.7136515432001</v>
      </c>
      <c r="M5796">
        <v>40.249205164278898</v>
      </c>
      <c r="N5796">
        <v>51.116169082142797</v>
      </c>
      <c r="O5796">
        <v>50.626853446578501</v>
      </c>
      <c r="P5796">
        <v>-0.17395919764318701</v>
      </c>
      <c r="Q5796">
        <v>0.124754013012712</v>
      </c>
      <c r="R5796">
        <v>0.99841362618899998</v>
      </c>
      <c r="S5796" t="s">
        <v>11657</v>
      </c>
      <c r="T5796" t="s">
        <v>11720</v>
      </c>
      <c r="U5796" t="s">
        <v>11720</v>
      </c>
      <c r="V5796" t="s">
        <v>11720</v>
      </c>
      <c r="W5796" t="s">
        <v>17454</v>
      </c>
      <c r="X5796">
        <v>12</v>
      </c>
      <c r="Y5796" t="s">
        <v>23147</v>
      </c>
      <c r="Z5796" t="s">
        <v>29003</v>
      </c>
      <c r="AA5796">
        <v>0.4414643714480237</v>
      </c>
      <c r="AB5796" t="str">
        <f>HYPERLINK("Melting_Curves/meltCurve_Q9Y5X1_SNX9.pdf", "Melting_Curves/meltCurve_Q9Y5X1_SNX9.pdf")</f>
        <v>Melting_Curves/meltCurve_Q9Y5X1_SNX9.pdf</v>
      </c>
    </row>
    <row r="5797" spans="1:28" x14ac:dyDescent="0.25">
      <c r="A5797" t="s">
        <v>5801</v>
      </c>
      <c r="B5797">
        <v>0.99334974765950101</v>
      </c>
      <c r="C5797">
        <v>1.0889150491967501</v>
      </c>
      <c r="D5797">
        <v>1.0504902730260299</v>
      </c>
      <c r="E5797">
        <v>1.0707238424768699</v>
      </c>
      <c r="F5797">
        <v>1.1650749651722201</v>
      </c>
      <c r="G5797">
        <v>0.69940407461449805</v>
      </c>
      <c r="H5797">
        <v>0.31553424311986</v>
      </c>
      <c r="I5797">
        <v>0.24151609793501899</v>
      </c>
      <c r="J5797">
        <v>0.21206235124117701</v>
      </c>
      <c r="K5797">
        <v>0.14428577942586099</v>
      </c>
      <c r="L5797">
        <v>2530.8824046416998</v>
      </c>
      <c r="M5797">
        <v>43.736555342759402</v>
      </c>
      <c r="N5797">
        <v>58.564083756183898</v>
      </c>
      <c r="O5797">
        <v>57.7459500853778</v>
      </c>
      <c r="P5797">
        <v>-0.15090735159113999</v>
      </c>
      <c r="Q5797">
        <v>0.20302144089704299</v>
      </c>
      <c r="R5797">
        <v>0.96652176327892503</v>
      </c>
      <c r="S5797" t="s">
        <v>11658</v>
      </c>
      <c r="T5797" t="s">
        <v>11720</v>
      </c>
      <c r="U5797" t="s">
        <v>11720</v>
      </c>
      <c r="V5797" t="s">
        <v>11720</v>
      </c>
      <c r="W5797" t="s">
        <v>17455</v>
      </c>
      <c r="X5797">
        <v>11</v>
      </c>
      <c r="Y5797" t="s">
        <v>23148</v>
      </c>
      <c r="Z5797" t="s">
        <v>29004</v>
      </c>
      <c r="AA5797">
        <v>0.68029813411956053</v>
      </c>
      <c r="AB5797" t="str">
        <f>HYPERLINK("Melting_Curves/meltCurve_Q9Y5X2_SNX8.pdf", "Melting_Curves/meltCurve_Q9Y5X2_SNX8.pdf")</f>
        <v>Melting_Curves/meltCurve_Q9Y5X2_SNX8.pdf</v>
      </c>
    </row>
    <row r="5798" spans="1:28" x14ac:dyDescent="0.25">
      <c r="A5798" t="s">
        <v>5802</v>
      </c>
      <c r="B5798">
        <v>0.99334974765950101</v>
      </c>
      <c r="C5798">
        <v>0.79159016799075899</v>
      </c>
      <c r="D5798">
        <v>0.89549965870404202</v>
      </c>
      <c r="E5798">
        <v>0.70021685312216997</v>
      </c>
      <c r="F5798">
        <v>0.24133072430823099</v>
      </c>
      <c r="G5798">
        <v>0.103354398125794</v>
      </c>
      <c r="H5798">
        <v>7.5396516071570899E-2</v>
      </c>
      <c r="I5798">
        <v>7.1184641084567402E-2</v>
      </c>
      <c r="J5798">
        <v>7.2097459550938603E-2</v>
      </c>
      <c r="K5798">
        <v>6.3688590619923005E-2</v>
      </c>
      <c r="L5798">
        <v>1606.51046288212</v>
      </c>
      <c r="M5798">
        <v>31.557826289843501</v>
      </c>
      <c r="N5798">
        <v>51.137559699438803</v>
      </c>
      <c r="O5798">
        <v>50.703774854501297</v>
      </c>
      <c r="P5798">
        <v>-0.145277205916895</v>
      </c>
      <c r="Q5798">
        <v>6.6340891671474306E-2</v>
      </c>
      <c r="R5798">
        <v>0.96371080416809995</v>
      </c>
      <c r="S5798" t="s">
        <v>11659</v>
      </c>
      <c r="T5798" t="s">
        <v>11720</v>
      </c>
      <c r="U5798" t="s">
        <v>11720</v>
      </c>
      <c r="V5798" t="s">
        <v>11720</v>
      </c>
      <c r="W5798" t="s">
        <v>17456</v>
      </c>
      <c r="X5798">
        <v>15</v>
      </c>
      <c r="Y5798" t="s">
        <v>23149</v>
      </c>
      <c r="Z5798" t="s">
        <v>29005</v>
      </c>
      <c r="AA5798">
        <v>0.41107951601190112</v>
      </c>
      <c r="AB5798" t="str">
        <f>HYPERLINK("Melting_Curves/meltCurve_Q9Y5X3_SNX5.pdf", "Melting_Curves/meltCurve_Q9Y5X3_SNX5.pdf")</f>
        <v>Melting_Curves/meltCurve_Q9Y5X3_SNX5.pdf</v>
      </c>
    </row>
    <row r="5799" spans="1:28" x14ac:dyDescent="0.25">
      <c r="A5799" t="s">
        <v>5803</v>
      </c>
      <c r="B5799">
        <v>0.99334974765950101</v>
      </c>
      <c r="C5799">
        <v>0.97667673209816996</v>
      </c>
      <c r="D5799">
        <v>0.87743670872408097</v>
      </c>
      <c r="E5799">
        <v>0.55813500711671005</v>
      </c>
      <c r="F5799">
        <v>0.258948144629565</v>
      </c>
      <c r="G5799">
        <v>0.153280197358276</v>
      </c>
      <c r="H5799">
        <v>0.109338814379373</v>
      </c>
      <c r="I5799">
        <v>8.2145902750155195E-2</v>
      </c>
      <c r="J5799">
        <v>7.5531153836028403E-2</v>
      </c>
      <c r="K5799">
        <v>5.6902149929230102E-2</v>
      </c>
      <c r="L5799">
        <v>1103.4440739824099</v>
      </c>
      <c r="M5799">
        <v>22.045066211647502</v>
      </c>
      <c r="N5799">
        <v>50.4239387508497</v>
      </c>
      <c r="O5799">
        <v>49.647598602944399</v>
      </c>
      <c r="P5799">
        <v>-0.10272173390186699</v>
      </c>
      <c r="Q5799">
        <v>7.4663792643735405E-2</v>
      </c>
      <c r="R5799">
        <v>0.99858214319615601</v>
      </c>
      <c r="S5799" t="s">
        <v>11660</v>
      </c>
      <c r="T5799" t="s">
        <v>11720</v>
      </c>
      <c r="U5799" t="s">
        <v>11720</v>
      </c>
      <c r="V5799" t="s">
        <v>11720</v>
      </c>
      <c r="W5799" t="s">
        <v>17457</v>
      </c>
      <c r="X5799">
        <v>7</v>
      </c>
      <c r="Y5799" t="s">
        <v>23150</v>
      </c>
      <c r="Z5799" t="s">
        <v>29006</v>
      </c>
      <c r="AA5799">
        <v>0.39541220739647259</v>
      </c>
      <c r="AB5799" t="str">
        <f>HYPERLINK("Melting_Curves/meltCurve_Q9Y5Y2_NUBP2.pdf", "Melting_Curves/meltCurve_Q9Y5Y2_NUBP2.pdf")</f>
        <v>Melting_Curves/meltCurve_Q9Y5Y2_NUBP2.pdf</v>
      </c>
    </row>
    <row r="5800" spans="1:28" x14ac:dyDescent="0.25">
      <c r="A5800" t="s">
        <v>5804</v>
      </c>
      <c r="B5800">
        <v>0.99334974765950101</v>
      </c>
      <c r="C5800">
        <v>0.96304761949020001</v>
      </c>
      <c r="D5800">
        <v>0.84757773799347202</v>
      </c>
      <c r="E5800">
        <v>0.74323165384072798</v>
      </c>
      <c r="F5800">
        <v>0.45899317782926902</v>
      </c>
      <c r="G5800">
        <v>0.23559462714266199</v>
      </c>
      <c r="H5800">
        <v>0.16738573215632799</v>
      </c>
      <c r="I5800">
        <v>0.18952165352511199</v>
      </c>
      <c r="J5800">
        <v>0.21015112040645401</v>
      </c>
      <c r="K5800">
        <v>0.205054111342415</v>
      </c>
      <c r="L5800">
        <v>1029.48815726307</v>
      </c>
      <c r="M5800">
        <v>20.062220154724301</v>
      </c>
      <c r="N5800">
        <v>52.426569696380803</v>
      </c>
      <c r="O5800">
        <v>50.813083726602201</v>
      </c>
      <c r="P5800">
        <v>-8.1606371005190997E-2</v>
      </c>
      <c r="Q5800">
        <v>0.17326432982551301</v>
      </c>
      <c r="R5800">
        <v>0.98754461837297702</v>
      </c>
      <c r="S5800" t="s">
        <v>11661</v>
      </c>
      <c r="T5800" t="s">
        <v>11720</v>
      </c>
      <c r="U5800" t="s">
        <v>11720</v>
      </c>
      <c r="V5800" t="s">
        <v>11720</v>
      </c>
      <c r="W5800" t="s">
        <v>17458</v>
      </c>
      <c r="X5800">
        <v>15</v>
      </c>
      <c r="Y5800" t="s">
        <v>23151</v>
      </c>
      <c r="Z5800" t="s">
        <v>29007</v>
      </c>
      <c r="AA5800">
        <v>0.49647656274452279</v>
      </c>
      <c r="AB5800" t="str">
        <f>HYPERLINK("Melting_Curves/meltCurve_Q9Y5Z4_HEBP2.pdf", "Melting_Curves/meltCurve_Q9Y5Z4_HEBP2.pdf")</f>
        <v>Melting_Curves/meltCurve_Q9Y5Z4_HEBP2.pdf</v>
      </c>
    </row>
    <row r="5801" spans="1:28" x14ac:dyDescent="0.25">
      <c r="A5801" t="s">
        <v>5805</v>
      </c>
      <c r="B5801">
        <v>0.99334974765950101</v>
      </c>
      <c r="C5801">
        <v>1.01811016144102</v>
      </c>
      <c r="D5801">
        <v>0.87497302643391495</v>
      </c>
      <c r="E5801">
        <v>0.53667481732756706</v>
      </c>
      <c r="F5801">
        <v>0.40048932744219001</v>
      </c>
      <c r="G5801">
        <v>0.66952792753169899</v>
      </c>
      <c r="H5801">
        <v>0.59685280491037795</v>
      </c>
      <c r="I5801">
        <v>0.46935899691507199</v>
      </c>
      <c r="J5801">
        <v>0.39648974387107</v>
      </c>
      <c r="K5801">
        <v>0.17923201980641601</v>
      </c>
      <c r="L5801">
        <v>1803.93681039084</v>
      </c>
      <c r="M5801">
        <v>37.937511911820103</v>
      </c>
      <c r="N5801">
        <v>50.668640339133603</v>
      </c>
      <c r="O5801">
        <v>47.418671955883902</v>
      </c>
      <c r="P5801">
        <v>-0.10968991908294901</v>
      </c>
      <c r="Q5801">
        <v>0.451589039587666</v>
      </c>
      <c r="R5801">
        <v>0.78122386908002395</v>
      </c>
      <c r="S5801" t="s">
        <v>11662</v>
      </c>
      <c r="T5801" t="s">
        <v>11720</v>
      </c>
      <c r="U5801" t="s">
        <v>11720</v>
      </c>
      <c r="V5801" t="s">
        <v>11720</v>
      </c>
      <c r="W5801" t="s">
        <v>17459</v>
      </c>
      <c r="X5801">
        <v>3</v>
      </c>
      <c r="Y5801" t="s">
        <v>23152</v>
      </c>
      <c r="Z5801" t="s">
        <v>29008</v>
      </c>
      <c r="AA5801">
        <v>0.59162790395095033</v>
      </c>
      <c r="AB5801" t="str">
        <f>HYPERLINK("Melting_Curves/meltCurve_Q9Y5Z7_HCFC2.pdf", "Melting_Curves/meltCurve_Q9Y5Z7_HCFC2.pdf")</f>
        <v>Melting_Curves/meltCurve_Q9Y5Z7_HCFC2.pdf</v>
      </c>
    </row>
    <row r="5802" spans="1:28" x14ac:dyDescent="0.25">
      <c r="A5802" t="s">
        <v>5806</v>
      </c>
      <c r="B5802">
        <v>0.99334974765950101</v>
      </c>
      <c r="C5802">
        <v>0.85516282057562698</v>
      </c>
      <c r="D5802">
        <v>0.71883097766464299</v>
      </c>
      <c r="E5802">
        <v>0.483009209389963</v>
      </c>
      <c r="F5802">
        <v>0.24366903790863001</v>
      </c>
      <c r="G5802">
        <v>0.16345418416115701</v>
      </c>
      <c r="H5802">
        <v>0.164936154178081</v>
      </c>
      <c r="I5802">
        <v>0.13739260571699399</v>
      </c>
      <c r="J5802">
        <v>0.19127523344792199</v>
      </c>
      <c r="K5802">
        <v>0.19517366974827799</v>
      </c>
      <c r="L5802">
        <v>822.85043649452405</v>
      </c>
      <c r="M5802">
        <v>17.184813453156401</v>
      </c>
      <c r="N5802">
        <v>48.910697958656797</v>
      </c>
      <c r="O5802">
        <v>47.248131435395202</v>
      </c>
      <c r="P5802">
        <v>-7.7147366708598203E-2</v>
      </c>
      <c r="Q5802">
        <v>0.151610617063692</v>
      </c>
      <c r="R5802">
        <v>0.98724714128734403</v>
      </c>
      <c r="S5802" t="s">
        <v>11663</v>
      </c>
      <c r="T5802" t="s">
        <v>11720</v>
      </c>
      <c r="U5802" t="s">
        <v>11720</v>
      </c>
      <c r="V5802" t="s">
        <v>11720</v>
      </c>
      <c r="W5802" t="s">
        <v>17460</v>
      </c>
      <c r="X5802">
        <v>1</v>
      </c>
      <c r="Y5802" t="s">
        <v>23153</v>
      </c>
      <c r="Z5802" t="s">
        <v>29009</v>
      </c>
      <c r="AA5802">
        <v>0.39116645495809987</v>
      </c>
      <c r="AB5802" t="str">
        <f>HYPERLINK("Melting_Curves/meltCurve_Q9Y605_MRFAP1.pdf", "Melting_Curves/meltCurve_Q9Y605_MRFAP1.pdf")</f>
        <v>Melting_Curves/meltCurve_Q9Y605_MRFAP1.pdf</v>
      </c>
    </row>
    <row r="5803" spans="1:28" x14ac:dyDescent="0.25">
      <c r="A5803" t="s">
        <v>5807</v>
      </c>
      <c r="B5803">
        <v>0.99334974765950101</v>
      </c>
      <c r="C5803">
        <v>1.22583354019838</v>
      </c>
      <c r="D5803">
        <v>1.0330611970444199</v>
      </c>
      <c r="E5803">
        <v>1.00181146294348</v>
      </c>
      <c r="F5803">
        <v>1.9128102225185</v>
      </c>
      <c r="G5803">
        <v>1.19897856733139</v>
      </c>
      <c r="H5803">
        <v>1.45187041862336</v>
      </c>
      <c r="I5803">
        <v>1.7627933806495399</v>
      </c>
      <c r="J5803">
        <v>3.2470069187378399</v>
      </c>
      <c r="K5803">
        <v>2.62012088231518</v>
      </c>
      <c r="L5803">
        <v>12735.3162536572</v>
      </c>
      <c r="M5803">
        <v>250</v>
      </c>
      <c r="O5803">
        <v>50.9380053219571</v>
      </c>
      <c r="P5803">
        <v>0.61349084967470802</v>
      </c>
      <c r="Q5803">
        <v>1.5</v>
      </c>
      <c r="R5803">
        <v>0.102599148049955</v>
      </c>
      <c r="S5803" t="s">
        <v>11664</v>
      </c>
      <c r="T5803" t="s">
        <v>11720</v>
      </c>
      <c r="U5803" t="s">
        <v>11720</v>
      </c>
      <c r="V5803" t="s">
        <v>11720</v>
      </c>
      <c r="W5803" t="s">
        <v>17461</v>
      </c>
      <c r="X5803">
        <v>24</v>
      </c>
      <c r="Y5803" t="s">
        <v>23154</v>
      </c>
      <c r="Z5803" t="s">
        <v>29010</v>
      </c>
      <c r="AA5803">
        <v>1.31760088252588</v>
      </c>
      <c r="AB5803" t="str">
        <f>HYPERLINK("Melting_Curves/meltCurve_Q9Y608_4_LRRFIP2.pdf", "Melting_Curves/meltCurve_Q9Y608_4_LRRFIP2.pdf")</f>
        <v>Melting_Curves/meltCurve_Q9Y608_4_LRRFIP2.pdf</v>
      </c>
    </row>
    <row r="5804" spans="1:28" x14ac:dyDescent="0.25">
      <c r="A5804" t="s">
        <v>5808</v>
      </c>
      <c r="B5804">
        <v>0.99334974765950101</v>
      </c>
      <c r="C5804">
        <v>0.99322717936668903</v>
      </c>
      <c r="D5804">
        <v>0.64453151729703795</v>
      </c>
      <c r="E5804">
        <v>0.424948488478471</v>
      </c>
      <c r="F5804">
        <v>0.35208074186264499</v>
      </c>
      <c r="G5804">
        <v>0.215526839961732</v>
      </c>
      <c r="H5804">
        <v>0.19880185633452399</v>
      </c>
      <c r="I5804">
        <v>0.194351332346757</v>
      </c>
      <c r="J5804">
        <v>0.190345029897033</v>
      </c>
      <c r="K5804">
        <v>0.17041566805375999</v>
      </c>
      <c r="L5804">
        <v>874.94088136340997</v>
      </c>
      <c r="M5804">
        <v>18.399381367215199</v>
      </c>
      <c r="N5804">
        <v>48.809579948323901</v>
      </c>
      <c r="O5804">
        <v>47.001712738880698</v>
      </c>
      <c r="P5804">
        <v>-7.9403938994601297E-2</v>
      </c>
      <c r="Q5804">
        <v>0.18867911322530401</v>
      </c>
      <c r="R5804">
        <v>0.981953611669103</v>
      </c>
      <c r="S5804" t="s">
        <v>11665</v>
      </c>
      <c r="T5804" t="s">
        <v>11720</v>
      </c>
      <c r="U5804" t="s">
        <v>11720</v>
      </c>
      <c r="V5804" t="s">
        <v>11720</v>
      </c>
      <c r="W5804" t="s">
        <v>17462</v>
      </c>
      <c r="X5804">
        <v>6</v>
      </c>
      <c r="Y5804" t="s">
        <v>23155</v>
      </c>
      <c r="Z5804" t="s">
        <v>29011</v>
      </c>
      <c r="AA5804">
        <v>0.40688189274719078</v>
      </c>
      <c r="AB5804" t="str">
        <f>HYPERLINK("Melting_Curves/meltCurve_Q9Y613_FHOD1.pdf", "Melting_Curves/meltCurve_Q9Y613_FHOD1.pdf")</f>
        <v>Melting_Curves/meltCurve_Q9Y613_FHOD1.pdf</v>
      </c>
    </row>
    <row r="5805" spans="1:28" x14ac:dyDescent="0.25">
      <c r="A5805" t="s">
        <v>5809</v>
      </c>
      <c r="B5805">
        <v>0.99334974765950101</v>
      </c>
      <c r="C5805">
        <v>0.998859363831751</v>
      </c>
      <c r="D5805">
        <v>0.97519680612974102</v>
      </c>
      <c r="E5805">
        <v>0.89057415024850195</v>
      </c>
      <c r="F5805">
        <v>0.78738191729258999</v>
      </c>
      <c r="G5805">
        <v>0.53658427024031397</v>
      </c>
      <c r="H5805">
        <v>0.244964717273944</v>
      </c>
      <c r="I5805">
        <v>9.2333153717403305E-2</v>
      </c>
      <c r="J5805">
        <v>6.4312515249614996E-2</v>
      </c>
      <c r="K5805">
        <v>5.2745669130148699E-2</v>
      </c>
      <c r="L5805">
        <v>999.08640184539502</v>
      </c>
      <c r="M5805">
        <v>17.5038948741159</v>
      </c>
      <c r="N5805">
        <v>57.077948359997599</v>
      </c>
      <c r="O5805">
        <v>56.348598231118501</v>
      </c>
      <c r="P5805">
        <v>-7.7663252004781996E-2</v>
      </c>
      <c r="Q5805">
        <v>0</v>
      </c>
      <c r="R5805">
        <v>0.99747476341640295</v>
      </c>
      <c r="S5805" t="s">
        <v>11666</v>
      </c>
      <c r="T5805" t="s">
        <v>11720</v>
      </c>
      <c r="U5805" t="s">
        <v>11720</v>
      </c>
      <c r="V5805" t="s">
        <v>11720</v>
      </c>
      <c r="W5805" t="s">
        <v>17463</v>
      </c>
      <c r="X5805">
        <v>25</v>
      </c>
      <c r="Y5805" t="s">
        <v>23156</v>
      </c>
      <c r="Z5805" t="s">
        <v>29012</v>
      </c>
      <c r="AA5805">
        <v>0.58325435896690869</v>
      </c>
      <c r="AB5805" t="str">
        <f>HYPERLINK("Melting_Curves/meltCurve_Q9Y617_PSAT1.pdf", "Melting_Curves/meltCurve_Q9Y617_PSAT1.pdf")</f>
        <v>Melting_Curves/meltCurve_Q9Y617_PSAT1.pdf</v>
      </c>
    </row>
    <row r="5806" spans="1:28" x14ac:dyDescent="0.25">
      <c r="A5806" t="s">
        <v>5810</v>
      </c>
      <c r="B5806">
        <v>0.99334974765950101</v>
      </c>
      <c r="C5806">
        <v>0.86161559064815396</v>
      </c>
      <c r="D5806">
        <v>0.90940529653830204</v>
      </c>
      <c r="E5806">
        <v>0.88732171028101503</v>
      </c>
      <c r="F5806">
        <v>0.78864544099348799</v>
      </c>
      <c r="G5806">
        <v>0.78892123733668595</v>
      </c>
      <c r="H5806">
        <v>0.64496049073893003</v>
      </c>
      <c r="I5806">
        <v>0.60106963638965405</v>
      </c>
      <c r="J5806">
        <v>0.56566398597288003</v>
      </c>
      <c r="K5806">
        <v>0.23803567790257699</v>
      </c>
      <c r="L5806">
        <v>443.34683317772698</v>
      </c>
      <c r="M5806">
        <v>6.7387617217377898</v>
      </c>
      <c r="N5806">
        <v>65.790548930868198</v>
      </c>
      <c r="O5806">
        <v>60.724215602718502</v>
      </c>
      <c r="P5806">
        <v>-2.7802409654104802E-2</v>
      </c>
      <c r="Q5806">
        <v>0</v>
      </c>
      <c r="R5806">
        <v>0.87054073524877995</v>
      </c>
      <c r="S5806" t="s">
        <v>11667</v>
      </c>
      <c r="T5806" t="s">
        <v>11720</v>
      </c>
      <c r="U5806" t="s">
        <v>11720</v>
      </c>
      <c r="V5806" t="s">
        <v>11720</v>
      </c>
      <c r="W5806" t="s">
        <v>17464</v>
      </c>
      <c r="X5806">
        <v>2</v>
      </c>
      <c r="Y5806" t="s">
        <v>23157</v>
      </c>
      <c r="Z5806" t="s">
        <v>29013</v>
      </c>
      <c r="AA5806">
        <v>0.75323123911646683</v>
      </c>
      <c r="AB5806" t="str">
        <f>HYPERLINK("Melting_Curves/meltCurve_Q9Y619_SLC25A15.pdf", "Melting_Curves/meltCurve_Q9Y619_SLC25A15.pdf")</f>
        <v>Melting_Curves/meltCurve_Q9Y619_SLC25A15.pdf</v>
      </c>
    </row>
    <row r="5807" spans="1:28" x14ac:dyDescent="0.25">
      <c r="A5807" t="s">
        <v>5811</v>
      </c>
      <c r="B5807">
        <v>0.99334974765950101</v>
      </c>
      <c r="C5807">
        <v>1.0075082265263899</v>
      </c>
      <c r="D5807">
        <v>0.90843421897617005</v>
      </c>
      <c r="E5807">
        <v>0.84827785484737495</v>
      </c>
      <c r="F5807">
        <v>0.85556605150607301</v>
      </c>
      <c r="G5807">
        <v>0.88192282973009295</v>
      </c>
      <c r="H5807">
        <v>0.80008413496239505</v>
      </c>
      <c r="I5807">
        <v>0.67438864065382398</v>
      </c>
      <c r="J5807">
        <v>0.36091014091510798</v>
      </c>
      <c r="K5807">
        <v>0.263633465144122</v>
      </c>
      <c r="L5807">
        <v>1007.7844670294299</v>
      </c>
      <c r="M5807">
        <v>15.3487835267779</v>
      </c>
      <c r="N5807">
        <v>65.658914640711203</v>
      </c>
      <c r="O5807">
        <v>64.5746602447405</v>
      </c>
      <c r="P5807">
        <v>-5.9428125433116701E-2</v>
      </c>
      <c r="Q5807">
        <v>0</v>
      </c>
      <c r="R5807">
        <v>0.90528093215155803</v>
      </c>
      <c r="S5807" t="s">
        <v>11668</v>
      </c>
      <c r="T5807" t="s">
        <v>11720</v>
      </c>
      <c r="U5807" t="s">
        <v>11720</v>
      </c>
      <c r="V5807" t="s">
        <v>11720</v>
      </c>
      <c r="W5807" t="s">
        <v>17465</v>
      </c>
      <c r="X5807">
        <v>10</v>
      </c>
      <c r="Y5807" t="s">
        <v>23158</v>
      </c>
      <c r="Z5807" t="s">
        <v>29014</v>
      </c>
      <c r="AA5807">
        <v>0.82455214643970576</v>
      </c>
      <c r="AB5807" t="str">
        <f>HYPERLINK("Melting_Curves/meltCurve_Q9Y625_GPC6.pdf", "Melting_Curves/meltCurve_Q9Y625_GPC6.pdf")</f>
        <v>Melting_Curves/meltCurve_Q9Y625_GPC6.pdf</v>
      </c>
    </row>
    <row r="5808" spans="1:28" x14ac:dyDescent="0.25">
      <c r="A5808" t="s">
        <v>5812</v>
      </c>
      <c r="B5808">
        <v>0.99334974765950101</v>
      </c>
      <c r="C5808">
        <v>0.97635711347061904</v>
      </c>
      <c r="D5808">
        <v>0.93645400122765099</v>
      </c>
      <c r="E5808">
        <v>1.1706491543175399</v>
      </c>
      <c r="F5808">
        <v>1.36650145774462</v>
      </c>
      <c r="G5808">
        <v>1.0852877561972301</v>
      </c>
      <c r="H5808">
        <v>1.1053599675071</v>
      </c>
      <c r="I5808">
        <v>1.3561433976977499</v>
      </c>
      <c r="J5808">
        <v>1.90825337828695</v>
      </c>
      <c r="K5808">
        <v>1.5002213471296999</v>
      </c>
      <c r="L5808">
        <v>707.18000198045297</v>
      </c>
      <c r="M5808">
        <v>12.5443060567726</v>
      </c>
      <c r="O5808">
        <v>54.999466457576297</v>
      </c>
      <c r="P5808">
        <v>2.8515851196728701E-2</v>
      </c>
      <c r="Q5808">
        <v>1.5</v>
      </c>
      <c r="R5808">
        <v>0.52805099724130999</v>
      </c>
      <c r="S5808" t="s">
        <v>11669</v>
      </c>
      <c r="T5808" t="s">
        <v>11720</v>
      </c>
      <c r="U5808" t="s">
        <v>11720</v>
      </c>
      <c r="V5808" t="s">
        <v>11720</v>
      </c>
      <c r="W5808" t="s">
        <v>17466</v>
      </c>
      <c r="X5808">
        <v>10</v>
      </c>
      <c r="Y5808" t="s">
        <v>23159</v>
      </c>
      <c r="Z5808" t="s">
        <v>29015</v>
      </c>
      <c r="AA5808">
        <v>1.217660019702258</v>
      </c>
      <c r="AB5808" t="str">
        <f>HYPERLINK("Melting_Curves/meltCurve_Q9Y639_1_NPTN.pdf", "Melting_Curves/meltCurve_Q9Y639_1_NPTN.pdf")</f>
        <v>Melting_Curves/meltCurve_Q9Y639_1_NPTN.pdf</v>
      </c>
    </row>
    <row r="5809" spans="1:28" x14ac:dyDescent="0.25">
      <c r="A5809" t="s">
        <v>5813</v>
      </c>
      <c r="B5809">
        <v>0.99334974765950101</v>
      </c>
      <c r="C5809">
        <v>1.01998910717888</v>
      </c>
      <c r="D5809">
        <v>1.0484678553886599</v>
      </c>
      <c r="E5809">
        <v>1.09224101586643</v>
      </c>
      <c r="F5809">
        <v>0.87398474853084196</v>
      </c>
      <c r="G5809">
        <v>0.75344942589751196</v>
      </c>
      <c r="H5809">
        <v>0.68403279006330198</v>
      </c>
      <c r="I5809">
        <v>1.0841707271529899</v>
      </c>
      <c r="J5809">
        <v>0.78433466575744304</v>
      </c>
      <c r="K5809">
        <v>0.52809981420183405</v>
      </c>
      <c r="L5809">
        <v>486.97054544012298</v>
      </c>
      <c r="M5809">
        <v>6.3054726427109404</v>
      </c>
      <c r="Q5809">
        <v>0</v>
      </c>
      <c r="R5809">
        <v>0.45649449808855302</v>
      </c>
      <c r="S5809" t="s">
        <v>11670</v>
      </c>
      <c r="T5809" t="s">
        <v>11720</v>
      </c>
      <c r="U5809" t="s">
        <v>11720</v>
      </c>
      <c r="V5809" t="s">
        <v>11720</v>
      </c>
      <c r="W5809" t="s">
        <v>17467</v>
      </c>
      <c r="X5809">
        <v>10</v>
      </c>
      <c r="Y5809" t="s">
        <v>23160</v>
      </c>
      <c r="Z5809" t="s">
        <v>29016</v>
      </c>
      <c r="AA5809">
        <v>0.89119755481891572</v>
      </c>
      <c r="AB5809" t="str">
        <f>HYPERLINK("Melting_Curves/meltCurve_Q9Y646_CPQ.pdf", "Melting_Curves/meltCurve_Q9Y646_CPQ.pdf")</f>
        <v>Melting_Curves/meltCurve_Q9Y646_CPQ.pdf</v>
      </c>
    </row>
    <row r="5810" spans="1:28" x14ac:dyDescent="0.25">
      <c r="A5810" t="s">
        <v>5814</v>
      </c>
      <c r="B5810">
        <v>0.99334974765950101</v>
      </c>
      <c r="C5810">
        <v>0.96782767816595405</v>
      </c>
      <c r="D5810">
        <v>0.90366434958395103</v>
      </c>
      <c r="E5810">
        <v>0.70162792595513501</v>
      </c>
      <c r="F5810">
        <v>0.33291591492691502</v>
      </c>
      <c r="G5810">
        <v>0.126016483286226</v>
      </c>
      <c r="H5810">
        <v>0.10183587898956099</v>
      </c>
      <c r="I5810">
        <v>8.7041409758424698E-2</v>
      </c>
      <c r="J5810">
        <v>9.2347946171080594E-2</v>
      </c>
      <c r="K5810">
        <v>8.4718518315713504E-2</v>
      </c>
      <c r="L5810">
        <v>1336.1430610475099</v>
      </c>
      <c r="M5810">
        <v>26.119364732792601</v>
      </c>
      <c r="N5810">
        <v>51.508860779675103</v>
      </c>
      <c r="O5810">
        <v>50.8582312771426</v>
      </c>
      <c r="P5810">
        <v>-0.117856682347938</v>
      </c>
      <c r="Q5810">
        <v>8.2073438836047605E-2</v>
      </c>
      <c r="R5810">
        <v>0.99700981800015098</v>
      </c>
      <c r="S5810" t="s">
        <v>11671</v>
      </c>
      <c r="T5810" t="s">
        <v>11720</v>
      </c>
      <c r="U5810" t="s">
        <v>11720</v>
      </c>
      <c r="V5810" t="s">
        <v>11720</v>
      </c>
      <c r="W5810" t="s">
        <v>17468</v>
      </c>
      <c r="X5810">
        <v>15</v>
      </c>
      <c r="Y5810" t="s">
        <v>23161</v>
      </c>
      <c r="Z5810" t="s">
        <v>29017</v>
      </c>
      <c r="AA5810">
        <v>0.43101796459094172</v>
      </c>
      <c r="AB5810" t="str">
        <f>HYPERLINK("Melting_Curves/meltCurve_Q9Y673_ALG5.pdf", "Melting_Curves/meltCurve_Q9Y673_ALG5.pdf")</f>
        <v>Melting_Curves/meltCurve_Q9Y673_ALG5.pdf</v>
      </c>
    </row>
    <row r="5811" spans="1:28" x14ac:dyDescent="0.25">
      <c r="A5811" t="s">
        <v>5815</v>
      </c>
      <c r="B5811">
        <v>0.99334974765950101</v>
      </c>
      <c r="C5811">
        <v>0.89232013358878404</v>
      </c>
      <c r="D5811">
        <v>0.90264081458711898</v>
      </c>
      <c r="E5811">
        <v>0.83234043618425102</v>
      </c>
      <c r="F5811">
        <v>0.45181231341011902</v>
      </c>
      <c r="G5811">
        <v>0.11893521409907799</v>
      </c>
      <c r="H5811">
        <v>7.2890404426942806E-2</v>
      </c>
      <c r="I5811">
        <v>6.8903650604387301E-2</v>
      </c>
      <c r="J5811">
        <v>5.1687886635859902E-2</v>
      </c>
      <c r="K5811">
        <v>4.4459670316178299E-2</v>
      </c>
      <c r="L5811">
        <v>1515.20043718436</v>
      </c>
      <c r="M5811">
        <v>28.895131399234401</v>
      </c>
      <c r="N5811">
        <v>52.6301919290458</v>
      </c>
      <c r="O5811">
        <v>52.188688043536203</v>
      </c>
      <c r="P5811">
        <v>-0.131484121758777</v>
      </c>
      <c r="Q5811">
        <v>5.0091735334212399E-2</v>
      </c>
      <c r="R5811">
        <v>0.987974524734477</v>
      </c>
      <c r="S5811" t="s">
        <v>11672</v>
      </c>
      <c r="T5811" t="s">
        <v>11720</v>
      </c>
      <c r="U5811" t="s">
        <v>11720</v>
      </c>
      <c r="V5811" t="s">
        <v>11720</v>
      </c>
      <c r="W5811" t="s">
        <v>17469</v>
      </c>
      <c r="X5811">
        <v>50</v>
      </c>
      <c r="Y5811" t="s">
        <v>23162</v>
      </c>
      <c r="Z5811" t="s">
        <v>29018</v>
      </c>
      <c r="AA5811">
        <v>0.45049936543362268</v>
      </c>
      <c r="AB5811" t="str">
        <f>HYPERLINK("Melting_Curves/meltCurve_Q9Y678_COPG1.pdf", "Melting_Curves/meltCurve_Q9Y678_COPG1.pdf")</f>
        <v>Melting_Curves/meltCurve_Q9Y678_COPG1.pdf</v>
      </c>
    </row>
    <row r="5812" spans="1:28" x14ac:dyDescent="0.25">
      <c r="A5812" t="s">
        <v>5816</v>
      </c>
      <c r="B5812">
        <v>0.99334974765950101</v>
      </c>
      <c r="C5812">
        <v>1.01429366733945</v>
      </c>
      <c r="D5812">
        <v>0.91749893974627195</v>
      </c>
      <c r="E5812">
        <v>0.61733398408370599</v>
      </c>
      <c r="F5812">
        <v>0.21329367552177</v>
      </c>
      <c r="G5812">
        <v>0.146887979682324</v>
      </c>
      <c r="H5812">
        <v>8.8189029722259699E-2</v>
      </c>
      <c r="I5812">
        <v>8.3298492903816398E-2</v>
      </c>
      <c r="J5812">
        <v>9.9512041952771496E-2</v>
      </c>
      <c r="K5812">
        <v>9.4461102969203695E-2</v>
      </c>
      <c r="L5812">
        <v>1635.98808121506</v>
      </c>
      <c r="M5812">
        <v>32.498727569330299</v>
      </c>
      <c r="N5812">
        <v>50.6650614307148</v>
      </c>
      <c r="O5812">
        <v>50.1505946221247</v>
      </c>
      <c r="P5812">
        <v>-0.14676465020250801</v>
      </c>
      <c r="Q5812">
        <v>9.4081251473655703E-2</v>
      </c>
      <c r="R5812">
        <v>0.99689129420145495</v>
      </c>
      <c r="S5812" t="s">
        <v>11673</v>
      </c>
      <c r="T5812" t="s">
        <v>11720</v>
      </c>
      <c r="U5812" t="s">
        <v>11720</v>
      </c>
      <c r="V5812" t="s">
        <v>11720</v>
      </c>
      <c r="W5812" t="s">
        <v>17470</v>
      </c>
      <c r="X5812">
        <v>3</v>
      </c>
      <c r="Y5812" t="s">
        <v>23163</v>
      </c>
      <c r="Z5812" t="s">
        <v>29019</v>
      </c>
      <c r="AA5812">
        <v>0.41111773273210778</v>
      </c>
      <c r="AB5812" t="str">
        <f>HYPERLINK("Melting_Curves/meltCurve_Q9Y679_AUP1.pdf", "Melting_Curves/meltCurve_Q9Y679_AUP1.pdf")</f>
        <v>Melting_Curves/meltCurve_Q9Y679_AUP1.pdf</v>
      </c>
    </row>
    <row r="5813" spans="1:28" x14ac:dyDescent="0.25">
      <c r="A5813" t="s">
        <v>5817</v>
      </c>
      <c r="B5813">
        <v>0.99334974765950101</v>
      </c>
      <c r="C5813">
        <v>0.98288895359396</v>
      </c>
      <c r="D5813">
        <v>0.89536499679736103</v>
      </c>
      <c r="E5813">
        <v>0.80045777104557303</v>
      </c>
      <c r="F5813">
        <v>0.74809827753447899</v>
      </c>
      <c r="G5813">
        <v>0.60668973193007503</v>
      </c>
      <c r="H5813">
        <v>0.53973919773075296</v>
      </c>
      <c r="I5813">
        <v>0.49266983287447103</v>
      </c>
      <c r="J5813">
        <v>0.417664183376382</v>
      </c>
      <c r="K5813">
        <v>0.30260702477658902</v>
      </c>
      <c r="L5813">
        <v>394.41220658782203</v>
      </c>
      <c r="M5813">
        <v>6.4013309331805504</v>
      </c>
      <c r="N5813">
        <v>62.252981844151897</v>
      </c>
      <c r="O5813">
        <v>56.425150097884902</v>
      </c>
      <c r="P5813">
        <v>-2.7530816197785898E-2</v>
      </c>
      <c r="Q5813">
        <v>3.1793017951609E-2</v>
      </c>
      <c r="R5813">
        <v>0.98740259787380102</v>
      </c>
      <c r="S5813" t="s">
        <v>11674</v>
      </c>
      <c r="T5813" t="s">
        <v>11720</v>
      </c>
      <c r="U5813" t="s">
        <v>11720</v>
      </c>
      <c r="V5813" t="s">
        <v>11720</v>
      </c>
      <c r="W5813" t="s">
        <v>17471</v>
      </c>
      <c r="X5813">
        <v>24</v>
      </c>
      <c r="Y5813" t="s">
        <v>23164</v>
      </c>
      <c r="Z5813" t="s">
        <v>29020</v>
      </c>
      <c r="AA5813">
        <v>0.68065355626600377</v>
      </c>
      <c r="AB5813" t="str">
        <f>HYPERLINK("Melting_Curves/meltCurve_Q9Y680_2_FKBP7.pdf", "Melting_Curves/meltCurve_Q9Y680_2_FKBP7.pdf")</f>
        <v>Melting_Curves/meltCurve_Q9Y680_2_FKBP7.pdf</v>
      </c>
    </row>
    <row r="5814" spans="1:28" x14ac:dyDescent="0.25">
      <c r="A5814" t="s">
        <v>5818</v>
      </c>
      <c r="B5814">
        <v>0.99334974765950101</v>
      </c>
      <c r="C5814">
        <v>1.1170319397775399</v>
      </c>
      <c r="D5814">
        <v>1.00659220072852</v>
      </c>
      <c r="E5814">
        <v>0.570962845941273</v>
      </c>
      <c r="F5814">
        <v>0.49385201282057201</v>
      </c>
      <c r="G5814">
        <v>0.18949420407481901</v>
      </c>
      <c r="H5814">
        <v>0.120104106668255</v>
      </c>
      <c r="I5814">
        <v>3.0006465730399601E-2</v>
      </c>
      <c r="J5814">
        <v>7.0331980607603095E-2</v>
      </c>
      <c r="K5814">
        <v>3.3051024499115698E-2</v>
      </c>
      <c r="L5814">
        <v>981.86430530593998</v>
      </c>
      <c r="M5814">
        <v>18.920244440618099</v>
      </c>
      <c r="N5814">
        <v>52.1308709403514</v>
      </c>
      <c r="O5814">
        <v>51.3255903758456</v>
      </c>
      <c r="P5814">
        <v>-8.8379532155592105E-2</v>
      </c>
      <c r="Q5814">
        <v>4.1037896190784101E-2</v>
      </c>
      <c r="R5814">
        <v>0.97385052885390699</v>
      </c>
      <c r="S5814" t="s">
        <v>11675</v>
      </c>
      <c r="T5814" t="s">
        <v>11720</v>
      </c>
      <c r="U5814" t="s">
        <v>11720</v>
      </c>
      <c r="V5814" t="s">
        <v>11720</v>
      </c>
      <c r="W5814" t="s">
        <v>17472</v>
      </c>
      <c r="X5814">
        <v>3</v>
      </c>
      <c r="Y5814" t="s">
        <v>23165</v>
      </c>
      <c r="Z5814" t="s">
        <v>29021</v>
      </c>
      <c r="AA5814">
        <v>0.43591806109138148</v>
      </c>
      <c r="AB5814" t="str">
        <f>HYPERLINK("Melting_Curves/meltCurve_Q9Y689_2_ARL5A.pdf", "Melting_Curves/meltCurve_Q9Y689_2_ARL5A.pdf")</f>
        <v>Melting_Curves/meltCurve_Q9Y689_2_ARL5A.pdf</v>
      </c>
    </row>
    <row r="5815" spans="1:28" x14ac:dyDescent="0.25">
      <c r="A5815" t="s">
        <v>5819</v>
      </c>
      <c r="B5815">
        <v>0.99334974765950101</v>
      </c>
      <c r="C5815">
        <v>0.92744845509905904</v>
      </c>
      <c r="D5815">
        <v>0.91996423963220697</v>
      </c>
      <c r="E5815">
        <v>0.87992066795995405</v>
      </c>
      <c r="F5815">
        <v>0.93459902269853701</v>
      </c>
      <c r="G5815">
        <v>0.65525730866488996</v>
      </c>
      <c r="H5815">
        <v>0.59657015954104398</v>
      </c>
      <c r="I5815">
        <v>0.65923500116220901</v>
      </c>
      <c r="J5815">
        <v>0.75823900930433596</v>
      </c>
      <c r="K5815">
        <v>0.64481063097707902</v>
      </c>
      <c r="L5815">
        <v>3903.6974827285399</v>
      </c>
      <c r="M5815">
        <v>72.301394153209799</v>
      </c>
      <c r="O5815">
        <v>53.950744313790999</v>
      </c>
      <c r="P5815">
        <v>-0.113408466844987</v>
      </c>
      <c r="Q5815">
        <v>0.66150194479938995</v>
      </c>
      <c r="R5815">
        <v>0.80065253869812802</v>
      </c>
      <c r="S5815" t="s">
        <v>11676</v>
      </c>
      <c r="T5815" t="s">
        <v>11720</v>
      </c>
      <c r="U5815" t="s">
        <v>11720</v>
      </c>
      <c r="V5815" t="s">
        <v>11720</v>
      </c>
      <c r="W5815" t="s">
        <v>17473</v>
      </c>
      <c r="X5815">
        <v>1</v>
      </c>
      <c r="Y5815" t="s">
        <v>23166</v>
      </c>
      <c r="Z5815" t="s">
        <v>29022</v>
      </c>
      <c r="AA5815">
        <v>0.81976194918079348</v>
      </c>
      <c r="AB5815" t="str">
        <f>HYPERLINK("Melting_Curves/meltCurve_Q9Y693_LHFP.pdf", "Melting_Curves/meltCurve_Q9Y693_LHFP.pdf")</f>
        <v>Melting_Curves/meltCurve_Q9Y693_LHFP.pdf</v>
      </c>
    </row>
    <row r="5816" spans="1:28" x14ac:dyDescent="0.25">
      <c r="A5816" t="s">
        <v>5820</v>
      </c>
      <c r="B5816">
        <v>0.99334974765950101</v>
      </c>
      <c r="C5816">
        <v>0.96340080360733304</v>
      </c>
      <c r="D5816">
        <v>0.80423766065653302</v>
      </c>
      <c r="E5816">
        <v>0.65279482774852005</v>
      </c>
      <c r="F5816">
        <v>0.259394919151964</v>
      </c>
      <c r="G5816">
        <v>8.1253075819936904E-2</v>
      </c>
      <c r="H5816">
        <v>5.3287614013781903E-2</v>
      </c>
      <c r="I5816">
        <v>4.3103569886265201E-2</v>
      </c>
      <c r="J5816">
        <v>4.2976626141859001E-2</v>
      </c>
      <c r="K5816">
        <v>3.5051375527294801E-2</v>
      </c>
      <c r="L5816">
        <v>1019.0943315931499</v>
      </c>
      <c r="M5816">
        <v>20.1329231838114</v>
      </c>
      <c r="N5816">
        <v>50.725886911825398</v>
      </c>
      <c r="O5816">
        <v>50.126841334277401</v>
      </c>
      <c r="P5816">
        <v>-9.8314330979673695E-2</v>
      </c>
      <c r="Q5816">
        <v>2.0901125470777999E-2</v>
      </c>
      <c r="R5816">
        <v>0.98901262479839902</v>
      </c>
      <c r="S5816" t="s">
        <v>11677</v>
      </c>
      <c r="T5816" t="s">
        <v>11720</v>
      </c>
      <c r="U5816" t="s">
        <v>11720</v>
      </c>
      <c r="V5816" t="s">
        <v>11720</v>
      </c>
      <c r="W5816" t="s">
        <v>17474</v>
      </c>
      <c r="X5816">
        <v>26</v>
      </c>
      <c r="Y5816" t="s">
        <v>23167</v>
      </c>
      <c r="Z5816" t="s">
        <v>29023</v>
      </c>
      <c r="AA5816">
        <v>0.38088046047402507</v>
      </c>
      <c r="AB5816" t="str">
        <f>HYPERLINK("Melting_Curves/meltCurve_Q9Y696_CLIC4.pdf", "Melting_Curves/meltCurve_Q9Y696_CLIC4.pdf")</f>
        <v>Melting_Curves/meltCurve_Q9Y696_CLIC4.pdf</v>
      </c>
    </row>
    <row r="5817" spans="1:28" x14ac:dyDescent="0.25">
      <c r="A5817" t="s">
        <v>5821</v>
      </c>
      <c r="B5817">
        <v>0.99334974765950101</v>
      </c>
      <c r="C5817">
        <v>0.95950553679242401</v>
      </c>
      <c r="D5817">
        <v>1.04819043495807</v>
      </c>
      <c r="E5817">
        <v>0.959223672125885</v>
      </c>
      <c r="F5817">
        <v>0.941086921325616</v>
      </c>
      <c r="G5817">
        <v>0.39382893490003001</v>
      </c>
      <c r="H5817">
        <v>0.26084487358229702</v>
      </c>
      <c r="I5817">
        <v>0.212412361557753</v>
      </c>
      <c r="J5817">
        <v>0.19529187286351701</v>
      </c>
      <c r="K5817">
        <v>0.12942979183164499</v>
      </c>
      <c r="L5817">
        <v>2504.88896113387</v>
      </c>
      <c r="M5817">
        <v>44.977058794933299</v>
      </c>
      <c r="N5817">
        <v>56.302482170526602</v>
      </c>
      <c r="O5817">
        <v>55.582818914195599</v>
      </c>
      <c r="P5817">
        <v>-0.163288499547489</v>
      </c>
      <c r="Q5817">
        <v>0.19283070108366401</v>
      </c>
      <c r="R5817">
        <v>0.99104844661821501</v>
      </c>
      <c r="S5817" t="s">
        <v>11678</v>
      </c>
      <c r="T5817" t="s">
        <v>11720</v>
      </c>
      <c r="U5817" t="s">
        <v>11720</v>
      </c>
      <c r="V5817" t="s">
        <v>11720</v>
      </c>
      <c r="W5817" t="s">
        <v>17475</v>
      </c>
      <c r="X5817">
        <v>12</v>
      </c>
      <c r="Y5817" t="s">
        <v>23168</v>
      </c>
      <c r="Z5817" t="s">
        <v>29024</v>
      </c>
      <c r="AA5817">
        <v>0.61749809345679696</v>
      </c>
      <c r="AB5817" t="str">
        <f>HYPERLINK("Melting_Curves/meltCurve_Q9Y697_2_NFS1.pdf", "Melting_Curves/meltCurve_Q9Y697_2_NFS1.pdf")</f>
        <v>Melting_Curves/meltCurve_Q9Y697_2_NFS1.pdf</v>
      </c>
    </row>
    <row r="5818" spans="1:28" x14ac:dyDescent="0.25">
      <c r="A5818" t="s">
        <v>5822</v>
      </c>
      <c r="B5818">
        <v>0.99334974765950101</v>
      </c>
      <c r="C5818">
        <v>0.93393583791740697</v>
      </c>
      <c r="D5818">
        <v>0.77125025409993497</v>
      </c>
      <c r="E5818">
        <v>0.56100664761388797</v>
      </c>
      <c r="F5818">
        <v>0.22586985119309499</v>
      </c>
      <c r="G5818">
        <v>0.12549350688827299</v>
      </c>
      <c r="H5818">
        <v>9.4480640424136106E-2</v>
      </c>
      <c r="I5818">
        <v>8.5675749837544904E-2</v>
      </c>
      <c r="J5818">
        <v>7.6282127615675696E-2</v>
      </c>
      <c r="K5818">
        <v>7.9179701062048802E-2</v>
      </c>
      <c r="L5818">
        <v>895.51902121737999</v>
      </c>
      <c r="M5818">
        <v>18.0897652167234</v>
      </c>
      <c r="N5818">
        <v>49.8726872540431</v>
      </c>
      <c r="O5818">
        <v>48.911113666676002</v>
      </c>
      <c r="P5818">
        <v>-8.6682378545062194E-2</v>
      </c>
      <c r="Q5818">
        <v>6.25579543000091E-2</v>
      </c>
      <c r="R5818">
        <v>0.99202130153754298</v>
      </c>
      <c r="S5818" t="s">
        <v>11679</v>
      </c>
      <c r="T5818" t="s">
        <v>11720</v>
      </c>
      <c r="U5818" t="s">
        <v>11720</v>
      </c>
      <c r="V5818" t="s">
        <v>11720</v>
      </c>
      <c r="W5818" t="s">
        <v>17476</v>
      </c>
      <c r="X5818">
        <v>8</v>
      </c>
      <c r="Y5818" t="s">
        <v>23169</v>
      </c>
      <c r="Z5818" t="s">
        <v>29025</v>
      </c>
      <c r="AA5818">
        <v>0.37548895317147812</v>
      </c>
      <c r="AB5818" t="str">
        <f>HYPERLINK("Melting_Curves/meltCurve_Q9Y6A4_C16orf80.pdf", "Melting_Curves/meltCurve_Q9Y6A4_C16orf80.pdf")</f>
        <v>Melting_Curves/meltCurve_Q9Y6A4_C16orf80.pdf</v>
      </c>
    </row>
    <row r="5819" spans="1:28" x14ac:dyDescent="0.25">
      <c r="A5819" t="s">
        <v>5823</v>
      </c>
      <c r="B5819">
        <v>0.99334974765950101</v>
      </c>
      <c r="C5819">
        <v>0.97619360431535496</v>
      </c>
      <c r="D5819">
        <v>0.81876919598600395</v>
      </c>
      <c r="E5819">
        <v>0.61689811304053199</v>
      </c>
      <c r="F5819">
        <v>0.50830730247338396</v>
      </c>
      <c r="G5819">
        <v>0.38665893868418899</v>
      </c>
      <c r="H5819">
        <v>0.33014170072462801</v>
      </c>
      <c r="I5819">
        <v>0.36639324444669702</v>
      </c>
      <c r="J5819">
        <v>0.49342772835193899</v>
      </c>
      <c r="K5819">
        <v>0.46689587275713801</v>
      </c>
      <c r="L5819">
        <v>1003.9010283569399</v>
      </c>
      <c r="M5819">
        <v>20.8034818565433</v>
      </c>
      <c r="N5819">
        <v>52.4945780124092</v>
      </c>
      <c r="O5819">
        <v>47.8171368605013</v>
      </c>
      <c r="P5819">
        <v>-6.45244670157952E-2</v>
      </c>
      <c r="Q5819">
        <v>0.40677443064958202</v>
      </c>
      <c r="R5819">
        <v>0.95806029690108496</v>
      </c>
      <c r="S5819" t="s">
        <v>11680</v>
      </c>
      <c r="T5819" t="s">
        <v>11720</v>
      </c>
      <c r="U5819" t="s">
        <v>11720</v>
      </c>
      <c r="V5819" t="s">
        <v>11720</v>
      </c>
      <c r="W5819" t="s">
        <v>17477</v>
      </c>
      <c r="X5819">
        <v>2</v>
      </c>
      <c r="Y5819" t="s">
        <v>23170</v>
      </c>
      <c r="Z5819" t="s">
        <v>29026</v>
      </c>
      <c r="AA5819">
        <v>0.57776138607499139</v>
      </c>
      <c r="AB5819" t="str">
        <f>HYPERLINK("Melting_Curves/meltCurve_Q9Y6B2_2_EID1.pdf", "Melting_Curves/meltCurve_Q9Y6B2_2_EID1.pdf")</f>
        <v>Melting_Curves/meltCurve_Q9Y6B2_2_EID1.pdf</v>
      </c>
    </row>
    <row r="5820" spans="1:28" x14ac:dyDescent="0.25">
      <c r="A5820" t="s">
        <v>5824</v>
      </c>
      <c r="B5820">
        <v>0.99334974765950101</v>
      </c>
      <c r="C5820">
        <v>0.98930394844612202</v>
      </c>
      <c r="D5820">
        <v>0.92997693334687903</v>
      </c>
      <c r="E5820">
        <v>0.82217159284798702</v>
      </c>
      <c r="F5820">
        <v>0.81883946702463395</v>
      </c>
      <c r="G5820">
        <v>0.63398622378321801</v>
      </c>
      <c r="H5820">
        <v>0.54059437527198495</v>
      </c>
      <c r="I5820">
        <v>0.53768768077680795</v>
      </c>
      <c r="J5820">
        <v>0.57095610192142399</v>
      </c>
      <c r="K5820">
        <v>0.50451112458277703</v>
      </c>
      <c r="L5820">
        <v>698.88027619933405</v>
      </c>
      <c r="M5820">
        <v>13.0713573901389</v>
      </c>
      <c r="O5820">
        <v>52.261602341954998</v>
      </c>
      <c r="P5820">
        <v>-3.1714218952920703E-2</v>
      </c>
      <c r="Q5820">
        <v>0.49289160902472401</v>
      </c>
      <c r="R5820">
        <v>0.97612715486698598</v>
      </c>
      <c r="S5820" t="s">
        <v>11681</v>
      </c>
      <c r="T5820" t="s">
        <v>11720</v>
      </c>
      <c r="U5820" t="s">
        <v>11720</v>
      </c>
      <c r="V5820" t="s">
        <v>11720</v>
      </c>
      <c r="W5820" t="s">
        <v>17478</v>
      </c>
      <c r="X5820">
        <v>12</v>
      </c>
      <c r="Y5820" t="s">
        <v>23171</v>
      </c>
      <c r="Z5820" t="s">
        <v>29027</v>
      </c>
      <c r="AA5820">
        <v>0.73318971693332102</v>
      </c>
      <c r="AB5820" t="str">
        <f>HYPERLINK("Melting_Curves/meltCurve_Q9Y6C2_EMILIN1.pdf", "Melting_Curves/meltCurve_Q9Y6C2_EMILIN1.pdf")</f>
        <v>Melting_Curves/meltCurve_Q9Y6C2_EMILIN1.pdf</v>
      </c>
    </row>
    <row r="5821" spans="1:28" x14ac:dyDescent="0.25">
      <c r="A5821" t="s">
        <v>5825</v>
      </c>
      <c r="B5821">
        <v>0.99334974765950101</v>
      </c>
      <c r="C5821">
        <v>0.79881834875117796</v>
      </c>
      <c r="D5821">
        <v>0.71252927757012197</v>
      </c>
      <c r="E5821">
        <v>0.96189708817368502</v>
      </c>
      <c r="F5821">
        <v>0.895096652248487</v>
      </c>
      <c r="G5821">
        <v>0.68106433690383505</v>
      </c>
      <c r="H5821">
        <v>0.356572570971462</v>
      </c>
      <c r="I5821">
        <v>0.179868665562051</v>
      </c>
      <c r="J5821">
        <v>0.16594774703019199</v>
      </c>
      <c r="K5821">
        <v>0.123409707100908</v>
      </c>
      <c r="L5821">
        <v>1134.2558582919901</v>
      </c>
      <c r="M5821">
        <v>19.382853080420102</v>
      </c>
      <c r="N5821">
        <v>59.001092581189098</v>
      </c>
      <c r="O5821">
        <v>57.906298311088499</v>
      </c>
      <c r="P5821">
        <v>-7.7550801726874896E-2</v>
      </c>
      <c r="Q5821">
        <v>7.3301464090988505E-2</v>
      </c>
      <c r="R5821">
        <v>0.88600857924114795</v>
      </c>
      <c r="S5821" t="s">
        <v>11682</v>
      </c>
      <c r="T5821" t="s">
        <v>11720</v>
      </c>
      <c r="U5821" t="s">
        <v>11720</v>
      </c>
      <c r="V5821" t="s">
        <v>11720</v>
      </c>
      <c r="W5821" t="s">
        <v>17479</v>
      </c>
      <c r="X5821">
        <v>7</v>
      </c>
      <c r="Y5821" t="s">
        <v>23172</v>
      </c>
      <c r="Z5821" t="s">
        <v>29028</v>
      </c>
      <c r="AA5821">
        <v>0.65551838697663711</v>
      </c>
      <c r="AB5821" t="str">
        <f>HYPERLINK("Melting_Curves/meltCurve_Q9Y6C9_MTCH2.pdf", "Melting_Curves/meltCurve_Q9Y6C9_MTCH2.pdf")</f>
        <v>Melting_Curves/meltCurve_Q9Y6C9_MTCH2.pdf</v>
      </c>
    </row>
    <row r="5822" spans="1:28" x14ac:dyDescent="0.25">
      <c r="A5822" t="s">
        <v>5826</v>
      </c>
      <c r="B5822">
        <v>0.99334974765950101</v>
      </c>
      <c r="C5822">
        <v>1.01349387407545</v>
      </c>
      <c r="D5822">
        <v>0.92095444332391896</v>
      </c>
      <c r="E5822">
        <v>0.71614652146325397</v>
      </c>
      <c r="F5822">
        <v>0.29511783995533603</v>
      </c>
      <c r="G5822">
        <v>0.152439983997356</v>
      </c>
      <c r="H5822">
        <v>0.112443307715955</v>
      </c>
      <c r="I5822">
        <v>8.5345010450189607E-2</v>
      </c>
      <c r="J5822">
        <v>8.3963894006669398E-2</v>
      </c>
      <c r="K5822">
        <v>7.2321719031399695E-2</v>
      </c>
      <c r="L5822">
        <v>1550.11216737516</v>
      </c>
      <c r="M5822">
        <v>30.3255091683016</v>
      </c>
      <c r="N5822">
        <v>51.448377516502397</v>
      </c>
      <c r="O5822">
        <v>50.895052564504297</v>
      </c>
      <c r="P5822">
        <v>-0.13570259926762901</v>
      </c>
      <c r="Q5822">
        <v>8.9011476801935802E-2</v>
      </c>
      <c r="R5822">
        <v>0.99666998457878098</v>
      </c>
      <c r="S5822" t="s">
        <v>11683</v>
      </c>
      <c r="T5822" t="s">
        <v>11720</v>
      </c>
      <c r="U5822" t="s">
        <v>11720</v>
      </c>
      <c r="V5822" t="s">
        <v>11720</v>
      </c>
      <c r="W5822" t="s">
        <v>17480</v>
      </c>
      <c r="X5822">
        <v>8</v>
      </c>
      <c r="Y5822" t="s">
        <v>23173</v>
      </c>
      <c r="Z5822" t="s">
        <v>29029</v>
      </c>
      <c r="AA5822">
        <v>0.43217257069815962</v>
      </c>
      <c r="AB5822" t="str">
        <f>HYPERLINK("Melting_Curves/meltCurve_Q9Y6D5_ARFGEF2.pdf", "Melting_Curves/meltCurve_Q9Y6D5_ARFGEF2.pdf")</f>
        <v>Melting_Curves/meltCurve_Q9Y6D5_ARFGEF2.pdf</v>
      </c>
    </row>
    <row r="5823" spans="1:28" x14ac:dyDescent="0.25">
      <c r="A5823" t="s">
        <v>5827</v>
      </c>
      <c r="B5823">
        <v>0.99334974765950101</v>
      </c>
      <c r="C5823">
        <v>1.00829643245073</v>
      </c>
      <c r="D5823">
        <v>1.06098795906864</v>
      </c>
      <c r="E5823">
        <v>0.97872291546619805</v>
      </c>
      <c r="F5823">
        <v>0.32478818995814401</v>
      </c>
      <c r="G5823">
        <v>0.18480661864084699</v>
      </c>
      <c r="H5823">
        <v>0.114803895657144</v>
      </c>
      <c r="I5823">
        <v>9.2417219131612799E-2</v>
      </c>
      <c r="J5823">
        <v>7.8459522256864894E-2</v>
      </c>
      <c r="K5823">
        <v>5.8948005962200699E-2</v>
      </c>
      <c r="L5823">
        <v>4089.9935852864</v>
      </c>
      <c r="M5823">
        <v>78.286097083681199</v>
      </c>
      <c r="N5823">
        <v>52.402704851086497</v>
      </c>
      <c r="O5823">
        <v>52.210127230785297</v>
      </c>
      <c r="P5823">
        <v>-0.33533892131535198</v>
      </c>
      <c r="Q5823">
        <v>0.10543067493688001</v>
      </c>
      <c r="R5823">
        <v>0.99296258885783895</v>
      </c>
      <c r="S5823" t="s">
        <v>11684</v>
      </c>
      <c r="T5823" t="s">
        <v>11720</v>
      </c>
      <c r="U5823" t="s">
        <v>11720</v>
      </c>
      <c r="V5823" t="s">
        <v>11720</v>
      </c>
      <c r="W5823" t="s">
        <v>17481</v>
      </c>
      <c r="X5823">
        <v>11</v>
      </c>
      <c r="Y5823" t="s">
        <v>23174</v>
      </c>
      <c r="Z5823" t="s">
        <v>29030</v>
      </c>
      <c r="AA5823">
        <v>0.47137799812273729</v>
      </c>
      <c r="AB5823" t="str">
        <f>HYPERLINK("Melting_Curves/meltCurve_Q9Y6D6_ARFGEF1.pdf", "Melting_Curves/meltCurve_Q9Y6D6_ARFGEF1.pdf")</f>
        <v>Melting_Curves/meltCurve_Q9Y6D6_ARFGEF1.pdf</v>
      </c>
    </row>
    <row r="5824" spans="1:28" x14ac:dyDescent="0.25">
      <c r="A5824" t="s">
        <v>5828</v>
      </c>
      <c r="B5824">
        <v>0.99334974765950101</v>
      </c>
      <c r="C5824">
        <v>0.89125403312292395</v>
      </c>
      <c r="D5824">
        <v>0.69609145136119399</v>
      </c>
      <c r="E5824">
        <v>0.237421918491799</v>
      </c>
      <c r="F5824">
        <v>0.200670844081279</v>
      </c>
      <c r="G5824">
        <v>0.106229517204802</v>
      </c>
      <c r="H5824">
        <v>7.8678185436713996E-2</v>
      </c>
      <c r="I5824">
        <v>6.2891875279066894E-2</v>
      </c>
      <c r="J5824">
        <v>5.7330665125379703E-2</v>
      </c>
      <c r="K5824">
        <v>4.2814305342810603E-2</v>
      </c>
      <c r="L5824">
        <v>1026.0989785059501</v>
      </c>
      <c r="M5824">
        <v>21.694891447568502</v>
      </c>
      <c r="N5824">
        <v>47.6067920254496</v>
      </c>
      <c r="O5824">
        <v>46.900449339366801</v>
      </c>
      <c r="P5824">
        <v>-0.10802782969357499</v>
      </c>
      <c r="Q5824">
        <v>6.5875165417769596E-2</v>
      </c>
      <c r="R5824">
        <v>0.99422815055336</v>
      </c>
      <c r="S5824" t="s">
        <v>11685</v>
      </c>
      <c r="T5824" t="s">
        <v>11720</v>
      </c>
      <c r="U5824" t="s">
        <v>11720</v>
      </c>
      <c r="V5824" t="s">
        <v>11720</v>
      </c>
      <c r="W5824" t="s">
        <v>17482</v>
      </c>
      <c r="X5824">
        <v>3</v>
      </c>
      <c r="Y5824" t="s">
        <v>23175</v>
      </c>
      <c r="Z5824" t="s">
        <v>29031</v>
      </c>
      <c r="AA5824">
        <v>0.30439907921407422</v>
      </c>
      <c r="AB5824" t="str">
        <f>HYPERLINK("Melting_Curves/meltCurve_Q9Y6D9_MAD1L1.pdf", "Melting_Curves/meltCurve_Q9Y6D9_MAD1L1.pdf")</f>
        <v>Melting_Curves/meltCurve_Q9Y6D9_MAD1L1.pdf</v>
      </c>
    </row>
    <row r="5825" spans="1:28" x14ac:dyDescent="0.25">
      <c r="A5825" t="s">
        <v>5829</v>
      </c>
      <c r="B5825">
        <v>0.99334974765950101</v>
      </c>
      <c r="C5825">
        <v>0.999524536843861</v>
      </c>
      <c r="D5825">
        <v>0.93847051601696396</v>
      </c>
      <c r="E5825">
        <v>0.75932721007562198</v>
      </c>
      <c r="F5825">
        <v>0.32063319052309103</v>
      </c>
      <c r="G5825">
        <v>0.119828781984786</v>
      </c>
      <c r="H5825">
        <v>6.5188794784579798E-2</v>
      </c>
      <c r="I5825">
        <v>5.9327511934425599E-2</v>
      </c>
      <c r="J5825">
        <v>4.3061401556923201E-2</v>
      </c>
      <c r="K5825">
        <v>4.5386086430896803E-2</v>
      </c>
      <c r="L5825">
        <v>1617.5939174811499</v>
      </c>
      <c r="M5825">
        <v>31.369236759868102</v>
      </c>
      <c r="N5825">
        <v>51.753465591049803</v>
      </c>
      <c r="O5825">
        <v>51.358056937444502</v>
      </c>
      <c r="P5825">
        <v>-0.144509895017916</v>
      </c>
      <c r="Q5825">
        <v>5.36326372583125E-2</v>
      </c>
      <c r="R5825">
        <v>0.99825547173843898</v>
      </c>
      <c r="S5825" t="s">
        <v>11686</v>
      </c>
      <c r="T5825" t="s">
        <v>11720</v>
      </c>
      <c r="U5825" t="s">
        <v>11720</v>
      </c>
      <c r="V5825" t="s">
        <v>11720</v>
      </c>
      <c r="W5825" t="s">
        <v>17483</v>
      </c>
      <c r="X5825">
        <v>18</v>
      </c>
      <c r="Y5825" t="s">
        <v>23176</v>
      </c>
      <c r="Z5825" t="s">
        <v>29032</v>
      </c>
      <c r="AA5825">
        <v>0.42399033602044939</v>
      </c>
      <c r="AB5825" t="str">
        <f>HYPERLINK("Melting_Curves/meltCurve_Q9Y6E0_2_STK24.pdf", "Melting_Curves/meltCurve_Q9Y6E0_2_STK24.pdf")</f>
        <v>Melting_Curves/meltCurve_Q9Y6E0_2_STK24.pdf</v>
      </c>
    </row>
    <row r="5826" spans="1:28" x14ac:dyDescent="0.25">
      <c r="A5826" t="s">
        <v>5830</v>
      </c>
      <c r="B5826">
        <v>0.99334974765950101</v>
      </c>
      <c r="C5826">
        <v>0.885534816640422</v>
      </c>
      <c r="D5826">
        <v>0.86627047347501196</v>
      </c>
      <c r="E5826">
        <v>1.02253084039416</v>
      </c>
      <c r="F5826">
        <v>1.16053661147744</v>
      </c>
      <c r="G5826">
        <v>0.80858928182831302</v>
      </c>
      <c r="H5826">
        <v>0.68994211791871796</v>
      </c>
      <c r="I5826">
        <v>0.22262329371553199</v>
      </c>
      <c r="J5826">
        <v>0.10580507887406899</v>
      </c>
      <c r="K5826">
        <v>4.5109714187003901E-2</v>
      </c>
      <c r="L5826">
        <v>1889.3864805099399</v>
      </c>
      <c r="M5826">
        <v>30.492613304282301</v>
      </c>
      <c r="N5826">
        <v>61.9798353609335</v>
      </c>
      <c r="O5826">
        <v>61.697439853829302</v>
      </c>
      <c r="P5826">
        <v>-0.123021724633611</v>
      </c>
      <c r="Q5826">
        <v>4.3386734736073403E-3</v>
      </c>
      <c r="R5826">
        <v>0.94379074269183905</v>
      </c>
      <c r="S5826" t="s">
        <v>11687</v>
      </c>
      <c r="T5826" t="s">
        <v>11720</v>
      </c>
      <c r="U5826" t="s">
        <v>11720</v>
      </c>
      <c r="V5826" t="s">
        <v>11720</v>
      </c>
      <c r="W5826" t="s">
        <v>17484</v>
      </c>
      <c r="X5826">
        <v>3</v>
      </c>
      <c r="Y5826" t="s">
        <v>23177</v>
      </c>
      <c r="Z5826" t="s">
        <v>29033</v>
      </c>
      <c r="AA5826">
        <v>0.73784747529052752</v>
      </c>
      <c r="AB5826" t="str">
        <f>HYPERLINK("Melting_Curves/meltCurve_Q9Y6G5_COMMD10.pdf", "Melting_Curves/meltCurve_Q9Y6G5_COMMD10.pdf")</f>
        <v>Melting_Curves/meltCurve_Q9Y6G5_COMMD10.pdf</v>
      </c>
    </row>
    <row r="5827" spans="1:28" x14ac:dyDescent="0.25">
      <c r="A5827" t="s">
        <v>5831</v>
      </c>
      <c r="B5827">
        <v>0.99334974765950101</v>
      </c>
      <c r="C5827">
        <v>0.96457723631908798</v>
      </c>
      <c r="D5827">
        <v>0.70427108920098203</v>
      </c>
      <c r="E5827">
        <v>0.87606039042832895</v>
      </c>
      <c r="F5827">
        <v>0.93828573849138397</v>
      </c>
      <c r="G5827">
        <v>0.432048430388495</v>
      </c>
      <c r="H5827">
        <v>0.29247853512951399</v>
      </c>
      <c r="I5827">
        <v>0.29393978784663499</v>
      </c>
      <c r="J5827">
        <v>0.26923911076842999</v>
      </c>
      <c r="K5827">
        <v>0.24119010184787901</v>
      </c>
      <c r="L5827">
        <v>2462.88513919873</v>
      </c>
      <c r="M5827">
        <v>44.400809567876799</v>
      </c>
      <c r="N5827">
        <v>56.4526539636622</v>
      </c>
      <c r="O5827">
        <v>55.357208769002099</v>
      </c>
      <c r="P5827">
        <v>-0.146525821202936</v>
      </c>
      <c r="Q5827">
        <v>0.26927015335162002</v>
      </c>
      <c r="R5827">
        <v>0.88918238239304404</v>
      </c>
      <c r="S5827" t="s">
        <v>11688</v>
      </c>
      <c r="T5827" t="s">
        <v>11720</v>
      </c>
      <c r="U5827" t="s">
        <v>11720</v>
      </c>
      <c r="V5827" t="s">
        <v>11720</v>
      </c>
      <c r="W5827" t="s">
        <v>17485</v>
      </c>
      <c r="X5827">
        <v>9</v>
      </c>
      <c r="Y5827" t="s">
        <v>23178</v>
      </c>
      <c r="Z5827" t="s">
        <v>29034</v>
      </c>
      <c r="AA5827">
        <v>0.6483335741395797</v>
      </c>
      <c r="AB5827" t="str">
        <f>HYPERLINK("Melting_Curves/meltCurve_Q9Y6G9_DYNC1LI1.pdf", "Melting_Curves/meltCurve_Q9Y6G9_DYNC1LI1.pdf")</f>
        <v>Melting_Curves/meltCurve_Q9Y6G9_DYNC1LI1.pdf</v>
      </c>
    </row>
    <row r="5828" spans="1:28" x14ac:dyDescent="0.25">
      <c r="A5828" t="s">
        <v>5832</v>
      </c>
      <c r="B5828">
        <v>0.99334974765950101</v>
      </c>
      <c r="C5828">
        <v>1.0231268375107301</v>
      </c>
      <c r="D5828">
        <v>1.0686901063590599</v>
      </c>
      <c r="E5828">
        <v>0.95035253634778705</v>
      </c>
      <c r="F5828">
        <v>0.88697982219113702</v>
      </c>
      <c r="G5828">
        <v>0.82992836760230204</v>
      </c>
      <c r="H5828">
        <v>0.82383656387820103</v>
      </c>
      <c r="I5828">
        <v>1.0119076320393301</v>
      </c>
      <c r="J5828">
        <v>0.92455454094082301</v>
      </c>
      <c r="K5828">
        <v>0.91465430511346901</v>
      </c>
      <c r="L5828">
        <v>12502.0341688511</v>
      </c>
      <c r="M5828">
        <v>250</v>
      </c>
      <c r="O5828">
        <v>50.004936502022097</v>
      </c>
      <c r="P5828">
        <v>-0.12668308003245199</v>
      </c>
      <c r="Q5828">
        <v>0.89864353018410803</v>
      </c>
      <c r="R5828">
        <v>0.51485116902515204</v>
      </c>
      <c r="S5828" t="s">
        <v>11689</v>
      </c>
      <c r="T5828" t="s">
        <v>11720</v>
      </c>
      <c r="U5828" t="s">
        <v>11720</v>
      </c>
      <c r="V5828" t="s">
        <v>11720</v>
      </c>
      <c r="W5828" t="s">
        <v>17486</v>
      </c>
      <c r="X5828">
        <v>6</v>
      </c>
      <c r="Y5828" t="s">
        <v>23179</v>
      </c>
      <c r="Z5828" t="s">
        <v>29035</v>
      </c>
      <c r="AA5828">
        <v>0.93246540567793701</v>
      </c>
      <c r="AB5828" t="str">
        <f>HYPERLINK("Melting_Curves/meltCurve_Q9Y6H1_CHCHD2.pdf", "Melting_Curves/meltCurve_Q9Y6H1_CHCHD2.pdf")</f>
        <v>Melting_Curves/meltCurve_Q9Y6H1_CHCHD2.pdf</v>
      </c>
    </row>
    <row r="5829" spans="1:28" x14ac:dyDescent="0.25">
      <c r="A5829" t="s">
        <v>5833</v>
      </c>
      <c r="B5829">
        <v>0.99334974765950101</v>
      </c>
      <c r="C5829">
        <v>0.63197235977024802</v>
      </c>
      <c r="D5829">
        <v>0.32949199183250699</v>
      </c>
      <c r="E5829">
        <v>0.48393131191616201</v>
      </c>
      <c r="F5829">
        <v>2.7945376286341798E-2</v>
      </c>
      <c r="G5829">
        <v>2.37950636940569E-2</v>
      </c>
      <c r="H5829">
        <v>0</v>
      </c>
      <c r="I5829">
        <v>0</v>
      </c>
      <c r="J5829">
        <v>0</v>
      </c>
      <c r="K5829">
        <v>0</v>
      </c>
      <c r="L5829">
        <v>615.897810072673</v>
      </c>
      <c r="M5829">
        <v>13.5453293737501</v>
      </c>
      <c r="N5829">
        <v>45.469388537718402</v>
      </c>
      <c r="O5829">
        <v>44.5126813951317</v>
      </c>
      <c r="P5829">
        <v>-7.6087141745767695E-2</v>
      </c>
      <c r="Q5829">
        <v>0</v>
      </c>
      <c r="R5829">
        <v>0.89497032336484506</v>
      </c>
      <c r="S5829" t="s">
        <v>11690</v>
      </c>
      <c r="T5829" t="s">
        <v>11720</v>
      </c>
      <c r="U5829" t="s">
        <v>11720</v>
      </c>
      <c r="V5829" t="s">
        <v>11720</v>
      </c>
      <c r="W5829" t="s">
        <v>17487</v>
      </c>
      <c r="X5829">
        <v>16</v>
      </c>
      <c r="Y5829" t="s">
        <v>23180</v>
      </c>
      <c r="Z5829" t="s">
        <v>29036</v>
      </c>
      <c r="AA5829">
        <v>0.2200821342328349</v>
      </c>
      <c r="AB5829" t="str">
        <f>HYPERLINK("Melting_Curves/meltCurve_Q9Y6I3_EPN1.pdf", "Melting_Curves/meltCurve_Q9Y6I3_EPN1.pdf")</f>
        <v>Melting_Curves/meltCurve_Q9Y6I3_EPN1.pdf</v>
      </c>
    </row>
    <row r="5830" spans="1:28" x14ac:dyDescent="0.25">
      <c r="A5830" t="s">
        <v>5834</v>
      </c>
      <c r="B5830">
        <v>0.99334974765950101</v>
      </c>
      <c r="C5830">
        <v>0.93021167607220501</v>
      </c>
      <c r="D5830">
        <v>0.83953182427255302</v>
      </c>
      <c r="E5830">
        <v>0.57812480925770204</v>
      </c>
      <c r="F5830">
        <v>0.27039363762007101</v>
      </c>
      <c r="G5830">
        <v>0.172754161888545</v>
      </c>
      <c r="H5830">
        <v>0.106602785845391</v>
      </c>
      <c r="I5830">
        <v>9.53954511926004E-2</v>
      </c>
      <c r="J5830">
        <v>9.2414847982507195E-2</v>
      </c>
      <c r="K5830">
        <v>7.9986023427047304E-2</v>
      </c>
      <c r="L5830">
        <v>945.35628657247798</v>
      </c>
      <c r="M5830">
        <v>18.910160273698999</v>
      </c>
      <c r="N5830">
        <v>50.448451077179698</v>
      </c>
      <c r="O5830">
        <v>49.442987894510097</v>
      </c>
      <c r="P5830">
        <v>-8.8100955239583306E-2</v>
      </c>
      <c r="Q5830">
        <v>7.8633553128636194E-2</v>
      </c>
      <c r="R5830">
        <v>0.99638909355176297</v>
      </c>
      <c r="S5830" t="s">
        <v>11691</v>
      </c>
      <c r="T5830" t="s">
        <v>11720</v>
      </c>
      <c r="U5830" t="s">
        <v>11720</v>
      </c>
      <c r="V5830" t="s">
        <v>11720</v>
      </c>
      <c r="W5830" t="s">
        <v>17488</v>
      </c>
      <c r="X5830">
        <v>13</v>
      </c>
      <c r="Y5830" t="s">
        <v>23181</v>
      </c>
      <c r="Z5830" t="s">
        <v>29037</v>
      </c>
      <c r="AA5830">
        <v>0.3998084451706575</v>
      </c>
      <c r="AB5830" t="str">
        <f>HYPERLINK("Melting_Curves/meltCurve_Q9Y6I9_TEX264.pdf", "Melting_Curves/meltCurve_Q9Y6I9_TEX264.pdf")</f>
        <v>Melting_Curves/meltCurve_Q9Y6I9_TEX264.pdf</v>
      </c>
    </row>
    <row r="5831" spans="1:28" x14ac:dyDescent="0.25">
      <c r="A5831" t="s">
        <v>5835</v>
      </c>
      <c r="B5831">
        <v>0.99334974765950101</v>
      </c>
      <c r="C5831">
        <v>0.84806201098082301</v>
      </c>
      <c r="D5831">
        <v>0.55572052701387997</v>
      </c>
      <c r="E5831">
        <v>0.22985213946365499</v>
      </c>
      <c r="F5831">
        <v>0.18896441711440801</v>
      </c>
      <c r="G5831">
        <v>0.126193081191847</v>
      </c>
      <c r="H5831">
        <v>9.6840876580599006E-2</v>
      </c>
      <c r="I5831">
        <v>8.6667511521465998E-2</v>
      </c>
      <c r="J5831">
        <v>8.7522735470930299E-2</v>
      </c>
      <c r="K5831">
        <v>6.5153156477910507E-2</v>
      </c>
      <c r="L5831">
        <v>959.35022093087605</v>
      </c>
      <c r="M5831">
        <v>20.776891958161201</v>
      </c>
      <c r="N5831">
        <v>46.625794849993397</v>
      </c>
      <c r="O5831">
        <v>45.7525395801255</v>
      </c>
      <c r="P5831">
        <v>-0.10317862170372601</v>
      </c>
      <c r="Q5831">
        <v>9.1191860155893895E-2</v>
      </c>
      <c r="R5831">
        <v>0.99648043932688501</v>
      </c>
      <c r="S5831" t="s">
        <v>11692</v>
      </c>
      <c r="T5831" t="s">
        <v>11720</v>
      </c>
      <c r="U5831" t="s">
        <v>11720</v>
      </c>
      <c r="V5831" t="s">
        <v>11720</v>
      </c>
      <c r="W5831" t="s">
        <v>17489</v>
      </c>
      <c r="X5831">
        <v>13</v>
      </c>
      <c r="Y5831" t="s">
        <v>23182</v>
      </c>
      <c r="Z5831" t="s">
        <v>29038</v>
      </c>
      <c r="AA5831">
        <v>0.29094977690911727</v>
      </c>
      <c r="AB5831" t="str">
        <f>HYPERLINK("Melting_Curves/meltCurve_Q9Y6K8_3_AK5.pdf", "Melting_Curves/meltCurve_Q9Y6K8_3_AK5.pdf")</f>
        <v>Melting_Curves/meltCurve_Q9Y6K8_3_AK5.pdf</v>
      </c>
    </row>
    <row r="5832" spans="1:28" x14ac:dyDescent="0.25">
      <c r="A5832" t="s">
        <v>5836</v>
      </c>
      <c r="B5832">
        <v>0.99334974765950101</v>
      </c>
      <c r="C5832">
        <v>0.89599664086806996</v>
      </c>
      <c r="D5832">
        <v>0.81059500625140701</v>
      </c>
      <c r="E5832">
        <v>0.73775799295729605</v>
      </c>
      <c r="F5832">
        <v>0.58499339857186095</v>
      </c>
      <c r="G5832">
        <v>0.34660583942425199</v>
      </c>
      <c r="H5832">
        <v>0.24937983761471799</v>
      </c>
      <c r="I5832">
        <v>0.195703942696873</v>
      </c>
      <c r="J5832">
        <v>0.18323488271305699</v>
      </c>
      <c r="K5832">
        <v>0.158513029273814</v>
      </c>
      <c r="L5832">
        <v>563.02116007626796</v>
      </c>
      <c r="M5832">
        <v>10.557081898008001</v>
      </c>
      <c r="N5832">
        <v>54.134609599716804</v>
      </c>
      <c r="O5832">
        <v>51.524228014096501</v>
      </c>
      <c r="P5832">
        <v>-4.7528082500482398E-2</v>
      </c>
      <c r="Q5832">
        <v>7.2516249876507594E-2</v>
      </c>
      <c r="R5832">
        <v>0.99026008292573098</v>
      </c>
      <c r="S5832" t="s">
        <v>11693</v>
      </c>
      <c r="T5832" t="s">
        <v>11720</v>
      </c>
      <c r="U5832" t="s">
        <v>11720</v>
      </c>
      <c r="V5832" t="s">
        <v>11720</v>
      </c>
      <c r="W5832" t="s">
        <v>17490</v>
      </c>
      <c r="X5832">
        <v>2</v>
      </c>
      <c r="Y5832" t="s">
        <v>23183</v>
      </c>
      <c r="Z5832" t="s">
        <v>29039</v>
      </c>
      <c r="AA5832">
        <v>0.51379651862878717</v>
      </c>
      <c r="AB5832" t="str">
        <f>HYPERLINK("Melting_Curves/meltCurve_Q9Y6M4_3_CSNK1G3.pdf", "Melting_Curves/meltCurve_Q9Y6M4_3_CSNK1G3.pdf")</f>
        <v>Melting_Curves/meltCurve_Q9Y6M4_3_CSNK1G3.pdf</v>
      </c>
    </row>
    <row r="5833" spans="1:28" x14ac:dyDescent="0.25">
      <c r="A5833" t="s">
        <v>5837</v>
      </c>
      <c r="B5833">
        <v>0.99334974765950101</v>
      </c>
      <c r="C5833">
        <v>0.90666510089601904</v>
      </c>
      <c r="D5833">
        <v>0.89963331285621795</v>
      </c>
      <c r="E5833">
        <v>0.92855186772995801</v>
      </c>
      <c r="F5833">
        <v>0.91811629340503098</v>
      </c>
      <c r="G5833">
        <v>0.82697289750953096</v>
      </c>
      <c r="H5833">
        <v>0.65818058436485405</v>
      </c>
      <c r="I5833">
        <v>0.710529289856485</v>
      </c>
      <c r="J5833">
        <v>0.60392128121520094</v>
      </c>
      <c r="K5833">
        <v>0.41308040370815202</v>
      </c>
      <c r="L5833">
        <v>462.71973060888803</v>
      </c>
      <c r="M5833">
        <v>6.6653579013466997</v>
      </c>
      <c r="N5833">
        <v>69.421594857325303</v>
      </c>
      <c r="O5833">
        <v>63.972133904422698</v>
      </c>
      <c r="P5833">
        <v>-2.6105645583214501E-2</v>
      </c>
      <c r="Q5833">
        <v>0</v>
      </c>
      <c r="R5833">
        <v>0.90905706756414595</v>
      </c>
      <c r="S5833" t="s">
        <v>11694</v>
      </c>
      <c r="T5833" t="s">
        <v>11720</v>
      </c>
      <c r="U5833" t="s">
        <v>11720</v>
      </c>
      <c r="V5833" t="s">
        <v>11720</v>
      </c>
      <c r="W5833" t="s">
        <v>17491</v>
      </c>
      <c r="X5833">
        <v>8</v>
      </c>
      <c r="Y5833" t="s">
        <v>23184</v>
      </c>
      <c r="Z5833" t="s">
        <v>29040</v>
      </c>
      <c r="AA5833">
        <v>0.80927493998189515</v>
      </c>
      <c r="AB5833" t="str">
        <f>HYPERLINK("Melting_Curves/meltCurve_Q9Y6M5_SLC30A1.pdf", "Melting_Curves/meltCurve_Q9Y6M5_SLC30A1.pdf")</f>
        <v>Melting_Curves/meltCurve_Q9Y6M5_SLC30A1.pdf</v>
      </c>
    </row>
    <row r="5834" spans="1:28" x14ac:dyDescent="0.25">
      <c r="A5834" t="s">
        <v>5838</v>
      </c>
      <c r="B5834">
        <v>0.99334974765950101</v>
      </c>
      <c r="C5834">
        <v>0.96245905398561704</v>
      </c>
      <c r="D5834">
        <v>0.86166553566970205</v>
      </c>
      <c r="E5834">
        <v>0.72636221717862004</v>
      </c>
      <c r="F5834">
        <v>0.52633269326732401</v>
      </c>
      <c r="G5834">
        <v>0.25566885520015298</v>
      </c>
      <c r="H5834">
        <v>0.20335568060703499</v>
      </c>
      <c r="I5834">
        <v>0.192719822420029</v>
      </c>
      <c r="J5834">
        <v>0.19785470461949201</v>
      </c>
      <c r="K5834">
        <v>7.41544607731459E-2</v>
      </c>
      <c r="L5834">
        <v>787.75402220701994</v>
      </c>
      <c r="M5834">
        <v>15.081368457149599</v>
      </c>
      <c r="N5834">
        <v>53.123815653469698</v>
      </c>
      <c r="O5834">
        <v>51.341034214438103</v>
      </c>
      <c r="P5834">
        <v>-6.5243686437377393E-2</v>
      </c>
      <c r="Q5834">
        <v>0.111659652049738</v>
      </c>
      <c r="R5834">
        <v>0.98943827680709895</v>
      </c>
      <c r="S5834" t="s">
        <v>11695</v>
      </c>
      <c r="T5834" t="s">
        <v>11720</v>
      </c>
      <c r="U5834" t="s">
        <v>11720</v>
      </c>
      <c r="V5834" t="s">
        <v>11720</v>
      </c>
      <c r="W5834" t="s">
        <v>17492</v>
      </c>
      <c r="X5834">
        <v>2</v>
      </c>
      <c r="Y5834" t="s">
        <v>23185</v>
      </c>
      <c r="Z5834" t="s">
        <v>29041</v>
      </c>
      <c r="AA5834">
        <v>0.49344951677153109</v>
      </c>
      <c r="AB5834" t="str">
        <f>HYPERLINK("Melting_Curves/meltCurve_Q9Y6N1_COX11.pdf", "Melting_Curves/meltCurve_Q9Y6N1_COX11.pdf")</f>
        <v>Melting_Curves/meltCurve_Q9Y6N1_COX11.pdf</v>
      </c>
    </row>
    <row r="5835" spans="1:28" x14ac:dyDescent="0.25">
      <c r="A5835" t="s">
        <v>5839</v>
      </c>
      <c r="B5835">
        <v>0.99334974765950101</v>
      </c>
      <c r="C5835">
        <v>1.02888418447788</v>
      </c>
      <c r="D5835">
        <v>1.0218947320103799</v>
      </c>
      <c r="E5835">
        <v>0.982282531509585</v>
      </c>
      <c r="F5835">
        <v>0.96520049600053004</v>
      </c>
      <c r="G5835">
        <v>1.08750587307944</v>
      </c>
      <c r="H5835">
        <v>1.05614384249696</v>
      </c>
      <c r="I5835">
        <v>1.1604686415093799</v>
      </c>
      <c r="J5835">
        <v>1.0077603805800699</v>
      </c>
      <c r="K5835">
        <v>0.56498567911145903</v>
      </c>
      <c r="L5835">
        <v>15000</v>
      </c>
      <c r="M5835">
        <v>214.02428607126001</v>
      </c>
      <c r="Q5835">
        <v>0</v>
      </c>
      <c r="R5835">
        <v>0.82598384265353597</v>
      </c>
      <c r="S5835" t="s">
        <v>11696</v>
      </c>
      <c r="T5835" t="s">
        <v>11720</v>
      </c>
      <c r="U5835" t="s">
        <v>11720</v>
      </c>
      <c r="V5835" t="s">
        <v>11720</v>
      </c>
      <c r="W5835" t="s">
        <v>17493</v>
      </c>
      <c r="X5835">
        <v>34</v>
      </c>
      <c r="Y5835" t="s">
        <v>23186</v>
      </c>
      <c r="Z5835" t="s">
        <v>29042</v>
      </c>
      <c r="AA5835">
        <v>0.99384881022270255</v>
      </c>
      <c r="AB5835" t="str">
        <f>HYPERLINK("Melting_Curves/meltCurve_Q9Y6N5_SQRDL.pdf", "Melting_Curves/meltCurve_Q9Y6N5_SQRDL.pdf")</f>
        <v>Melting_Curves/meltCurve_Q9Y6N5_SQRDL.pdf</v>
      </c>
    </row>
    <row r="5836" spans="1:28" x14ac:dyDescent="0.25">
      <c r="A5836" t="s">
        <v>5840</v>
      </c>
      <c r="B5836">
        <v>0.99334974765950101</v>
      </c>
      <c r="C5836">
        <v>1.0424984706151601</v>
      </c>
      <c r="D5836">
        <v>0.91258331301981199</v>
      </c>
      <c r="E5836">
        <v>0.92640410038834398</v>
      </c>
      <c r="F5836">
        <v>0.90821591035958005</v>
      </c>
      <c r="G5836">
        <v>0.56046155101159001</v>
      </c>
      <c r="H5836">
        <v>0.43879402984851001</v>
      </c>
      <c r="I5836">
        <v>0.438162250857622</v>
      </c>
      <c r="J5836">
        <v>0.42557361860911302</v>
      </c>
      <c r="K5836">
        <v>0.33472977846291002</v>
      </c>
      <c r="L5836">
        <v>1616.2783096564101</v>
      </c>
      <c r="M5836">
        <v>29.1486105059099</v>
      </c>
      <c r="N5836">
        <v>58.530485636988303</v>
      </c>
      <c r="O5836">
        <v>55.190570488220096</v>
      </c>
      <c r="P5836">
        <v>-8.0252458055729406E-2</v>
      </c>
      <c r="Q5836">
        <v>0.39219798209815698</v>
      </c>
      <c r="R5836">
        <v>0.97350573239616001</v>
      </c>
      <c r="S5836" t="s">
        <v>11697</v>
      </c>
      <c r="T5836" t="s">
        <v>11720</v>
      </c>
      <c r="U5836" t="s">
        <v>11720</v>
      </c>
      <c r="V5836" t="s">
        <v>11720</v>
      </c>
      <c r="W5836" t="s">
        <v>17494</v>
      </c>
      <c r="X5836">
        <v>28</v>
      </c>
      <c r="Y5836" t="s">
        <v>23187</v>
      </c>
      <c r="Z5836" t="s">
        <v>29043</v>
      </c>
      <c r="AA5836">
        <v>0.70947351653856428</v>
      </c>
      <c r="AB5836" t="str">
        <f>HYPERLINK("Melting_Curves/meltCurve_Q9Y6N7_5_ROBO1.pdf", "Melting_Curves/meltCurve_Q9Y6N7_5_ROBO1.pdf")</f>
        <v>Melting_Curves/meltCurve_Q9Y6N7_5_ROBO1.pdf</v>
      </c>
    </row>
    <row r="5837" spans="1:28" x14ac:dyDescent="0.25">
      <c r="A5837" t="s">
        <v>5841</v>
      </c>
      <c r="B5837">
        <v>0.99334974765950101</v>
      </c>
      <c r="C5837">
        <v>0.86282981833166805</v>
      </c>
      <c r="D5837">
        <v>0.88636705826443596</v>
      </c>
      <c r="E5837">
        <v>0.62289127257549004</v>
      </c>
      <c r="F5837">
        <v>0.37435485876360902</v>
      </c>
      <c r="G5837">
        <v>0.31035506446614503</v>
      </c>
      <c r="H5837">
        <v>0.23520193319289701</v>
      </c>
      <c r="I5837">
        <v>0.24357448257317699</v>
      </c>
      <c r="J5837">
        <v>0.20354615537321</v>
      </c>
      <c r="K5837">
        <v>0.18782124014354101</v>
      </c>
      <c r="L5837">
        <v>819.75429450814602</v>
      </c>
      <c r="M5837">
        <v>16.3937364639709</v>
      </c>
      <c r="N5837">
        <v>51.571756444366898</v>
      </c>
      <c r="O5837">
        <v>49.277830472582799</v>
      </c>
      <c r="P5837">
        <v>-6.6854431392851493E-2</v>
      </c>
      <c r="Q5837">
        <v>0.196228020752553</v>
      </c>
      <c r="R5837">
        <v>0.984860387079176</v>
      </c>
      <c r="S5837" t="s">
        <v>11698</v>
      </c>
      <c r="T5837" t="s">
        <v>11720</v>
      </c>
      <c r="U5837" t="s">
        <v>11720</v>
      </c>
      <c r="V5837" t="s">
        <v>11720</v>
      </c>
      <c r="W5837" t="s">
        <v>17495</v>
      </c>
      <c r="X5837">
        <v>1</v>
      </c>
      <c r="Y5837" t="s">
        <v>23188</v>
      </c>
      <c r="Z5837" t="s">
        <v>29044</v>
      </c>
      <c r="AA5837">
        <v>0.4805861168114518</v>
      </c>
      <c r="AB5837" t="str">
        <f>HYPERLINK("Melting_Curves/meltCurve_Q9Y6P5_2_SESN1.pdf", "Melting_Curves/meltCurve_Q9Y6P5_2_SESN1.pdf")</f>
        <v>Melting_Curves/meltCurve_Q9Y6P5_2_SESN1.pdf</v>
      </c>
    </row>
    <row r="5838" spans="1:28" x14ac:dyDescent="0.25">
      <c r="A5838" t="s">
        <v>5842</v>
      </c>
      <c r="B5838">
        <v>0.99334974765950101</v>
      </c>
      <c r="C5838">
        <v>0.95217875197221402</v>
      </c>
      <c r="D5838">
        <v>0.86573072606844703</v>
      </c>
      <c r="E5838">
        <v>0.81524341908416198</v>
      </c>
      <c r="F5838">
        <v>0.78975541699343699</v>
      </c>
      <c r="G5838">
        <v>0.33679254702855399</v>
      </c>
      <c r="H5838">
        <v>0.16643320820513899</v>
      </c>
      <c r="I5838">
        <v>0.104590680589268</v>
      </c>
      <c r="J5838">
        <v>9.66733870085075E-2</v>
      </c>
      <c r="K5838">
        <v>8.4410013245543494E-2</v>
      </c>
      <c r="L5838">
        <v>1035.8295425787801</v>
      </c>
      <c r="M5838">
        <v>18.806441408537999</v>
      </c>
      <c r="N5838">
        <v>55.391061478367099</v>
      </c>
      <c r="O5838">
        <v>54.467023073385398</v>
      </c>
      <c r="P5838">
        <v>-8.1977430887811398E-2</v>
      </c>
      <c r="Q5838">
        <v>5.0350642186165702E-2</v>
      </c>
      <c r="R5838">
        <v>0.978193656658496</v>
      </c>
      <c r="S5838" t="s">
        <v>11699</v>
      </c>
      <c r="T5838" t="s">
        <v>11720</v>
      </c>
      <c r="U5838" t="s">
        <v>11720</v>
      </c>
      <c r="V5838" t="s">
        <v>11720</v>
      </c>
      <c r="W5838" t="s">
        <v>17496</v>
      </c>
      <c r="X5838">
        <v>11</v>
      </c>
      <c r="Y5838" t="s">
        <v>23189</v>
      </c>
      <c r="Z5838" t="s">
        <v>29045</v>
      </c>
      <c r="AA5838">
        <v>0.54144943189238959</v>
      </c>
      <c r="AB5838" t="str">
        <f>HYPERLINK("Melting_Curves/meltCurve_Q9Y6Q2_STON1.pdf", "Melting_Curves/meltCurve_Q9Y6Q2_STON1.pdf")</f>
        <v>Melting_Curves/meltCurve_Q9Y6Q2_STON1.pdf</v>
      </c>
    </row>
    <row r="5839" spans="1:28" x14ac:dyDescent="0.25">
      <c r="A5839" t="s">
        <v>5843</v>
      </c>
      <c r="B5839">
        <v>0.99334974765950101</v>
      </c>
      <c r="C5839">
        <v>0.92364073781616196</v>
      </c>
      <c r="D5839">
        <v>0.83747835976803897</v>
      </c>
      <c r="E5839">
        <v>0.50030238224964096</v>
      </c>
      <c r="F5839">
        <v>0.24309781861024901</v>
      </c>
      <c r="G5839">
        <v>0.20544255555070201</v>
      </c>
      <c r="H5839">
        <v>0.14804759439919901</v>
      </c>
      <c r="I5839">
        <v>0.13492676265895501</v>
      </c>
      <c r="J5839">
        <v>0.12683111674577699</v>
      </c>
      <c r="K5839">
        <v>0.11384736218571501</v>
      </c>
      <c r="L5839">
        <v>1017.15300332685</v>
      </c>
      <c r="M5839">
        <v>20.711412627268299</v>
      </c>
      <c r="N5839">
        <v>49.809601761300399</v>
      </c>
      <c r="O5839">
        <v>48.659793217503001</v>
      </c>
      <c r="P5839">
        <v>-9.2994897026414905E-2</v>
      </c>
      <c r="Q5839">
        <v>0.126088744464179</v>
      </c>
      <c r="R5839">
        <v>0.99617910168844304</v>
      </c>
      <c r="S5839" t="s">
        <v>11700</v>
      </c>
      <c r="T5839" t="s">
        <v>11720</v>
      </c>
      <c r="U5839" t="s">
        <v>11720</v>
      </c>
      <c r="V5839" t="s">
        <v>11720</v>
      </c>
      <c r="W5839" t="s">
        <v>17497</v>
      </c>
      <c r="X5839">
        <v>5</v>
      </c>
      <c r="Y5839" t="s">
        <v>23190</v>
      </c>
      <c r="Z5839" t="s">
        <v>29046</v>
      </c>
      <c r="AA5839">
        <v>0.40288074587752842</v>
      </c>
      <c r="AB5839" t="str">
        <f>HYPERLINK("Melting_Curves/meltCurve_Q9Y6Q9_5_NCOA3.pdf", "Melting_Curves/meltCurve_Q9Y6Q9_5_NCOA3.pdf")</f>
        <v>Melting_Curves/meltCurve_Q9Y6Q9_5_NCOA3.pdf</v>
      </c>
    </row>
    <row r="5840" spans="1:28" x14ac:dyDescent="0.25">
      <c r="A5840" t="s">
        <v>5844</v>
      </c>
      <c r="B5840">
        <v>0.99334974765950101</v>
      </c>
      <c r="C5840">
        <v>0.96029468293933296</v>
      </c>
      <c r="D5840">
        <v>0.86986185261910898</v>
      </c>
      <c r="E5840">
        <v>0.72566148188165502</v>
      </c>
      <c r="F5840">
        <v>0.48217746325864302</v>
      </c>
      <c r="G5840">
        <v>0.35640916077149998</v>
      </c>
      <c r="H5840">
        <v>0.28764880091785799</v>
      </c>
      <c r="I5840">
        <v>0.30673664031332498</v>
      </c>
      <c r="J5840">
        <v>0.274931358216986</v>
      </c>
      <c r="K5840">
        <v>0.249437965753039</v>
      </c>
      <c r="L5840">
        <v>866.72430222151502</v>
      </c>
      <c r="M5840">
        <v>17.0230976600945</v>
      </c>
      <c r="N5840">
        <v>53.164419466105699</v>
      </c>
      <c r="O5840">
        <v>50.227580686326498</v>
      </c>
      <c r="P5840">
        <v>-6.29821070998242E-2</v>
      </c>
      <c r="Q5840">
        <v>0.25671727868767902</v>
      </c>
      <c r="R5840">
        <v>0.99492801228226002</v>
      </c>
      <c r="S5840" t="s">
        <v>11701</v>
      </c>
      <c r="T5840" t="s">
        <v>11720</v>
      </c>
      <c r="U5840" t="s">
        <v>11720</v>
      </c>
      <c r="V5840" t="s">
        <v>11720</v>
      </c>
      <c r="W5840" t="s">
        <v>17498</v>
      </c>
      <c r="X5840">
        <v>10</v>
      </c>
      <c r="Y5840" t="s">
        <v>23191</v>
      </c>
      <c r="Z5840" t="s">
        <v>29047</v>
      </c>
      <c r="AA5840">
        <v>0.54099287238106597</v>
      </c>
      <c r="AB5840" t="str">
        <f>HYPERLINK("Melting_Curves/meltCurve_Q9Y6R0_NUMBL.pdf", "Melting_Curves/meltCurve_Q9Y6R0_NUMBL.pdf")</f>
        <v>Melting_Curves/meltCurve_Q9Y6R0_NUMBL.pdf</v>
      </c>
    </row>
    <row r="5841" spans="1:28" x14ac:dyDescent="0.25">
      <c r="A5841" t="s">
        <v>5845</v>
      </c>
      <c r="B5841">
        <v>0.99334974765950101</v>
      </c>
      <c r="C5841">
        <v>1.0583015848728401</v>
      </c>
      <c r="D5841">
        <v>1.34218601334173</v>
      </c>
      <c r="E5841">
        <v>1.5843386876998999</v>
      </c>
      <c r="F5841">
        <v>1.8274703434277</v>
      </c>
      <c r="G5841">
        <v>2.0683383777998001</v>
      </c>
      <c r="H5841">
        <v>0.65209959623660996</v>
      </c>
      <c r="I5841">
        <v>0.31256989356172599</v>
      </c>
      <c r="J5841">
        <v>0.13390323159324</v>
      </c>
      <c r="K5841">
        <v>4.0997311194897301E-2</v>
      </c>
      <c r="L5841">
        <v>3773.7360398344599</v>
      </c>
      <c r="M5841">
        <v>61.070369504699798</v>
      </c>
      <c r="N5841">
        <v>62.06886685632</v>
      </c>
      <c r="O5841">
        <v>61.727099865968597</v>
      </c>
      <c r="P5841">
        <v>-0.21796495409248701</v>
      </c>
      <c r="Q5841">
        <v>0.11876503801091599</v>
      </c>
      <c r="R5841">
        <v>0.49018143868830999</v>
      </c>
      <c r="S5841" t="s">
        <v>11702</v>
      </c>
      <c r="T5841" t="s">
        <v>11720</v>
      </c>
      <c r="U5841" t="s">
        <v>11720</v>
      </c>
      <c r="V5841" t="s">
        <v>11720</v>
      </c>
      <c r="W5841" t="s">
        <v>17499</v>
      </c>
      <c r="X5841">
        <v>1</v>
      </c>
      <c r="Y5841" t="s">
        <v>23192</v>
      </c>
      <c r="Z5841" t="s">
        <v>29048</v>
      </c>
      <c r="AA5841">
        <v>0.76050688237794795</v>
      </c>
      <c r="AB5841" t="str">
        <f>HYPERLINK("Melting_Curves/meltCurve_Q9Y6V0_2_PCLO.pdf", "Melting_Curves/meltCurve_Q9Y6V0_2_PCLO.pdf")</f>
        <v>Melting_Curves/meltCurve_Q9Y6V0_2_PCLO.pdf</v>
      </c>
    </row>
    <row r="5842" spans="1:28" x14ac:dyDescent="0.25">
      <c r="A5842" t="s">
        <v>5846</v>
      </c>
      <c r="B5842">
        <v>0.99334974765950101</v>
      </c>
      <c r="C5842">
        <v>1.01752178597401</v>
      </c>
      <c r="D5842">
        <v>1.0590746809341001</v>
      </c>
      <c r="E5842">
        <v>0.629228201938271</v>
      </c>
      <c r="F5842">
        <v>0.193877443662788</v>
      </c>
      <c r="G5842">
        <v>0.167859731424227</v>
      </c>
      <c r="H5842">
        <v>8.87296049427614E-2</v>
      </c>
      <c r="I5842">
        <v>6.1107545666195397E-2</v>
      </c>
      <c r="J5842">
        <v>4.9792444018918802E-2</v>
      </c>
      <c r="K5842">
        <v>2.8125865962358599E-2</v>
      </c>
      <c r="L5842">
        <v>2118.9012677256401</v>
      </c>
      <c r="M5842">
        <v>41.939165846677703</v>
      </c>
      <c r="N5842">
        <v>50.726214136662897</v>
      </c>
      <c r="O5842">
        <v>50.408762130000802</v>
      </c>
      <c r="P5842">
        <v>-0.19192803157344401</v>
      </c>
      <c r="Q5842">
        <v>7.7250630077698904E-2</v>
      </c>
      <c r="R5842">
        <v>0.99084233082761597</v>
      </c>
      <c r="S5842" t="s">
        <v>11703</v>
      </c>
      <c r="T5842" t="s">
        <v>11720</v>
      </c>
      <c r="U5842" t="s">
        <v>11720</v>
      </c>
      <c r="V5842" t="s">
        <v>11720</v>
      </c>
      <c r="W5842" t="s">
        <v>17500</v>
      </c>
      <c r="X5842">
        <v>6</v>
      </c>
      <c r="Y5842" t="s">
        <v>23193</v>
      </c>
      <c r="Z5842" t="s">
        <v>29049</v>
      </c>
      <c r="AA5842">
        <v>0.40385640746494111</v>
      </c>
      <c r="AB5842" t="str">
        <f>HYPERLINK("Melting_Curves/meltCurve_Q9Y6W3_CAPN7.pdf", "Melting_Curves/meltCurve_Q9Y6W3_CAPN7.pdf")</f>
        <v>Melting_Curves/meltCurve_Q9Y6W3_CAPN7.pdf</v>
      </c>
    </row>
    <row r="5843" spans="1:28" x14ac:dyDescent="0.25">
      <c r="A5843" t="s">
        <v>5847</v>
      </c>
      <c r="B5843">
        <v>0.99334974765950101</v>
      </c>
      <c r="C5843">
        <v>1.0328022004777599</v>
      </c>
      <c r="D5843">
        <v>1.13118536444647</v>
      </c>
      <c r="E5843">
        <v>1.31736276497709</v>
      </c>
      <c r="F5843">
        <v>1.8618423555194801</v>
      </c>
      <c r="G5843">
        <v>1.8296247974114199</v>
      </c>
      <c r="H5843">
        <v>1.76695321294894</v>
      </c>
      <c r="I5843">
        <v>1.6792081969430099</v>
      </c>
      <c r="J5843">
        <v>1.5733942229611599</v>
      </c>
      <c r="K5843">
        <v>1.2075645036899201</v>
      </c>
      <c r="L5843">
        <v>1838.54319781033</v>
      </c>
      <c r="M5843">
        <v>38.562142779243601</v>
      </c>
      <c r="O5843">
        <v>47.549753271687997</v>
      </c>
      <c r="P5843">
        <v>0.10137341907577301</v>
      </c>
      <c r="Q5843">
        <v>1.5</v>
      </c>
      <c r="R5843">
        <v>0.56196087190105004</v>
      </c>
      <c r="S5843" t="s">
        <v>11704</v>
      </c>
      <c r="T5843" t="s">
        <v>11720</v>
      </c>
      <c r="U5843" t="s">
        <v>11720</v>
      </c>
      <c r="V5843" t="s">
        <v>11720</v>
      </c>
      <c r="W5843" t="s">
        <v>17501</v>
      </c>
      <c r="X5843">
        <v>8</v>
      </c>
      <c r="Y5843" t="s">
        <v>23194</v>
      </c>
      <c r="Z5843" t="s">
        <v>29050</v>
      </c>
      <c r="AA5843">
        <v>1.3702601658871929</v>
      </c>
      <c r="AB5843" t="str">
        <f>HYPERLINK("Melting_Curves/meltCurve_Q9Y6W5_WASF2.pdf", "Melting_Curves/meltCurve_Q9Y6W5_WASF2.pdf")</f>
        <v>Melting_Curves/meltCurve_Q9Y6W5_WASF2.pdf</v>
      </c>
    </row>
    <row r="5844" spans="1:28" x14ac:dyDescent="0.25">
      <c r="A5844" t="s">
        <v>5848</v>
      </c>
      <c r="B5844">
        <v>0.99334974765950101</v>
      </c>
      <c r="C5844">
        <v>0.99746810708015099</v>
      </c>
      <c r="D5844">
        <v>0.99203383618977403</v>
      </c>
      <c r="E5844">
        <v>0.83825746022946901</v>
      </c>
      <c r="F5844">
        <v>0.73812451845888605</v>
      </c>
      <c r="G5844">
        <v>0.754023453151621</v>
      </c>
      <c r="H5844">
        <v>0.56111551557278505</v>
      </c>
      <c r="I5844">
        <v>0.63281979191978899</v>
      </c>
      <c r="J5844">
        <v>0.52998624320712595</v>
      </c>
      <c r="K5844">
        <v>0.38279787966823903</v>
      </c>
      <c r="L5844">
        <v>401.025815838624</v>
      </c>
      <c r="M5844">
        <v>6.2557444008677701</v>
      </c>
      <c r="N5844">
        <v>66.570499012741806</v>
      </c>
      <c r="O5844">
        <v>58.487805724313297</v>
      </c>
      <c r="P5844">
        <v>-2.4041659179544601E-2</v>
      </c>
      <c r="Q5844">
        <v>0.10339459541391401</v>
      </c>
      <c r="R5844">
        <v>0.93539909243735797</v>
      </c>
      <c r="S5844" t="s">
        <v>11705</v>
      </c>
      <c r="T5844" t="s">
        <v>11720</v>
      </c>
      <c r="U5844" t="s">
        <v>11720</v>
      </c>
      <c r="V5844" t="s">
        <v>11720</v>
      </c>
      <c r="W5844" t="s">
        <v>17502</v>
      </c>
      <c r="X5844">
        <v>2</v>
      </c>
      <c r="Y5844" t="s">
        <v>23195</v>
      </c>
      <c r="Z5844" t="s">
        <v>29051</v>
      </c>
      <c r="AA5844">
        <v>0.74448509663751106</v>
      </c>
      <c r="AB5844" t="str">
        <f>HYPERLINK("Melting_Curves/meltCurve_Q9Y6X5_ENPP4.pdf", "Melting_Curves/meltCurve_Q9Y6X5_ENPP4.pdf")</f>
        <v>Melting_Curves/meltCurve_Q9Y6X5_ENPP4.pdf</v>
      </c>
    </row>
    <row r="5845" spans="1:28" x14ac:dyDescent="0.25">
      <c r="A5845" t="s">
        <v>5849</v>
      </c>
      <c r="B5845">
        <v>0.99334974765950101</v>
      </c>
      <c r="C5845">
        <v>1.19498271750449</v>
      </c>
      <c r="D5845">
        <v>0.76476131265599401</v>
      </c>
      <c r="E5845">
        <v>0.84178697689321302</v>
      </c>
      <c r="F5845">
        <v>0.53644067613216295</v>
      </c>
      <c r="G5845">
        <v>0.18947972144203201</v>
      </c>
      <c r="H5845">
        <v>0.15018240602241401</v>
      </c>
      <c r="I5845">
        <v>0.136460085780096</v>
      </c>
      <c r="J5845">
        <v>0.27797807692714599</v>
      </c>
      <c r="K5845">
        <v>6.2246275957689501E-2</v>
      </c>
      <c r="L5845">
        <v>1329.50998768623</v>
      </c>
      <c r="M5845">
        <v>25.331548929471602</v>
      </c>
      <c r="N5845">
        <v>53.168306793204302</v>
      </c>
      <c r="O5845">
        <v>52.160549217336303</v>
      </c>
      <c r="P5845">
        <v>-0.104530765110612</v>
      </c>
      <c r="Q5845">
        <v>0.13904791626694499</v>
      </c>
      <c r="R5845">
        <v>0.92495008638751497</v>
      </c>
      <c r="S5845" t="s">
        <v>11706</v>
      </c>
      <c r="T5845" t="s">
        <v>11720</v>
      </c>
      <c r="U5845" t="s">
        <v>11720</v>
      </c>
      <c r="V5845" t="s">
        <v>11720</v>
      </c>
      <c r="W5845" t="s">
        <v>17503</v>
      </c>
      <c r="X5845">
        <v>6</v>
      </c>
      <c r="Y5845" t="s">
        <v>22518</v>
      </c>
      <c r="Z5845" t="s">
        <v>29052</v>
      </c>
      <c r="AA5845">
        <v>0.50502799367782047</v>
      </c>
      <c r="AB5845" t="str">
        <f>HYPERLINK("Melting_Curves/meltCurve_R4GMM8_ROBO2.pdf", "Melting_Curves/meltCurve_R4GMM8_ROBO2.pdf")</f>
        <v>Melting_Curves/meltCurve_R4GMM8_ROBO2.pdf</v>
      </c>
    </row>
    <row r="5846" spans="1:28" x14ac:dyDescent="0.25">
      <c r="A5846" t="s">
        <v>5850</v>
      </c>
      <c r="B5846">
        <v>0.99334974765950101</v>
      </c>
      <c r="C5846">
        <v>0.99877907878343997</v>
      </c>
      <c r="D5846">
        <v>0.94484826504256503</v>
      </c>
      <c r="E5846">
        <v>0.80108767573563799</v>
      </c>
      <c r="F5846">
        <v>0.287035739406514</v>
      </c>
      <c r="G5846">
        <v>0.12628660362725799</v>
      </c>
      <c r="H5846">
        <v>8.7089408803075599E-2</v>
      </c>
      <c r="I5846">
        <v>8.4338414871001993E-2</v>
      </c>
      <c r="J5846">
        <v>9.9755793623824002E-2</v>
      </c>
      <c r="K5846">
        <v>6.9249614575508503E-2</v>
      </c>
      <c r="L5846">
        <v>2179.7031591083701</v>
      </c>
      <c r="M5846">
        <v>42.363130705992603</v>
      </c>
      <c r="N5846">
        <v>51.692670475218399</v>
      </c>
      <c r="O5846">
        <v>51.338577357266701</v>
      </c>
      <c r="P5846">
        <v>-0.18788837333841099</v>
      </c>
      <c r="Q5846">
        <v>8.9216897274933399E-2</v>
      </c>
      <c r="R5846">
        <v>0.99777873651120597</v>
      </c>
      <c r="S5846" t="s">
        <v>11707</v>
      </c>
      <c r="T5846" t="s">
        <v>11720</v>
      </c>
      <c r="U5846" t="s">
        <v>11720</v>
      </c>
      <c r="V5846" t="s">
        <v>11720</v>
      </c>
      <c r="W5846" t="s">
        <v>17504</v>
      </c>
      <c r="X5846">
        <v>5</v>
      </c>
      <c r="Y5846" t="s">
        <v>23196</v>
      </c>
      <c r="Z5846" t="s">
        <v>29053</v>
      </c>
      <c r="AA5846">
        <v>0.43980364467104333</v>
      </c>
      <c r="AB5846" t="str">
        <f>HYPERLINK("Melting_Curves/meltCurve_R4GMN1_MOSPD2.pdf", "Melting_Curves/meltCurve_R4GMN1_MOSPD2.pdf")</f>
        <v>Melting_Curves/meltCurve_R4GMN1_MOSPD2.pdf</v>
      </c>
    </row>
    <row r="5847" spans="1:28" x14ac:dyDescent="0.25">
      <c r="A5847" t="s">
        <v>5851</v>
      </c>
      <c r="B5847">
        <v>0.99334974765950101</v>
      </c>
      <c r="C5847">
        <v>1.0124347196739301</v>
      </c>
      <c r="D5847">
        <v>0.92461071612833401</v>
      </c>
      <c r="E5847">
        <v>0.88576202263910797</v>
      </c>
      <c r="F5847">
        <v>0.74260817567253001</v>
      </c>
      <c r="G5847">
        <v>0.85295136573948205</v>
      </c>
      <c r="H5847">
        <v>0.27373831250400998</v>
      </c>
      <c r="I5847">
        <v>0.112338201872273</v>
      </c>
      <c r="J5847">
        <v>7.7892942915334898E-2</v>
      </c>
      <c r="K5847">
        <v>6.5782239699713696E-2</v>
      </c>
      <c r="L5847">
        <v>1956.4493747782401</v>
      </c>
      <c r="M5847">
        <v>33.078977161896098</v>
      </c>
      <c r="N5847">
        <v>59.3303509195148</v>
      </c>
      <c r="O5847">
        <v>58.9298982383687</v>
      </c>
      <c r="P5847">
        <v>-0.13343642661531499</v>
      </c>
      <c r="Q5847">
        <v>4.9141086869414999E-2</v>
      </c>
      <c r="R5847">
        <v>0.94646237351962303</v>
      </c>
      <c r="S5847" t="s">
        <v>11708</v>
      </c>
      <c r="T5847" t="s">
        <v>11720</v>
      </c>
      <c r="U5847" t="s">
        <v>11720</v>
      </c>
      <c r="V5847" t="s">
        <v>11720</v>
      </c>
      <c r="W5847" t="s">
        <v>17505</v>
      </c>
      <c r="X5847">
        <v>9</v>
      </c>
      <c r="Y5847" t="s">
        <v>23197</v>
      </c>
      <c r="Z5847" t="s">
        <v>29054</v>
      </c>
      <c r="AA5847">
        <v>0.66114437894120015</v>
      </c>
      <c r="AB5847" t="str">
        <f>HYPERLINK("Melting_Curves/meltCurve_R4GMR5_PSMD8.pdf", "Melting_Curves/meltCurve_R4GMR5_PSMD8.pdf")</f>
        <v>Melting_Curves/meltCurve_R4GMR5_PSMD8.pdf</v>
      </c>
    </row>
    <row r="5848" spans="1:28" x14ac:dyDescent="0.25">
      <c r="A5848" t="s">
        <v>5852</v>
      </c>
      <c r="B5848">
        <v>0.99334974765950101</v>
      </c>
      <c r="C5848">
        <v>0.96515526207123004</v>
      </c>
      <c r="D5848">
        <v>1.05603623673553</v>
      </c>
      <c r="E5848">
        <v>0.84580505659969796</v>
      </c>
      <c r="F5848">
        <v>0.36779194516348201</v>
      </c>
      <c r="G5848">
        <v>0.25761985656021702</v>
      </c>
      <c r="H5848">
        <v>0.199205248317115</v>
      </c>
      <c r="I5848">
        <v>0.20885118331850899</v>
      </c>
      <c r="J5848">
        <v>0.143257984170471</v>
      </c>
      <c r="K5848">
        <v>0.11614563578166601</v>
      </c>
      <c r="L5848">
        <v>2286.2051223363301</v>
      </c>
      <c r="M5848">
        <v>44.288873772775801</v>
      </c>
      <c r="N5848">
        <v>52.148939366655902</v>
      </c>
      <c r="O5848">
        <v>51.515393558288103</v>
      </c>
      <c r="P5848">
        <v>-0.176060916846312</v>
      </c>
      <c r="Q5848">
        <v>0.18084754697497399</v>
      </c>
      <c r="R5848">
        <v>0.98884742797092695</v>
      </c>
      <c r="S5848" t="s">
        <v>11709</v>
      </c>
      <c r="T5848" t="s">
        <v>11720</v>
      </c>
      <c r="U5848" t="s">
        <v>11720</v>
      </c>
      <c r="V5848" t="s">
        <v>11720</v>
      </c>
      <c r="W5848" t="s">
        <v>17506</v>
      </c>
      <c r="X5848">
        <v>10</v>
      </c>
      <c r="Y5848" t="s">
        <v>23198</v>
      </c>
      <c r="Z5848" t="s">
        <v>29055</v>
      </c>
      <c r="AA5848">
        <v>0.50052134318603581</v>
      </c>
      <c r="AB5848" t="str">
        <f>HYPERLINK("Melting_Curves/meltCurve_R4GMU1_H6PD.pdf", "Melting_Curves/meltCurve_R4GMU1_H6PD.pdf")</f>
        <v>Melting_Curves/meltCurve_R4GMU1_H6PD.pdf</v>
      </c>
    </row>
    <row r="5849" spans="1:28" x14ac:dyDescent="0.25">
      <c r="A5849" t="s">
        <v>5853</v>
      </c>
      <c r="B5849">
        <v>0.99334974765950101</v>
      </c>
      <c r="C5849">
        <v>0.97484991067434501</v>
      </c>
      <c r="D5849">
        <v>0.82339154610624099</v>
      </c>
      <c r="E5849">
        <v>0.60676696710375</v>
      </c>
      <c r="F5849">
        <v>0.33231545366714199</v>
      </c>
      <c r="G5849">
        <v>0.190168973498898</v>
      </c>
      <c r="H5849">
        <v>0.13901557730045999</v>
      </c>
      <c r="I5849">
        <v>0.125231526050118</v>
      </c>
      <c r="J5849">
        <v>0.105712117895292</v>
      </c>
      <c r="K5849">
        <v>9.1239491017060401E-2</v>
      </c>
      <c r="L5849">
        <v>889.80931263504897</v>
      </c>
      <c r="M5849">
        <v>17.683651084798701</v>
      </c>
      <c r="N5849">
        <v>50.9152541073653</v>
      </c>
      <c r="O5849">
        <v>49.687960537591103</v>
      </c>
      <c r="P5849">
        <v>-8.0646310524655998E-2</v>
      </c>
      <c r="Q5849">
        <v>9.3640225878132505E-2</v>
      </c>
      <c r="R5849">
        <v>0.99738595592235701</v>
      </c>
      <c r="S5849" t="s">
        <v>11710</v>
      </c>
      <c r="T5849" t="s">
        <v>11720</v>
      </c>
      <c r="U5849" t="s">
        <v>11720</v>
      </c>
      <c r="V5849" t="s">
        <v>11720</v>
      </c>
      <c r="W5849" t="s">
        <v>17507</v>
      </c>
      <c r="X5849">
        <v>6</v>
      </c>
      <c r="Y5849" t="s">
        <v>23199</v>
      </c>
      <c r="Z5849" t="s">
        <v>29056</v>
      </c>
      <c r="AA5849">
        <v>0.42128517256665882</v>
      </c>
      <c r="AB5849" t="str">
        <f>HYPERLINK("Melting_Curves/meltCurve_R4GMX3_BMI1.pdf", "Melting_Curves/meltCurve_R4GMX3_BMI1.pdf")</f>
        <v>Melting_Curves/meltCurve_R4GMX3_BMI1.pdf</v>
      </c>
    </row>
    <row r="5850" spans="1:28" x14ac:dyDescent="0.25">
      <c r="A5850" t="s">
        <v>5854</v>
      </c>
      <c r="B5850">
        <v>0.99334974765950101</v>
      </c>
      <c r="C5850">
        <v>0.66416404543462404</v>
      </c>
      <c r="D5850">
        <v>0.79812267508772206</v>
      </c>
      <c r="E5850">
        <v>0.74594345644913396</v>
      </c>
      <c r="F5850">
        <v>0.45478066630520703</v>
      </c>
      <c r="G5850">
        <v>0.21535723575000101</v>
      </c>
      <c r="H5850">
        <v>5.4252843854880002E-2</v>
      </c>
      <c r="I5850">
        <v>5.2929381555586699E-2</v>
      </c>
      <c r="J5850">
        <v>3.9911863359926199E-2</v>
      </c>
      <c r="K5850">
        <v>0</v>
      </c>
      <c r="L5850">
        <v>636.49412913978995</v>
      </c>
      <c r="M5850">
        <v>12.302094909385</v>
      </c>
      <c r="N5850">
        <v>51.738678167705402</v>
      </c>
      <c r="O5850">
        <v>50.428547927101498</v>
      </c>
      <c r="P5850">
        <v>-6.1001102258163603E-2</v>
      </c>
      <c r="Q5850">
        <v>0</v>
      </c>
      <c r="R5850">
        <v>0.92075450210727305</v>
      </c>
      <c r="S5850" t="s">
        <v>11711</v>
      </c>
      <c r="T5850" t="s">
        <v>11720</v>
      </c>
      <c r="U5850" t="s">
        <v>11720</v>
      </c>
      <c r="V5850" t="s">
        <v>11720</v>
      </c>
      <c r="W5850" t="s">
        <v>17508</v>
      </c>
      <c r="X5850">
        <v>1</v>
      </c>
      <c r="Y5850" t="s">
        <v>23200</v>
      </c>
      <c r="Z5850" t="s">
        <v>29057</v>
      </c>
      <c r="AA5850">
        <v>0.42140732355205768</v>
      </c>
      <c r="AB5850" t="str">
        <f>HYPERLINK("Melting_Curves/meltCurve_R4GMX8_RANBP10.pdf", "Melting_Curves/meltCurve_R4GMX8_RANBP10.pdf")</f>
        <v>Melting_Curves/meltCurve_R4GMX8_RANBP10.pdf</v>
      </c>
    </row>
    <row r="5851" spans="1:28" x14ac:dyDescent="0.25">
      <c r="A5851" t="s">
        <v>5855</v>
      </c>
      <c r="B5851">
        <v>0.99334974765950101</v>
      </c>
      <c r="C5851">
        <v>0.834082866251315</v>
      </c>
      <c r="D5851">
        <v>0.74261569948328798</v>
      </c>
      <c r="E5851">
        <v>0.65900596224397401</v>
      </c>
      <c r="F5851">
        <v>0.74155154046957505</v>
      </c>
      <c r="G5851">
        <v>0.63474181112393502</v>
      </c>
      <c r="H5851">
        <v>0.69959348769788299</v>
      </c>
      <c r="I5851">
        <v>0.83956468936359196</v>
      </c>
      <c r="J5851">
        <v>1.1601096022215101</v>
      </c>
      <c r="K5851">
        <v>0.93658117585525502</v>
      </c>
      <c r="L5851">
        <v>3352.1122487392099</v>
      </c>
      <c r="M5851">
        <v>79.8058572192338</v>
      </c>
      <c r="O5851">
        <v>41.976972170910699</v>
      </c>
      <c r="P5851">
        <v>-9.4210495296442306E-2</v>
      </c>
      <c r="Q5851">
        <v>0.80178538007585898</v>
      </c>
      <c r="R5851">
        <v>0.13267515665400401</v>
      </c>
      <c r="S5851" t="s">
        <v>11712</v>
      </c>
      <c r="T5851" t="s">
        <v>11720</v>
      </c>
      <c r="U5851" t="s">
        <v>11720</v>
      </c>
      <c r="V5851" t="s">
        <v>11720</v>
      </c>
      <c r="W5851" t="s">
        <v>17509</v>
      </c>
      <c r="X5851">
        <v>1</v>
      </c>
      <c r="Y5851" t="s">
        <v>23201</v>
      </c>
      <c r="Z5851" t="s">
        <v>29058</v>
      </c>
      <c r="AA5851">
        <v>0.81522147918664578</v>
      </c>
      <c r="AB5851" t="str">
        <f>HYPERLINK("Melting_Curves/meltCurve_R4GMY4_NBL1.pdf", "Melting_Curves/meltCurve_R4GMY4_NBL1.pdf")</f>
        <v>Melting_Curves/meltCurve_R4GMY4_NBL1.pdf</v>
      </c>
    </row>
    <row r="5852" spans="1:28" x14ac:dyDescent="0.25">
      <c r="A5852" t="s">
        <v>5856</v>
      </c>
      <c r="B5852">
        <v>0.99334974765950101</v>
      </c>
      <c r="C5852">
        <v>0.995729533650629</v>
      </c>
      <c r="D5852">
        <v>0.99358257243661496</v>
      </c>
      <c r="E5852">
        <v>0.87839243575209203</v>
      </c>
      <c r="F5852">
        <v>0.53349833838880301</v>
      </c>
      <c r="G5852">
        <v>0.35726328398583301</v>
      </c>
      <c r="H5852">
        <v>0.272515572781383</v>
      </c>
      <c r="I5852">
        <v>0.26477875267041401</v>
      </c>
      <c r="J5852">
        <v>0.25342815454702999</v>
      </c>
      <c r="K5852">
        <v>0.20277132280887</v>
      </c>
      <c r="L5852">
        <v>1530.6006273037401</v>
      </c>
      <c r="M5852">
        <v>29.202991421809902</v>
      </c>
      <c r="N5852">
        <v>53.688118101358903</v>
      </c>
      <c r="O5852">
        <v>52.168532500084702</v>
      </c>
      <c r="P5852">
        <v>-0.104934265134671</v>
      </c>
      <c r="Q5852">
        <v>0.25018272308102002</v>
      </c>
      <c r="R5852">
        <v>0.99453109088978497</v>
      </c>
      <c r="S5852" t="s">
        <v>11713</v>
      </c>
      <c r="T5852" t="s">
        <v>11720</v>
      </c>
      <c r="U5852" t="s">
        <v>11720</v>
      </c>
      <c r="V5852" t="s">
        <v>11720</v>
      </c>
      <c r="W5852" t="s">
        <v>17510</v>
      </c>
      <c r="X5852">
        <v>6</v>
      </c>
      <c r="Y5852" t="s">
        <v>23202</v>
      </c>
      <c r="Z5852" t="s">
        <v>29059</v>
      </c>
      <c r="AA5852">
        <v>0.56550248098605638</v>
      </c>
      <c r="AB5852" t="str">
        <f>HYPERLINK("Melting_Curves/meltCurve_R4GN55_YTHDF3.pdf", "Melting_Curves/meltCurve_R4GN55_YTHDF3.pdf")</f>
        <v>Melting_Curves/meltCurve_R4GN55_YTHDF3.pdf</v>
      </c>
    </row>
    <row r="5853" spans="1:28" x14ac:dyDescent="0.25">
      <c r="A5853" t="s">
        <v>5857</v>
      </c>
      <c r="B5853">
        <v>0.99334974765950101</v>
      </c>
      <c r="C5853">
        <v>0.63284237151775502</v>
      </c>
      <c r="D5853">
        <v>0.74977261346972601</v>
      </c>
      <c r="E5853">
        <v>0.73903511207615402</v>
      </c>
      <c r="F5853">
        <v>0.96102651492069202</v>
      </c>
      <c r="G5853">
        <v>0.29700480967983101</v>
      </c>
      <c r="H5853">
        <v>0.752133697114028</v>
      </c>
      <c r="I5853">
        <v>0.62526716754150002</v>
      </c>
      <c r="J5853">
        <v>0.28840189745053602</v>
      </c>
      <c r="K5853">
        <v>0.34695559781491098</v>
      </c>
      <c r="L5853">
        <v>231.30463899034601</v>
      </c>
      <c r="M5853">
        <v>3.6536540611868</v>
      </c>
      <c r="N5853">
        <v>63.307758433259799</v>
      </c>
      <c r="O5853">
        <v>50.414969720074502</v>
      </c>
      <c r="P5853">
        <v>-1.84279502017097E-2</v>
      </c>
      <c r="Q5853">
        <v>0</v>
      </c>
      <c r="R5853">
        <v>0.43711648280615201</v>
      </c>
      <c r="S5853" t="s">
        <v>11714</v>
      </c>
      <c r="T5853" t="s">
        <v>11720</v>
      </c>
      <c r="U5853" t="s">
        <v>11720</v>
      </c>
      <c r="V5853" t="s">
        <v>11720</v>
      </c>
      <c r="W5853" t="s">
        <v>17511</v>
      </c>
      <c r="X5853">
        <v>1</v>
      </c>
      <c r="Y5853" t="s">
        <v>23203</v>
      </c>
      <c r="Z5853" t="s">
        <v>29060</v>
      </c>
      <c r="AA5853">
        <v>0.64246675093052374</v>
      </c>
      <c r="AB5853" t="str">
        <f>HYPERLINK("Melting_Curves/meltCurve_R4GN89_C16orf74.pdf", "Melting_Curves/meltCurve_R4GN89_C16orf74.pdf")</f>
        <v>Melting_Curves/meltCurve_R4GN89_C16orf74.pdf</v>
      </c>
    </row>
    <row r="5854" spans="1:28" x14ac:dyDescent="0.25">
      <c r="A5854" t="s">
        <v>5858</v>
      </c>
      <c r="B5854">
        <v>0.99334974765950101</v>
      </c>
      <c r="C5854">
        <v>1.09010315980354</v>
      </c>
      <c r="D5854">
        <v>0.93599531261143998</v>
      </c>
      <c r="E5854">
        <v>0.89283340222243601</v>
      </c>
      <c r="F5854">
        <v>0.79100160208324699</v>
      </c>
      <c r="G5854">
        <v>0.65365743195588899</v>
      </c>
      <c r="H5854">
        <v>0.67982713058800104</v>
      </c>
      <c r="I5854">
        <v>1.2279101181468399</v>
      </c>
      <c r="J5854">
        <v>0.89043007373030403</v>
      </c>
      <c r="K5854">
        <v>0.72527615105736198</v>
      </c>
      <c r="L5854">
        <v>1711.38209858405</v>
      </c>
      <c r="M5854">
        <v>35.927431373586302</v>
      </c>
      <c r="O5854">
        <v>47.487557391382801</v>
      </c>
      <c r="P5854">
        <v>-3.1827605227216303E-2</v>
      </c>
      <c r="Q5854">
        <v>0.83172630615908205</v>
      </c>
      <c r="R5854">
        <v>0.21228208884778199</v>
      </c>
      <c r="S5854" t="s">
        <v>11715</v>
      </c>
      <c r="T5854" t="s">
        <v>11720</v>
      </c>
      <c r="U5854" t="s">
        <v>11720</v>
      </c>
      <c r="V5854" t="s">
        <v>11720</v>
      </c>
      <c r="W5854" t="s">
        <v>17512</v>
      </c>
      <c r="X5854">
        <v>11</v>
      </c>
      <c r="Y5854" t="s">
        <v>23204</v>
      </c>
      <c r="Z5854" t="s">
        <v>29061</v>
      </c>
      <c r="AA5854">
        <v>0.87524222477567026</v>
      </c>
      <c r="AB5854" t="str">
        <f>HYPERLINK("Melting_Curves/meltCurve_R4GN98_S100A6.pdf", "Melting_Curves/meltCurve_R4GN98_S100A6.pdf")</f>
        <v>Melting_Curves/meltCurve_R4GN98_S100A6.pdf</v>
      </c>
    </row>
    <row r="5855" spans="1:28" x14ac:dyDescent="0.25">
      <c r="A5855" t="s">
        <v>5859</v>
      </c>
      <c r="B5855">
        <v>0.99334974765950101</v>
      </c>
      <c r="C5855">
        <v>0.94500276199345101</v>
      </c>
      <c r="D5855">
        <v>1.07151946012911</v>
      </c>
      <c r="E5855">
        <v>0.77231346924535804</v>
      </c>
      <c r="F5855">
        <v>0.22232838390675599</v>
      </c>
      <c r="G5855">
        <v>0.19580333187128501</v>
      </c>
      <c r="H5855">
        <v>9.7961659245194996E-2</v>
      </c>
      <c r="I5855">
        <v>7.9462337273821806E-2</v>
      </c>
      <c r="J5855">
        <v>7.0640586675191297E-2</v>
      </c>
      <c r="K5855">
        <v>4.22429007580244E-2</v>
      </c>
      <c r="L5855">
        <v>2513.4348986648301</v>
      </c>
      <c r="M5855">
        <v>49.175198761619001</v>
      </c>
      <c r="N5855">
        <v>51.331454793169002</v>
      </c>
      <c r="O5855">
        <v>51.027517058225001</v>
      </c>
      <c r="P5855">
        <v>-0.21806869426436901</v>
      </c>
      <c r="Q5855">
        <v>9.4869250501319599E-2</v>
      </c>
      <c r="R5855">
        <v>0.987505243129296</v>
      </c>
      <c r="S5855" t="s">
        <v>11716</v>
      </c>
      <c r="T5855" t="s">
        <v>11720</v>
      </c>
      <c r="U5855" t="s">
        <v>11720</v>
      </c>
      <c r="V5855" t="s">
        <v>11720</v>
      </c>
      <c r="W5855" t="s">
        <v>17513</v>
      </c>
      <c r="X5855">
        <v>3</v>
      </c>
      <c r="Y5855" t="s">
        <v>23205</v>
      </c>
      <c r="Z5855" t="s">
        <v>29062</v>
      </c>
      <c r="AA5855">
        <v>0.43223488052391468</v>
      </c>
      <c r="AB5855" t="str">
        <f>HYPERLINK("Melting_Curves/meltCurve_R4GNB2_DENND4C.pdf", "Melting_Curves/meltCurve_R4GNB2_DENND4C.pdf")</f>
        <v>Melting_Curves/meltCurve_R4GNB2_DENND4C.pdf</v>
      </c>
    </row>
    <row r="5856" spans="1:28" x14ac:dyDescent="0.25">
      <c r="A5856" t="s">
        <v>5860</v>
      </c>
      <c r="B5856">
        <v>0.99334974765950101</v>
      </c>
      <c r="C5856">
        <v>0.82987004977412104</v>
      </c>
      <c r="D5856">
        <v>0.58863755314162203</v>
      </c>
      <c r="E5856">
        <v>0.47458667944014798</v>
      </c>
      <c r="F5856">
        <v>0.37661532777817402</v>
      </c>
      <c r="G5856">
        <v>0.30505342116057099</v>
      </c>
      <c r="H5856">
        <v>0.281869442531343</v>
      </c>
      <c r="I5856">
        <v>0.345189770688417</v>
      </c>
      <c r="J5856">
        <v>0.47438662976768098</v>
      </c>
      <c r="K5856">
        <v>0.36576243017336202</v>
      </c>
      <c r="L5856">
        <v>978.36680477127902</v>
      </c>
      <c r="M5856">
        <v>21.730378921470901</v>
      </c>
      <c r="N5856">
        <v>47.797106002416903</v>
      </c>
      <c r="O5856">
        <v>44.646914544419701</v>
      </c>
      <c r="P5856">
        <v>-7.8077740847465396E-2</v>
      </c>
      <c r="Q5856">
        <v>0.35834556349966101</v>
      </c>
      <c r="R5856">
        <v>0.94576631953311197</v>
      </c>
      <c r="S5856" t="s">
        <v>11717</v>
      </c>
      <c r="T5856" t="s">
        <v>11720</v>
      </c>
      <c r="U5856" t="s">
        <v>11720</v>
      </c>
      <c r="V5856" t="s">
        <v>11720</v>
      </c>
      <c r="W5856" t="s">
        <v>17514</v>
      </c>
      <c r="X5856">
        <v>1</v>
      </c>
      <c r="Y5856" t="s">
        <v>23206</v>
      </c>
      <c r="Z5856" t="s">
        <v>29063</v>
      </c>
      <c r="AA5856">
        <v>0.474693871540255</v>
      </c>
      <c r="AB5856" t="str">
        <f>HYPERLINK("Melting_Curves/meltCurve_R4GND3_PHLDA1.pdf", "Melting_Curves/meltCurve_R4GND3_PHLDA1.pdf")</f>
        <v>Melting_Curves/meltCurve_R4GND3_PHLDA1.pdf</v>
      </c>
    </row>
    <row r="5857" spans="1:28" x14ac:dyDescent="0.25">
      <c r="A5857" t="s">
        <v>5861</v>
      </c>
      <c r="B5857">
        <v>0.99334974765950101</v>
      </c>
      <c r="C5857">
        <v>1.01287969443064</v>
      </c>
      <c r="D5857">
        <v>1.0506125794704999</v>
      </c>
      <c r="E5857">
        <v>0.92436059381306401</v>
      </c>
      <c r="F5857">
        <v>0.64067658348330503</v>
      </c>
      <c r="G5857">
        <v>0.41478732616845898</v>
      </c>
      <c r="H5857">
        <v>0.193989534100899</v>
      </c>
      <c r="I5857">
        <v>0.16462092417102001</v>
      </c>
      <c r="J5857">
        <v>0.15683561312255301</v>
      </c>
      <c r="K5857">
        <v>0.16286394375617</v>
      </c>
      <c r="L5857">
        <v>1217.7913744375801</v>
      </c>
      <c r="M5857">
        <v>22.411791466541501</v>
      </c>
      <c r="N5857">
        <v>55.193861218019698</v>
      </c>
      <c r="O5857">
        <v>53.910023689753402</v>
      </c>
      <c r="P5857">
        <v>-8.8664212964122899E-2</v>
      </c>
      <c r="Q5857">
        <v>0.14691501832310999</v>
      </c>
      <c r="R5857">
        <v>0.99231409419601002</v>
      </c>
      <c r="S5857" t="s">
        <v>11718</v>
      </c>
      <c r="T5857" t="s">
        <v>11720</v>
      </c>
      <c r="U5857" t="s">
        <v>11720</v>
      </c>
      <c r="V5857" t="s">
        <v>11720</v>
      </c>
      <c r="W5857" t="s">
        <v>17515</v>
      </c>
      <c r="X5857">
        <v>21</v>
      </c>
      <c r="Y5857" t="s">
        <v>23207</v>
      </c>
      <c r="Z5857" t="s">
        <v>29064</v>
      </c>
      <c r="AA5857">
        <v>0.56417208725208556</v>
      </c>
      <c r="AB5857" t="str">
        <f>HYPERLINK("Melting_Curves/meltCurve_R4GNH3_PSMC3.pdf", "Melting_Curves/meltCurve_R4GNH3_PSMC3.pdf")</f>
        <v>Melting_Curves/meltCurve_R4GNH3_PSMC3.pdf</v>
      </c>
    </row>
    <row r="5858" spans="1:28" x14ac:dyDescent="0.25">
      <c r="A5858" t="s">
        <v>5862</v>
      </c>
      <c r="B5858">
        <v>0.99334974765950101</v>
      </c>
      <c r="C5858">
        <v>1.0443359514903301</v>
      </c>
      <c r="D5858">
        <v>1.0094937935578101</v>
      </c>
      <c r="E5858">
        <v>0.94808366145719403</v>
      </c>
      <c r="F5858">
        <v>1.0210466797969</v>
      </c>
      <c r="G5858">
        <v>1.0573927216655701</v>
      </c>
      <c r="H5858">
        <v>0.84923671533113898</v>
      </c>
      <c r="I5858">
        <v>0.82760595126404701</v>
      </c>
      <c r="J5858">
        <v>0.66224675837145097</v>
      </c>
      <c r="K5858">
        <v>0.52418632888317396</v>
      </c>
      <c r="L5858">
        <v>1297.0763655113601</v>
      </c>
      <c r="M5858">
        <v>19.357112451144101</v>
      </c>
      <c r="O5858">
        <v>66.304891681452204</v>
      </c>
      <c r="P5858">
        <v>-4.9618270593975999E-2</v>
      </c>
      <c r="Q5858">
        <v>0.32018539069117502</v>
      </c>
      <c r="R5858">
        <v>0.94416460510372902</v>
      </c>
      <c r="S5858" t="s">
        <v>11719</v>
      </c>
      <c r="T5858" t="s">
        <v>11720</v>
      </c>
      <c r="U5858" t="s">
        <v>11720</v>
      </c>
      <c r="V5858" t="s">
        <v>11720</v>
      </c>
      <c r="X5858">
        <v>1</v>
      </c>
      <c r="Y5858" t="s">
        <v>23208</v>
      </c>
      <c r="Z5858" t="s">
        <v>29065</v>
      </c>
      <c r="AA5858">
        <v>0.91053487273877876</v>
      </c>
      <c r="AB5858" t="str">
        <f>HYPERLINK("Melting_Curves/meltCurve_REV__Q96PE2_.pdf", "Melting_Curves/meltCurve_REV__Q96PE2_.pdf")</f>
        <v>Melting_Curves/meltCurve_REV__Q96PE2_.pdf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Anna Jarzab</cp:lastModifiedBy>
  <dcterms:created xsi:type="dcterms:W3CDTF">2017-09-14T13:06:31Z</dcterms:created>
  <dcterms:modified xsi:type="dcterms:W3CDTF">2018-08-21T08:41:43Z</dcterms:modified>
</cp:coreProperties>
</file>